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F24A63DC-6799-425A-AA96-0241656076D3}" xr6:coauthVersionLast="47" xr6:coauthVersionMax="47" xr10:uidLastSave="{00000000-0000-0000-0000-000000000000}"/>
  <bookViews>
    <workbookView xWindow="-120" yWindow="-120" windowWidth="29040" windowHeight="1584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s>
  <definedNames>
    <definedName name="_xlnm.Print_Area" localSheetId="7">'XS Final Premium Calculatio OLD'!$A$1:$F$42</definedName>
    <definedName name="_xlnm.Print_Area" localSheetId="6">'XS Final Premium Calculation'!$A$1:$E$42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7" l="1"/>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8" i="7"/>
  <c r="C130" i="7" s="1"/>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P19" i="24" s="1"/>
  <c r="EA14" i="24"/>
  <c r="DY18" i="24" s="1"/>
  <c r="EH14" i="24"/>
  <c r="EE20" i="24" s="1"/>
  <c r="DP14" i="24"/>
  <c r="DM20" i="24" s="1"/>
  <c r="DP19" i="24" s="1"/>
  <c r="DO14" i="24"/>
  <c r="DM18" i="24" s="1"/>
  <c r="X14" i="24"/>
  <c r="DJ14" i="24"/>
  <c r="DG20" i="24" s="1"/>
  <c r="DI14" i="24"/>
  <c r="DG18" i="24" s="1"/>
  <c r="EG14" i="24"/>
  <c r="EE18" i="24" s="1"/>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CV19" i="24"/>
  <c r="AC14" i="24"/>
  <c r="AB20" i="24" a="1"/>
  <c r="AB20" i="24" s="1"/>
  <c r="AD14" i="24"/>
  <c r="AD18" i="24" a="1"/>
  <c r="AD18" i="24" s="1"/>
  <c r="AB18" i="24" a="1"/>
  <c r="AB18" i="24" s="1"/>
  <c r="AD20" i="24" a="1"/>
  <c r="AD20" i="24" s="1"/>
  <c r="U18" i="24"/>
  <c r="U20"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DN19" i="24" l="1"/>
  <c r="DO19" i="24" s="1"/>
  <c r="D16" i="8" s="1"/>
  <c r="B24" i="28"/>
  <c r="EF19" i="24"/>
  <c r="DJ19" i="24"/>
  <c r="CP19" i="24"/>
  <c r="DH19" i="24"/>
  <c r="R19" i="24"/>
  <c r="Q19" i="24" s="1"/>
  <c r="D33" i="8" s="1"/>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J30" i="8"/>
  <c r="X19" i="24"/>
  <c r="V19" i="24"/>
  <c r="AA18" i="24"/>
  <c r="AA20" i="24"/>
  <c r="B10" i="21"/>
  <c r="B16" i="21" s="1"/>
  <c r="EG19" i="24" l="1"/>
  <c r="D13" i="8" s="1"/>
  <c r="CQ19" i="24"/>
  <c r="D20" i="8" s="1"/>
  <c r="E19" i="8" s="1"/>
  <c r="DI19" i="24"/>
  <c r="D17" i="8" s="1"/>
  <c r="BM19" i="24"/>
  <c r="D25" i="8" s="1"/>
  <c r="AU19" i="24"/>
  <c r="D28" i="8" s="1"/>
  <c r="BA19" i="24"/>
  <c r="D27" i="8" s="1"/>
  <c r="E19" i="24"/>
  <c r="E24" i="6" s="1"/>
  <c r="AO19" i="24"/>
  <c r="D29" i="8" s="1"/>
  <c r="E28"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12" i="8" l="1"/>
  <c r="E24" i="8"/>
  <c r="E29" i="8"/>
  <c r="F29" i="8" s="1"/>
  <c r="E27" i="8"/>
  <c r="F27" i="8" s="1"/>
  <c r="E33" i="8"/>
  <c r="F33" i="8" s="1"/>
  <c r="F34" i="8"/>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<sst xmlns="http://schemas.openxmlformats.org/spreadsheetml/2006/main" count="1931" uniqueCount="736">
  <si>
    <t>Base Premium</t>
  </si>
  <si>
    <t>Base Premium = A + B + C</t>
  </si>
  <si>
    <t>Asset Size ($millions)</t>
  </si>
  <si>
    <t>Greater Than</t>
  </si>
  <si>
    <t>Less Than</t>
  </si>
  <si>
    <t>A = Annual Premium per $1M Limit of Liability</t>
  </si>
  <si>
    <t>-</t>
  </si>
  <si>
    <t>or greater</t>
  </si>
  <si>
    <t>B = Annual Premium per $1M Limit of Liability</t>
  </si>
  <si>
    <t>C = Annual Premium per $1M Limit of Liability</t>
  </si>
  <si>
    <t>Base premium reflects $10,000 Self-Insured Retention</t>
  </si>
  <si>
    <t>Revenue Size ($millions)</t>
  </si>
  <si>
    <t>Market Capitalization ($millions)</t>
  </si>
  <si>
    <t>Directors and Officers Liability</t>
  </si>
  <si>
    <t xml:space="preserve"> Countrywide</t>
  </si>
  <si>
    <t>Limit of Liability/Rentention Factors</t>
  </si>
  <si>
    <t>Individual Risk Factors</t>
  </si>
  <si>
    <t>Side A/Difference in Conditions (DIC) Coverage</t>
  </si>
  <si>
    <t>Debit/Credit Factors</t>
  </si>
  <si>
    <t>0.45-0.65</t>
  </si>
  <si>
    <t>Independent Directors Liability (IDL)/DIC Coverage</t>
  </si>
  <si>
    <t>Credit for Side A Only with DIC Coverage</t>
  </si>
  <si>
    <t>Credit for IDL Only with DIC Coverage</t>
  </si>
  <si>
    <t>0.50-0.70</t>
  </si>
  <si>
    <t>Number of Years in Operation</t>
  </si>
  <si>
    <t>Less than 3 years</t>
  </si>
  <si>
    <t>At least 3 years but no more than 5 years</t>
  </si>
  <si>
    <t>More than 5 years</t>
  </si>
  <si>
    <t>1.05-1.25</t>
  </si>
  <si>
    <t>1.00-1.05</t>
  </si>
  <si>
    <t>0.85-1.00</t>
  </si>
  <si>
    <t>Activity within 1 year / Very high concern</t>
  </si>
  <si>
    <t>No activity in last 3 years / Low or no concern</t>
  </si>
  <si>
    <t>Activity within 1-3 years / Material-high high concern</t>
  </si>
  <si>
    <t>Significant M&amp;A Activity /Level of M&amp;A Concern</t>
  </si>
  <si>
    <t>1.30-1.50</t>
  </si>
  <si>
    <t>0.80-120</t>
  </si>
  <si>
    <t>1.20-1.30</t>
  </si>
  <si>
    <t>SEC Offering</t>
  </si>
  <si>
    <t>D&amp;O Litigation</t>
  </si>
  <si>
    <t>Other Litigation</t>
  </si>
  <si>
    <t>Coinsurance</t>
  </si>
  <si>
    <t>Coinsurance re SEC claims</t>
  </si>
  <si>
    <t>Percentage:</t>
  </si>
  <si>
    <t>0.95-0.97</t>
  </si>
  <si>
    <t>0.90-0.94</t>
  </si>
  <si>
    <t>0.87-0.91</t>
  </si>
  <si>
    <t>0.84-0.88</t>
  </si>
  <si>
    <t>0.81-0.85</t>
  </si>
  <si>
    <t>0.78-0.82</t>
  </si>
  <si>
    <t>0.75-0.79</t>
  </si>
  <si>
    <t>0.72-0.76</t>
  </si>
  <si>
    <t>0.70-0.74</t>
  </si>
  <si>
    <t>0.68-0.72</t>
  </si>
  <si>
    <t>Within 1 year</t>
  </si>
  <si>
    <t>None within last 12 months</t>
  </si>
  <si>
    <t>0.90-1.20</t>
  </si>
  <si>
    <t>1.00-1.55</t>
  </si>
  <si>
    <t>Within 1-5 years</t>
  </si>
  <si>
    <t>Within 5-10 years</t>
  </si>
  <si>
    <t>1.20-1.50</t>
  </si>
  <si>
    <t>1.00-1.50</t>
  </si>
  <si>
    <t>0.80-1.10</t>
  </si>
  <si>
    <t>Potential Cost 1-3% of assets</t>
  </si>
  <si>
    <t>Potential Cost &lt;1% of assets</t>
  </si>
  <si>
    <t>Potential Cost &gt;3% of assets</t>
  </si>
  <si>
    <t>1.10-1.20</t>
  </si>
  <si>
    <t>0.95-0.65</t>
  </si>
  <si>
    <t>Coinsurance Participation 5%-50%</t>
  </si>
  <si>
    <t>Industry Risk/Level of Confidence in Industry</t>
  </si>
  <si>
    <t>Very Confident</t>
  </si>
  <si>
    <t>Confident</t>
  </si>
  <si>
    <t>Comfortable</t>
  </si>
  <si>
    <t>Low Concern</t>
  </si>
  <si>
    <t>Material Concern</t>
  </si>
  <si>
    <t>High Concern</t>
  </si>
  <si>
    <t>Very High to Severe Concern</t>
  </si>
  <si>
    <t>0.70-0.85</t>
  </si>
  <si>
    <t>1.00-1.15</t>
  </si>
  <si>
    <t>1.15-1.35</t>
  </si>
  <si>
    <t>1.35-1.75</t>
  </si>
  <si>
    <t>1.75-1.25</t>
  </si>
  <si>
    <t>Discovery (Extended Reporting)</t>
  </si>
  <si>
    <t>% of Previous Year Premium</t>
  </si>
  <si>
    <t>1 year</t>
  </si>
  <si>
    <t>2 years</t>
  </si>
  <si>
    <t>3 years</t>
  </si>
  <si>
    <t>175%-200%</t>
  </si>
  <si>
    <t>225%-250%</t>
  </si>
  <si>
    <t>Miscellaneous Risk Factors</t>
  </si>
  <si>
    <t>Claims litigation history (severity)</t>
  </si>
  <si>
    <t>Corporate governance procedures</t>
  </si>
  <si>
    <t>Earnings consistency</t>
  </si>
  <si>
    <t>Effected by recession</t>
  </si>
  <si>
    <t>Environmental issues</t>
  </si>
  <si>
    <t>Financial solvency</t>
  </si>
  <si>
    <t>Insider trading activity</t>
  </si>
  <si>
    <t>Joint ventures/Limited partnerships/Significant subsidiary operations (including special purpose vehicles)</t>
  </si>
  <si>
    <t>Labor relations</t>
  </si>
  <si>
    <t>Liquidity</t>
  </si>
  <si>
    <t>Major customers</t>
  </si>
  <si>
    <t>Management experience or stability</t>
  </si>
  <si>
    <t>Other financial factors</t>
  </si>
  <si>
    <t>Quality of external board members</t>
  </si>
  <si>
    <t>Regulatory exposure/experience</t>
  </si>
  <si>
    <t>Stability of workforce</t>
  </si>
  <si>
    <t>Sock market sensitiviy</t>
  </si>
  <si>
    <t>Stock volatility</t>
  </si>
  <si>
    <t>Takeover potential</t>
  </si>
  <si>
    <t>Terrorism risk discount</t>
  </si>
  <si>
    <t>Transaction Event (e.g., bankruptcy, credit downgrade)</t>
  </si>
  <si>
    <t>Management ownership</t>
  </si>
  <si>
    <t>0.80-1.50</t>
  </si>
  <si>
    <t>0.75-1.50</t>
  </si>
  <si>
    <t>0.75-4.00</t>
  </si>
  <si>
    <t>0.75-2.50</t>
  </si>
  <si>
    <t>1.00-2.50</t>
  </si>
  <si>
    <t>0.80-1.25</t>
  </si>
  <si>
    <t>0.90-2.00</t>
  </si>
  <si>
    <t>0.90-1.00</t>
  </si>
  <si>
    <t>1.00-2.00</t>
  </si>
  <si>
    <t>0,240</t>
  </si>
  <si>
    <t>Company</t>
  </si>
  <si>
    <t>Ticker</t>
  </si>
  <si>
    <t>Company Info:</t>
  </si>
  <si>
    <t>Market Cap</t>
  </si>
  <si>
    <t>Total Assets</t>
  </si>
  <si>
    <t>Annual Revenues</t>
  </si>
  <si>
    <t>John Deere</t>
  </si>
  <si>
    <t>DE</t>
  </si>
  <si>
    <t>In $MMs</t>
  </si>
  <si>
    <t>A</t>
  </si>
  <si>
    <t>C</t>
  </si>
  <si>
    <t>B</t>
  </si>
  <si>
    <t>Total</t>
  </si>
  <si>
    <t>Increased Limit Factor</t>
  </si>
  <si>
    <t>Risk Adjustment Factors</t>
  </si>
  <si>
    <t>Coverage Modifiers</t>
  </si>
  <si>
    <t>Other Risk Factors</t>
  </si>
  <si>
    <t>(pre-selected 2 years)</t>
  </si>
  <si>
    <t>Stock market sensitiviy</t>
  </si>
  <si>
    <t>U/W will mannually input their modifiers / risk factors</t>
  </si>
  <si>
    <t>Total Adjusted Premium</t>
  </si>
  <si>
    <t>Re-rating Primary Policy</t>
  </si>
  <si>
    <t>Carrier</t>
  </si>
  <si>
    <t>Premium</t>
  </si>
  <si>
    <t>Rate per $MM</t>
  </si>
  <si>
    <t>Limit ($MM)</t>
  </si>
  <si>
    <t>Zurich</t>
  </si>
  <si>
    <t>Chubb</t>
  </si>
  <si>
    <t>Falcon</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</si>
  <si>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</si>
  <si>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</si>
  <si>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</si>
  <si>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</si>
  <si>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</si>
  <si>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</si>
  <si>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</si>
  <si>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</si>
  <si>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&lt; 3 years</t>
  </si>
  <si>
    <t>=&lt;3 years and &lt;5 years</t>
  </si>
  <si>
    <t>&gt;5 years</t>
  </si>
  <si>
    <t>Joint ventures/Limited partnerships/Significant subsidiary operations (incl. SVPs)</t>
  </si>
  <si>
    <t>Range</t>
  </si>
  <si>
    <t>Description</t>
  </si>
  <si>
    <t>&lt;-If none = 1</t>
  </si>
  <si>
    <t>Total Adjustment Factor (Average)</t>
  </si>
  <si>
    <t>Limit ($000s)</t>
  </si>
  <si>
    <t>Self-Insured Retention ($000s)</t>
  </si>
  <si>
    <t>Limit x Retention ($MM)</t>
  </si>
  <si>
    <t>Total Premium</t>
  </si>
  <si>
    <t>Rating Plan Support</t>
  </si>
  <si>
    <t>Rating Based on Market Pricing of Underlying Layers</t>
  </si>
  <si>
    <t>Final Rating of Falcon Layer</t>
  </si>
  <si>
    <t>Falcon Layer / Quote</t>
  </si>
  <si>
    <t>D &amp; O Pricing Summary</t>
  </si>
  <si>
    <t>Insured:</t>
  </si>
  <si>
    <t>Effective Date</t>
  </si>
  <si>
    <t>UAW</t>
  </si>
  <si>
    <t>Underwriter Name</t>
  </si>
  <si>
    <t>Commission %:</t>
  </si>
  <si>
    <t>Aggregate Mod:</t>
  </si>
  <si>
    <t>Ticker:</t>
  </si>
  <si>
    <t>Expire Date</t>
  </si>
  <si>
    <t>Industry</t>
  </si>
  <si>
    <t>Industry Outlook:</t>
  </si>
  <si>
    <t>A-Side Inclusive:</t>
  </si>
  <si>
    <t>No</t>
  </si>
  <si>
    <t xml:space="preserve">Side A Only Coverage Credit </t>
  </si>
  <si>
    <t>A-Side Pricing Begins</t>
  </si>
  <si>
    <t>n/a</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</si>
  <si>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</si>
  <si>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</si>
  <si>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</si>
  <si>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</si>
  <si>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</si>
  <si>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</si>
  <si>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</si>
  <si>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</si>
  <si>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</si>
  <si>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</si>
  <si>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Limit:</t>
  </si>
  <si>
    <t>Primary Insurer: Chartis (AIG)</t>
  </si>
  <si>
    <t>Annual Premium:</t>
  </si>
  <si>
    <t>SIR</t>
  </si>
  <si>
    <t>SIR:</t>
  </si>
  <si>
    <t>Rate per Mil:</t>
  </si>
  <si>
    <t>Rater pet Mil:</t>
  </si>
  <si>
    <t>1. Excess Insurer:</t>
  </si>
  <si>
    <t>1 Annural Premium:</t>
  </si>
  <si>
    <t>Attachment:</t>
  </si>
  <si>
    <t>% Underlying:</t>
  </si>
  <si>
    <t>% Underlying</t>
  </si>
  <si>
    <t>2. Excess Insurer:</t>
  </si>
  <si>
    <t>2. Annural Premium:</t>
  </si>
  <si>
    <t>3. Excess Insurer:</t>
  </si>
  <si>
    <t>3. Annural Premium:</t>
  </si>
  <si>
    <t>4. Excess Insurer:</t>
  </si>
  <si>
    <t>4. Annural Premium:</t>
  </si>
  <si>
    <t>5. Excess Insurer:</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</si>
  <si>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</si>
  <si>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</si>
  <si>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</si>
  <si>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</si>
  <si>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</si>
  <si>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</si>
  <si>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</si>
  <si>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</si>
  <si>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</si>
  <si>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</si>
  <si>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</si>
  <si>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</si>
  <si>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</si>
  <si>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</si>
  <si>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</si>
  <si>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</si>
  <si>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</si>
  <si>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</si>
  <si>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</si>
  <si>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Manufacturing</t>
  </si>
  <si>
    <t>&lt;-- from Submission application</t>
  </si>
  <si>
    <t xml:space="preserve">1. Excess Insurer: </t>
  </si>
  <si>
    <t>HCC</t>
  </si>
  <si>
    <t xml:space="preserve">2. Excess Insurer: </t>
  </si>
  <si>
    <t xml:space="preserve">3. Excess Insurer: </t>
  </si>
  <si>
    <t>Travelers</t>
  </si>
  <si>
    <t xml:space="preserve">4. Excess Insurer: </t>
  </si>
  <si>
    <t>Axis</t>
  </si>
  <si>
    <t xml:space="preserve">5. Excess Insurer: </t>
  </si>
  <si>
    <t>Excess Insurance Program</t>
  </si>
  <si>
    <t>GENERAL RULES</t>
  </si>
  <si>
    <t>The base premium for our Excess Insurance coverage will be a percentage of the rate per million of Underlying Insurance.</t>
  </si>
  <si>
    <t>The percentage will be calculated as follows:</t>
  </si>
  <si>
    <t>Low Risk</t>
  </si>
  <si>
    <t>Low/Medium Risk</t>
  </si>
  <si>
    <t>Medium Risk</t>
  </si>
  <si>
    <t>Medium/High Risk</t>
  </si>
  <si>
    <t>High Risk</t>
  </si>
  <si>
    <t>40-55%</t>
  </si>
  <si>
    <t>55-65%</t>
  </si>
  <si>
    <t>65-75%</t>
  </si>
  <si>
    <t>75-85%</t>
  </si>
  <si>
    <t>85-150%</t>
  </si>
  <si>
    <t>Range Determination Methodology:</t>
  </si>
  <si>
    <t>Consider the following and determine for each its applicable numeric risk level (1 for low risk up to 5 for high risk):</t>
  </si>
  <si>
    <t>Side A with DIC Coverage</t>
  </si>
  <si>
    <t>0.60-0.90</t>
  </si>
  <si>
    <t>Independent Directors Liability (IDL) Coverage</t>
  </si>
  <si>
    <t>0.55-0.75</t>
  </si>
  <si>
    <t>The minimum premium is applied on per policy basis.</t>
  </si>
  <si>
    <t>Minimum Premium per $1 million of coverage</t>
  </si>
  <si>
    <t>Coverage</t>
  </si>
  <si>
    <t>$1M ≤ Attachment</t>
  </si>
  <si>
    <t>points &lt;$10M</t>
  </si>
  <si>
    <t>$10M ≤ Attachment</t>
  </si>
  <si>
    <t>points &lt;$25M</t>
  </si>
  <si>
    <t>$25M ≤ Attachment</t>
  </si>
  <si>
    <t>points</t>
  </si>
  <si>
    <t>Public Organizations</t>
  </si>
  <si>
    <t>Not-For-Profit Organizations</t>
  </si>
  <si>
    <t>Fiduciary Liability Insurance</t>
  </si>
  <si>
    <t>ERISA Third Party Fidelity</t>
  </si>
  <si>
    <t>Private Organizations</t>
  </si>
  <si>
    <t>The minimum premium for Side A and IDL are lowered by the Side A/IDL factors.</t>
  </si>
  <si>
    <t>Terrorism coverage is provided at no additional cost to the insured. A discount will apply if rejected by the insured. The discount will be 0-2% of the final premium calculated.</t>
  </si>
  <si>
    <t>Total schedule debit(s)/credit(s) will be applied additively.</t>
  </si>
  <si>
    <t>+/- 15%</t>
  </si>
  <si>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</si>
  <si>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t>rating range percentage factors which correspond with the result.</t>
  </si>
  <si>
    <t>Total the risk factors and determine the average score, rounding to the nearest whole number. Utilize the</t>
  </si>
  <si>
    <t>Risk Factor</t>
  </si>
  <si>
    <t>Numerical Risk Level</t>
  </si>
  <si>
    <t>Risk Level</t>
  </si>
  <si>
    <t>Average Score</t>
  </si>
  <si>
    <t>A.      BASE PREMIUM</t>
  </si>
  <si>
    <t>B.      SIDE A/ INDEPENDENT DIRECTORS LIABILITY</t>
  </si>
  <si>
    <t>C.      RUN-OFF POLICIES</t>
  </si>
  <si>
    <t>D.      EXTENDED REPORTING PERIOD</t>
  </si>
  <si>
    <t>E.      MINIMUM PREMIUM</t>
  </si>
  <si>
    <t>F.       TERRORISM DISCOUNT</t>
  </si>
  <si>
    <t>Min</t>
  </si>
  <si>
    <t>Max</t>
  </si>
  <si>
    <t>1. Financial Condition</t>
  </si>
  <si>
    <t>2. Nature of Operation</t>
  </si>
  <si>
    <t>3. Acquisition History</t>
  </si>
  <si>
    <t>4. Management Quality</t>
  </si>
  <si>
    <t>5. Litigation History</t>
  </si>
  <si>
    <t>6. Time in Business</t>
  </si>
  <si>
    <t>7. Class of Business</t>
  </si>
  <si>
    <t>Consider the following risk factors and determine for each its applicable numeric risk level (1 for low risk up to 5 for high risk):</t>
  </si>
  <si>
    <r>
      <t xml:space="preserve">Cell Inputs are in </t>
    </r>
    <r>
      <rPr>
        <b/>
        <sz val="12"/>
        <color rgb="FF0000FF"/>
        <rFont val="Calibri"/>
        <family val="2"/>
        <scheme val="minor"/>
      </rPr>
      <t>Blue</t>
    </r>
  </si>
  <si>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</si>
  <si>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</si>
  <si>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</si>
  <si>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</si>
  <si>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</si>
  <si>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Risk Level Considerations:</t>
  </si>
  <si>
    <t>A. BASE PREMIUM</t>
  </si>
  <si>
    <t>Select Percentage Factor:</t>
  </si>
  <si>
    <t>G. SCHEDULE RATING</t>
  </si>
  <si>
    <t>Category</t>
  </si>
  <si>
    <t>iv.   Primary Coverage Terms</t>
  </si>
  <si>
    <t>iii.  Coverage Enhancements/Restrictions</t>
  </si>
  <si>
    <t>ii.   Revenue Source</t>
  </si>
  <si>
    <t>i.    Complexity of Risk</t>
  </si>
  <si>
    <t>Select Credit/Debit</t>
  </si>
  <si>
    <t>Range Per Category</t>
  </si>
  <si>
    <t>Input the appropriate credit/debit factor for each category:</t>
  </si>
  <si>
    <t xml:space="preserve">      Side A with DIC Coverage</t>
  </si>
  <si>
    <t xml:space="preserve">      Independent Directors Liability (IDL) Coverage</t>
  </si>
  <si>
    <t>B. SIDE A/INDEPENDENT DIRECTORS LIABILITY (if applicable)</t>
  </si>
  <si>
    <t>annualized premium.</t>
  </si>
  <si>
    <t>1 year—the percentage charge will be the same as the underlying subject to a minimum of 100% of the</t>
  </si>
  <si>
    <t>Yes</t>
  </si>
  <si>
    <t>F. TERRORISM DISCOUNT</t>
  </si>
  <si>
    <t xml:space="preserve">      Is Terrorism coverage rejected by Insured?</t>
  </si>
  <si>
    <t>G.      SCHEDULE RATING</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</si>
  <si>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</si>
  <si>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</si>
  <si>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</si>
  <si>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</si>
  <si>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</si>
  <si>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</si>
  <si>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</si>
  <si>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</si>
  <si>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Maximum total schedule rating debit(s)/credit(s) differ by state. Please refer to the Schedule Rating Table in the</t>
  </si>
  <si>
    <t>Exception Page for Maximum allowable debit(s)/credit(s).</t>
  </si>
  <si>
    <t>Alaska</t>
  </si>
  <si>
    <t>Alabama</t>
  </si>
  <si>
    <t>Arkansas</t>
  </si>
  <si>
    <t>Arizona</t>
  </si>
  <si>
    <t>CA</t>
  </si>
  <si>
    <t>California</t>
  </si>
  <si>
    <t>Colorado</t>
  </si>
  <si>
    <t>Connecticut</t>
  </si>
  <si>
    <t>Delaware</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</si>
  <si>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</si>
  <si>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</si>
  <si>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</si>
  <si>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</si>
  <si>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</si>
  <si>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</si>
  <si>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</si>
  <si>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</si>
  <si>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</si>
  <si>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</si>
  <si>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</si>
  <si>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</si>
  <si>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</si>
  <si>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</si>
  <si>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</si>
  <si>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</si>
  <si>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</si>
  <si>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</si>
  <si>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</si>
  <si>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</si>
  <si>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</si>
  <si>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</si>
  <si>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</si>
  <si>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NY</t>
  </si>
  <si>
    <t>New York</t>
  </si>
  <si>
    <t>Ohio</t>
  </si>
  <si>
    <t>Oklahoma</t>
  </si>
  <si>
    <t>Oregon</t>
  </si>
  <si>
    <t>Pennsylvania</t>
  </si>
  <si>
    <t>Rhode Island</t>
  </si>
  <si>
    <t>South Carolina</t>
  </si>
  <si>
    <t>South Dakota</t>
  </si>
  <si>
    <t>Tennessee</t>
  </si>
  <si>
    <t>Texas</t>
  </si>
  <si>
    <t>Utah</t>
  </si>
  <si>
    <t>Vermont</t>
  </si>
  <si>
    <t>Wisconsin</t>
  </si>
  <si>
    <t>West Virginia</t>
  </si>
  <si>
    <t>Wyoming</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</si>
  <si>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</si>
  <si>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</si>
  <si>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</si>
  <si>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NOT PERMITTED</t>
  </si>
  <si>
    <t>^STATE</t>
  </si>
  <si>
    <t>.75 - 1.25</t>
  </si>
  <si>
    <t>.60 - 1.40</t>
  </si>
  <si>
    <t>.85 - 1.15</t>
  </si>
  <si>
    <t>D of C</t>
  </si>
  <si>
    <t>.50 - 1.50</t>
  </si>
  <si>
    <t>.60 - 1.25</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</si>
  <si>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</si>
  <si>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</si>
  <si>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</si>
  <si>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</si>
  <si>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</si>
  <si>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</si>
  <si>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(4) New Hampshire - For Package policies debits are not permitted.</t>
  </si>
  <si>
    <t xml:space="preserve">      can be no greater than +/- 25%.</t>
  </si>
  <si>
    <t>Minimum/Maximum</t>
  </si>
  <si>
    <t>Overall Factor</t>
  </si>
  <si>
    <t>Select State:</t>
  </si>
  <si>
    <t>(3) Nebraska allows +/- 40% deviation in lieu of prior Schedule Rating</t>
  </si>
  <si>
    <t>+/- 25%</t>
  </si>
  <si>
    <t>CW (x CA &amp; NY)</t>
  </si>
  <si>
    <t>+/- 10%</t>
  </si>
  <si>
    <t>+/- 40%</t>
  </si>
  <si>
    <t>+/- 50%</t>
  </si>
  <si>
    <t>Not Permitted</t>
  </si>
  <si>
    <t>Enter Underlying Premium:</t>
  </si>
  <si>
    <t>Enter Underlying Limit:</t>
  </si>
  <si>
    <t>Rating Algorithm</t>
  </si>
  <si>
    <r>
      <t>i.            Rate Per Million of Underlying Insurance</t>
    </r>
    <r>
      <rPr>
        <sz val="12"/>
        <color theme="1"/>
        <rFont val="Calibri"/>
        <family val="2"/>
        <scheme val="minor"/>
      </rPr>
      <t>: Rate per million = Underlying Premium / Underlying Limit (millions)</t>
    </r>
  </si>
  <si>
    <t>FINAL PREMIUM CALCULATION</t>
  </si>
  <si>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</si>
  <si>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</si>
  <si>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</si>
  <si>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</si>
  <si>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          Minimum Premium Calculation:</t>
  </si>
  <si>
    <t xml:space="preserve">              Minimum Premium = (Section E. Minimum Premium Per $1 Million of Coverage) * Limit (in millions)</t>
  </si>
  <si>
    <t>vii.         Final Premium Calculation:</t>
  </si>
  <si>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</si>
  <si>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</si>
  <si>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</si>
  <si>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</si>
  <si>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Schedule Rating Considerations:</t>
  </si>
  <si>
    <t>Total Schedule Credt/Debit:</t>
  </si>
  <si>
    <t>-40%/+25%</t>
  </si>
  <si>
    <t>Georgia</t>
  </si>
  <si>
    <t>Washington</t>
  </si>
  <si>
    <t>Virginia</t>
  </si>
  <si>
    <t>Table of Overall +/- % By State</t>
  </si>
  <si>
    <t xml:space="preserve">(5) Virginia - Technically there is no limit, but most companies chose to state a limit of +/-50%; the DOI expects a limit to be stated </t>
  </si>
  <si>
    <t>(6) Washington - the maximum combined effect for IRPM and Schedule modification</t>
  </si>
  <si>
    <t>Section F only applies to coverages that are subject to Terrorism Risk Insurance Act (TRIA).</t>
  </si>
  <si>
    <t>&lt;-- either / or</t>
  </si>
  <si>
    <t>% as per the underlying policy</t>
  </si>
  <si>
    <t>Enter Excess Limit to be Quoted:</t>
  </si>
  <si>
    <t xml:space="preserve">      If selected, enter underyling percentage*</t>
  </si>
  <si>
    <t xml:space="preserve">      *Subject to a minimum of 100% of the annualized premium.</t>
  </si>
  <si>
    <t>Enter Attachment Point:</t>
  </si>
  <si>
    <t>Select Coverage:</t>
  </si>
  <si>
    <t>Public Organizations1M</t>
  </si>
  <si>
    <t>Public Organizations10M</t>
  </si>
  <si>
    <t>Public Organizations25M</t>
  </si>
  <si>
    <t>Not-For-Profit Organizations1M</t>
  </si>
  <si>
    <t>Not-For-Profit Organizations10M</t>
  </si>
  <si>
    <t>Not-For-Profit Organizations25M</t>
  </si>
  <si>
    <t>Fiduciary Liability Insurance1M</t>
  </si>
  <si>
    <t>Fiduciary Liability Insurance10M</t>
  </si>
  <si>
    <t>Fiduciary Liability Insurance25M</t>
  </si>
  <si>
    <t>Fidelity1M</t>
  </si>
  <si>
    <t>Fidelity10M</t>
  </si>
  <si>
    <t>Fidelity25M</t>
  </si>
  <si>
    <t>ERISA Third Party Fidelity1M</t>
  </si>
  <si>
    <t>ERISA Third Party Fidelity10M</t>
  </si>
  <si>
    <t>ERISA Third Party Fidelity25M</t>
  </si>
  <si>
    <t>Private Organizations1M</t>
  </si>
  <si>
    <t>Private Organizations10M</t>
  </si>
  <si>
    <t>Private Organizations25M</t>
  </si>
  <si>
    <t>Attachment Point Lookup</t>
  </si>
  <si>
    <t>1M</t>
  </si>
  <si>
    <t>10M</t>
  </si>
  <si>
    <t>25M</t>
  </si>
  <si>
    <t>Lookup table for Min Prem rating algorithm:</t>
  </si>
  <si>
    <t>Min Prem Lookup</t>
  </si>
  <si>
    <t>vi.   Minimum Premium Calculation:</t>
  </si>
  <si>
    <t>v.     Calculated Premium:</t>
  </si>
  <si>
    <t>iv.    Schedule Rating Factor:</t>
  </si>
  <si>
    <t>iii.   Percentage of the Underlying Insurance:</t>
  </si>
  <si>
    <t>i.      Rate Per Million of Underlying Insurance:</t>
  </si>
  <si>
    <t>ii.     Average Score of Risk Factors:</t>
  </si>
  <si>
    <t xml:space="preserve">      If "Yes", enter discount; If "No", leave blank</t>
  </si>
  <si>
    <t>Excess Final Premium Calculation</t>
  </si>
  <si>
    <t xml:space="preserve">      Input the appropriate credit factor, if applicable.  Can only select one or the other</t>
  </si>
  <si>
    <t>All inputs should be removed before starting a new quote to ensure all messages and formula limits are working properly.</t>
  </si>
  <si>
    <t>+/- 40% Deviation Permitted in Lieu of Schedule Rating</t>
  </si>
  <si>
    <t>Schedule Rating Not Permitted</t>
  </si>
  <si>
    <t>See Note Below</t>
  </si>
  <si>
    <t>Countrywide</t>
  </si>
  <si>
    <t>Credit Factors - Ranges</t>
  </si>
  <si>
    <t>Credit Factors - No Ranges</t>
  </si>
  <si>
    <t>Terrorism Discount</t>
  </si>
  <si>
    <t>0% - 2%</t>
  </si>
  <si>
    <t>Ranges Allowed?</t>
  </si>
  <si>
    <t>Terrorism Discount Available?</t>
  </si>
  <si>
    <t>State</t>
  </si>
  <si>
    <t>Terrorism Discount?</t>
  </si>
  <si>
    <t>Max/Min % by Category Lookup Table:</t>
  </si>
  <si>
    <t>Florida Specific</t>
  </si>
  <si>
    <t>Florida</t>
  </si>
  <si>
    <t>Florida Premium Calculation:</t>
  </si>
  <si>
    <t>4 years</t>
  </si>
  <si>
    <t>5 years</t>
  </si>
  <si>
    <t>6 years</t>
  </si>
  <si>
    <t>1.00 x the annualized premium</t>
  </si>
  <si>
    <t>1.25 x the annualized premium</t>
  </si>
  <si>
    <t>1.75 x the annualized premium</t>
  </si>
  <si>
    <t>2.00 x the annualized premium</t>
  </si>
  <si>
    <t>2.25 x the annualized premium</t>
  </si>
  <si>
    <t>2.50 x the annualized premium</t>
  </si>
  <si>
    <t>Percentage charge will be the same as the underlying</t>
  </si>
  <si>
    <t>There is no minimum premium in Maryland</t>
  </si>
  <si>
    <t>Countrywide Ranges Allowed</t>
  </si>
  <si>
    <t>Countrywide Ranges Not Allowed</t>
  </si>
  <si>
    <t>A 3 year Extended Reporting Period shall be offerred at no more than a 200% of policy premium.</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</si>
  <si>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</si>
  <si>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</si>
  <si>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</si>
  <si>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</si>
  <si>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</si>
  <si>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</si>
  <si>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</si>
  <si>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</si>
  <si>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</si>
  <si>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</si>
  <si>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</si>
  <si>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</si>
  <si>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</si>
  <si>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</si>
  <si>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</si>
  <si>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</si>
  <si>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Total the risk factors and determine the average score, rounding to the nearest whole number. Utilize the rating range factors</t>
  </si>
  <si>
    <t>which correspond with the result.</t>
  </si>
  <si>
    <t>S&amp;P</t>
  </si>
  <si>
    <t>Moody’s</t>
  </si>
  <si>
    <t>Fitch</t>
  </si>
  <si>
    <t>AA+</t>
  </si>
  <si>
    <t>Aa1</t>
  </si>
  <si>
    <t>AA</t>
  </si>
  <si>
    <t>Aa2</t>
  </si>
  <si>
    <t>AA-</t>
  </si>
  <si>
    <t>Aa3</t>
  </si>
  <si>
    <t>A+</t>
  </si>
  <si>
    <t>A1</t>
  </si>
  <si>
    <t>A2</t>
  </si>
  <si>
    <t>A-</t>
  </si>
  <si>
    <t>A3</t>
  </si>
  <si>
    <t>BBB+</t>
  </si>
  <si>
    <t>Baa1</t>
  </si>
  <si>
    <t>BBB</t>
  </si>
  <si>
    <t>Baa2</t>
  </si>
  <si>
    <t>BBB-</t>
  </si>
  <si>
    <t>Baa3</t>
  </si>
  <si>
    <t>BB+</t>
  </si>
  <si>
    <t>Ba1</t>
  </si>
  <si>
    <t>BB</t>
  </si>
  <si>
    <t>Ba2</t>
  </si>
  <si>
    <t>BB-</t>
  </si>
  <si>
    <t>Ba3</t>
  </si>
  <si>
    <t>B+</t>
  </si>
  <si>
    <t>B1</t>
  </si>
  <si>
    <t>B2</t>
  </si>
  <si>
    <t>B-</t>
  </si>
  <si>
    <t>B3</t>
  </si>
  <si>
    <t>CCC+</t>
  </si>
  <si>
    <t>Caa1</t>
  </si>
  <si>
    <t>CCC</t>
  </si>
  <si>
    <t>Caa2</t>
  </si>
  <si>
    <t>DDD</t>
  </si>
  <si>
    <t>CCC-</t>
  </si>
  <si>
    <t>Caa3</t>
  </si>
  <si>
    <t>DD</t>
  </si>
  <si>
    <t>CC</t>
  </si>
  <si>
    <t>Ca</t>
  </si>
  <si>
    <t>D</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</si>
  <si>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</si>
  <si>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</si>
  <si>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</si>
  <si>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</si>
  <si>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</si>
  <si>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</si>
  <si>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</si>
  <si>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GA</t>
  </si>
  <si>
    <t>N/A</t>
  </si>
  <si>
    <t>Florida &amp; Maryland Specific (you must offer these options @ these rates)</t>
  </si>
  <si>
    <t>South Dakota Specific (you must offer these options @ these rates)</t>
  </si>
  <si>
    <t>Default that policyholder wants ABC Coverage.  If no ABC Coverage, would be either of these options:</t>
  </si>
  <si>
    <t>Financial Solvency / Acquisition History:</t>
  </si>
  <si>
    <t>&lt;-- use chart to answer</t>
  </si>
  <si>
    <t>Group 1-5 (u/w input)</t>
  </si>
  <si>
    <t>=Average (of 4 numbers above, rounded to nearest whole #)</t>
  </si>
  <si>
    <t xml:space="preserve">Percentage of the Underlying Insurance * </t>
  </si>
  <si>
    <t xml:space="preserve">Section C. Run-Off Policies Factor (if applicable) * </t>
  </si>
  <si>
    <t xml:space="preserve">Section D. Extended Reporting Period Factor (if applicable) * </t>
  </si>
  <si>
    <t xml:space="preserve">Rate Per Million of Underlying Insurance (= Underlying Premium / Underlying Limit) * </t>
  </si>
  <si>
    <t xml:space="preserve">1 – Section F. Terrorism Discount (if applicable) * </t>
  </si>
  <si>
    <t>= Calculated Premium</t>
  </si>
  <si>
    <t>Limit ($ Millions)</t>
  </si>
  <si>
    <t>1 + Section G. Schedule Rating Factor</t>
  </si>
  <si>
    <t>Check:</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</si>
  <si>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</si>
  <si>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</si>
  <si>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</si>
  <si>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</si>
  <si>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Section B. Side A/Independent Directors Liability Factor</t>
  </si>
  <si>
    <t>Further adjustment to: Average Score of Risk Factors</t>
  </si>
  <si>
    <t>Further adjustment to: % of the Underlying Insurance</t>
  </si>
  <si>
    <t>viii.   Final Premium Calculation (Non-Admitted ONLY):</t>
  </si>
  <si>
    <t>If Non-Admitted?</t>
  </si>
  <si>
    <t>&lt;-- only want to see this option if this is a Non-Admitted policy</t>
  </si>
  <si>
    <t>A (Assets)</t>
  </si>
  <si>
    <t>B (Revenues)</t>
  </si>
  <si>
    <t>C (Market Cap)</t>
  </si>
  <si>
    <t>Self-Insured Retention ($MM)</t>
  </si>
  <si>
    <t>Unadjusted Primary</t>
  </si>
  <si>
    <t>If 1, not limiting to Side A only</t>
  </si>
  <si>
    <t>If 1, not limiting to IDL only</t>
  </si>
  <si>
    <t>0.80-1.20</t>
  </si>
  <si>
    <t>&lt;-- the re-rated primary</t>
  </si>
  <si>
    <t>Implied Rate / Million</t>
  </si>
  <si>
    <t>Primary Layer</t>
  </si>
  <si>
    <t>&lt;-- Manual input from U/W</t>
  </si>
  <si>
    <t>AIG</t>
  </si>
  <si>
    <r>
      <t xml:space="preserve">Base Premium per </t>
    </r>
    <r>
      <rPr>
        <b/>
        <sz val="12"/>
        <color rgb="FFFF0000"/>
        <rFont val="Calibri"/>
        <family val="2"/>
        <scheme val="minor"/>
      </rPr>
      <t>[$1MM]</t>
    </r>
    <r>
      <rPr>
        <b/>
        <sz val="12"/>
        <color theme="1"/>
        <rFont val="Calibri"/>
        <family val="2"/>
        <scheme val="minor"/>
      </rPr>
      <t xml:space="preserve"> limit</t>
    </r>
  </si>
  <si>
    <t>Lower</t>
  </si>
  <si>
    <t>Higher</t>
  </si>
  <si>
    <t>Limit of Liability/Rentention Factors - Interpolation</t>
  </si>
  <si>
    <t>&lt;-- Enter in millions (e.g. enter 10,000,000 as 10)</t>
  </si>
  <si>
    <t>&lt;-- Enter in millions (e.g. enter 2,000,000 as 2)</t>
  </si>
  <si>
    <t>Index</t>
  </si>
  <si>
    <t>Retention:</t>
  </si>
  <si>
    <t>Step 3 - Layer 1</t>
  </si>
  <si>
    <t>Step 3 - Layer 6</t>
  </si>
  <si>
    <t>Selected</t>
  </si>
  <si>
    <t>Step 3 - Layer 5</t>
  </si>
  <si>
    <t>Step 3 - Layer 4</t>
  </si>
  <si>
    <t>Step 3 - Layer 3</t>
  </si>
  <si>
    <t>Step 3 - Layer 2</t>
  </si>
  <si>
    <t>1. interpolate the selected limit @ next lower retention</t>
  </si>
  <si>
    <t>2. interpolate the selected limit @ next higher retention</t>
  </si>
  <si>
    <t xml:space="preserve">3. interpolate the selected retention @ selected limit </t>
  </si>
  <si>
    <t>Illustrative Layers</t>
  </si>
  <si>
    <t>Nationwide</t>
  </si>
  <si>
    <t>Step 3 - Layer 7</t>
  </si>
  <si>
    <t>Step 3 - Layer 8</t>
  </si>
  <si>
    <t>Step 3 - Layer 9</t>
  </si>
  <si>
    <t>Step 3 - Layer 10</t>
  </si>
  <si>
    <t>Step 3 - Layer 11</t>
  </si>
  <si>
    <t>Step 3 - Layer 12</t>
  </si>
  <si>
    <t>Total Coverage</t>
  </si>
  <si>
    <t>XL Bda</t>
  </si>
  <si>
    <t>AXIS US</t>
  </si>
  <si>
    <t>Chubb Bda</t>
  </si>
  <si>
    <t>Allianz</t>
  </si>
  <si>
    <t xml:space="preserve">CNA </t>
  </si>
  <si>
    <t>Markel</t>
  </si>
  <si>
    <t>AXIS Bda</t>
  </si>
  <si>
    <t>Berkshire Hath</t>
  </si>
  <si>
    <t>Company 13</t>
  </si>
  <si>
    <t>Company 14</t>
  </si>
  <si>
    <t>Company 15</t>
  </si>
  <si>
    <t>Company 16</t>
  </si>
  <si>
    <t>Company 17</t>
  </si>
  <si>
    <t>Company 18</t>
  </si>
  <si>
    <t>Company 19</t>
  </si>
  <si>
    <t>Company 20</t>
  </si>
  <si>
    <t>Company 21</t>
  </si>
  <si>
    <t>Company 22</t>
  </si>
  <si>
    <t>Company 23</t>
  </si>
  <si>
    <t>Company 24</t>
  </si>
  <si>
    <t>Company 25</t>
  </si>
  <si>
    <t>Step 1 - Underlying</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</si>
  <si>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</si>
  <si>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</si>
  <si>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</si>
  <si>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</si>
  <si>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</si>
  <si>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</si>
  <si>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</si>
  <si>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</si>
  <si>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</si>
  <si>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</si>
  <si>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</si>
  <si>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</si>
  <si>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</si>
  <si>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t>
  </si>
  <si>
    <t>x</t>
  </si>
  <si>
    <r>
      <t>x</t>
    </r>
    <r>
      <rPr>
        <vertAlign val="superscript"/>
        <sz val="12"/>
        <color theme="1"/>
        <rFont val="Calibri"/>
        <family val="2"/>
        <scheme val="minor"/>
      </rPr>
      <t>2</t>
    </r>
  </si>
  <si>
    <t>($000s)</t>
  </si>
  <si>
    <t>Need to start back up with 50 retention</t>
  </si>
  <si>
    <t>Rate Allowed</t>
  </si>
  <si>
    <t>Excess Liability Premium = (Excess Limit of Liability / Underlying Limit of Liability) x Underlying Premium x (0.70)</t>
  </si>
  <si>
    <t xml:space="preserve">      For FL and MD only, select number of years, if applicable</t>
  </si>
  <si>
    <t xml:space="preserve">      Select Yes or No, as applicable</t>
  </si>
  <si>
    <t xml:space="preserve">      If selected, enter underlying percentage charge</t>
  </si>
  <si>
    <t>&lt;--Cell must be blank for FL or MD</t>
  </si>
  <si>
    <t>FL</t>
  </si>
  <si>
    <t>vii.   Final Premium Calculation - Prior to Run-off Policies and/or Extended Reporting Period Premium:</t>
  </si>
  <si>
    <t xml:space="preserve">        Extended Reporting Period Premium:</t>
  </si>
  <si>
    <t>viii.   Final Premium Calculation - After Run-off Policies and/or Extended Reporting Period Premium:</t>
  </si>
  <si>
    <t>ix.   Final Premium Calculation (Non-Admitted ONLY):</t>
  </si>
  <si>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</si>
  <si>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r>
      <t xml:space="preserve">vii.         Final Premium Calculation </t>
    </r>
    <r>
      <rPr>
        <b/>
        <sz val="12"/>
        <color rgb="FFFF0000"/>
        <rFont val="Calibri"/>
        <family val="2"/>
        <scheme val="minor"/>
      </rPr>
      <t>- Prior to Run-Off Policies and/or Extended Reporting Period Premium:</t>
    </r>
  </si>
  <si>
    <t xml:space="preserve">        Run-off Policies Premium:</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</si>
  <si>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</si>
  <si>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</si>
  <si>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</si>
  <si>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</si>
  <si>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formatting change:</t>
  </si>
  <si>
    <t>Fidelity/Crime</t>
  </si>
  <si>
    <t>Employment Practices Liability</t>
  </si>
  <si>
    <t>Cyber</t>
  </si>
  <si>
    <t>&lt;--Cell must be populated for FL or MD, if applicable</t>
  </si>
  <si>
    <t>Employment Practices Liability1M</t>
  </si>
  <si>
    <t>Employment Practices Liability10M</t>
  </si>
  <si>
    <t>Employment Practices Liability25M</t>
  </si>
  <si>
    <t>Cyber1M</t>
  </si>
  <si>
    <t>Cyber10M</t>
  </si>
  <si>
    <t>Cyber25M</t>
  </si>
  <si>
    <t>Attachment Point Lookup Table</t>
  </si>
  <si>
    <t>C. RUN-OFF POLICIES (if applicable) for Admitted Carriers</t>
  </si>
  <si>
    <t>D. EXTENDED REPORTING PERIOD (if applicable) for Admitted Carriers</t>
  </si>
  <si>
    <t>Discount Allowed</t>
  </si>
  <si>
    <t>Credit Factor - Range</t>
  </si>
  <si>
    <t>Credit Factor - No Range</t>
  </si>
  <si>
    <t xml:space="preserve">        Run-Off Policies Factor (if applicable)</t>
  </si>
  <si>
    <t>If Non-Admitted:</t>
  </si>
  <si>
    <t xml:space="preserve">        Extended Reporting Period Factor (if applicable)</t>
  </si>
  <si>
    <t>Amazon</t>
  </si>
  <si>
    <t>AMZN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</si>
</sst>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46">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Font="1" applyAlignment="1">
      <alignment horizontal="left" vertical="top"/>
    </xf>
    <xf numFmtId="164" fontId="4" fillId="0" borderId="0" xfId="0" applyNumberFormat="1" applyFont="1"/>
    <xf numFmtId="0" fontId="0" fillId="0" borderId="1" xfId="0" applyFont="1"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0" fontId="0" fillId="0" borderId="0" xfId="0" applyFont="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Font="1" applyAlignment="1">
      <alignment horizontal="center"/>
    </xf>
    <xf numFmtId="0" fontId="0" fillId="0" borderId="0" xfId="0" applyFont="1"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Font="1"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Border="1" applyAlignment="1">
      <alignment horizontal="left"/>
    </xf>
    <xf numFmtId="0" fontId="8" fillId="0" borderId="0" xfId="0" applyFont="1" applyBorder="1" applyAlignme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0" xfId="0"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9" fontId="0" fillId="0" borderId="0" xfId="0" applyNumberFormat="1" applyFon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Font="1" applyBorder="1" applyAlignment="1">
      <alignment horizontal="centerContinuous"/>
    </xf>
    <xf numFmtId="0" fontId="0" fillId="0" borderId="12" xfId="0" applyFont="1" applyBorder="1" applyAlignment="1">
      <alignment horizontal="centerContinuous"/>
    </xf>
    <xf numFmtId="0" fontId="0" fillId="0" borderId="5" xfId="0" applyFont="1"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0" fontId="0" fillId="0" borderId="7" xfId="0" applyBorder="1"/>
    <xf numFmtId="166" fontId="5" fillId="2" borderId="0" xfId="0" applyNumberFormat="1" applyFont="1" applyFill="1" applyBorder="1" applyAlignment="1">
      <alignment horizontal="right"/>
    </xf>
    <xf numFmtId="0" fontId="13" fillId="0" borderId="0" xfId="0" applyFont="1"/>
    <xf numFmtId="0" fontId="0" fillId="0" borderId="0" xfId="0" applyAlignment="1">
      <alignment horizontal="center"/>
    </xf>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Font="1"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0" fontId="0" fillId="0" borderId="0" xfId="0" applyAlignment="1">
      <alignment horizontal="left"/>
    </xf>
    <xf numFmtId="43" fontId="0" fillId="0" borderId="15" xfId="1" applyFont="1" applyBorder="1" applyAlignment="1">
      <alignment horizontal="center" vertical="center" wrapText="1"/>
    </xf>
    <xf numFmtId="0" fontId="0" fillId="0" borderId="16" xfId="0" applyFont="1"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3" fillId="0" borderId="7" xfId="0" applyFont="1" applyFill="1" applyBorder="1" applyAlignment="1">
      <alignment horizontal="center" vertical="top"/>
    </xf>
    <xf numFmtId="0" fontId="3" fillId="0" borderId="7" xfId="0" applyFont="1" applyBorder="1"/>
    <xf numFmtId="169" fontId="3" fillId="0" borderId="7" xfId="0" applyNumberFormat="1" applyFont="1" applyBorder="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0" fillId="0" borderId="7" xfId="0" applyNumberFormat="1" applyBorder="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Fill="1" applyBorder="1"/>
    <xf numFmtId="0" fontId="21" fillId="0" borderId="19" xfId="0" applyFont="1" applyFill="1" applyBorder="1"/>
    <xf numFmtId="0" fontId="21" fillId="0" borderId="19" xfId="0" applyFont="1" applyFill="1" applyBorder="1" applyAlignment="1">
      <alignment horizontal="left"/>
    </xf>
    <xf numFmtId="0" fontId="21" fillId="0" borderId="22" xfId="0" applyFont="1" applyFill="1" applyBorder="1"/>
    <xf numFmtId="0" fontId="21" fillId="0" borderId="21" xfId="0" applyFont="1" applyFill="1" applyBorder="1"/>
    <xf numFmtId="0" fontId="21" fillId="0" borderId="0" xfId="0" applyFont="1" applyFill="1" applyAlignment="1">
      <alignment horizontal="left"/>
    </xf>
    <xf numFmtId="0" fontId="21" fillId="0" borderId="0" xfId="0" applyFont="1" applyFill="1" applyAlignment="1">
      <alignment horizontal="right"/>
    </xf>
    <xf numFmtId="0" fontId="21" fillId="0" borderId="0" xfId="0" applyFont="1" applyFill="1"/>
    <xf numFmtId="166" fontId="23" fillId="0" borderId="0" xfId="0" applyNumberFormat="1" applyFont="1" applyFill="1" applyAlignment="1">
      <alignment horizontal="center" vertical="center"/>
    </xf>
    <xf numFmtId="0" fontId="21" fillId="0" borderId="23" xfId="0" applyFont="1" applyFill="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Fill="1" applyBorder="1"/>
    <xf numFmtId="0" fontId="21" fillId="0" borderId="25" xfId="0" applyFont="1" applyFill="1" applyBorder="1"/>
    <xf numFmtId="0" fontId="21" fillId="0" borderId="25" xfId="0" applyFont="1" applyFill="1" applyBorder="1" applyAlignment="1">
      <alignment horizontal="left"/>
    </xf>
    <xf numFmtId="0" fontId="21" fillId="0" borderId="26" xfId="0" applyFont="1" applyFill="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Fill="1" applyBorder="1" applyAlignment="1">
      <alignment horizontal="left"/>
    </xf>
    <xf numFmtId="0" fontId="24" fillId="0" borderId="30" xfId="0" applyFont="1" applyFill="1" applyBorder="1"/>
    <xf numFmtId="0" fontId="24" fillId="0" borderId="28" xfId="0" applyFont="1" applyFill="1" applyBorder="1" applyAlignment="1">
      <alignment horizontal="left"/>
    </xf>
    <xf numFmtId="0" fontId="24" fillId="0" borderId="29" xfId="0" applyFont="1" applyFill="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1" fillId="0" borderId="21" xfId="0" applyFont="1" applyBorder="1"/>
    <xf numFmtId="0" fontId="21" fillId="0" borderId="0" xfId="0" applyFont="1" applyAlignment="1">
      <alignment horizontal="left"/>
    </xf>
    <xf numFmtId="0" fontId="25" fillId="0" borderId="0" xfId="0" applyFont="1" applyFill="1" applyAlignment="1">
      <alignment horizontal="center" vertical="center"/>
    </xf>
    <xf numFmtId="14" fontId="25" fillId="0" borderId="0" xfId="0" applyNumberFormat="1" applyFont="1" applyFill="1" applyAlignment="1">
      <alignment horizontal="center" vertical="center"/>
    </xf>
    <xf numFmtId="0" fontId="25" fillId="0" borderId="0" xfId="0" applyFont="1" applyFill="1" applyAlignment="1">
      <alignment horizontal="left" vertical="center"/>
    </xf>
    <xf numFmtId="2" fontId="25" fillId="0" borderId="0" xfId="0" applyNumberFormat="1" applyFont="1" applyFill="1" applyAlignment="1">
      <alignment horizontal="left" vertical="center"/>
    </xf>
    <xf numFmtId="0" fontId="7" fillId="0" borderId="0" xfId="0" applyFont="1"/>
    <xf numFmtId="0" fontId="8"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7" fillId="0" borderId="0" xfId="0" applyFont="1" applyAlignment="1"/>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0" fontId="29" fillId="0" borderId="37" xfId="3" applyFill="1" applyBorder="1" applyAlignment="1">
      <alignment horizontal="center"/>
    </xf>
    <xf numFmtId="0" fontId="29" fillId="0" borderId="38" xfId="3" applyFill="1" applyBorder="1" applyAlignment="1">
      <alignment horizontal="center"/>
    </xf>
    <xf numFmtId="171" fontId="31" fillId="0" borderId="0" xfId="3" applyNumberFormat="1" applyFont="1" applyBorder="1" applyAlignment="1">
      <alignment horizontal="left"/>
    </xf>
    <xf numFmtId="0" fontId="7" fillId="0" borderId="0" xfId="0" quotePrefix="1" applyFont="1" applyBorder="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xf numFmtId="0" fontId="15" fillId="0" borderId="0" xfId="0" applyFont="1" applyAlignment="1">
      <alignment horizontal="justify" vertical="center"/>
    </xf>
    <xf numFmtId="0" fontId="32" fillId="0" borderId="0" xfId="0" applyFont="1"/>
    <xf numFmtId="0" fontId="7" fillId="0" borderId="0" xfId="0" quotePrefix="1" applyFont="1" applyFill="1"/>
    <xf numFmtId="0" fontId="7" fillId="2" borderId="0" xfId="0" applyFont="1" applyFill="1"/>
    <xf numFmtId="0" fontId="8" fillId="2" borderId="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7" fillId="0" borderId="0" xfId="0" applyFont="1" applyFill="1"/>
    <xf numFmtId="2" fontId="7" fillId="0" borderId="0" xfId="0" applyNumberFormat="1" applyFont="1"/>
    <xf numFmtId="0" fontId="8" fillId="0" borderId="2" xfId="0" applyFont="1" applyBorder="1" applyAlignment="1">
      <alignment horizontal="center"/>
    </xf>
    <xf numFmtId="0" fontId="7" fillId="0" borderId="0" xfId="0" applyFont="1" applyBorder="1"/>
    <xf numFmtId="0" fontId="7" fillId="0" borderId="0" xfId="0" quotePrefix="1" applyFont="1" applyBorder="1"/>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Border="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Border="1" applyAlignment="1">
      <alignment horizontal="center"/>
    </xf>
    <xf numFmtId="0" fontId="7" fillId="0" borderId="2" xfId="0" applyFont="1" applyBorder="1" applyAlignment="1">
      <alignment horizontal="center" vertical="center" wrapText="1"/>
    </xf>
    <xf numFmtId="0" fontId="8" fillId="0" borderId="0" xfId="0" applyFont="1" applyAlignment="1">
      <alignment horizontal="center"/>
    </xf>
    <xf numFmtId="0" fontId="7" fillId="0" borderId="0" xfId="0" quotePrefix="1" applyFont="1" applyAlignment="1"/>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0" fillId="0" borderId="0" xfId="0" applyAlignment="1"/>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9" fontId="7" fillId="0" borderId="2" xfId="4" applyNumberFormat="1" applyFont="1" applyBorder="1" applyAlignment="1">
      <alignment horizontal="center" vertical="center" wrapText="1"/>
    </xf>
    <xf numFmtId="0" fontId="7" fillId="0" borderId="2" xfId="0" applyFont="1" applyBorder="1" applyAlignment="1">
      <alignment horizontal="left" vertical="center"/>
    </xf>
    <xf numFmtId="0" fontId="7" fillId="0" borderId="0"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Border="1" applyAlignment="1">
      <alignment horizontal="center" vertical="center" wrapText="1"/>
    </xf>
    <xf numFmtId="0" fontId="0" fillId="0" borderId="0" xfId="0" quotePrefix="1" applyFont="1"/>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7" fillId="0" borderId="40" xfId="0" quotePrefix="1" applyFont="1" applyBorder="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Border="1" applyAlignment="1">
      <alignment horizontal="center"/>
    </xf>
    <xf numFmtId="173" fontId="7" fillId="0" borderId="0" xfId="0" applyNumberFormat="1" applyFont="1" applyBorder="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40" xfId="0" quotePrefix="1" applyFont="1" applyBorder="1" applyAlignment="1">
      <alignment horizontal="left" indent="2"/>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Border="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Border="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0" xfId="0" applyBorder="1"/>
    <xf numFmtId="0" fontId="0" fillId="0" borderId="40" xfId="0" applyBorder="1" applyAlignment="1">
      <alignment horizontal="center" vertical="top"/>
    </xf>
    <xf numFmtId="0" fontId="0" fillId="0" borderId="0" xfId="0" applyBorder="1" applyAlignment="1">
      <alignment horizontal="center" vertical="center"/>
    </xf>
    <xf numFmtId="166" fontId="11" fillId="0" borderId="0" xfId="0" applyNumberFormat="1" applyFont="1" applyAlignment="1">
      <alignment vertical="center"/>
    </xf>
    <xf numFmtId="166" fontId="0" fillId="0" borderId="12" xfId="0" applyNumberFormat="1" applyFill="1" applyBorder="1" applyAlignment="1">
      <alignment horizontal="center"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Fill="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Fill="1" applyAlignment="1">
      <alignment horizontal="center"/>
    </xf>
    <xf numFmtId="6" fontId="4" fillId="0" borderId="0" xfId="0" applyNumberFormat="1" applyFont="1" applyAlignment="1">
      <alignment horizontal="center"/>
    </xf>
    <xf numFmtId="43" fontId="0" fillId="0" borderId="0" xfId="0" applyNumberFormat="1" applyFon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172" fontId="7" fillId="0" borderId="2" xfId="0" applyNumberFormat="1" applyFont="1" applyFill="1" applyBorder="1" applyAlignment="1">
      <alignment horizontal="center"/>
    </xf>
    <xf numFmtId="6" fontId="7" fillId="0" borderId="40" xfId="0" applyNumberFormat="1" applyFont="1" applyBorder="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0" fontId="7" fillId="0" borderId="0"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Border="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Border="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Border="1" applyAlignment="1">
      <alignment horizontal="center"/>
    </xf>
    <xf numFmtId="177" fontId="7" fillId="0" borderId="0" xfId="0" applyNumberFormat="1" applyFont="1" applyBorder="1" applyAlignment="1">
      <alignment horizontal="center"/>
    </xf>
    <xf numFmtId="172" fontId="7" fillId="11" borderId="0" xfId="0" applyNumberFormat="1" applyFont="1" applyFill="1" applyBorder="1" applyAlignment="1">
      <alignment horizontal="center"/>
    </xf>
    <xf numFmtId="9" fontId="7" fillId="0" borderId="0" xfId="0" applyNumberFormat="1" applyFont="1" applyFill="1" applyAlignment="1">
      <alignment horizontal="center"/>
    </xf>
    <xf numFmtId="9" fontId="7" fillId="11" borderId="0" xfId="4" applyNumberFormat="1" applyFont="1" applyFill="1"/>
    <xf numFmtId="0" fontId="32" fillId="11" borderId="0" xfId="0" applyFont="1" applyFill="1"/>
    <xf numFmtId="4" fontId="7" fillId="11" borderId="0" xfId="0" applyNumberFormat="1" applyFont="1" applyFill="1" applyBorder="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Fill="1" applyBorder="1" applyAlignment="1">
      <alignment horizontal="center"/>
    </xf>
    <xf numFmtId="6" fontId="7" fillId="11" borderId="40" xfId="0" quotePrefix="1" applyNumberFormat="1" applyFont="1" applyFill="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Border="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7" fillId="0" borderId="0"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Border="1" applyAlignment="1">
      <alignment horizontal="center"/>
    </xf>
    <xf numFmtId="172" fontId="7" fillId="0" borderId="0" xfId="0" quotePrefix="1" applyNumberFormat="1" applyFont="1" applyBorder="1" applyAlignment="1">
      <alignment horizontal="center"/>
    </xf>
    <xf numFmtId="172" fontId="7" fillId="0" borderId="1" xfId="0" quotePrefix="1" applyNumberFormat="1" applyFont="1" applyBorder="1" applyAlignment="1">
      <alignment horizontal="center"/>
    </xf>
    <xf numFmtId="172" fontId="7" fillId="0" borderId="2"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Border="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0" fillId="0" borderId="0" xfId="0" applyFont="1" applyAlignment="1">
      <alignment horizontal="center" wrapText="1"/>
    </xf>
    <xf numFmtId="0" fontId="0" fillId="0" borderId="12" xfId="0" applyFont="1" applyBorder="1" applyAlignment="1">
      <alignment horizontal="center" wrapText="1"/>
    </xf>
    <xf numFmtId="0" fontId="0" fillId="0" borderId="5" xfId="0" applyFont="1" applyBorder="1" applyAlignment="1">
      <alignment horizontal="center" wrapText="1"/>
    </xf>
    <xf numFmtId="0" fontId="9" fillId="0" borderId="0" xfId="0" applyFont="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0"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0" xfId="0" applyFont="1" applyBorder="1" applyAlignment="1">
      <alignment horizontal="center" wrapText="1"/>
    </xf>
    <xf numFmtId="0" fontId="0" fillId="0" borderId="9" xfId="0" applyFont="1" applyBorder="1" applyAlignment="1">
      <alignment horizontal="center" wrapText="1"/>
    </xf>
    <xf numFmtId="0" fontId="0" fillId="0" borderId="1" xfId="0" applyFont="1" applyBorder="1" applyAlignment="1">
      <alignment horizontal="center" wrapText="1"/>
    </xf>
    <xf numFmtId="0" fontId="0" fillId="0" borderId="11" xfId="0" applyFont="1" applyBorder="1" applyAlignment="1">
      <alignment horizontal="center" wrapText="1"/>
    </xf>
    <xf numFmtId="0" fontId="0" fillId="0" borderId="6" xfId="0" applyFont="1" applyBorder="1" applyAlignment="1">
      <alignment horizontal="center" wrapText="1"/>
    </xf>
    <xf numFmtId="0" fontId="0" fillId="0" borderId="3" xfId="0" applyFont="1" applyBorder="1" applyAlignment="1">
      <alignment horizontal="center" wrapText="1"/>
    </xf>
    <xf numFmtId="0" fontId="0" fillId="0" borderId="10" xfId="0" applyFont="1" applyBorder="1" applyAlignment="1">
      <alignment horizont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0" fontId="0" fillId="0" borderId="4" xfId="0" applyFont="1"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9" fontId="0" fillId="0" borderId="0" xfId="0" applyNumberFormat="1" applyFont="1" applyBorder="1" applyAlignment="1">
      <alignment horizontal="center" vertical="center" wrapText="1"/>
    </xf>
    <xf numFmtId="9" fontId="0" fillId="0" borderId="1" xfId="0" applyNumberFormat="1" applyFont="1" applyBorder="1" applyAlignment="1">
      <alignment horizontal="center" vertical="center" wrapText="1"/>
    </xf>
    <xf numFmtId="0" fontId="0" fillId="0" borderId="6" xfId="0" applyFont="1" applyBorder="1" applyAlignment="1">
      <alignment horizontal="center" vertical="top" wrapText="1"/>
    </xf>
    <xf numFmtId="0" fontId="0" fillId="0" borderId="3" xfId="0" applyFont="1" applyBorder="1" applyAlignment="1">
      <alignment horizontal="center" vertical="top" wrapText="1"/>
    </xf>
    <xf numFmtId="0" fontId="0" fillId="0" borderId="10" xfId="0" applyFont="1" applyBorder="1" applyAlignment="1">
      <alignment horizontal="center" vertical="top" wrapText="1"/>
    </xf>
    <xf numFmtId="9" fontId="0" fillId="0" borderId="7"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9" xfId="0" applyBorder="1" applyAlignment="1">
      <alignment horizontal="center" vertical="center" wrapText="1"/>
    </xf>
    <xf numFmtId="0" fontId="3" fillId="0" borderId="0"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81" activePane="bottomRight" state="frozen"/>
      <selection pane="topRight" activeCell="B1" sqref="B1"/>
      <selection pane="bottomLeft" activeCell="A3" sqref="A3"/>
      <selection pane="bottomRight" activeCell="E104" sqref="E104"/>
    </sheetView>
  </sheetViews>
  <sheetFormatPr defaultRowHeight="15.75" x14ac:dyDescent="0.25"/>
  <cols>
    <col min="2" max="2" width="52.375" customWidth="1"/>
    <col min="3" max="3" width="45" bestFit="1" customWidth="1"/>
    <col min="4" max="4" width="14.75" customWidth="1"/>
    <col min="5" max="5" width="13.75" style="67" bestFit="1" customWidth="1"/>
    <col min="6" max="6" width="11.5" bestFit="1" customWidth="1"/>
    <col min="7" max="7" width="13.75" bestFit="1" customWidth="1"/>
  </cols>
  <sheetData>
    <row r="2" spans="2:6" ht="17.25" x14ac:dyDescent="0.3">
      <c r="B2" s="116" t="s">
        <v>143</v>
      </c>
    </row>
    <row r="4" spans="2:6" x14ac:dyDescent="0.25">
      <c r="B4" t="s">
        <v>124</v>
      </c>
    </row>
    <row r="5" spans="2:6" x14ac:dyDescent="0.25">
      <c r="B5" t="s">
        <v>130</v>
      </c>
    </row>
    <row r="7" spans="2:6" x14ac:dyDescent="0.25">
      <c r="B7" t="s">
        <v>122</v>
      </c>
      <c r="E7" s="68" t="s">
        <v>734</v>
      </c>
      <c r="F7" s="62" t="s">
        <v>240</v>
      </c>
    </row>
    <row r="8" spans="2:6" x14ac:dyDescent="0.25">
      <c r="B8" t="s">
        <v>123</v>
      </c>
      <c r="E8" s="68" t="s">
        <v>735</v>
      </c>
      <c r="F8" s="62" t="s">
        <v>240</v>
      </c>
    </row>
    <row r="9" spans="2:6" x14ac:dyDescent="0.25">
      <c r="B9" t="s">
        <v>125</v>
      </c>
      <c r="E9" s="69">
        <v>1499722</v>
      </c>
      <c r="F9" s="62" t="s">
        <v>240</v>
      </c>
    </row>
    <row r="10" spans="2:6" x14ac:dyDescent="0.25">
      <c r="B10" t="s">
        <v>126</v>
      </c>
      <c r="E10" s="69">
        <v>469820</v>
      </c>
      <c r="F10" s="62" t="s">
        <v>240</v>
      </c>
    </row>
    <row r="11" spans="2:6" x14ac:dyDescent="0.25">
      <c r="B11" t="s">
        <v>127</v>
      </c>
      <c r="E11" s="69">
        <v>33360</v>
      </c>
      <c r="F11" s="62" t="s">
        <v>240</v>
      </c>
    </row>
    <row r="13" spans="2:6" x14ac:dyDescent="0.25">
      <c r="B13" s="63" t="s">
        <v>629</v>
      </c>
      <c r="C13" s="63"/>
      <c r="D13" s="63"/>
    </row>
    <row r="15" spans="2:6" x14ac:dyDescent="0.25">
      <c r="B15" t="s">
        <v>616</v>
      </c>
      <c r="E15" s="118">
        <f>'Page 1'!D27</f>
        <v>53124</v>
      </c>
    </row>
    <row r="16" spans="2:6" x14ac:dyDescent="0.25">
      <c r="B16" t="s">
        <v>617</v>
      </c>
      <c r="E16" s="118">
        <f>'Page 1'!G27</f>
        <v>26562</v>
      </c>
    </row>
    <row r="17" spans="2:7" x14ac:dyDescent="0.25">
      <c r="B17" t="s">
        <v>618</v>
      </c>
      <c r="E17" s="118">
        <f>'Page 1'!J27</f>
        <v>53124</v>
      </c>
    </row>
    <row r="18" spans="2:7" x14ac:dyDescent="0.25">
      <c r="B18" s="64" t="s">
        <v>134</v>
      </c>
      <c r="C18" s="64"/>
      <c r="D18" s="64"/>
      <c r="E18" s="119">
        <f>SUM(E15:E17)</f>
        <v>132810</v>
      </c>
    </row>
    <row r="20" spans="2:7" x14ac:dyDescent="0.25">
      <c r="B20" t="s">
        <v>135</v>
      </c>
      <c r="C20" s="63"/>
      <c r="D20" s="63"/>
    </row>
    <row r="21" spans="2:7" x14ac:dyDescent="0.25">
      <c r="C21" s="63"/>
      <c r="D21" s="63"/>
    </row>
    <row r="22" spans="2:7" x14ac:dyDescent="0.25">
      <c r="B22" s="17" t="s">
        <v>147</v>
      </c>
      <c r="C22" s="63"/>
      <c r="D22" s="63"/>
      <c r="E22" s="69">
        <v>5</v>
      </c>
      <c r="F22" s="62" t="s">
        <v>633</v>
      </c>
    </row>
    <row r="23" spans="2:7" x14ac:dyDescent="0.25">
      <c r="B23" t="s">
        <v>619</v>
      </c>
      <c r="C23" s="63"/>
      <c r="D23" s="63"/>
      <c r="E23" s="384">
        <v>1</v>
      </c>
      <c r="F23" s="62" t="s">
        <v>634</v>
      </c>
    </row>
    <row r="24" spans="2:7" x14ac:dyDescent="0.25">
      <c r="B24" s="17" t="s">
        <v>135</v>
      </c>
      <c r="E24" s="375">
        <f>'ILF Interpolation'!E19</f>
        <v>5.7759999999999998</v>
      </c>
    </row>
    <row r="25" spans="2:7" x14ac:dyDescent="0.25">
      <c r="B25" s="350" t="s">
        <v>620</v>
      </c>
      <c r="C25" s="350"/>
      <c r="D25" s="350"/>
      <c r="E25" s="351">
        <f>E18*E24</f>
        <v>767110.55999999994</v>
      </c>
      <c r="G25" s="76"/>
    </row>
    <row r="27" spans="2:7" x14ac:dyDescent="0.25">
      <c r="B27" s="63" t="s">
        <v>136</v>
      </c>
      <c r="C27" s="63"/>
      <c r="D27" s="63"/>
    </row>
    <row r="28" spans="2:7" x14ac:dyDescent="0.25">
      <c r="B28" s="63"/>
      <c r="C28" s="63"/>
      <c r="D28" s="63"/>
    </row>
    <row r="29" spans="2:7" x14ac:dyDescent="0.25">
      <c r="B29" s="71" t="s">
        <v>141</v>
      </c>
      <c r="C29" s="71"/>
      <c r="D29" s="71"/>
      <c r="E29" s="72"/>
    </row>
    <row r="30" spans="2:7" x14ac:dyDescent="0.25">
      <c r="B30" s="63"/>
      <c r="C30" s="63"/>
      <c r="D30" s="63"/>
    </row>
    <row r="31" spans="2:7" x14ac:dyDescent="0.25">
      <c r="B31" s="66" t="s">
        <v>137</v>
      </c>
      <c r="C31" s="66" t="s">
        <v>164</v>
      </c>
      <c r="D31" s="66" t="s">
        <v>163</v>
      </c>
    </row>
    <row r="32" spans="2:7" x14ac:dyDescent="0.25">
      <c r="B32" t="s">
        <v>21</v>
      </c>
      <c r="C32" t="s">
        <v>621</v>
      </c>
      <c r="D32" t="s">
        <v>19</v>
      </c>
      <c r="E32" s="70">
        <v>1</v>
      </c>
    </row>
    <row r="33" spans="2:5" x14ac:dyDescent="0.25">
      <c r="B33" t="s">
        <v>22</v>
      </c>
      <c r="C33" t="s">
        <v>622</v>
      </c>
      <c r="D33" t="s">
        <v>23</v>
      </c>
      <c r="E33" s="70">
        <v>1</v>
      </c>
    </row>
    <row r="34" spans="2:5" x14ac:dyDescent="0.25">
      <c r="E34" s="70"/>
    </row>
    <row r="35" spans="2:5" x14ac:dyDescent="0.25">
      <c r="B35" t="s">
        <v>24</v>
      </c>
      <c r="C35" t="s">
        <v>159</v>
      </c>
      <c r="D35" t="s">
        <v>28</v>
      </c>
      <c r="E35" s="70"/>
    </row>
    <row r="36" spans="2:5" x14ac:dyDescent="0.25">
      <c r="C36" s="100" t="s">
        <v>160</v>
      </c>
      <c r="D36" t="s">
        <v>29</v>
      </c>
      <c r="E36" s="70"/>
    </row>
    <row r="37" spans="2:5" x14ac:dyDescent="0.25">
      <c r="C37" t="s">
        <v>161</v>
      </c>
      <c r="D37" t="s">
        <v>30</v>
      </c>
      <c r="E37" s="70">
        <v>1</v>
      </c>
    </row>
    <row r="38" spans="2:5" x14ac:dyDescent="0.25">
      <c r="E38" s="70"/>
    </row>
    <row r="39" spans="2:5" x14ac:dyDescent="0.25">
      <c r="B39" t="s">
        <v>34</v>
      </c>
      <c r="C39" t="s">
        <v>31</v>
      </c>
      <c r="D39" t="s">
        <v>35</v>
      </c>
      <c r="E39" s="70"/>
    </row>
    <row r="40" spans="2:5" x14ac:dyDescent="0.25">
      <c r="C40" t="s">
        <v>33</v>
      </c>
      <c r="D40" t="s">
        <v>37</v>
      </c>
      <c r="E40" s="70">
        <v>0.95</v>
      </c>
    </row>
    <row r="41" spans="2:5" x14ac:dyDescent="0.25">
      <c r="C41" t="s">
        <v>32</v>
      </c>
      <c r="D41" t="s">
        <v>623</v>
      </c>
      <c r="E41" s="70"/>
    </row>
    <row r="42" spans="2:5" x14ac:dyDescent="0.25">
      <c r="E42" s="70"/>
    </row>
    <row r="43" spans="2:5" x14ac:dyDescent="0.25">
      <c r="B43" t="s">
        <v>38</v>
      </c>
      <c r="C43" t="s">
        <v>54</v>
      </c>
      <c r="D43" t="s">
        <v>57</v>
      </c>
      <c r="E43" s="70"/>
    </row>
    <row r="44" spans="2:5" x14ac:dyDescent="0.25">
      <c r="C44" t="s">
        <v>55</v>
      </c>
      <c r="D44" t="s">
        <v>56</v>
      </c>
      <c r="E44" s="70">
        <v>1</v>
      </c>
    </row>
    <row r="45" spans="2:5" x14ac:dyDescent="0.25">
      <c r="E45" s="70"/>
    </row>
    <row r="46" spans="2:5" x14ac:dyDescent="0.25">
      <c r="B46" t="s">
        <v>39</v>
      </c>
      <c r="C46" t="s">
        <v>54</v>
      </c>
      <c r="D46" t="s">
        <v>60</v>
      </c>
      <c r="E46" s="70"/>
    </row>
    <row r="47" spans="2:5" x14ac:dyDescent="0.25">
      <c r="C47" t="s">
        <v>58</v>
      </c>
      <c r="D47" t="s">
        <v>61</v>
      </c>
      <c r="E47" s="70"/>
    </row>
    <row r="48" spans="2:5" x14ac:dyDescent="0.25">
      <c r="C48" t="s">
        <v>59</v>
      </c>
      <c r="D48" t="s">
        <v>62</v>
      </c>
      <c r="E48" s="70">
        <v>1</v>
      </c>
    </row>
    <row r="49" spans="2:6" x14ac:dyDescent="0.25">
      <c r="E49" s="70"/>
    </row>
    <row r="50" spans="2:6" x14ac:dyDescent="0.25">
      <c r="B50" t="s">
        <v>40</v>
      </c>
      <c r="C50" t="s">
        <v>65</v>
      </c>
      <c r="D50" t="s">
        <v>37</v>
      </c>
      <c r="E50" s="70"/>
    </row>
    <row r="51" spans="2:6" x14ac:dyDescent="0.25">
      <c r="C51" t="s">
        <v>63</v>
      </c>
      <c r="D51" t="s">
        <v>66</v>
      </c>
      <c r="E51" s="70"/>
    </row>
    <row r="52" spans="2:6" x14ac:dyDescent="0.25">
      <c r="C52" t="s">
        <v>64</v>
      </c>
      <c r="D52" t="s">
        <v>62</v>
      </c>
      <c r="E52" s="70">
        <v>1</v>
      </c>
    </row>
    <row r="53" spans="2:6" x14ac:dyDescent="0.25">
      <c r="E53" s="70"/>
    </row>
    <row r="54" spans="2:6" x14ac:dyDescent="0.25">
      <c r="B54" t="s">
        <v>41</v>
      </c>
      <c r="C54" t="s">
        <v>68</v>
      </c>
      <c r="D54" t="s">
        <v>67</v>
      </c>
      <c r="E54" s="70">
        <v>0.9</v>
      </c>
      <c r="F54" t="s">
        <v>165</v>
      </c>
    </row>
    <row r="55" spans="2:6" x14ac:dyDescent="0.25">
      <c r="E55" s="70"/>
    </row>
    <row r="56" spans="2:6" x14ac:dyDescent="0.25">
      <c r="B56" t="s">
        <v>42</v>
      </c>
      <c r="C56" s="101">
        <v>0</v>
      </c>
      <c r="D56" s="102">
        <v>1</v>
      </c>
      <c r="E56" s="70">
        <v>1</v>
      </c>
    </row>
    <row r="57" spans="2:6" x14ac:dyDescent="0.25">
      <c r="C57" s="101">
        <v>0.05</v>
      </c>
      <c r="D57" t="s">
        <v>44</v>
      </c>
      <c r="E57" s="70"/>
    </row>
    <row r="58" spans="2:6" x14ac:dyDescent="0.25">
      <c r="C58" s="101">
        <v>0.1</v>
      </c>
      <c r="D58" t="s">
        <v>45</v>
      </c>
      <c r="E58" s="70"/>
    </row>
    <row r="59" spans="2:6" x14ac:dyDescent="0.25">
      <c r="C59" s="101">
        <v>0.15</v>
      </c>
      <c r="D59" t="s">
        <v>46</v>
      </c>
      <c r="E59" s="70"/>
    </row>
    <row r="60" spans="2:6" x14ac:dyDescent="0.25">
      <c r="C60" s="101">
        <v>0.2</v>
      </c>
      <c r="D60" t="s">
        <v>47</v>
      </c>
      <c r="E60" s="70"/>
    </row>
    <row r="61" spans="2:6" x14ac:dyDescent="0.25">
      <c r="C61" s="101">
        <v>0.25</v>
      </c>
      <c r="D61" t="s">
        <v>48</v>
      </c>
      <c r="E61" s="70"/>
    </row>
    <row r="62" spans="2:6" x14ac:dyDescent="0.25">
      <c r="C62" s="101">
        <v>0.3</v>
      </c>
      <c r="D62" t="s">
        <v>49</v>
      </c>
      <c r="E62" s="70"/>
    </row>
    <row r="63" spans="2:6" x14ac:dyDescent="0.25">
      <c r="C63" s="101">
        <v>0.35</v>
      </c>
      <c r="D63" t="s">
        <v>50</v>
      </c>
      <c r="E63" s="70"/>
    </row>
    <row r="64" spans="2:6" x14ac:dyDescent="0.25">
      <c r="C64" s="101">
        <v>0.4</v>
      </c>
      <c r="D64" t="s">
        <v>51</v>
      </c>
      <c r="E64" s="70"/>
    </row>
    <row r="65" spans="2:6" x14ac:dyDescent="0.25">
      <c r="C65" s="101">
        <v>0.45</v>
      </c>
      <c r="D65" t="s">
        <v>52</v>
      </c>
      <c r="E65" s="70"/>
    </row>
    <row r="66" spans="2:6" x14ac:dyDescent="0.25">
      <c r="C66" s="101">
        <v>0.5</v>
      </c>
      <c r="D66" t="s">
        <v>53</v>
      </c>
      <c r="E66" s="70"/>
    </row>
    <row r="68" spans="2:6" x14ac:dyDescent="0.25">
      <c r="B68" s="66" t="s">
        <v>138</v>
      </c>
      <c r="C68" s="66"/>
      <c r="D68" s="66"/>
    </row>
    <row r="69" spans="2:6" x14ac:dyDescent="0.25">
      <c r="B69" t="s">
        <v>69</v>
      </c>
      <c r="C69" t="s">
        <v>70</v>
      </c>
      <c r="D69" t="s">
        <v>77</v>
      </c>
      <c r="E69" s="70"/>
    </row>
    <row r="70" spans="2:6" x14ac:dyDescent="0.25">
      <c r="C70" t="s">
        <v>71</v>
      </c>
      <c r="D70" t="s">
        <v>30</v>
      </c>
      <c r="E70" s="70">
        <v>0.9</v>
      </c>
    </row>
    <row r="71" spans="2:6" x14ac:dyDescent="0.25">
      <c r="C71" t="s">
        <v>72</v>
      </c>
      <c r="D71" s="102">
        <v>1</v>
      </c>
      <c r="E71" s="70"/>
    </row>
    <row r="72" spans="2:6" x14ac:dyDescent="0.25">
      <c r="C72" t="s">
        <v>73</v>
      </c>
      <c r="D72" t="s">
        <v>78</v>
      </c>
      <c r="E72" s="70"/>
    </row>
    <row r="73" spans="2:6" x14ac:dyDescent="0.25">
      <c r="C73" t="s">
        <v>74</v>
      </c>
      <c r="D73" t="s">
        <v>79</v>
      </c>
      <c r="E73" s="70"/>
    </row>
    <row r="74" spans="2:6" x14ac:dyDescent="0.25">
      <c r="C74" t="s">
        <v>75</v>
      </c>
      <c r="D74" t="s">
        <v>80</v>
      </c>
      <c r="E74" s="70"/>
    </row>
    <row r="75" spans="2:6" x14ac:dyDescent="0.25">
      <c r="C75" t="s">
        <v>76</v>
      </c>
      <c r="D75" t="s">
        <v>81</v>
      </c>
      <c r="E75" s="70"/>
    </row>
    <row r="76" spans="2:6" x14ac:dyDescent="0.25">
      <c r="E76" s="70"/>
    </row>
    <row r="77" spans="2:6" x14ac:dyDescent="0.25">
      <c r="B77" t="s">
        <v>82</v>
      </c>
      <c r="C77" t="s">
        <v>84</v>
      </c>
      <c r="D77" s="102">
        <v>1</v>
      </c>
      <c r="E77" s="70"/>
      <c r="F77" t="s">
        <v>139</v>
      </c>
    </row>
    <row r="78" spans="2:6" x14ac:dyDescent="0.25">
      <c r="C78" t="s">
        <v>85</v>
      </c>
      <c r="D78" t="s">
        <v>87</v>
      </c>
      <c r="E78" s="70">
        <v>2</v>
      </c>
    </row>
    <row r="79" spans="2:6" x14ac:dyDescent="0.25">
      <c r="C79" t="s">
        <v>86</v>
      </c>
      <c r="D79" t="s">
        <v>88</v>
      </c>
      <c r="E79" s="70"/>
    </row>
    <row r="80" spans="2:6" x14ac:dyDescent="0.25">
      <c r="E80" s="70"/>
    </row>
    <row r="81" spans="2:5" x14ac:dyDescent="0.25">
      <c r="B81" t="s">
        <v>90</v>
      </c>
      <c r="D81" t="s">
        <v>112</v>
      </c>
      <c r="E81" s="70">
        <v>1</v>
      </c>
    </row>
    <row r="82" spans="2:5" x14ac:dyDescent="0.25">
      <c r="B82" t="s">
        <v>91</v>
      </c>
      <c r="D82" t="s">
        <v>113</v>
      </c>
      <c r="E82" s="70">
        <v>0.9</v>
      </c>
    </row>
    <row r="83" spans="2:5" x14ac:dyDescent="0.25">
      <c r="B83" t="s">
        <v>92</v>
      </c>
      <c r="D83" t="s">
        <v>114</v>
      </c>
      <c r="E83" s="70">
        <v>1</v>
      </c>
    </row>
    <row r="84" spans="2:5" x14ac:dyDescent="0.25">
      <c r="B84" t="s">
        <v>93</v>
      </c>
      <c r="D84" t="s">
        <v>112</v>
      </c>
      <c r="E84" s="70">
        <v>0.95</v>
      </c>
    </row>
    <row r="85" spans="2:5" x14ac:dyDescent="0.25">
      <c r="B85" t="s">
        <v>94</v>
      </c>
      <c r="D85" t="s">
        <v>112</v>
      </c>
      <c r="E85" s="70">
        <v>1</v>
      </c>
    </row>
    <row r="86" spans="2:5" x14ac:dyDescent="0.25">
      <c r="B86" t="s">
        <v>95</v>
      </c>
      <c r="D86" t="s">
        <v>115</v>
      </c>
      <c r="E86" s="70">
        <v>1.1000000000000001</v>
      </c>
    </row>
    <row r="87" spans="2:5" x14ac:dyDescent="0.25">
      <c r="B87" t="s">
        <v>96</v>
      </c>
      <c r="D87" t="s">
        <v>61</v>
      </c>
      <c r="E87" s="70">
        <v>1</v>
      </c>
    </row>
    <row r="88" spans="2:5" x14ac:dyDescent="0.25">
      <c r="B88" t="s">
        <v>162</v>
      </c>
      <c r="D88" t="s">
        <v>116</v>
      </c>
      <c r="E88" s="70">
        <v>1</v>
      </c>
    </row>
    <row r="89" spans="2:5" x14ac:dyDescent="0.25">
      <c r="B89" t="s">
        <v>98</v>
      </c>
      <c r="D89" t="s">
        <v>112</v>
      </c>
      <c r="E89" s="70">
        <v>1</v>
      </c>
    </row>
    <row r="90" spans="2:5" x14ac:dyDescent="0.25">
      <c r="B90" t="s">
        <v>99</v>
      </c>
      <c r="D90" t="s">
        <v>115</v>
      </c>
      <c r="E90" s="70">
        <v>0.95</v>
      </c>
    </row>
    <row r="91" spans="2:5" x14ac:dyDescent="0.25">
      <c r="B91" t="s">
        <v>100</v>
      </c>
      <c r="D91" t="s">
        <v>112</v>
      </c>
      <c r="E91" s="70">
        <v>0.95</v>
      </c>
    </row>
    <row r="92" spans="2:5" x14ac:dyDescent="0.25">
      <c r="B92" t="s">
        <v>101</v>
      </c>
      <c r="D92" t="s">
        <v>112</v>
      </c>
      <c r="E92" s="70">
        <v>0.9</v>
      </c>
    </row>
    <row r="93" spans="2:5" x14ac:dyDescent="0.25">
      <c r="B93" t="s">
        <v>111</v>
      </c>
      <c r="D93" t="s">
        <v>117</v>
      </c>
      <c r="E93" s="70">
        <v>0.95</v>
      </c>
    </row>
    <row r="94" spans="2:5" x14ac:dyDescent="0.25">
      <c r="B94" t="s">
        <v>102</v>
      </c>
      <c r="D94" t="s">
        <v>112</v>
      </c>
      <c r="E94" s="70">
        <v>1</v>
      </c>
    </row>
    <row r="95" spans="2:5" x14ac:dyDescent="0.25">
      <c r="B95" t="s">
        <v>103</v>
      </c>
      <c r="D95" t="s">
        <v>112</v>
      </c>
      <c r="E95" s="70">
        <v>1</v>
      </c>
    </row>
    <row r="96" spans="2:5" x14ac:dyDescent="0.25">
      <c r="B96" t="s">
        <v>104</v>
      </c>
      <c r="D96" t="s">
        <v>118</v>
      </c>
      <c r="E96" s="70">
        <v>1</v>
      </c>
    </row>
    <row r="97" spans="2:6" x14ac:dyDescent="0.25">
      <c r="B97" t="s">
        <v>105</v>
      </c>
      <c r="D97" t="s">
        <v>112</v>
      </c>
      <c r="E97" s="70">
        <v>1</v>
      </c>
    </row>
    <row r="98" spans="2:6" x14ac:dyDescent="0.25">
      <c r="B98" t="s">
        <v>140</v>
      </c>
      <c r="D98" t="s">
        <v>112</v>
      </c>
      <c r="E98" s="70">
        <v>1</v>
      </c>
    </row>
    <row r="99" spans="2:6" x14ac:dyDescent="0.25">
      <c r="B99" t="s">
        <v>107</v>
      </c>
      <c r="D99" t="s">
        <v>115</v>
      </c>
      <c r="E99" s="70">
        <v>0.95</v>
      </c>
    </row>
    <row r="100" spans="2:6" x14ac:dyDescent="0.25">
      <c r="B100" t="s">
        <v>108</v>
      </c>
      <c r="D100" t="s">
        <v>112</v>
      </c>
      <c r="E100" s="70">
        <v>1</v>
      </c>
    </row>
    <row r="101" spans="2:6" x14ac:dyDescent="0.25">
      <c r="B101" t="s">
        <v>109</v>
      </c>
      <c r="D101" t="s">
        <v>119</v>
      </c>
      <c r="E101" s="70">
        <v>1</v>
      </c>
    </row>
    <row r="102" spans="2:6" x14ac:dyDescent="0.25">
      <c r="B102" t="s">
        <v>110</v>
      </c>
      <c r="D102" t="s">
        <v>120</v>
      </c>
      <c r="E102" s="70">
        <v>1</v>
      </c>
    </row>
    <row r="104" spans="2:6" x14ac:dyDescent="0.25">
      <c r="B104" t="s">
        <v>166</v>
      </c>
      <c r="E104" s="93">
        <f>SUM(E32:E102)/COUNTA(E32:E102)</f>
        <v>1.012121212121212</v>
      </c>
    </row>
    <row r="105" spans="2:6" x14ac:dyDescent="0.25">
      <c r="E105" s="73"/>
    </row>
    <row r="106" spans="2:6" x14ac:dyDescent="0.25">
      <c r="B106" s="74" t="s">
        <v>142</v>
      </c>
      <c r="C106" s="74"/>
      <c r="D106" s="74"/>
      <c r="E106" s="120">
        <f>E104*E25</f>
        <v>776408.86981818161</v>
      </c>
      <c r="F106" t="s">
        <v>624</v>
      </c>
    </row>
    <row r="108" spans="2:6" x14ac:dyDescent="0.25">
      <c r="B108" t="s">
        <v>625</v>
      </c>
      <c r="E108" s="352">
        <f>+E106/(E22)</f>
        <v>155281.77396363631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51" activePane="bottomRight" state="frozen"/>
      <selection pane="topRight" activeCell="B1" sqref="B1"/>
      <selection pane="bottomLeft" activeCell="A3" sqref="A3"/>
      <selection pane="bottomRight" activeCell="H117" sqref="H117"/>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16" t="s">
        <v>172</v>
      </c>
    </row>
    <row r="3" spans="1:6" x14ac:dyDescent="0.25">
      <c r="B3" t="s">
        <v>647</v>
      </c>
    </row>
    <row r="5" spans="1:6" x14ac:dyDescent="0.25">
      <c r="A5">
        <v>1</v>
      </c>
      <c r="B5" t="s">
        <v>144</v>
      </c>
      <c r="C5" s="68" t="s">
        <v>628</v>
      </c>
    </row>
    <row r="6" spans="1:6" x14ac:dyDescent="0.25">
      <c r="B6" t="s">
        <v>145</v>
      </c>
      <c r="C6" s="69"/>
      <c r="D6" s="287"/>
    </row>
    <row r="7" spans="1:6" x14ac:dyDescent="0.25">
      <c r="B7" t="s">
        <v>146</v>
      </c>
      <c r="C7" s="402">
        <f>C6/C8</f>
        <v>0</v>
      </c>
      <c r="D7" s="333"/>
      <c r="E7" s="76"/>
    </row>
    <row r="8" spans="1:6" x14ac:dyDescent="0.25">
      <c r="B8" t="s">
        <v>147</v>
      </c>
      <c r="C8" s="69">
        <f>'Step 1'!E22</f>
        <v>5</v>
      </c>
      <c r="D8" s="333"/>
    </row>
    <row r="9" spans="1:6" x14ac:dyDescent="0.25">
      <c r="C9" s="75"/>
    </row>
    <row r="10" spans="1:6" x14ac:dyDescent="0.25">
      <c r="A10">
        <f>A5+1</f>
        <v>2</v>
      </c>
      <c r="B10" t="s">
        <v>144</v>
      </c>
      <c r="C10" s="68" t="s">
        <v>656</v>
      </c>
    </row>
    <row r="11" spans="1:6" x14ac:dyDescent="0.25">
      <c r="B11" t="s">
        <v>145</v>
      </c>
      <c r="C11" s="69"/>
      <c r="D11" s="287"/>
    </row>
    <row r="12" spans="1:6" x14ac:dyDescent="0.25">
      <c r="B12" t="s">
        <v>146</v>
      </c>
      <c r="C12" s="402">
        <f>C11/C13</f>
        <v>0</v>
      </c>
      <c r="D12" s="287" t="e">
        <f>C12/C7</f>
        <v>#DIV/0!</v>
      </c>
      <c r="F12" s="76"/>
    </row>
    <row r="13" spans="1:6" x14ac:dyDescent="0.25">
      <c r="B13" t="s">
        <v>147</v>
      </c>
      <c r="C13" s="69">
        <v>25</v>
      </c>
    </row>
    <row r="14" spans="1:6" x14ac:dyDescent="0.25">
      <c r="C14" s="75"/>
    </row>
    <row r="15" spans="1:6" x14ac:dyDescent="0.25">
      <c r="A15">
        <f>A10+1</f>
        <v>3</v>
      </c>
      <c r="B15" t="s">
        <v>144</v>
      </c>
      <c r="C15" s="68" t="s">
        <v>657</v>
      </c>
    </row>
    <row r="16" spans="1:6" x14ac:dyDescent="0.25">
      <c r="B16" t="s">
        <v>145</v>
      </c>
      <c r="C16" s="69"/>
      <c r="D16" s="287"/>
    </row>
    <row r="17" spans="1:5" x14ac:dyDescent="0.25">
      <c r="B17" t="s">
        <v>146</v>
      </c>
      <c r="C17" s="402">
        <f>C16/C18</f>
        <v>0</v>
      </c>
      <c r="D17" s="287" t="e">
        <f>C17/C12</f>
        <v>#DIV/0!</v>
      </c>
      <c r="E17" s="400"/>
    </row>
    <row r="18" spans="1:5" x14ac:dyDescent="0.25">
      <c r="B18" t="s">
        <v>147</v>
      </c>
      <c r="C18" s="69">
        <v>25</v>
      </c>
    </row>
    <row r="20" spans="1:5" x14ac:dyDescent="0.25">
      <c r="A20">
        <f>A15+1</f>
        <v>4</v>
      </c>
      <c r="B20" t="s">
        <v>144</v>
      </c>
      <c r="C20" s="68" t="s">
        <v>658</v>
      </c>
    </row>
    <row r="21" spans="1:5" x14ac:dyDescent="0.25">
      <c r="B21" t="s">
        <v>145</v>
      </c>
      <c r="C21" s="69"/>
      <c r="D21" s="287"/>
    </row>
    <row r="22" spans="1:5" x14ac:dyDescent="0.25">
      <c r="B22" t="s">
        <v>146</v>
      </c>
      <c r="C22" s="402">
        <f>C21/C23</f>
        <v>0</v>
      </c>
      <c r="D22" s="287" t="e">
        <f>C22/C17</f>
        <v>#DIV/0!</v>
      </c>
    </row>
    <row r="23" spans="1:5" x14ac:dyDescent="0.25">
      <c r="B23" t="s">
        <v>147</v>
      </c>
      <c r="C23" s="69">
        <v>25</v>
      </c>
    </row>
    <row r="24" spans="1:5" x14ac:dyDescent="0.25">
      <c r="C24" s="75"/>
    </row>
    <row r="25" spans="1:5" x14ac:dyDescent="0.25">
      <c r="A25">
        <f>A20+1</f>
        <v>5</v>
      </c>
      <c r="B25" t="s">
        <v>144</v>
      </c>
      <c r="C25" s="68" t="s">
        <v>659</v>
      </c>
    </row>
    <row r="26" spans="1:5" x14ac:dyDescent="0.25">
      <c r="B26" t="s">
        <v>145</v>
      </c>
      <c r="C26" s="69"/>
      <c r="D26" s="287"/>
    </row>
    <row r="27" spans="1:5" x14ac:dyDescent="0.25">
      <c r="B27" t="s">
        <v>146</v>
      </c>
      <c r="C27" s="402">
        <f>C26/C28</f>
        <v>0</v>
      </c>
      <c r="D27" s="287" t="e">
        <f>C27/C22</f>
        <v>#DIV/0!</v>
      </c>
    </row>
    <row r="28" spans="1:5" x14ac:dyDescent="0.25">
      <c r="B28" t="s">
        <v>147</v>
      </c>
      <c r="C28" s="69">
        <v>25</v>
      </c>
    </row>
    <row r="29" spans="1:5" x14ac:dyDescent="0.25">
      <c r="C29" s="75"/>
    </row>
    <row r="30" spans="1:5" x14ac:dyDescent="0.25">
      <c r="A30">
        <f>A25+1</f>
        <v>6</v>
      </c>
      <c r="B30" t="s">
        <v>144</v>
      </c>
      <c r="C30" s="68" t="s">
        <v>660</v>
      </c>
    </row>
    <row r="31" spans="1:5" x14ac:dyDescent="0.25">
      <c r="B31" t="s">
        <v>145</v>
      </c>
      <c r="C31" s="69"/>
      <c r="D31" s="287"/>
    </row>
    <row r="32" spans="1:5" x14ac:dyDescent="0.25">
      <c r="B32" t="s">
        <v>146</v>
      </c>
      <c r="C32" s="402">
        <f>C31/C33</f>
        <v>0</v>
      </c>
      <c r="D32" s="287" t="e">
        <f>C32/C27</f>
        <v>#DIV/0!</v>
      </c>
    </row>
    <row r="33" spans="1:4" x14ac:dyDescent="0.25">
      <c r="B33" t="s">
        <v>147</v>
      </c>
      <c r="C33" s="69">
        <v>25</v>
      </c>
    </row>
    <row r="34" spans="1:4" x14ac:dyDescent="0.25">
      <c r="C34" s="75"/>
    </row>
    <row r="35" spans="1:4" x14ac:dyDescent="0.25">
      <c r="A35">
        <f>A30+1</f>
        <v>7</v>
      </c>
      <c r="B35" t="s">
        <v>144</v>
      </c>
      <c r="C35" s="68" t="s">
        <v>648</v>
      </c>
    </row>
    <row r="36" spans="1:4" x14ac:dyDescent="0.25">
      <c r="B36" t="s">
        <v>145</v>
      </c>
      <c r="C36" s="69"/>
      <c r="D36" s="287"/>
    </row>
    <row r="37" spans="1:4" x14ac:dyDescent="0.25">
      <c r="B37" t="s">
        <v>146</v>
      </c>
      <c r="C37" s="402">
        <f>C36/C38</f>
        <v>0</v>
      </c>
      <c r="D37" s="287" t="e">
        <f>C37/C32</f>
        <v>#DIV/0!</v>
      </c>
    </row>
    <row r="38" spans="1:4" x14ac:dyDescent="0.25">
      <c r="B38" t="s">
        <v>147</v>
      </c>
      <c r="C38" s="69">
        <v>25</v>
      </c>
    </row>
    <row r="39" spans="1:4" x14ac:dyDescent="0.25">
      <c r="C39" s="75"/>
    </row>
    <row r="40" spans="1:4" x14ac:dyDescent="0.25">
      <c r="A40">
        <f>A35+1</f>
        <v>8</v>
      </c>
      <c r="B40" t="s">
        <v>144</v>
      </c>
      <c r="C40" s="68" t="s">
        <v>149</v>
      </c>
    </row>
    <row r="41" spans="1:4" x14ac:dyDescent="0.25">
      <c r="B41" t="s">
        <v>145</v>
      </c>
      <c r="C41" s="69"/>
      <c r="D41" s="287"/>
    </row>
    <row r="42" spans="1:4" x14ac:dyDescent="0.25">
      <c r="B42" t="s">
        <v>146</v>
      </c>
      <c r="C42" s="402">
        <f>C41/C43</f>
        <v>0</v>
      </c>
      <c r="D42" s="287" t="e">
        <f>C42/C37</f>
        <v>#DIV/0!</v>
      </c>
    </row>
    <row r="43" spans="1:4" x14ac:dyDescent="0.25">
      <c r="B43" t="s">
        <v>147</v>
      </c>
      <c r="C43" s="69">
        <v>25</v>
      </c>
    </row>
    <row r="44" spans="1:4" x14ac:dyDescent="0.25">
      <c r="C44" s="75"/>
    </row>
    <row r="45" spans="1:4" x14ac:dyDescent="0.25">
      <c r="A45">
        <f>A40+1</f>
        <v>9</v>
      </c>
      <c r="B45" t="s">
        <v>144</v>
      </c>
      <c r="C45" s="68" t="s">
        <v>661</v>
      </c>
    </row>
    <row r="46" spans="1:4" x14ac:dyDescent="0.25">
      <c r="B46" t="s">
        <v>145</v>
      </c>
      <c r="C46" s="69"/>
      <c r="D46" s="287"/>
    </row>
    <row r="47" spans="1:4" x14ac:dyDescent="0.25">
      <c r="B47" t="s">
        <v>146</v>
      </c>
      <c r="C47" s="402">
        <f>C46/C48</f>
        <v>0</v>
      </c>
      <c r="D47" s="287" t="e">
        <f>C47/C42</f>
        <v>#DIV/0!</v>
      </c>
    </row>
    <row r="48" spans="1:4" x14ac:dyDescent="0.25">
      <c r="B48" t="s">
        <v>147</v>
      </c>
      <c r="C48" s="69">
        <v>25</v>
      </c>
    </row>
    <row r="49" spans="1:7" x14ac:dyDescent="0.25">
      <c r="C49" s="75"/>
    </row>
    <row r="50" spans="1:7" x14ac:dyDescent="0.25">
      <c r="A50">
        <f>A45+1</f>
        <v>10</v>
      </c>
      <c r="B50" t="s">
        <v>144</v>
      </c>
      <c r="C50" s="68" t="s">
        <v>148</v>
      </c>
    </row>
    <row r="51" spans="1:7" x14ac:dyDescent="0.25">
      <c r="B51" t="s">
        <v>145</v>
      </c>
      <c r="C51" s="69"/>
      <c r="D51" s="287"/>
    </row>
    <row r="52" spans="1:7" x14ac:dyDescent="0.25">
      <c r="B52" t="s">
        <v>146</v>
      </c>
      <c r="C52" s="402">
        <f>C51/C53</f>
        <v>0</v>
      </c>
      <c r="D52" s="287" t="e">
        <f>C52/C47</f>
        <v>#DIV/0!</v>
      </c>
    </row>
    <row r="53" spans="1:7" x14ac:dyDescent="0.25">
      <c r="B53" t="s">
        <v>147</v>
      </c>
      <c r="C53" s="69">
        <v>25</v>
      </c>
    </row>
    <row r="54" spans="1:7" x14ac:dyDescent="0.25">
      <c r="C54" s="75"/>
    </row>
    <row r="55" spans="1:7" x14ac:dyDescent="0.25">
      <c r="A55">
        <f>A50+1</f>
        <v>11</v>
      </c>
      <c r="B55" t="s">
        <v>144</v>
      </c>
      <c r="C55" s="68" t="s">
        <v>662</v>
      </c>
    </row>
    <row r="56" spans="1:7" x14ac:dyDescent="0.25">
      <c r="B56" t="s">
        <v>145</v>
      </c>
      <c r="C56" s="69"/>
      <c r="D56" s="287"/>
    </row>
    <row r="57" spans="1:7" x14ac:dyDescent="0.25">
      <c r="B57" t="s">
        <v>146</v>
      </c>
      <c r="C57" s="402">
        <f>C56/C58</f>
        <v>0</v>
      </c>
      <c r="D57" s="287" t="e">
        <f>C57/C52</f>
        <v>#DIV/0!</v>
      </c>
    </row>
    <row r="58" spans="1:7" x14ac:dyDescent="0.25">
      <c r="B58" t="s">
        <v>147</v>
      </c>
      <c r="C58" s="69">
        <v>25</v>
      </c>
    </row>
    <row r="59" spans="1:7" x14ac:dyDescent="0.25">
      <c r="C59" s="75"/>
    </row>
    <row r="60" spans="1:7" x14ac:dyDescent="0.25">
      <c r="A60">
        <f>A55+1</f>
        <v>12</v>
      </c>
      <c r="B60" t="s">
        <v>144</v>
      </c>
      <c r="C60" s="68" t="s">
        <v>663</v>
      </c>
    </row>
    <row r="61" spans="1:7" x14ac:dyDescent="0.25">
      <c r="B61" t="s">
        <v>145</v>
      </c>
      <c r="C61" s="69"/>
      <c r="D61" s="287"/>
    </row>
    <row r="62" spans="1:7" x14ac:dyDescent="0.25">
      <c r="B62" t="s">
        <v>146</v>
      </c>
      <c r="C62" s="402">
        <f>C61/C63</f>
        <v>0</v>
      </c>
      <c r="D62" s="287" t="e">
        <f>C62/C57</f>
        <v>#DIV/0!</v>
      </c>
      <c r="G62" s="385"/>
    </row>
    <row r="63" spans="1:7" x14ac:dyDescent="0.25">
      <c r="B63" t="s">
        <v>147</v>
      </c>
      <c r="C63" s="69">
        <v>25</v>
      </c>
    </row>
    <row r="64" spans="1:7" x14ac:dyDescent="0.25">
      <c r="C64" s="75"/>
    </row>
    <row r="65" spans="1:4" x14ac:dyDescent="0.25">
      <c r="A65">
        <f>A60+1</f>
        <v>13</v>
      </c>
      <c r="B65" t="s">
        <v>144</v>
      </c>
      <c r="C65" s="68" t="s">
        <v>664</v>
      </c>
    </row>
    <row r="66" spans="1:4" x14ac:dyDescent="0.25">
      <c r="B66" t="s">
        <v>145</v>
      </c>
      <c r="C66" s="69"/>
      <c r="D66" s="287"/>
    </row>
    <row r="67" spans="1:4" x14ac:dyDescent="0.25">
      <c r="B67" t="s">
        <v>146</v>
      </c>
      <c r="C67" s="402">
        <f>C66/C68</f>
        <v>0</v>
      </c>
      <c r="D67" s="287" t="e">
        <f>C67/C62</f>
        <v>#DIV/0!</v>
      </c>
    </row>
    <row r="68" spans="1:4" x14ac:dyDescent="0.25">
      <c r="B68" t="s">
        <v>147</v>
      </c>
      <c r="C68" s="69">
        <v>25</v>
      </c>
    </row>
    <row r="69" spans="1:4" x14ac:dyDescent="0.25">
      <c r="C69" s="75"/>
    </row>
    <row r="70" spans="1:4" x14ac:dyDescent="0.25">
      <c r="A70">
        <f>A65+1</f>
        <v>14</v>
      </c>
      <c r="B70" t="s">
        <v>144</v>
      </c>
      <c r="C70" s="68" t="s">
        <v>665</v>
      </c>
    </row>
    <row r="71" spans="1:4" x14ac:dyDescent="0.25">
      <c r="B71" t="s">
        <v>145</v>
      </c>
      <c r="C71" s="69"/>
      <c r="D71" s="287"/>
    </row>
    <row r="72" spans="1:4" x14ac:dyDescent="0.25">
      <c r="B72" t="s">
        <v>146</v>
      </c>
      <c r="C72" s="402">
        <f>C71/C73</f>
        <v>0</v>
      </c>
      <c r="D72" s="287" t="e">
        <f>C72/C67</f>
        <v>#DIV/0!</v>
      </c>
    </row>
    <row r="73" spans="1:4" x14ac:dyDescent="0.25">
      <c r="B73" t="s">
        <v>147</v>
      </c>
      <c r="C73" s="69">
        <v>25</v>
      </c>
    </row>
    <row r="74" spans="1:4" x14ac:dyDescent="0.25">
      <c r="C74" s="75"/>
    </row>
    <row r="75" spans="1:4" x14ac:dyDescent="0.25">
      <c r="A75">
        <f>A70+1</f>
        <v>15</v>
      </c>
      <c r="B75" t="s">
        <v>144</v>
      </c>
      <c r="C75" s="68" t="s">
        <v>666</v>
      </c>
    </row>
    <row r="76" spans="1:4" x14ac:dyDescent="0.25">
      <c r="B76" t="s">
        <v>145</v>
      </c>
      <c r="C76" s="69"/>
      <c r="D76" s="287"/>
    </row>
    <row r="77" spans="1:4" x14ac:dyDescent="0.25">
      <c r="B77" t="s">
        <v>146</v>
      </c>
      <c r="C77" s="402">
        <f>C76/C78</f>
        <v>0</v>
      </c>
      <c r="D77" s="287" t="e">
        <f>C77/C72</f>
        <v>#DIV/0!</v>
      </c>
    </row>
    <row r="78" spans="1:4" x14ac:dyDescent="0.25">
      <c r="B78" t="s">
        <v>147</v>
      </c>
      <c r="C78" s="69">
        <v>25</v>
      </c>
    </row>
    <row r="79" spans="1:4" x14ac:dyDescent="0.25">
      <c r="C79" s="397"/>
    </row>
    <row r="80" spans="1:4" x14ac:dyDescent="0.25">
      <c r="A80">
        <f>A75+1</f>
        <v>16</v>
      </c>
      <c r="B80" t="s">
        <v>144</v>
      </c>
      <c r="C80" s="68" t="s">
        <v>667</v>
      </c>
    </row>
    <row r="81" spans="1:4" x14ac:dyDescent="0.25">
      <c r="B81" t="s">
        <v>145</v>
      </c>
      <c r="C81" s="69"/>
      <c r="D81" s="287"/>
    </row>
    <row r="82" spans="1:4" x14ac:dyDescent="0.25">
      <c r="B82" t="s">
        <v>146</v>
      </c>
      <c r="C82" s="402">
        <f>C81/C83</f>
        <v>0</v>
      </c>
      <c r="D82" s="287" t="e">
        <f>C82/C77</f>
        <v>#DIV/0!</v>
      </c>
    </row>
    <row r="83" spans="1:4" x14ac:dyDescent="0.25">
      <c r="B83" t="s">
        <v>147</v>
      </c>
      <c r="C83" s="69">
        <v>25</v>
      </c>
    </row>
    <row r="84" spans="1:4" x14ac:dyDescent="0.25">
      <c r="C84" s="75"/>
    </row>
    <row r="85" spans="1:4" x14ac:dyDescent="0.25">
      <c r="A85">
        <f>A80+1</f>
        <v>17</v>
      </c>
      <c r="B85" t="s">
        <v>144</v>
      </c>
      <c r="C85" s="68" t="s">
        <v>668</v>
      </c>
    </row>
    <row r="86" spans="1:4" x14ac:dyDescent="0.25">
      <c r="B86" t="s">
        <v>145</v>
      </c>
      <c r="C86" s="69"/>
      <c r="D86" s="287"/>
    </row>
    <row r="87" spans="1:4" x14ac:dyDescent="0.25">
      <c r="B87" t="s">
        <v>146</v>
      </c>
      <c r="C87" s="402">
        <f>C86/C88</f>
        <v>0</v>
      </c>
      <c r="D87" s="287" t="e">
        <f>C87/C82</f>
        <v>#DIV/0!</v>
      </c>
    </row>
    <row r="88" spans="1:4" x14ac:dyDescent="0.25">
      <c r="B88" t="s">
        <v>147</v>
      </c>
      <c r="C88" s="69">
        <v>25</v>
      </c>
    </row>
    <row r="90" spans="1:4" x14ac:dyDescent="0.25">
      <c r="A90">
        <f>A85+1</f>
        <v>18</v>
      </c>
      <c r="B90" t="s">
        <v>144</v>
      </c>
      <c r="C90" s="68" t="s">
        <v>669</v>
      </c>
    </row>
    <row r="91" spans="1:4" x14ac:dyDescent="0.25">
      <c r="B91" t="s">
        <v>145</v>
      </c>
      <c r="C91" s="69"/>
      <c r="D91" s="287"/>
    </row>
    <row r="92" spans="1:4" x14ac:dyDescent="0.25">
      <c r="B92" t="s">
        <v>146</v>
      </c>
      <c r="C92" s="402">
        <f>C91/C93</f>
        <v>0</v>
      </c>
      <c r="D92" s="287" t="e">
        <f>C92/C87</f>
        <v>#DIV/0!</v>
      </c>
    </row>
    <row r="93" spans="1:4" x14ac:dyDescent="0.25">
      <c r="B93" t="s">
        <v>147</v>
      </c>
      <c r="C93" s="69">
        <v>25</v>
      </c>
    </row>
    <row r="94" spans="1:4" x14ac:dyDescent="0.25">
      <c r="C94" s="75"/>
    </row>
    <row r="95" spans="1:4" x14ac:dyDescent="0.25">
      <c r="A95">
        <f>A90+1</f>
        <v>19</v>
      </c>
      <c r="B95" t="s">
        <v>144</v>
      </c>
      <c r="C95" s="68" t="s">
        <v>670</v>
      </c>
    </row>
    <row r="96" spans="1:4" x14ac:dyDescent="0.25">
      <c r="B96" t="s">
        <v>145</v>
      </c>
      <c r="C96" s="69"/>
      <c r="D96" s="287"/>
    </row>
    <row r="97" spans="1:4" x14ac:dyDescent="0.25">
      <c r="B97" t="s">
        <v>146</v>
      </c>
      <c r="C97" s="402">
        <f>C96/C98</f>
        <v>0</v>
      </c>
      <c r="D97" s="287" t="e">
        <f>C97/C92</f>
        <v>#DIV/0!</v>
      </c>
    </row>
    <row r="98" spans="1:4" x14ac:dyDescent="0.25">
      <c r="B98" t="s">
        <v>147</v>
      </c>
      <c r="C98" s="69">
        <v>25</v>
      </c>
    </row>
    <row r="99" spans="1:4" x14ac:dyDescent="0.25">
      <c r="C99" s="75"/>
    </row>
    <row r="100" spans="1:4" x14ac:dyDescent="0.25">
      <c r="A100">
        <f>A95+1</f>
        <v>20</v>
      </c>
      <c r="B100" t="s">
        <v>144</v>
      </c>
      <c r="C100" s="68" t="s">
        <v>671</v>
      </c>
    </row>
    <row r="101" spans="1:4" x14ac:dyDescent="0.25">
      <c r="B101" t="s">
        <v>145</v>
      </c>
      <c r="C101" s="69"/>
      <c r="D101" s="287"/>
    </row>
    <row r="102" spans="1:4" x14ac:dyDescent="0.25">
      <c r="B102" t="s">
        <v>146</v>
      </c>
      <c r="C102" s="402">
        <f>C101/C103</f>
        <v>0</v>
      </c>
      <c r="D102" s="287" t="e">
        <f>C102/C97</f>
        <v>#DIV/0!</v>
      </c>
    </row>
    <row r="103" spans="1:4" x14ac:dyDescent="0.25">
      <c r="B103" t="s">
        <v>147</v>
      </c>
      <c r="C103" s="69">
        <v>25</v>
      </c>
    </row>
    <row r="104" spans="1:4" x14ac:dyDescent="0.25">
      <c r="C104" s="75"/>
    </row>
    <row r="105" spans="1:4" x14ac:dyDescent="0.25">
      <c r="A105">
        <f>A100+1</f>
        <v>21</v>
      </c>
      <c r="B105" t="s">
        <v>144</v>
      </c>
      <c r="C105" s="68" t="s">
        <v>672</v>
      </c>
    </row>
    <row r="106" spans="1:4" x14ac:dyDescent="0.25">
      <c r="B106" t="s">
        <v>145</v>
      </c>
      <c r="C106" s="69">
        <v>690.44021118717444</v>
      </c>
      <c r="D106" s="287"/>
    </row>
    <row r="107" spans="1:4" x14ac:dyDescent="0.25">
      <c r="B107" t="s">
        <v>146</v>
      </c>
      <c r="C107" s="402">
        <f>C106/C108</f>
        <v>27.617608447486976</v>
      </c>
      <c r="D107" s="287" t="e">
        <f>C107/C102</f>
        <v>#DIV/0!</v>
      </c>
    </row>
    <row r="108" spans="1:4" x14ac:dyDescent="0.25">
      <c r="B108" t="s">
        <v>147</v>
      </c>
      <c r="C108" s="69">
        <v>25</v>
      </c>
    </row>
    <row r="109" spans="1:4" x14ac:dyDescent="0.25">
      <c r="C109" s="75"/>
    </row>
    <row r="110" spans="1:4" x14ac:dyDescent="0.25">
      <c r="A110">
        <f>A105+1</f>
        <v>22</v>
      </c>
      <c r="B110" t="s">
        <v>144</v>
      </c>
      <c r="C110" s="68" t="s">
        <v>673</v>
      </c>
    </row>
    <row r="111" spans="1:4" x14ac:dyDescent="0.25">
      <c r="B111" t="s">
        <v>145</v>
      </c>
      <c r="C111" s="69"/>
      <c r="D111" s="287"/>
    </row>
    <row r="112" spans="1:4" x14ac:dyDescent="0.25">
      <c r="B112" t="s">
        <v>146</v>
      </c>
      <c r="C112" s="402">
        <f>C111/C113</f>
        <v>0</v>
      </c>
      <c r="D112" s="287">
        <f>C112/C107</f>
        <v>0</v>
      </c>
    </row>
    <row r="113" spans="1:4" x14ac:dyDescent="0.25">
      <c r="B113" t="s">
        <v>147</v>
      </c>
      <c r="C113" s="69">
        <v>25</v>
      </c>
    </row>
    <row r="114" spans="1:4" x14ac:dyDescent="0.25">
      <c r="C114" s="75"/>
    </row>
    <row r="115" spans="1:4" x14ac:dyDescent="0.25">
      <c r="A115">
        <f>A110+1</f>
        <v>23</v>
      </c>
      <c r="B115" t="s">
        <v>144</v>
      </c>
      <c r="C115" s="68" t="s">
        <v>674</v>
      </c>
    </row>
    <row r="116" spans="1:4" x14ac:dyDescent="0.25">
      <c r="B116" t="s">
        <v>145</v>
      </c>
      <c r="C116" s="69"/>
      <c r="D116" s="287"/>
    </row>
    <row r="117" spans="1:4" x14ac:dyDescent="0.25">
      <c r="B117" t="s">
        <v>146</v>
      </c>
      <c r="C117" s="402">
        <f>C116/C118</f>
        <v>0</v>
      </c>
      <c r="D117" s="287" t="e">
        <f>C117/C112</f>
        <v>#DIV/0!</v>
      </c>
    </row>
    <row r="118" spans="1:4" x14ac:dyDescent="0.25">
      <c r="B118" t="s">
        <v>147</v>
      </c>
      <c r="C118" s="69">
        <v>25</v>
      </c>
    </row>
    <row r="119" spans="1:4" x14ac:dyDescent="0.25">
      <c r="C119" s="75"/>
    </row>
    <row r="120" spans="1:4" x14ac:dyDescent="0.25">
      <c r="A120">
        <f>A115+1</f>
        <v>24</v>
      </c>
      <c r="B120" t="s">
        <v>144</v>
      </c>
      <c r="C120" s="68" t="s">
        <v>675</v>
      </c>
    </row>
    <row r="121" spans="1:4" x14ac:dyDescent="0.25">
      <c r="B121" t="s">
        <v>145</v>
      </c>
      <c r="C121" s="69"/>
      <c r="D121" s="287"/>
    </row>
    <row r="122" spans="1:4" x14ac:dyDescent="0.25">
      <c r="B122" t="s">
        <v>146</v>
      </c>
      <c r="C122" s="402">
        <f>C121/C123</f>
        <v>0</v>
      </c>
      <c r="D122" s="287" t="e">
        <f>C122/C117</f>
        <v>#DIV/0!</v>
      </c>
    </row>
    <row r="123" spans="1:4" x14ac:dyDescent="0.25">
      <c r="B123" t="s">
        <v>147</v>
      </c>
      <c r="C123" s="69">
        <v>25</v>
      </c>
    </row>
    <row r="124" spans="1:4" x14ac:dyDescent="0.25">
      <c r="C124" s="75"/>
    </row>
    <row r="125" spans="1:4" x14ac:dyDescent="0.25">
      <c r="A125">
        <f>A120+1</f>
        <v>25</v>
      </c>
      <c r="B125" t="s">
        <v>144</v>
      </c>
      <c r="C125" s="68" t="s">
        <v>676</v>
      </c>
    </row>
    <row r="126" spans="1:4" x14ac:dyDescent="0.25">
      <c r="B126" t="s">
        <v>145</v>
      </c>
      <c r="C126" s="69"/>
      <c r="D126" s="287"/>
    </row>
    <row r="127" spans="1:4" x14ac:dyDescent="0.25">
      <c r="B127" t="s">
        <v>146</v>
      </c>
      <c r="C127" s="402">
        <f>C126/C128</f>
        <v>0</v>
      </c>
      <c r="D127" s="287" t="e">
        <f>C127/C122</f>
        <v>#DIV/0!</v>
      </c>
    </row>
    <row r="128" spans="1:4" x14ac:dyDescent="0.25">
      <c r="B128" t="s">
        <v>147</v>
      </c>
      <c r="C128" s="69">
        <v>25</v>
      </c>
    </row>
    <row r="129" spans="2:3" x14ac:dyDescent="0.25">
      <c r="C129" s="75"/>
    </row>
    <row r="130" spans="2:3" x14ac:dyDescent="0.25">
      <c r="B130" t="s">
        <v>655</v>
      </c>
      <c r="C130" s="403">
        <f>+SUM(C8,C13,C18,C23,C28,C33,C38,C43,C48,C53,C58,C63,C68,C73,C78,C83,C88,C93,C98,C103,C108,C113,C118,C123,C128)</f>
        <v>605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5"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16" t="s">
        <v>173</v>
      </c>
    </row>
    <row r="4" spans="1:15" outlineLevel="1" x14ac:dyDescent="0.25">
      <c r="C4" s="77"/>
    </row>
    <row r="5" spans="1:15" x14ac:dyDescent="0.25">
      <c r="B5" t="s">
        <v>626</v>
      </c>
      <c r="C5" s="410">
        <f>'Step 1'!E106</f>
        <v>776408.86981818161</v>
      </c>
    </row>
    <row r="6" spans="1:15" x14ac:dyDescent="0.25">
      <c r="B6" s="63" t="s">
        <v>174</v>
      </c>
      <c r="C6" s="112"/>
    </row>
    <row r="7" spans="1:15" ht="20.100000000000001" customHeight="1" x14ac:dyDescent="0.25">
      <c r="C7" s="76"/>
      <c r="K7" s="62"/>
    </row>
    <row r="8" spans="1:15" ht="20.100000000000001" customHeight="1" x14ac:dyDescent="0.25">
      <c r="B8" t="s">
        <v>0</v>
      </c>
      <c r="C8" s="107">
        <f>'Step 1'!E18</f>
        <v>132810</v>
      </c>
      <c r="L8" s="380"/>
    </row>
    <row r="9" spans="1:15" ht="46.5" customHeight="1" x14ac:dyDescent="0.25">
      <c r="C9" s="95" t="s">
        <v>169</v>
      </c>
      <c r="D9" s="95" t="s">
        <v>151</v>
      </c>
      <c r="E9" s="96" t="s">
        <v>152</v>
      </c>
      <c r="F9" s="96" t="s">
        <v>153</v>
      </c>
      <c r="G9" s="96" t="s">
        <v>154</v>
      </c>
      <c r="H9" s="96" t="s">
        <v>155</v>
      </c>
      <c r="I9" s="96" t="s">
        <v>156</v>
      </c>
      <c r="J9" s="96" t="s">
        <v>157</v>
      </c>
      <c r="K9" s="97" t="s">
        <v>158</v>
      </c>
      <c r="L9" s="380"/>
    </row>
    <row r="10" spans="1:15" ht="46.5" customHeight="1" x14ac:dyDescent="0.25">
      <c r="A10" s="92">
        <f t="shared" ref="A10:A22" si="0">A11+1</f>
        <v>25</v>
      </c>
      <c r="B10" s="354" t="str">
        <f>IF('Step 2'!C125="","",'Step 2'!C125)</f>
        <v>Company 25</v>
      </c>
      <c r="C10" s="353">
        <f>IF('Step 2'!C128="","",'Step 2'!C128+C11)</f>
        <v>605</v>
      </c>
      <c r="D10" s="398">
        <f>IF(C10="","",'ILF Interpolation'!EY$19)</f>
        <v>41.8848417336946</v>
      </c>
      <c r="E10" s="381">
        <f t="shared" ref="E10:E30" si="1">IF(C10="",D10,D10-D11)</f>
        <v>9.0575984311279001E-2</v>
      </c>
      <c r="F10" s="110">
        <f>IF(C10="","",'Step 1'!$E$18*E10)</f>
        <v>12029.396476380964</v>
      </c>
      <c r="G10" s="109">
        <f t="shared" ref="G10:G29" si="2">IF(C10="","",$G$34)</f>
        <v>1.012121212121212</v>
      </c>
      <c r="H10" s="110">
        <f t="shared" ref="H10:H30" si="3">IF(C10="","",F10*G10)</f>
        <v>12175.207342761338</v>
      </c>
      <c r="I10" s="96"/>
      <c r="J10" s="117">
        <f>IF(C10="","",'Step 2'!C126)</f>
        <v>0</v>
      </c>
      <c r="K10" s="111">
        <f>IF(C10="","",E10/$E$34*$C$5)</f>
        <v>12175.207342761336</v>
      </c>
      <c r="L10" s="411"/>
      <c r="N10" s="401"/>
      <c r="O10" s="400"/>
    </row>
    <row r="11" spans="1:15" ht="46.5" customHeight="1" x14ac:dyDescent="0.25">
      <c r="A11" s="92">
        <f t="shared" si="0"/>
        <v>24</v>
      </c>
      <c r="B11" s="354" t="str">
        <f>IF('Step 2'!C120="","",'Step 2'!C120)</f>
        <v>Company 24</v>
      </c>
      <c r="C11" s="353">
        <f>IF('Step 2'!C123="","",'Step 2'!C123+C12)</f>
        <v>580</v>
      </c>
      <c r="D11" s="398">
        <f>IF(C11="","",'ILF Interpolation'!ES$19)</f>
        <v>41.794265749383321</v>
      </c>
      <c r="E11" s="381">
        <f t="shared" si="1"/>
        <v>0.10587119765114039</v>
      </c>
      <c r="F11" s="110">
        <f>IF(C11="","",'Step 1'!$E$18*E11)</f>
        <v>14060.753760047955</v>
      </c>
      <c r="G11" s="109">
        <f t="shared" si="2"/>
        <v>1.012121212121212</v>
      </c>
      <c r="H11" s="110">
        <f t="shared" si="3"/>
        <v>14231.187138957626</v>
      </c>
      <c r="I11" s="96"/>
      <c r="J11" s="117">
        <f>IF(C11="","",'Step 2'!C121)</f>
        <v>0</v>
      </c>
      <c r="K11" s="111">
        <f>IF(C11="","",E11/$E$34*$C$5)</f>
        <v>14231.187138957624</v>
      </c>
      <c r="L11" s="411"/>
      <c r="N11" s="401"/>
    </row>
    <row r="12" spans="1:15" ht="46.5" customHeight="1" x14ac:dyDescent="0.25">
      <c r="A12" s="92">
        <f t="shared" si="0"/>
        <v>23</v>
      </c>
      <c r="B12" s="354" t="str">
        <f>IF('Step 2'!C115="","",'Step 2'!C115)</f>
        <v>Company 23</v>
      </c>
      <c r="C12" s="353">
        <f>IF('Step 2'!C118="","",'Step 2'!C118+C13)</f>
        <v>555</v>
      </c>
      <c r="D12" s="398">
        <f>IF(C12="","",'ILF Interpolation'!EM$19)</f>
        <v>41.688394551732181</v>
      </c>
      <c r="E12" s="381">
        <f t="shared" si="1"/>
        <v>0.12101601289461428</v>
      </c>
      <c r="F12" s="110">
        <f>IF(C12="","",'Step 1'!$E$18*E12)</f>
        <v>16072.136672533723</v>
      </c>
      <c r="G12" s="109">
        <f t="shared" si="2"/>
        <v>1.012121212121212</v>
      </c>
      <c r="H12" s="110">
        <f t="shared" si="3"/>
        <v>16266.950450382614</v>
      </c>
      <c r="I12" s="96"/>
      <c r="J12" s="117">
        <f>IF(C12="","",'Step 2'!C116)</f>
        <v>0</v>
      </c>
      <c r="K12" s="111">
        <f>IF(C12="","",E12/$E$34*$C$5)</f>
        <v>16266.950450382612</v>
      </c>
      <c r="L12" s="411"/>
      <c r="N12" s="401"/>
    </row>
    <row r="13" spans="1:15" ht="46.5" customHeight="1" x14ac:dyDescent="0.25">
      <c r="A13" s="92">
        <f t="shared" si="0"/>
        <v>22</v>
      </c>
      <c r="B13" s="354" t="str">
        <f>IF('Step 2'!C110="","",'Step 2'!C110)</f>
        <v>Company 22</v>
      </c>
      <c r="C13" s="353">
        <f>IF('Step 2'!C113="","",'Step 2'!C113+C14)</f>
        <v>530</v>
      </c>
      <c r="D13" s="398">
        <f>IF(C13="","",'ILF Interpolation'!EG$19)</f>
        <v>41.567378538837566</v>
      </c>
      <c r="E13" s="381">
        <f t="shared" si="1"/>
        <v>0.13598971804297832</v>
      </c>
      <c r="F13" s="110">
        <f>IF(C13="","",'Step 1'!$E$18*E13)</f>
        <v>18060.794453287952</v>
      </c>
      <c r="G13" s="109">
        <f t="shared" si="2"/>
        <v>1.012121212121212</v>
      </c>
      <c r="H13" s="110">
        <f t="shared" si="3"/>
        <v>18279.713173933866</v>
      </c>
      <c r="I13" s="96"/>
      <c r="J13" s="117">
        <f>IF(C13="","",'Step 2'!C111)</f>
        <v>0</v>
      </c>
      <c r="K13" s="111">
        <f t="shared" ref="K13:K34" si="4">IF(C13="","",E13/$E$34*$C$5)</f>
        <v>18279.713173933862</v>
      </c>
      <c r="L13" s="411"/>
      <c r="N13" s="401"/>
    </row>
    <row r="14" spans="1:15" ht="46.5" customHeight="1" x14ac:dyDescent="0.25">
      <c r="A14" s="92">
        <f t="shared" si="0"/>
        <v>21</v>
      </c>
      <c r="B14" s="354" t="str">
        <f>IF('Step 2'!C105="","",'Step 2'!C105)</f>
        <v>Company 21</v>
      </c>
      <c r="C14" s="353">
        <f>IF('Step 2'!C108="","",'Step 2'!C108+C15)</f>
        <v>505</v>
      </c>
      <c r="D14" s="398">
        <f>IF(C14="","",'ILF Interpolation'!EA$19)</f>
        <v>41.431388820794588</v>
      </c>
      <c r="E14" s="381">
        <f t="shared" si="1"/>
        <v>0.1507720686578935</v>
      </c>
      <c r="F14" s="110">
        <f>IF(C14="","",'Step 1'!$E$18*E14)</f>
        <v>20024.038438454834</v>
      </c>
      <c r="G14" s="109">
        <f t="shared" si="2"/>
        <v>1.012121212121212</v>
      </c>
      <c r="H14" s="110">
        <f t="shared" si="3"/>
        <v>20266.754055890648</v>
      </c>
      <c r="I14" s="96"/>
      <c r="J14" s="117">
        <f>IF(C14="","",'Step 2'!C106)</f>
        <v>690.44021118717444</v>
      </c>
      <c r="K14" s="111">
        <f t="shared" si="4"/>
        <v>20266.754055890648</v>
      </c>
      <c r="L14" s="411"/>
      <c r="N14" s="401"/>
    </row>
    <row r="15" spans="1:15" ht="46.5" customHeight="1" x14ac:dyDescent="0.25">
      <c r="A15" s="92">
        <f t="shared" si="0"/>
        <v>20</v>
      </c>
      <c r="B15" s="354" t="str">
        <f>IF('Step 2'!C100="","",'Step 2'!C100)</f>
        <v>Company 20</v>
      </c>
      <c r="C15" s="353">
        <f>IF('Step 2'!C103="","",'Step 2'!C103+C16)</f>
        <v>480</v>
      </c>
      <c r="D15" s="398">
        <f>IF(C15="","",'ILF Interpolation'!DU$19)</f>
        <v>41.280616752136694</v>
      </c>
      <c r="E15" s="381">
        <f t="shared" si="1"/>
        <v>0.16534334039032927</v>
      </c>
      <c r="F15" s="110">
        <f>IF(C15="","",'Step 1'!$E$18*E15)</f>
        <v>21959.249037239631</v>
      </c>
      <c r="G15" s="109">
        <f t="shared" si="2"/>
        <v>1.012121212121212</v>
      </c>
      <c r="H15" s="110">
        <f t="shared" si="3"/>
        <v>22225.421752842532</v>
      </c>
      <c r="I15" s="96"/>
      <c r="J15" s="117">
        <f>IF(C15="","",'Step 2'!C101)</f>
        <v>0</v>
      </c>
      <c r="K15" s="111">
        <f t="shared" si="4"/>
        <v>22225.421752842532</v>
      </c>
      <c r="L15" s="411"/>
      <c r="N15" s="401"/>
    </row>
    <row r="16" spans="1:15" ht="46.5" customHeight="1" x14ac:dyDescent="0.25">
      <c r="A16" s="92">
        <f t="shared" si="0"/>
        <v>19</v>
      </c>
      <c r="B16" s="354" t="str">
        <f>IF('Step 2'!C95="","",'Step 2'!C95)</f>
        <v>Company 19</v>
      </c>
      <c r="C16" s="353">
        <f>IF('Step 2'!C98="","",'Step 2'!C98+C17)</f>
        <v>455</v>
      </c>
      <c r="D16" s="398">
        <f>IF(C16="","",'ILF Interpolation'!DO$19)</f>
        <v>41.115273411746365</v>
      </c>
      <c r="E16" s="381">
        <f t="shared" si="1"/>
        <v>0.17968437928908543</v>
      </c>
      <c r="F16" s="110">
        <f>IF(C16="","",'Step 1'!$E$18*E16)</f>
        <v>23863.882413383435</v>
      </c>
      <c r="G16" s="109">
        <f t="shared" si="2"/>
        <v>1.012121212121212</v>
      </c>
      <c r="H16" s="110">
        <f t="shared" si="3"/>
        <v>24153.141594151715</v>
      </c>
      <c r="I16" s="96"/>
      <c r="J16" s="117">
        <f>IF(C16="","",'Step 2'!C96)</f>
        <v>0</v>
      </c>
      <c r="K16" s="111">
        <f t="shared" si="4"/>
        <v>24153.141594151715</v>
      </c>
      <c r="L16" s="411"/>
      <c r="M16" s="399"/>
      <c r="N16" s="401"/>
    </row>
    <row r="17" spans="1:18" ht="46.5" customHeight="1" x14ac:dyDescent="0.25">
      <c r="A17" s="92">
        <f t="shared" si="0"/>
        <v>18</v>
      </c>
      <c r="B17" s="354" t="str">
        <f>IF('Step 2'!C90="","",'Step 2'!C90)</f>
        <v>Company 18</v>
      </c>
      <c r="C17" s="353">
        <f>IF('Step 2'!C93="","",'Step 2'!C93+C18)</f>
        <v>430</v>
      </c>
      <c r="D17" s="398">
        <f>IF(C17="","",'ILF Interpolation'!DI$19)</f>
        <v>40.93558903245728</v>
      </c>
      <c r="E17" s="381">
        <f t="shared" si="1"/>
        <v>0.19377664969026398</v>
      </c>
      <c r="F17" s="110">
        <f>IF(C17="","",'Step 1'!$E$18*E17)</f>
        <v>25735.476845363959</v>
      </c>
      <c r="G17" s="109">
        <f t="shared" si="2"/>
        <v>1.012121212121212</v>
      </c>
      <c r="H17" s="110">
        <f t="shared" si="3"/>
        <v>26047.422019247155</v>
      </c>
      <c r="I17" s="96"/>
      <c r="J17" s="117">
        <f>IF(C17="","",'Step 2'!C91)</f>
        <v>0</v>
      </c>
      <c r="K17" s="111">
        <f t="shared" si="4"/>
        <v>26047.422019247155</v>
      </c>
      <c r="L17" s="411"/>
      <c r="N17" s="401"/>
    </row>
    <row r="18" spans="1:18" ht="46.5" customHeight="1" x14ac:dyDescent="0.25">
      <c r="A18" s="92">
        <f t="shared" si="0"/>
        <v>17</v>
      </c>
      <c r="B18" s="354" t="str">
        <f>IF('Step 2'!C85="","",'Step 2'!C85)</f>
        <v>Company 17</v>
      </c>
      <c r="C18" s="353">
        <f>IF('Step 2'!C88="","",'Step 2'!C88+C19)</f>
        <v>405</v>
      </c>
      <c r="D18" s="398">
        <f>IF(C18="","",'ILF Interpolation'!DC$19)</f>
        <v>40.741812382767016</v>
      </c>
      <c r="E18" s="381">
        <f t="shared" si="1"/>
        <v>0.2076022795029786</v>
      </c>
      <c r="F18" s="110">
        <f>IF(C18="","",'Step 1'!$E$18*E18)</f>
        <v>27571.65874079059</v>
      </c>
      <c r="G18" s="109">
        <f t="shared" si="2"/>
        <v>1.012121212121212</v>
      </c>
      <c r="H18" s="110">
        <f t="shared" si="3"/>
        <v>27905.86066492138</v>
      </c>
      <c r="I18" s="96"/>
      <c r="J18" s="117">
        <f>IF(C18="","",'Step 2'!C86)</f>
        <v>0</v>
      </c>
      <c r="K18" s="111">
        <f t="shared" si="4"/>
        <v>27905.86066492138</v>
      </c>
      <c r="L18" s="411"/>
      <c r="N18" s="401"/>
    </row>
    <row r="19" spans="1:18" ht="46.5" customHeight="1" x14ac:dyDescent="0.25">
      <c r="A19" s="92">
        <f t="shared" si="0"/>
        <v>16</v>
      </c>
      <c r="B19" s="354" t="str">
        <f>IF('Step 2'!C80="","",'Step 2'!C80)</f>
        <v>Company 16</v>
      </c>
      <c r="C19" s="353">
        <f>IF('Step 2'!C83="","",'Step 2'!C83+C20)</f>
        <v>380</v>
      </c>
      <c r="D19" s="398">
        <f>IF(C19="","",'ILF Interpolation'!CW$19)</f>
        <v>40.534210103264037</v>
      </c>
      <c r="E19" s="381">
        <f t="shared" si="1"/>
        <v>0.22114410272249785</v>
      </c>
      <c r="F19" s="110">
        <f>IF(C19="","",'Step 1'!$E$18*E19)</f>
        <v>29370.148282574941</v>
      </c>
      <c r="G19" s="109">
        <f t="shared" si="2"/>
        <v>1.012121212121212</v>
      </c>
      <c r="H19" s="110">
        <f t="shared" si="3"/>
        <v>29726.150079939482</v>
      </c>
      <c r="I19" s="96"/>
      <c r="J19" s="117">
        <f>IF(C19="","",'Step 2'!C81)</f>
        <v>0</v>
      </c>
      <c r="K19" s="111">
        <f t="shared" si="4"/>
        <v>29726.150079939474</v>
      </c>
      <c r="L19" s="411"/>
      <c r="N19" s="401"/>
    </row>
    <row r="20" spans="1:18" ht="46.5" customHeight="1" x14ac:dyDescent="0.25">
      <c r="A20" s="92">
        <f t="shared" si="0"/>
        <v>15</v>
      </c>
      <c r="B20" s="354" t="str">
        <f>IF('Step 2'!C75="","",'Step 2'!C75)</f>
        <v>Company 15</v>
      </c>
      <c r="C20" s="353">
        <f>IF('Step 2'!C78="","",'Step 2'!C78+C21)</f>
        <v>355</v>
      </c>
      <c r="D20" s="398">
        <f>IF(C20="","",'ILF Interpolation'!CQ$19)</f>
        <v>40.313066000541539</v>
      </c>
      <c r="E20" s="381">
        <f t="shared" si="1"/>
        <v>0.23438569901830419</v>
      </c>
      <c r="F20" s="110">
        <f>IF(C20="","",'Step 1'!$E$18*E20)</f>
        <v>31128.76468662098</v>
      </c>
      <c r="G20" s="109">
        <f t="shared" si="2"/>
        <v>1.012121212121212</v>
      </c>
      <c r="H20" s="110">
        <f t="shared" si="3"/>
        <v>31506.083046458807</v>
      </c>
      <c r="I20" s="96"/>
      <c r="J20" s="117">
        <f>IF(C20="","",'Step 2'!C76)</f>
        <v>0</v>
      </c>
      <c r="K20" s="111">
        <f t="shared" si="4"/>
        <v>31506.083046458807</v>
      </c>
      <c r="L20" s="411"/>
      <c r="N20" s="401"/>
    </row>
    <row r="21" spans="1:18" ht="46.5" customHeight="1" x14ac:dyDescent="0.25">
      <c r="A21" s="92">
        <f t="shared" si="0"/>
        <v>14</v>
      </c>
      <c r="B21" s="354" t="str">
        <f>IF('Step 2'!C70="","",'Step 2'!C70)</f>
        <v>Company 14</v>
      </c>
      <c r="C21" s="353">
        <f>IF('Step 2'!C73="","",'Step 2'!C73+C22)</f>
        <v>330</v>
      </c>
      <c r="D21" s="398">
        <f>IF(C21="","",'ILF Interpolation'!CK$19)</f>
        <v>40.078680301523235</v>
      </c>
      <c r="E21" s="381">
        <f t="shared" si="1"/>
        <v>0.24731143026137659</v>
      </c>
      <c r="F21" s="110">
        <f>IF(C21="","",'Step 1'!$E$18*E21)</f>
        <v>32845.431053013424</v>
      </c>
      <c r="G21" s="109">
        <f t="shared" si="2"/>
        <v>1.012121212121212</v>
      </c>
      <c r="H21" s="110">
        <f t="shared" si="3"/>
        <v>33243.557490019644</v>
      </c>
      <c r="I21" s="96"/>
      <c r="J21" s="117">
        <f>IF(C21="","",'Step 2'!C71)</f>
        <v>0</v>
      </c>
      <c r="K21" s="111">
        <f t="shared" si="4"/>
        <v>33243.557490019637</v>
      </c>
      <c r="L21" s="411"/>
      <c r="M21" s="77"/>
      <c r="N21" s="77"/>
    </row>
    <row r="22" spans="1:18" ht="46.5" customHeight="1" x14ac:dyDescent="0.25">
      <c r="A22" s="92">
        <f t="shared" si="0"/>
        <v>13</v>
      </c>
      <c r="B22" s="354" t="str">
        <f>IF('Step 2'!C65="","",'Step 2'!C65)</f>
        <v>Company 13</v>
      </c>
      <c r="C22" s="353">
        <f>IF('Step 2'!C68="","",'Step 2'!C68+C23)</f>
        <v>305</v>
      </c>
      <c r="D22" s="398">
        <f>IF(C22="","",'ILF Interpolation'!CE$19)</f>
        <v>39.831368871261859</v>
      </c>
      <c r="E22" s="381">
        <f t="shared" si="1"/>
        <v>0.25990647387280319</v>
      </c>
      <c r="F22" s="110">
        <f>IF(C22="","",'Step 1'!$E$18*E22)</f>
        <v>34518.178795046995</v>
      </c>
      <c r="G22" s="109">
        <f t="shared" si="2"/>
        <v>1.012121212121212</v>
      </c>
      <c r="H22" s="110">
        <f t="shared" si="3"/>
        <v>34936.580962259679</v>
      </c>
      <c r="I22" s="96"/>
      <c r="J22" s="117">
        <f>IF(C22="","",'Step 2'!C66)</f>
        <v>0</v>
      </c>
      <c r="K22" s="111">
        <f t="shared" si="4"/>
        <v>34936.580962259679</v>
      </c>
      <c r="L22" s="411"/>
      <c r="N22" s="401"/>
    </row>
    <row r="23" spans="1:18" ht="46.5" customHeight="1" x14ac:dyDescent="0.25">
      <c r="A23" s="92">
        <f t="shared" ref="A23:A24" si="5">A24+1</f>
        <v>12</v>
      </c>
      <c r="B23" s="354" t="str">
        <f>IF('Step 2'!C60="","",'Step 2'!C60)</f>
        <v>Berkshire Hath</v>
      </c>
      <c r="C23" s="353">
        <f>IF('Step 2'!C63="","",'Step 2'!C63+C24)</f>
        <v>280</v>
      </c>
      <c r="D23" s="398">
        <f>IF(C23="","",'ILF Interpolation'!BY19)</f>
        <v>39.571462397389055</v>
      </c>
      <c r="E23" s="381">
        <f t="shared" si="1"/>
        <v>0.27215685289415603</v>
      </c>
      <c r="F23" s="110">
        <f>IF(C23="","",'Step 1'!$E$18*E23)</f>
        <v>36145.151632872861</v>
      </c>
      <c r="G23" s="109">
        <f t="shared" si="2"/>
        <v>1.012121212121212</v>
      </c>
      <c r="H23" s="110">
        <f t="shared" si="3"/>
        <v>36583.274682968287</v>
      </c>
      <c r="I23" s="99"/>
      <c r="J23" s="117">
        <f>IF(C23="","",'Step 2'!C61)</f>
        <v>0</v>
      </c>
      <c r="K23" s="111">
        <f t="shared" si="4"/>
        <v>36583.27468296828</v>
      </c>
      <c r="L23" s="411"/>
      <c r="N23" s="401"/>
    </row>
    <row r="24" spans="1:18" ht="46.5" customHeight="1" x14ac:dyDescent="0.25">
      <c r="A24" s="92">
        <f t="shared" si="5"/>
        <v>11</v>
      </c>
      <c r="B24" s="354" t="str">
        <f>IF('Step 2'!C55="","",'Step 2'!C55)</f>
        <v>AXIS Bda</v>
      </c>
      <c r="C24" s="353">
        <f>IF('Step 2'!C58="","",'Step 2'!C58+C25)</f>
        <v>255</v>
      </c>
      <c r="D24" s="398">
        <f>IF(C24="","",'ILF Interpolation'!BS19)</f>
        <v>39.299305544494899</v>
      </c>
      <c r="E24" s="381">
        <f t="shared" si="1"/>
        <v>0.28404946269787246</v>
      </c>
      <c r="F24" s="110">
        <f>IF(C24="","",'Step 1'!$E$18*E24)</f>
        <v>37724.609140904438</v>
      </c>
      <c r="G24" s="109">
        <f t="shared" si="2"/>
        <v>1.012121212121212</v>
      </c>
      <c r="H24" s="110">
        <f t="shared" si="3"/>
        <v>38181.877130491157</v>
      </c>
      <c r="I24" s="99"/>
      <c r="J24" s="117">
        <f>IF(C24="","",'Step 2'!C56)</f>
        <v>0</v>
      </c>
      <c r="K24" s="111">
        <f t="shared" si="4"/>
        <v>38181.87713049115</v>
      </c>
      <c r="L24" s="411"/>
      <c r="N24" s="401"/>
    </row>
    <row r="25" spans="1:18" ht="46.5" customHeight="1" x14ac:dyDescent="0.25">
      <c r="A25" s="92">
        <f t="shared" ref="A25:A26" si="6">A26+1</f>
        <v>10</v>
      </c>
      <c r="B25" s="354" t="str">
        <f>IF('Step 2'!C50="","",'Step 2'!C50)</f>
        <v>Zurich</v>
      </c>
      <c r="C25" s="353">
        <f>IF('Step 2'!C53="","",'Step 2'!C53+C26)</f>
        <v>230</v>
      </c>
      <c r="D25" s="398">
        <f>IF(C25="","",'ILF Interpolation'!BM19)</f>
        <v>39.015256081797027</v>
      </c>
      <c r="E25" s="381">
        <f t="shared" si="1"/>
        <v>0.29557209427557751</v>
      </c>
      <c r="F25" s="110">
        <f>IF(C25="","",'Step 1'!$E$18*E25)</f>
        <v>39254.929840739453</v>
      </c>
      <c r="G25" s="109">
        <f t="shared" si="2"/>
        <v>1.012121212121212</v>
      </c>
      <c r="H25" s="110">
        <f t="shared" si="3"/>
        <v>39730.74717214235</v>
      </c>
      <c r="I25" s="99"/>
      <c r="J25" s="117">
        <f>IF(C25="","",'Step 2'!C51)</f>
        <v>0</v>
      </c>
      <c r="K25" s="111">
        <f t="shared" si="4"/>
        <v>39730.747172142343</v>
      </c>
      <c r="L25" s="411"/>
      <c r="N25" s="401"/>
    </row>
    <row r="26" spans="1:18" ht="46.5" customHeight="1" x14ac:dyDescent="0.25">
      <c r="A26" s="92">
        <f t="shared" si="6"/>
        <v>9</v>
      </c>
      <c r="B26" s="354" t="str">
        <f>IF('Step 2'!C45="","",'Step 2'!C45)</f>
        <v>Markel</v>
      </c>
      <c r="C26" s="353">
        <f>IF('Step 2'!C48="","",'Step 2'!C48+C27)</f>
        <v>205</v>
      </c>
      <c r="D26" s="398">
        <f>IF(C26="","",'ILF Interpolation'!BG19)</f>
        <v>38.719683987521449</v>
      </c>
      <c r="E26" s="381">
        <f t="shared" si="1"/>
        <v>0.3067134540596328</v>
      </c>
      <c r="F26" s="110">
        <f>IF(C26="","",'Step 1'!$E$18*E26)</f>
        <v>40734.613833659831</v>
      </c>
      <c r="G26" s="109">
        <f t="shared" si="2"/>
        <v>1.012121212121212</v>
      </c>
      <c r="H26" s="110">
        <f t="shared" si="3"/>
        <v>41228.366728613277</v>
      </c>
      <c r="I26" s="99"/>
      <c r="J26" s="117">
        <f>IF(C26="","",'Step 2'!C46)</f>
        <v>0</v>
      </c>
      <c r="K26" s="111">
        <f t="shared" si="4"/>
        <v>41228.366728613277</v>
      </c>
      <c r="L26" s="411"/>
      <c r="N26" s="401"/>
    </row>
    <row r="27" spans="1:18" ht="46.5" customHeight="1" x14ac:dyDescent="0.25">
      <c r="A27" s="92">
        <f t="shared" ref="A27:A33" si="7">A28+1</f>
        <v>8</v>
      </c>
      <c r="B27" s="354" t="str">
        <f>IF('Step 2'!C40="","",'Step 2'!C40)</f>
        <v>Chubb</v>
      </c>
      <c r="C27" s="353">
        <f>IF('Step 2'!C43="","",'Step 2'!C43+C28)</f>
        <v>180</v>
      </c>
      <c r="D27" s="398">
        <f>IF(C27="","",'ILF Interpolation'!BA19)</f>
        <v>38.412970533461817</v>
      </c>
      <c r="E27" s="381">
        <f t="shared" si="1"/>
        <v>0.31746318025307829</v>
      </c>
      <c r="F27" s="110">
        <f>IF(C27="","",'Step 1'!$E$18*E27)</f>
        <v>42162.284969411325</v>
      </c>
      <c r="G27" s="109">
        <f t="shared" si="2"/>
        <v>1.012121212121212</v>
      </c>
      <c r="H27" s="110">
        <f t="shared" si="3"/>
        <v>42673.342969040546</v>
      </c>
      <c r="I27" s="99"/>
      <c r="J27" s="117">
        <f>IF(C27="","",'Step 2'!C41)</f>
        <v>0</v>
      </c>
      <c r="K27" s="111">
        <f t="shared" si="4"/>
        <v>42673.342969040546</v>
      </c>
      <c r="L27" s="411"/>
      <c r="N27" s="401"/>
    </row>
    <row r="28" spans="1:18" ht="46.5" customHeight="1" x14ac:dyDescent="0.25">
      <c r="A28" s="92">
        <f t="shared" si="7"/>
        <v>7</v>
      </c>
      <c r="B28" s="354" t="str">
        <f>IF('Step 2'!C35="","",'Step 2'!C35)</f>
        <v>Nationwide</v>
      </c>
      <c r="C28" s="353">
        <f>IF('Step 2'!C38="","",'Step 2'!C38+C29)</f>
        <v>155</v>
      </c>
      <c r="D28" s="398">
        <f>IF(C28="","",'ILF Interpolation'!AU19)</f>
        <v>38.095507353208738</v>
      </c>
      <c r="E28" s="381">
        <f t="shared" si="1"/>
        <v>0.32781185566096127</v>
      </c>
      <c r="F28" s="110">
        <f>IF(C28="","",'Step 1'!$E$18*E28)</f>
        <v>43536.692550332264</v>
      </c>
      <c r="G28" s="109">
        <f t="shared" si="2"/>
        <v>1.012121212121212</v>
      </c>
      <c r="H28" s="110">
        <f t="shared" si="3"/>
        <v>44064.410035790832</v>
      </c>
      <c r="I28" s="99"/>
      <c r="J28" s="117">
        <f>IF(C28="","",'Step 2'!C36)</f>
        <v>0</v>
      </c>
      <c r="K28" s="111">
        <f t="shared" si="4"/>
        <v>44064.410035790825</v>
      </c>
      <c r="L28" s="411"/>
      <c r="N28" s="401"/>
    </row>
    <row r="29" spans="1:18" ht="46.5" customHeight="1" x14ac:dyDescent="0.25">
      <c r="A29" s="92">
        <f t="shared" si="7"/>
        <v>6</v>
      </c>
      <c r="B29" s="354" t="str">
        <f>IF('Step 2'!C30="","",'Step 2'!C30)</f>
        <v xml:space="preserve">CNA </v>
      </c>
      <c r="C29" s="353">
        <f>IF('Step 2'!C33="","",'Step 2'!C33+C30)</f>
        <v>130</v>
      </c>
      <c r="D29" s="398">
        <f>IF(C29="","",'ILF Interpolation'!AO19)</f>
        <v>37.767695497547777</v>
      </c>
      <c r="E29" s="381">
        <f t="shared" si="1"/>
        <v>1.6905510170337763</v>
      </c>
      <c r="F29" s="110">
        <f>IF(C29="","",'Step 1'!$E$18*E29)</f>
        <v>224522.08057225583</v>
      </c>
      <c r="G29" s="109">
        <f t="shared" si="2"/>
        <v>1.012121212121212</v>
      </c>
      <c r="H29" s="110">
        <f t="shared" si="3"/>
        <v>227243.56033676799</v>
      </c>
      <c r="I29" s="99"/>
      <c r="J29" s="117">
        <f>IF(C29="","",'Step 2'!C31)</f>
        <v>0</v>
      </c>
      <c r="K29" s="111">
        <f t="shared" si="4"/>
        <v>227243.56033676799</v>
      </c>
      <c r="L29" s="411"/>
      <c r="N29" s="401"/>
    </row>
    <row r="30" spans="1:18" ht="46.5" customHeight="1" x14ac:dyDescent="0.25">
      <c r="A30" s="92">
        <f t="shared" si="7"/>
        <v>5</v>
      </c>
      <c r="B30" s="354" t="str">
        <f>IF('Step 2'!C25="","",'Step 2'!C25)</f>
        <v>Allianz</v>
      </c>
      <c r="C30" s="353">
        <f>IF('Step 2'!C28="","",'Step 2'!C28+C31)</f>
        <v>105</v>
      </c>
      <c r="D30" s="398">
        <f>IF(C30="","",'ILF Interpolation'!AI19)</f>
        <v>36.077144480514001</v>
      </c>
      <c r="E30" s="381">
        <f t="shared" si="1"/>
        <v>3.0117444805139968</v>
      </c>
      <c r="F30" s="110">
        <f>IF(C30="","",'Step 1'!$E$18*E30)</f>
        <v>399989.78445706394</v>
      </c>
      <c r="G30" s="109">
        <f>IF(C30="","",$G$34)</f>
        <v>1.012121212121212</v>
      </c>
      <c r="H30" s="110">
        <f t="shared" si="3"/>
        <v>404838.14548078587</v>
      </c>
      <c r="I30" s="99"/>
      <c r="J30" s="117">
        <f>IF(C30="","",'Step 2'!C26)</f>
        <v>0</v>
      </c>
      <c r="K30" s="111">
        <f t="shared" si="4"/>
        <v>404838.14548078587</v>
      </c>
      <c r="L30" s="411"/>
      <c r="N30" s="401"/>
    </row>
    <row r="31" spans="1:18" s="92" customFormat="1" ht="39.950000000000003" customHeight="1" x14ac:dyDescent="0.25">
      <c r="A31" s="92">
        <f t="shared" si="7"/>
        <v>4</v>
      </c>
      <c r="B31" s="354" t="str">
        <f>IF('Step 2'!C20="","",'Step 2'!C20)</f>
        <v>Chubb Bda</v>
      </c>
      <c r="C31" s="353">
        <f>IF('Step 2'!C23="","",'Step 2'!C23+C32)</f>
        <v>80</v>
      </c>
      <c r="D31" s="398">
        <f>IF(C31="","",'ILF Interpolation'!AC19)</f>
        <v>33.065400000000004</v>
      </c>
      <c r="E31" s="381">
        <f>IF(C31="",D31,D31-D32)</f>
        <v>4.5874000000000024</v>
      </c>
      <c r="F31" s="110">
        <f>IF(C31="","",'Step 1'!$E$18*E31)</f>
        <v>609252.59400000027</v>
      </c>
      <c r="G31" s="109">
        <f>IF(C31="","",$G$34)</f>
        <v>1.012121212121212</v>
      </c>
      <c r="H31" s="110">
        <f t="shared" ref="H31:H34" si="8">IF(C31="","",F31*G31)</f>
        <v>616637.47392727295</v>
      </c>
      <c r="I31" s="99"/>
      <c r="J31" s="117">
        <f>IF(C31="","",'Step 2'!C21)</f>
        <v>0</v>
      </c>
      <c r="K31" s="111">
        <f t="shared" si="4"/>
        <v>616637.47392727295</v>
      </c>
      <c r="L31" s="411"/>
      <c r="N31" s="401"/>
      <c r="O31" s="355"/>
      <c r="P31" s="94"/>
      <c r="Q31" s="94"/>
      <c r="R31" s="94"/>
    </row>
    <row r="32" spans="1:18" s="92" customFormat="1" ht="39.950000000000003" customHeight="1" x14ac:dyDescent="0.25">
      <c r="A32" s="92">
        <f t="shared" si="7"/>
        <v>3</v>
      </c>
      <c r="B32" s="354" t="str">
        <f>IF('Step 2'!C15="","",'Step 2'!C15)</f>
        <v>AXIS US</v>
      </c>
      <c r="C32" s="353">
        <f>IF('Step 2'!C18="","",'Step 2'!C18+C33)</f>
        <v>55</v>
      </c>
      <c r="D32" s="398">
        <f>IF(C32="","",'ILF Interpolation'!W19)</f>
        <v>28.478000000000002</v>
      </c>
      <c r="E32" s="381">
        <f>IF(C32="",D32,D32-D33)</f>
        <v>7.7610000000000028</v>
      </c>
      <c r="F32" s="110">
        <f>IF(C32="","",'Step 1'!$E$18*E32)</f>
        <v>1030738.4100000004</v>
      </c>
      <c r="G32" s="109">
        <f>IF(C32="","",$G$34)</f>
        <v>1.012121212121212</v>
      </c>
      <c r="H32" s="110">
        <f t="shared" si="8"/>
        <v>1043232.2089090912</v>
      </c>
      <c r="I32" s="99"/>
      <c r="J32" s="117">
        <f>IF(C32="","",'Step 2'!C16)</f>
        <v>0</v>
      </c>
      <c r="K32" s="111">
        <f t="shared" si="4"/>
        <v>1043232.2089090911</v>
      </c>
      <c r="L32" s="411"/>
      <c r="N32" s="401"/>
      <c r="O32" s="355"/>
      <c r="P32" s="94"/>
      <c r="Q32" s="94"/>
      <c r="R32" s="94"/>
    </row>
    <row r="33" spans="1:18" s="92" customFormat="1" ht="39.950000000000003" customHeight="1" x14ac:dyDescent="0.25">
      <c r="A33" s="92">
        <f t="shared" si="7"/>
        <v>2</v>
      </c>
      <c r="B33" s="354" t="str">
        <f>IF('Step 2'!C10="","",'Step 2'!C10)</f>
        <v>XL Bda</v>
      </c>
      <c r="C33" s="353">
        <f>IF('Step 2'!C13="","",'Step 2'!C13+C34)</f>
        <v>30</v>
      </c>
      <c r="D33" s="398">
        <f>IF(C33="","",'ILF Interpolation'!Q19)</f>
        <v>20.716999999999999</v>
      </c>
      <c r="E33" s="381">
        <f>IF(C33="",D33,D33-D34)</f>
        <v>14.940999999999999</v>
      </c>
      <c r="F33" s="110">
        <f>IF(C33="","",'Step 1'!$E$18*E33)</f>
        <v>1984314.21</v>
      </c>
      <c r="G33" s="109">
        <f>IF(C33="","",$G$34)</f>
        <v>1.012121212121212</v>
      </c>
      <c r="H33" s="110">
        <f t="shared" si="8"/>
        <v>2008366.503454545</v>
      </c>
      <c r="I33" s="99"/>
      <c r="J33" s="117">
        <f>IF(C33="","",'Step 2'!C11)</f>
        <v>0</v>
      </c>
      <c r="K33" s="111">
        <f t="shared" si="4"/>
        <v>2008366.5034545448</v>
      </c>
      <c r="L33" s="411"/>
      <c r="M33" s="94"/>
      <c r="N33" s="401"/>
      <c r="O33" s="355"/>
      <c r="P33" s="94"/>
      <c r="Q33" s="94"/>
      <c r="R33" s="94"/>
    </row>
    <row r="34" spans="1:18" s="92" customFormat="1" ht="39.950000000000003" customHeight="1" x14ac:dyDescent="0.25">
      <c r="A34" s="92">
        <v>1</v>
      </c>
      <c r="B34" s="354" t="str">
        <f>IF('Step 2'!C5="","",'Step 2'!C5)</f>
        <v>AIG</v>
      </c>
      <c r="C34" s="353">
        <f>IF('Step 2'!C8="","",'Step 2'!C8)</f>
        <v>5</v>
      </c>
      <c r="D34" s="398">
        <f>IF(C34="","",'ILF Interpolation'!K19)</f>
        <v>5.7759999999999998</v>
      </c>
      <c r="E34" s="381">
        <f>IF(C35="",D34,D34-D35)</f>
        <v>5.7759999999999998</v>
      </c>
      <c r="F34" s="110">
        <f>IF(C34="","",'Step 1'!$E$18*E34)</f>
        <v>767110.55999999994</v>
      </c>
      <c r="G34" s="109">
        <f>IF(C34="","",'Step 1'!E104)</f>
        <v>1.012121212121212</v>
      </c>
      <c r="H34" s="110">
        <f t="shared" si="8"/>
        <v>776408.86981818161</v>
      </c>
      <c r="I34" s="99"/>
      <c r="J34" s="117">
        <f>IF(C34="","",'Step 2'!C6)</f>
        <v>0</v>
      </c>
      <c r="K34" s="111">
        <f t="shared" si="4"/>
        <v>776408.86981818161</v>
      </c>
      <c r="L34" s="411"/>
      <c r="N34" s="401"/>
      <c r="O34" s="355"/>
      <c r="P34" s="94"/>
      <c r="Q34" s="94"/>
      <c r="R34" s="94"/>
    </row>
    <row r="35" spans="1:18" ht="39.950000000000003" customHeight="1" x14ac:dyDescent="0.25">
      <c r="A35" s="377"/>
      <c r="B35" s="378"/>
      <c r="C35" s="379"/>
      <c r="D35" s="108"/>
      <c r="E35" s="98"/>
      <c r="F35" s="110"/>
      <c r="G35" s="109"/>
      <c r="H35" s="110"/>
      <c r="I35" s="377"/>
      <c r="J35" s="377"/>
      <c r="K35" s="377"/>
    </row>
    <row r="36" spans="1:18" x14ac:dyDescent="0.25">
      <c r="B36" s="113" t="s">
        <v>170</v>
      </c>
      <c r="C36" s="114"/>
      <c r="D36" s="114"/>
      <c r="E36" s="114"/>
      <c r="F36" s="114"/>
      <c r="G36" s="114"/>
      <c r="H36" s="114"/>
      <c r="I36" s="114"/>
      <c r="J36" s="115">
        <f>SUM(J10:J34)</f>
        <v>690.44021118717444</v>
      </c>
      <c r="K36" s="115">
        <f>SUM(K10:K34)</f>
        <v>5630152.8104174575</v>
      </c>
    </row>
    <row r="38" spans="1:18" x14ac:dyDescent="0.25">
      <c r="F38" s="399"/>
    </row>
    <row r="40" spans="1:18" x14ac:dyDescent="0.25">
      <c r="F40" s="40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D14" sqref="D14"/>
    </sheetView>
  </sheetViews>
  <sheetFormatPr defaultRowHeight="12.75" x14ac:dyDescent="0.2"/>
  <cols>
    <col min="1" max="1" width="24.125" style="213" customWidth="1"/>
    <col min="2" max="2" width="21.875" style="213" customWidth="1"/>
    <col min="3" max="5" width="18" style="213" customWidth="1"/>
    <col min="6" max="16384" width="9" style="213"/>
  </cols>
  <sheetData>
    <row r="1" spans="1:4" ht="15.75" x14ac:dyDescent="0.25">
      <c r="A1" s="63" t="s">
        <v>310</v>
      </c>
      <c r="B1" s="274" t="s">
        <v>490</v>
      </c>
    </row>
    <row r="3" spans="1:4" x14ac:dyDescent="0.2">
      <c r="A3" s="213" t="s">
        <v>249</v>
      </c>
    </row>
    <row r="4" spans="1:4" x14ac:dyDescent="0.2">
      <c r="A4" s="255" t="str">
        <f>IF('XS Rate Tables State Exceptions'!$B$5="Yes","Countrywide With Range Modifiers","Countrywide With No Range Modifiers")</f>
        <v>Countrywide With No Range Modifiers</v>
      </c>
    </row>
    <row r="6" spans="1:4" x14ac:dyDescent="0.2">
      <c r="A6" s="213" t="s">
        <v>416</v>
      </c>
      <c r="B6" s="224" t="s">
        <v>380</v>
      </c>
    </row>
    <row r="8" spans="1:4" x14ac:dyDescent="0.2">
      <c r="A8" s="213" t="s">
        <v>424</v>
      </c>
      <c r="B8" s="443">
        <v>87400</v>
      </c>
    </row>
    <row r="10" spans="1:4" x14ac:dyDescent="0.2">
      <c r="A10" s="213" t="s">
        <v>425</v>
      </c>
      <c r="B10" s="444">
        <v>5000000</v>
      </c>
      <c r="C10" s="414"/>
    </row>
    <row r="12" spans="1:4" x14ac:dyDescent="0.2">
      <c r="A12" s="213" t="s">
        <v>452</v>
      </c>
      <c r="B12" s="268">
        <v>5000000</v>
      </c>
      <c r="C12" s="366"/>
      <c r="D12" s="320"/>
    </row>
    <row r="14" spans="1:4" x14ac:dyDescent="0.2">
      <c r="A14" s="213" t="s">
        <v>455</v>
      </c>
      <c r="B14" s="268">
        <v>40000000</v>
      </c>
      <c r="C14" s="320"/>
    </row>
    <row r="15" spans="1:4" x14ac:dyDescent="0.2">
      <c r="B15" s="292"/>
    </row>
    <row r="16" spans="1:4" x14ac:dyDescent="0.2">
      <c r="A16" s="213" t="s">
        <v>456</v>
      </c>
      <c r="B16" s="224" t="s">
        <v>278</v>
      </c>
    </row>
    <row r="18" spans="1:5" ht="15.75" x14ac:dyDescent="0.25">
      <c r="A18" s="63" t="s">
        <v>317</v>
      </c>
      <c r="B18" s="274"/>
    </row>
    <row r="20" spans="1:5" x14ac:dyDescent="0.2">
      <c r="A20" s="215">
        <v>1</v>
      </c>
      <c r="B20" s="215">
        <v>2</v>
      </c>
      <c r="C20" s="215">
        <v>3</v>
      </c>
      <c r="D20" s="215">
        <v>4</v>
      </c>
      <c r="E20" s="215">
        <v>5</v>
      </c>
    </row>
    <row r="21" spans="1:5" x14ac:dyDescent="0.2">
      <c r="A21" s="215" t="str">
        <f>IF($B$6="Georgia","Group 1","Low Risk")</f>
        <v>Low Risk</v>
      </c>
      <c r="B21" s="215" t="str">
        <f>IF($B$6="Georgia","Group 2","Low/Medium Risk")</f>
        <v>Low/Medium Risk</v>
      </c>
      <c r="C21" s="215" t="str">
        <f>IF($B$6="Georgia","Group 3","Medium Risk")</f>
        <v>Medium Risk</v>
      </c>
      <c r="D21" s="215" t="str">
        <f>IF($B$6="Georgia","Group 4","Medium/High Risk")</f>
        <v>Medium/High Risk</v>
      </c>
      <c r="E21" s="215" t="str">
        <f>IF($B$6="Georgia","Group 5","High Risk")</f>
        <v>High Risk</v>
      </c>
    </row>
    <row r="22" spans="1:5" x14ac:dyDescent="0.2">
      <c r="A22" s="314">
        <f>IF($B$6="Florida",'XS Rate Tables Sections A-F'!A24,IF('XS Rate Tables State Exceptions'!$B$5="Yes",'XS Rate Tables Sections A-F'!A12,'XS Rate Tables Sections A-F'!A18))</f>
        <v>0.48</v>
      </c>
      <c r="B22" s="314">
        <f>IF($B$6="Florida",'XS Rate Tables Sections A-F'!B24,IF('XS Rate Tables State Exceptions'!$B$5="Yes",'XS Rate Tables Sections A-F'!B12,'XS Rate Tables Sections A-F'!B18))</f>
        <v>0.6</v>
      </c>
      <c r="C22" s="314">
        <f>IF($B$6="Florida",'XS Rate Tables Sections A-F'!C24,IF('XS Rate Tables State Exceptions'!$B$5="Yes",'XS Rate Tables Sections A-F'!C12,'XS Rate Tables Sections A-F'!C18))</f>
        <v>0.7</v>
      </c>
      <c r="D22" s="314">
        <f>IF($B$6="Florida",'XS Rate Tables Sections A-F'!D24,IF('XS Rate Tables State Exceptions'!$B$5="Yes",'XS Rate Tables Sections A-F'!D12,'XS Rate Tables Sections A-F'!D18))</f>
        <v>0.8</v>
      </c>
      <c r="E22" s="314">
        <f>IF($B$6="Florida",'XS Rate Tables Sections A-F'!E24,IF('XS Rate Tables State Exceptions'!$B$5="Yes",'XS Rate Tables Sections A-F'!E12,'XS Rate Tables Sections A-F'!E18))</f>
        <v>0.93</v>
      </c>
    </row>
    <row r="23" spans="1:5" x14ac:dyDescent="0.2">
      <c r="A23" s="274"/>
    </row>
    <row r="24" spans="1:5" x14ac:dyDescent="0.2">
      <c r="A24" s="217" t="s">
        <v>309</v>
      </c>
    </row>
    <row r="25" spans="1:5" ht="30.75" customHeight="1" x14ac:dyDescent="0.2">
      <c r="A25" s="218" t="s">
        <v>290</v>
      </c>
      <c r="B25" s="223" t="s">
        <v>291</v>
      </c>
      <c r="C25" s="219" t="s">
        <v>292</v>
      </c>
    </row>
    <row r="26" spans="1:5" s="221" customFormat="1" x14ac:dyDescent="0.2">
      <c r="A26" s="217" t="s">
        <v>302</v>
      </c>
      <c r="B26" s="224">
        <v>3</v>
      </c>
      <c r="C26" s="220" t="str">
        <f>IF($B$6="Georgia",VLOOKUP(B26,'XS RateTables SectionA-Georgia'!$H$16:$I$20,2,FALSE),VLOOKUP(B26,'XS Rate Tables Sections A-F'!$H$29:$I$33,2,FALSE))</f>
        <v>Medium Risk</v>
      </c>
      <c r="E26" s="233"/>
    </row>
    <row r="27" spans="1:5" s="221" customFormat="1" x14ac:dyDescent="0.2">
      <c r="A27" s="217" t="s">
        <v>303</v>
      </c>
      <c r="B27" s="224">
        <v>3</v>
      </c>
      <c r="C27" s="220" t="str">
        <f>IF($B$6="Georgia","N/A - Leave cell blank",VLOOKUP(B27,'XS Rate Tables Sections A-F'!$H$29:$I$33,2,FALSE))</f>
        <v>Medium Risk</v>
      </c>
      <c r="E27" s="233"/>
    </row>
    <row r="28" spans="1:5" s="221" customFormat="1" x14ac:dyDescent="0.2">
      <c r="A28" s="217" t="s">
        <v>304</v>
      </c>
      <c r="B28" s="224">
        <v>3</v>
      </c>
      <c r="C28" s="220" t="str">
        <f>IF($B$6="Georgia",VLOOKUP(B28,'XS RateTables SectionA-Georgia'!$H$16:$I$20,2,FALSE),VLOOKUP(B28,'XS Rate Tables Sections A-F'!$H$29:$I$33,2,FALSE))</f>
        <v>Medium Risk</v>
      </c>
      <c r="E28" s="233"/>
    </row>
    <row r="29" spans="1:5" s="221" customFormat="1" x14ac:dyDescent="0.2">
      <c r="A29" s="217" t="s">
        <v>305</v>
      </c>
      <c r="B29" s="224">
        <v>3</v>
      </c>
      <c r="C29" s="220" t="str">
        <f>IF($B$6="Georgia","N/A - Leave cell blank",VLOOKUP(B29,'XS Rate Tables Sections A-F'!$H$29:$I$33,2,FALSE))</f>
        <v>Medium Risk</v>
      </c>
      <c r="E29" s="233"/>
    </row>
    <row r="30" spans="1:5" s="221" customFormat="1" x14ac:dyDescent="0.2">
      <c r="A30" s="217" t="s">
        <v>306</v>
      </c>
      <c r="B30" s="224">
        <v>3</v>
      </c>
      <c r="C30" s="220" t="str">
        <f>IF($B$6="Georgia",VLOOKUP(B30,'XS RateTables SectionA-Georgia'!$H$16:$I$20,2,FALSE),VLOOKUP(B30,'XS Rate Tables Sections A-F'!$H$29:$I$33,2,FALSE))</f>
        <v>Medium Risk</v>
      </c>
    </row>
    <row r="31" spans="1:5" s="221" customFormat="1" x14ac:dyDescent="0.2">
      <c r="A31" s="217" t="s">
        <v>307</v>
      </c>
      <c r="B31" s="224">
        <v>3</v>
      </c>
      <c r="C31" s="220" t="str">
        <f>IF($B$6="Georgia",VLOOKUP(B31,'XS RateTables SectionA-Georgia'!$H$16:$I$20,2,FALSE),VLOOKUP(B31,'XS Rate Tables Sections A-F'!$H$29:$I$33,2,FALSE))</f>
        <v>Medium Risk</v>
      </c>
    </row>
    <row r="32" spans="1:5" s="221" customFormat="1" x14ac:dyDescent="0.2">
      <c r="A32" s="217" t="s">
        <v>308</v>
      </c>
      <c r="B32" s="224">
        <v>3</v>
      </c>
      <c r="C32" s="220" t="str">
        <f>IF($B$6="Georgia","N/A - Leave cell blank",VLOOKUP(B32,'XS Rate Tables Sections A-F'!$H$29:$I$33,2,FALSE))</f>
        <v>Medium Risk</v>
      </c>
    </row>
    <row r="34" spans="1:5" x14ac:dyDescent="0.2">
      <c r="A34" s="222" t="s">
        <v>293</v>
      </c>
      <c r="B34" s="282">
        <f>ROUND(AVERAGE(B26:B32),0)</f>
        <v>3</v>
      </c>
      <c r="C34" s="306" t="str">
        <f>IF($B$6="Georgia",VLOOKUP(B34,'XS RateTables SectionA-Georgia'!$H$16:$I$20,2,FALSE),VLOOKUP(B34,'XS Rate Tables Sections A-F'!$H$29:$I$33,2,FALSE))</f>
        <v>Medium Risk</v>
      </c>
    </row>
    <row r="36" spans="1:5" x14ac:dyDescent="0.2">
      <c r="A36" s="217" t="str">
        <f>"Select Percentage Factor Corresponding to Range of "&amp;C34&amp;":"</f>
        <v>Select Percentage Factor Corresponding to Range of Medium Risk:</v>
      </c>
    </row>
    <row r="37" spans="1:5" x14ac:dyDescent="0.2">
      <c r="C37" s="220" t="s">
        <v>696</v>
      </c>
    </row>
    <row r="38" spans="1:5" x14ac:dyDescent="0.2">
      <c r="A38" s="217" t="s">
        <v>318</v>
      </c>
      <c r="B38" s="454">
        <v>0.7</v>
      </c>
      <c r="C38" s="433">
        <f>IF($B$6="Florida",VLOOKUP(B34,'XS Rate Tables Sections A-F'!$H$29:$P$33,9,FALSE),IF('XS Rate Tables State Exceptions'!$B$5="No",VLOOKUP(B34,'XS Rate Tables Sections A-F'!$H$29:$N$33,7,FALSE),VLOOKUP(B34,'XS Rate Tables Sections A-F'!$H$29:$J$33,3,FALSE)))</f>
        <v>0.7</v>
      </c>
      <c r="D38" s="435" t="str">
        <f>IF('XS Rate Tables State Exceptions'!B5="No","&lt;--Selection must equal cell C38.","&lt;--Selection must be within range shown in cell C38.")</f>
        <v>&lt;--Selection must equal cell C38.</v>
      </c>
    </row>
    <row r="41" spans="1:5" x14ac:dyDescent="0.2">
      <c r="A41" s="214" t="s">
        <v>316</v>
      </c>
    </row>
    <row r="42" spans="1:5" ht="65.25" customHeight="1" x14ac:dyDescent="0.2">
      <c r="A42" s="475" t="s">
        <v>311</v>
      </c>
      <c r="B42" s="476"/>
      <c r="C42" s="476"/>
      <c r="D42" s="476"/>
      <c r="E42" s="477"/>
    </row>
    <row r="43" spans="1:5" ht="70.5" customHeight="1" x14ac:dyDescent="0.2">
      <c r="A43" s="475" t="s">
        <v>312</v>
      </c>
      <c r="B43" s="476"/>
      <c r="C43" s="476"/>
      <c r="D43" s="476"/>
      <c r="E43" s="477"/>
    </row>
    <row r="44" spans="1:5" ht="69" customHeight="1" x14ac:dyDescent="0.2">
      <c r="A44" s="475" t="s">
        <v>313</v>
      </c>
      <c r="B44" s="476"/>
      <c r="C44" s="476"/>
      <c r="D44" s="476"/>
      <c r="E44" s="477"/>
    </row>
    <row r="45" spans="1:5" ht="65.25" customHeight="1" x14ac:dyDescent="0.2">
      <c r="A45" s="475" t="s">
        <v>314</v>
      </c>
      <c r="B45" s="476"/>
      <c r="C45" s="476"/>
      <c r="D45" s="476"/>
      <c r="E45" s="477"/>
    </row>
    <row r="46" spans="1:5" ht="55.5" customHeight="1" x14ac:dyDescent="0.2">
      <c r="A46" s="475" t="s">
        <v>315</v>
      </c>
      <c r="B46" s="476"/>
      <c r="C46" s="476"/>
      <c r="D46" s="476"/>
      <c r="E46" s="477"/>
    </row>
    <row r="47" spans="1:5" x14ac:dyDescent="0.2">
      <c r="A47" s="474"/>
      <c r="B47" s="474"/>
      <c r="C47" s="474"/>
      <c r="D47" s="474"/>
      <c r="E47" s="474"/>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zoomScale="115" zoomScaleNormal="115" workbookViewId="0">
      <selection activeCell="C20" sqref="C20"/>
    </sheetView>
  </sheetViews>
  <sheetFormatPr defaultRowHeight="12.75" x14ac:dyDescent="0.2"/>
  <cols>
    <col min="1" max="1" width="42.75" style="213" customWidth="1"/>
    <col min="2" max="2" width="9" style="213"/>
    <col min="3" max="3" width="14.5" style="213" customWidth="1"/>
    <col min="4" max="16384" width="9" style="213"/>
  </cols>
  <sheetData>
    <row r="1" spans="1:6" ht="15.75" x14ac:dyDescent="0.25">
      <c r="A1" s="63" t="s">
        <v>310</v>
      </c>
    </row>
    <row r="3" spans="1:6" x14ac:dyDescent="0.2">
      <c r="A3" s="213" t="s">
        <v>249</v>
      </c>
    </row>
    <row r="4" spans="1:6" x14ac:dyDescent="0.2">
      <c r="A4" s="213" t="str">
        <f>'XS Rating Step A Inputs'!$A$4</f>
        <v>Countrywide With No Range Modifiers</v>
      </c>
    </row>
    <row r="6" spans="1:6" ht="15.75" x14ac:dyDescent="0.25">
      <c r="A6" s="63" t="s">
        <v>330</v>
      </c>
    </row>
    <row r="7" spans="1:6" x14ac:dyDescent="0.2">
      <c r="A7" s="217" t="s">
        <v>489</v>
      </c>
    </row>
    <row r="8" spans="1:6" x14ac:dyDescent="0.2">
      <c r="C8" s="219" t="s">
        <v>163</v>
      </c>
    </row>
    <row r="9" spans="1:6" x14ac:dyDescent="0.2">
      <c r="A9" s="213" t="s">
        <v>328</v>
      </c>
      <c r="B9" s="455"/>
      <c r="C9" s="266">
        <f>IF('XS Rate Tables State Exceptions'!$B$5="Yes",'XS Rate Tables Sections A-F'!B49,'XS Rate Tables Sections A-F'!C49)</f>
        <v>0.8</v>
      </c>
      <c r="D9" s="213" t="s">
        <v>450</v>
      </c>
    </row>
    <row r="10" spans="1:6" x14ac:dyDescent="0.2">
      <c r="A10" s="213" t="s">
        <v>329</v>
      </c>
      <c r="B10" s="455"/>
      <c r="C10" s="266">
        <f>IF('XS Rate Tables State Exceptions'!B5="Yes",'XS Rate Tables Sections A-F'!B50,'XS Rate Tables Sections A-F'!C50)</f>
        <v>0.65</v>
      </c>
      <c r="D10" s="213" t="s">
        <v>450</v>
      </c>
      <c r="F10" s="274"/>
    </row>
    <row r="12" spans="1:6" ht="15.75" x14ac:dyDescent="0.25">
      <c r="A12" s="63" t="s">
        <v>726</v>
      </c>
    </row>
    <row r="13" spans="1:6" x14ac:dyDescent="0.2">
      <c r="A13" s="213" t="s">
        <v>451</v>
      </c>
      <c r="F13" s="220"/>
    </row>
    <row r="14" spans="1:6" x14ac:dyDescent="0.2">
      <c r="A14" s="424" t="s">
        <v>699</v>
      </c>
      <c r="B14" s="428" t="s">
        <v>187</v>
      </c>
      <c r="F14" s="220"/>
    </row>
    <row r="15" spans="1:6" x14ac:dyDescent="0.2">
      <c r="A15" s="424" t="s">
        <v>700</v>
      </c>
      <c r="B15" s="438"/>
      <c r="E15" s="274" t="s">
        <v>701</v>
      </c>
      <c r="F15" s="220"/>
    </row>
    <row r="16" spans="1:6" x14ac:dyDescent="0.2">
      <c r="A16" s="424" t="s">
        <v>698</v>
      </c>
      <c r="B16" s="429"/>
      <c r="E16" s="274" t="s">
        <v>718</v>
      </c>
    </row>
    <row r="19" spans="1:5" ht="15.75" x14ac:dyDescent="0.25">
      <c r="A19" s="63" t="s">
        <v>727</v>
      </c>
    </row>
    <row r="20" spans="1:5" x14ac:dyDescent="0.2">
      <c r="A20" s="213" t="s">
        <v>451</v>
      </c>
    </row>
    <row r="21" spans="1:5" x14ac:dyDescent="0.2">
      <c r="A21" s="424" t="s">
        <v>699</v>
      </c>
      <c r="B21" s="226" t="s">
        <v>187</v>
      </c>
    </row>
    <row r="22" spans="1:5" x14ac:dyDescent="0.2">
      <c r="A22" s="213" t="s">
        <v>453</v>
      </c>
      <c r="B22" s="438"/>
      <c r="E22" s="274" t="s">
        <v>701</v>
      </c>
    </row>
    <row r="23" spans="1:5" x14ac:dyDescent="0.2">
      <c r="A23" s="424" t="s">
        <v>698</v>
      </c>
      <c r="B23" s="429"/>
      <c r="E23" s="274" t="s">
        <v>718</v>
      </c>
    </row>
    <row r="24" spans="1:5" x14ac:dyDescent="0.2">
      <c r="A24" s="213" t="s">
        <v>454</v>
      </c>
    </row>
    <row r="27" spans="1:5" ht="15.75" x14ac:dyDescent="0.25">
      <c r="A27" s="63" t="s">
        <v>334</v>
      </c>
    </row>
    <row r="28" spans="1:5" x14ac:dyDescent="0.2">
      <c r="A28" s="213" t="s">
        <v>335</v>
      </c>
      <c r="B28" s="226" t="s">
        <v>187</v>
      </c>
      <c r="C28" s="219" t="s">
        <v>728</v>
      </c>
    </row>
    <row r="29" spans="1:5" x14ac:dyDescent="0.2">
      <c r="A29" s="213" t="s">
        <v>487</v>
      </c>
      <c r="B29" s="227">
        <v>0</v>
      </c>
      <c r="C29" s="415">
        <f>IF('XS Rate Tables State Exceptions'!B6="No",'XS Rate Tables State Exceptions'!C6,IF('XS Rate Tables State Exceptions'!B5="Yes",'XS Rate Tables Sections A-F'!B111,'XS Rate Tables Sections A-F'!C111))</f>
        <v>0.01</v>
      </c>
    </row>
    <row r="33" spans="1:1" x14ac:dyDescent="0.2">
      <c r="A33" s="449">
        <f>IF(A6='[1]XS Rating Step B-F Inputs'!A6,0,1)</f>
        <v>0</v>
      </c>
    </row>
    <row r="34" spans="1:1" x14ac:dyDescent="0.2">
      <c r="A34" s="449">
        <f>IF(A7='[1]XS Rating Step B-F Inputs'!A7,0,1)</f>
        <v>0</v>
      </c>
    </row>
    <row r="35" spans="1:1" x14ac:dyDescent="0.2">
      <c r="A35" s="449">
        <f>IF(A8='[1]XS Rating Step B-F Inputs'!A8,0,1)</f>
        <v>0</v>
      </c>
    </row>
    <row r="36" spans="1:1" x14ac:dyDescent="0.2">
      <c r="A36" s="449">
        <f>IF(A9='[1]XS Rating Step B-F Inputs'!A9,0,1)</f>
        <v>0</v>
      </c>
    </row>
    <row r="37" spans="1:1" x14ac:dyDescent="0.2">
      <c r="A37" s="449">
        <f>IF(A10='[1]XS Rating Step B-F Inputs'!A10,0,1)</f>
        <v>0</v>
      </c>
    </row>
    <row r="38" spans="1:1" x14ac:dyDescent="0.2">
      <c r="A38" s="449">
        <f>IF(A11='[1]XS Rating Step B-F Inputs'!A11,0,1)</f>
        <v>0</v>
      </c>
    </row>
    <row r="39" spans="1:1" x14ac:dyDescent="0.2">
      <c r="A39" s="449"/>
    </row>
    <row r="40" spans="1:1" x14ac:dyDescent="0.2">
      <c r="A40" s="449">
        <f>IF(A13='[1]XS Rating Step B-F Inputs'!A13,0,1)</f>
        <v>0</v>
      </c>
    </row>
    <row r="41" spans="1:1" x14ac:dyDescent="0.2">
      <c r="A41" s="449">
        <f>IF(A14='[1]XS Rating Step B-F Inputs'!A14,0,1)</f>
        <v>1</v>
      </c>
    </row>
    <row r="42" spans="1:1" x14ac:dyDescent="0.2">
      <c r="A42" s="449">
        <f>IF(A15='[1]XS Rating Step B-F Inputs'!A15,0,1)</f>
        <v>1</v>
      </c>
    </row>
    <row r="43" spans="1:1" x14ac:dyDescent="0.2">
      <c r="A43" s="449">
        <f>IF(A16='[1]XS Rating Step B-F Inputs'!A16,0,1)</f>
        <v>1</v>
      </c>
    </row>
    <row r="44" spans="1:1" x14ac:dyDescent="0.2">
      <c r="A44" s="449">
        <f>IF(A17='[1]XS Rating Step B-F Inputs'!A17,0,1)</f>
        <v>1</v>
      </c>
    </row>
    <row r="45" spans="1:1" x14ac:dyDescent="0.2">
      <c r="A45" s="449">
        <f>IF(A18='[1]XS Rating Step B-F Inputs'!A18,0,1)</f>
        <v>1</v>
      </c>
    </row>
    <row r="46" spans="1:1" x14ac:dyDescent="0.2">
      <c r="A46" s="449">
        <f>IF(A19='[1]XS Rating Step B-F Inputs'!A19,0,1)</f>
        <v>1</v>
      </c>
    </row>
    <row r="47" spans="1:1" x14ac:dyDescent="0.2">
      <c r="A47" s="449">
        <f>IF(A20='[1]XS Rating Step B-F Inputs'!A20,0,1)</f>
        <v>1</v>
      </c>
    </row>
    <row r="48" spans="1:1" x14ac:dyDescent="0.2">
      <c r="A48" s="449">
        <f>IF(A21='[1]XS Rating Step B-F Inputs'!A21,0,1)</f>
        <v>1</v>
      </c>
    </row>
    <row r="49" spans="1:1" x14ac:dyDescent="0.2">
      <c r="A49" s="449">
        <f>IF(A22='[1]XS Rating Step B-F Inputs'!A22,0,1)</f>
        <v>1</v>
      </c>
    </row>
    <row r="50" spans="1:1" x14ac:dyDescent="0.2">
      <c r="A50" s="449">
        <f>IF(A23='[1]XS Rating Step B-F Inputs'!A23,0,1)</f>
        <v>1</v>
      </c>
    </row>
    <row r="51" spans="1:1" x14ac:dyDescent="0.2">
      <c r="A51" s="449">
        <f>IF(A24='[1]XS Rating Step B-F Inputs'!A24,0,1)</f>
        <v>1</v>
      </c>
    </row>
    <row r="52" spans="1:1" x14ac:dyDescent="0.2">
      <c r="A52" s="449">
        <f>IF(A25='[1]XS Rating Step B-F Inputs'!A25,0,1)</f>
        <v>1</v>
      </c>
    </row>
    <row r="53" spans="1:1" x14ac:dyDescent="0.2">
      <c r="A53" s="449">
        <f>IF(A26='[1]XS Rating Step B-F Inputs'!A26,0,1)</f>
        <v>0</v>
      </c>
    </row>
    <row r="54" spans="1:1" x14ac:dyDescent="0.2">
      <c r="A54" s="449">
        <f>IF(A27='[1]XS Rating Step B-F Inputs'!A27,0,1)</f>
        <v>1</v>
      </c>
    </row>
    <row r="55" spans="1:1" x14ac:dyDescent="0.2">
      <c r="A55" s="449">
        <f>IF(A28='[1]XS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topLeftCell="A21" workbookViewId="0">
      <selection activeCell="L17" sqref="L17"/>
    </sheetView>
  </sheetViews>
  <sheetFormatPr defaultRowHeight="12.75" x14ac:dyDescent="0.2"/>
  <cols>
    <col min="1" max="1" width="32.625" style="213" customWidth="1"/>
    <col min="2" max="2" width="15.5" style="213" customWidth="1"/>
    <col min="3" max="3" width="22.375" style="213" customWidth="1"/>
    <col min="4" max="16384" width="9" style="213"/>
  </cols>
  <sheetData>
    <row r="1" spans="1:5" ht="15.75" x14ac:dyDescent="0.25">
      <c r="A1" s="63" t="s">
        <v>310</v>
      </c>
    </row>
    <row r="3" spans="1:5" x14ac:dyDescent="0.2">
      <c r="A3" s="213" t="s">
        <v>249</v>
      </c>
    </row>
    <row r="4" spans="1:5" x14ac:dyDescent="0.2">
      <c r="A4" s="213" t="str">
        <f>'XS Rating Step A Inputs'!$A$4</f>
        <v>Countrywide With No Range Modifiers</v>
      </c>
    </row>
    <row r="6" spans="1:5" ht="15.75" x14ac:dyDescent="0.25">
      <c r="A6" s="63" t="s">
        <v>319</v>
      </c>
    </row>
    <row r="8" spans="1:5" x14ac:dyDescent="0.2">
      <c r="A8" s="217" t="s">
        <v>327</v>
      </c>
    </row>
    <row r="9" spans="1:5" x14ac:dyDescent="0.2">
      <c r="A9" s="218" t="s">
        <v>320</v>
      </c>
      <c r="B9" s="223" t="s">
        <v>325</v>
      </c>
      <c r="C9" s="223" t="s">
        <v>326</v>
      </c>
    </row>
    <row r="10" spans="1:5" x14ac:dyDescent="0.2">
      <c r="A10" s="217" t="s">
        <v>324</v>
      </c>
      <c r="B10" s="456">
        <v>0.05</v>
      </c>
      <c r="C10" s="225" t="str">
        <f>IF(ISERROR(VLOOKUP('XS Rating Step A Inputs'!$B$6,'XS Rate Tables Section G'!$H$11:$I$14,2,FALSE)=TRUE),'XS Rate Tables Section G'!C11,VLOOKUP('XS Rating Step A Inputs'!$B$6,'XS Rate Tables Section G'!$H$11:$I$14,2,FALSE))</f>
        <v>+/- 10%</v>
      </c>
      <c r="E10" s="225"/>
    </row>
    <row r="11" spans="1:5" x14ac:dyDescent="0.2">
      <c r="A11" s="217" t="s">
        <v>323</v>
      </c>
      <c r="B11" s="456">
        <v>0.05</v>
      </c>
      <c r="C11" s="225" t="str">
        <f>IF(ISERROR(VLOOKUP('XS Rating Step A Inputs'!$B$6,'XS Rate Tables Section G'!$H$11:$I$14,2,FALSE)=TRUE),'XS Rate Tables Section G'!C12,VLOOKUP('XS Rating Step A Inputs'!$B$6,'XS Rate Tables Section G'!$H$11:$I$14,2,FALSE))</f>
        <v>+/- 10%</v>
      </c>
      <c r="D11" s="225"/>
    </row>
    <row r="12" spans="1:5" x14ac:dyDescent="0.2">
      <c r="A12" s="217" t="s">
        <v>322</v>
      </c>
      <c r="B12" s="456">
        <v>0.05</v>
      </c>
      <c r="C12" s="225" t="str">
        <f>IF('XS Rating Step A Inputs'!B6="Georgia","N/A - Leave cell blank",IF(ISERROR(VLOOKUP('XS Rating Step A Inputs'!$B$6,'XS Rate Tables Section G'!$H$11:$I$14,2,FALSE)=TRUE),'XS Rate Tables Section G'!C13,VLOOKUP('XS Rating Step A Inputs'!$B$6,'XS Rate Tables Section G'!$H$11:$I$14,2,FALSE)))</f>
        <v>+/- 10%</v>
      </c>
      <c r="D12" s="225"/>
    </row>
    <row r="13" spans="1:5" x14ac:dyDescent="0.2">
      <c r="A13" s="217" t="s">
        <v>321</v>
      </c>
      <c r="B13" s="456">
        <v>0.05</v>
      </c>
      <c r="C13" s="225" t="str">
        <f>IF(ISERROR(VLOOKUP('XS Rating Step A Inputs'!$B$6,'XS Rate Tables Section G'!$H$11:$I$14,2,FALSE)=TRUE),'XS Rate Tables Section G'!C14,VLOOKUP('XS Rating Step A Inputs'!$B$6,'XS Rate Tables Section G'!$H$11:$I$14,2,FALSE))</f>
        <v>+/- 10%</v>
      </c>
      <c r="D13" s="225"/>
    </row>
    <row r="14" spans="1:5" x14ac:dyDescent="0.2">
      <c r="A14" s="255"/>
      <c r="B14" s="457"/>
      <c r="C14" s="307"/>
      <c r="D14" s="225"/>
    </row>
    <row r="15" spans="1:5" x14ac:dyDescent="0.2">
      <c r="A15" s="217" t="str">
        <f>IF('XS Rating Step A Inputs'!$B$6="Nebraska","Note: +/- 40% deviation is permitted in lieu of schedule rating in Nebraska.","")</f>
        <v/>
      </c>
      <c r="B15" s="457"/>
      <c r="C15" s="307"/>
      <c r="D15" s="225"/>
    </row>
    <row r="16" spans="1:5" x14ac:dyDescent="0.2">
      <c r="B16" s="458"/>
      <c r="D16" s="225"/>
    </row>
    <row r="17" spans="1:13" x14ac:dyDescent="0.2">
      <c r="A17" s="214" t="s">
        <v>441</v>
      </c>
      <c r="B17" s="459">
        <f>MIN(MAX(SUM($B$10:$B$13),'XS Rate Tables Section G'!$F$26),'XS Rate Tables Section G'!$G$26)</f>
        <v>0.15</v>
      </c>
    </row>
    <row r="18" spans="1:13" x14ac:dyDescent="0.2">
      <c r="A18" s="213" t="str">
        <f>"(subject to maximum Credit/Debit of "&amp;VLOOKUP('XS Rating Step A Inputs'!$B$6,'XS Rate Tables Section G'!$A$29:$C$79,3,FALSE)&amp;" allowed by state)"</f>
        <v>(subject to maximum Credit/Debit of +/- 15% allowed by state)</v>
      </c>
    </row>
    <row r="19" spans="1:13" x14ac:dyDescent="0.2">
      <c r="E19" s="267"/>
    </row>
    <row r="20" spans="1:13" x14ac:dyDescent="0.2">
      <c r="A20" s="214" t="s">
        <v>440</v>
      </c>
      <c r="E20" s="267"/>
      <c r="F20" s="447"/>
      <c r="G20" s="447"/>
      <c r="H20" s="447"/>
      <c r="I20" s="447"/>
      <c r="J20" s="447"/>
      <c r="K20" s="447"/>
      <c r="L20" s="447"/>
      <c r="M20" s="447"/>
    </row>
    <row r="21" spans="1:13" ht="39" customHeight="1" x14ac:dyDescent="0.2">
      <c r="A21" s="478" t="s">
        <v>344</v>
      </c>
      <c r="B21" s="474"/>
      <c r="C21" s="474"/>
      <c r="D21" s="474"/>
      <c r="E21" s="479"/>
      <c r="F21" s="447"/>
      <c r="G21" s="447"/>
      <c r="H21" s="447"/>
      <c r="I21" s="447"/>
      <c r="J21" s="447"/>
      <c r="K21" s="447"/>
      <c r="L21" s="447"/>
      <c r="M21" s="447"/>
    </row>
    <row r="22" spans="1:13" ht="41.25" customHeight="1" x14ac:dyDescent="0.2">
      <c r="A22" s="480" t="s">
        <v>287</v>
      </c>
      <c r="B22" s="481"/>
      <c r="C22" s="481"/>
      <c r="D22" s="481"/>
      <c r="E22" s="482"/>
      <c r="F22" s="447"/>
      <c r="G22" s="447"/>
      <c r="H22" s="447"/>
      <c r="I22" s="447"/>
      <c r="J22" s="447"/>
      <c r="K22" s="447"/>
      <c r="L22" s="447"/>
      <c r="M22" s="447"/>
    </row>
    <row r="23" spans="1:13" ht="59.25" customHeight="1" x14ac:dyDescent="0.2">
      <c r="A23" s="475" t="s">
        <v>395</v>
      </c>
      <c r="B23" s="476"/>
      <c r="C23" s="476"/>
      <c r="D23" s="476"/>
      <c r="E23" s="477"/>
      <c r="F23" s="447"/>
      <c r="G23" s="447"/>
      <c r="H23" s="447"/>
      <c r="I23" s="447"/>
      <c r="J23" s="447"/>
      <c r="K23" s="447"/>
      <c r="L23" s="447"/>
      <c r="M23" s="447"/>
    </row>
    <row r="24" spans="1:13" ht="59.25" customHeight="1" x14ac:dyDescent="0.2">
      <c r="A24" s="478" t="s">
        <v>396</v>
      </c>
      <c r="B24" s="474"/>
      <c r="C24" s="474"/>
      <c r="D24" s="474"/>
      <c r="E24" s="479"/>
      <c r="F24" s="447"/>
      <c r="G24" s="447"/>
      <c r="H24" s="447"/>
      <c r="I24" s="447"/>
      <c r="J24" s="447"/>
      <c r="K24" s="447"/>
      <c r="L24" s="447"/>
      <c r="M24" s="447"/>
    </row>
    <row r="25" spans="1:13" ht="219" customHeight="1" x14ac:dyDescent="0.2">
      <c r="A25" s="256"/>
      <c r="B25" s="257"/>
      <c r="C25" s="257"/>
      <c r="D25" s="257"/>
      <c r="E25" s="258"/>
      <c r="F25" s="447"/>
      <c r="G25" s="447"/>
      <c r="H25" s="447"/>
      <c r="I25" s="447"/>
      <c r="J25" s="447"/>
      <c r="K25" s="447"/>
      <c r="L25" s="447"/>
      <c r="M25" s="447"/>
    </row>
    <row r="26" spans="1:13" ht="13.5" customHeight="1" x14ac:dyDescent="0.2">
      <c r="A26" s="259"/>
      <c r="B26" s="260"/>
      <c r="C26" s="260"/>
      <c r="D26" s="260"/>
      <c r="E26" s="261"/>
      <c r="F26" s="447"/>
      <c r="G26" s="447"/>
      <c r="H26" s="447"/>
      <c r="I26" s="447"/>
      <c r="J26" s="447"/>
      <c r="K26" s="447"/>
      <c r="L26" s="447"/>
      <c r="M26" s="447"/>
    </row>
    <row r="27" spans="1:13" ht="59.25" customHeight="1" x14ac:dyDescent="0.2">
      <c r="A27" s="475" t="s">
        <v>397</v>
      </c>
      <c r="B27" s="476"/>
      <c r="C27" s="476"/>
      <c r="D27" s="476"/>
      <c r="E27" s="477"/>
      <c r="F27" s="447"/>
      <c r="G27" s="447"/>
      <c r="H27" s="447"/>
      <c r="I27" s="447"/>
      <c r="J27" s="447"/>
      <c r="K27" s="447"/>
      <c r="L27" s="447"/>
      <c r="M27" s="447"/>
    </row>
    <row r="28" spans="1:13" x14ac:dyDescent="0.2">
      <c r="F28" s="447"/>
      <c r="G28" s="447"/>
      <c r="H28" s="447"/>
      <c r="I28" s="447"/>
      <c r="J28" s="447"/>
      <c r="K28" s="447"/>
      <c r="L28" s="447"/>
      <c r="M28" s="447"/>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zoomScale="80" zoomScaleNormal="130" zoomScaleSheetLayoutView="80" workbookViewId="0">
      <selection activeCell="B39" sqref="B39"/>
    </sheetView>
  </sheetViews>
  <sheetFormatPr defaultRowHeight="12.75" outlineLevelRow="1" x14ac:dyDescent="0.2"/>
  <cols>
    <col min="1" max="1" width="72.375" style="213" bestFit="1" customWidth="1"/>
    <col min="2" max="2" width="12.125" style="213" customWidth="1"/>
    <col min="3" max="3" width="21.25" style="213" bestFit="1" customWidth="1"/>
    <col min="4" max="4" width="11.25" style="213" bestFit="1" customWidth="1"/>
    <col min="5" max="5" width="10.75" style="213" bestFit="1" customWidth="1"/>
    <col min="6" max="6" width="9" style="213"/>
    <col min="7" max="7" width="12.5" style="213" bestFit="1" customWidth="1"/>
    <col min="8" max="8" width="10.75" style="213" bestFit="1" customWidth="1"/>
    <col min="9"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51">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460">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461">
        <f>+B10</f>
        <v>0.7</v>
      </c>
    </row>
    <row r="17" spans="1:8" x14ac:dyDescent="0.2">
      <c r="A17" s="343" t="s">
        <v>601</v>
      </c>
      <c r="B17" s="431">
        <f>1-'XS Rating Step B-F Inputs'!B29</f>
        <v>1</v>
      </c>
      <c r="D17" s="320"/>
    </row>
    <row r="18" spans="1:8" x14ac:dyDescent="0.2">
      <c r="A18" s="343" t="s">
        <v>604</v>
      </c>
      <c r="B18" s="431">
        <f>1+B12</f>
        <v>1.1499999999999999</v>
      </c>
    </row>
    <row r="19" spans="1:8" x14ac:dyDescent="0.2">
      <c r="A19" s="345" t="s">
        <v>602</v>
      </c>
      <c r="B19" s="452">
        <f>B14*B15*B16*B17*B18</f>
        <v>70356.999999999985</v>
      </c>
      <c r="C19" s="344" t="s">
        <v>605</v>
      </c>
    </row>
    <row r="20" spans="1:8" x14ac:dyDescent="0.2">
      <c r="A20" s="213" t="s">
        <v>482</v>
      </c>
      <c r="B20" s="453">
        <f>(B6*('XS Rating Step A Inputs'!B12/1000000)*B10*(1-'XS Rating Step B-F Inputs'!B29)*(1+'XS Rating Step G Inputs'!B17))</f>
        <v>70356.999999999985</v>
      </c>
      <c r="C20" s="320">
        <f>+B20-B19</f>
        <v>0</v>
      </c>
      <c r="D20" s="359"/>
    </row>
    <row r="21" spans="1:8" x14ac:dyDescent="0.2">
      <c r="B21" s="320"/>
    </row>
    <row r="22" spans="1:8" x14ac:dyDescent="0.2">
      <c r="A22" s="213" t="s">
        <v>481</v>
      </c>
      <c r="B22" s="466">
        <f>IF('XS Rating Step A Inputs'!B6="Maryland","n/a",VLOOKUP('XS Rate Tables Sections A-F'!J128,'XS Rate Tables Sections A-F'!$I$96:$J$119,2,FALSE)*'XS Rating Step A Inputs'!B12/1000000)</f>
        <v>10000</v>
      </c>
    </row>
    <row r="23" spans="1:8" x14ac:dyDescent="0.2">
      <c r="B23" s="304"/>
    </row>
    <row r="24" spans="1:8" x14ac:dyDescent="0.2">
      <c r="A24" s="343" t="s">
        <v>610</v>
      </c>
      <c r="B24" s="463">
        <f>IF(AND('XS Rating Step B-F Inputs'!B9="",'XS Rating Step B-F Inputs'!B10=""),1,MAX('XS Rating Step B-F Inputs'!B9,'XS Rating Step B-F Inputs'!B10))</f>
        <v>1</v>
      </c>
      <c r="H24" s="436"/>
    </row>
    <row r="25" spans="1:8" x14ac:dyDescent="0.2">
      <c r="A25" s="343" t="s">
        <v>606</v>
      </c>
      <c r="B25" s="304"/>
    </row>
    <row r="26" spans="1:8" x14ac:dyDescent="0.2">
      <c r="A26" s="343" t="s">
        <v>607</v>
      </c>
      <c r="B26" s="464" t="str">
        <f>IF('XS Rating Step A Inputs'!B6="Maryland","n/a",IF(B20&lt;B22,B22*B24,"n/a"))</f>
        <v>n/a</v>
      </c>
      <c r="C26" s="304"/>
    </row>
    <row r="27" spans="1:8" x14ac:dyDescent="0.2">
      <c r="A27" s="420" t="s">
        <v>608</v>
      </c>
      <c r="B27" s="304"/>
      <c r="C27" s="346" t="s">
        <v>605</v>
      </c>
    </row>
    <row r="28" spans="1:8" x14ac:dyDescent="0.2">
      <c r="A28" s="419" t="s">
        <v>609</v>
      </c>
      <c r="B28" s="465">
        <f>IF('XS Rating Step A Inputs'!B6="Maryland",B20*B24,IF(OR(B20&gt;B22,B20=B22),B20*B24,"n/a"))</f>
        <v>70356.999999999985</v>
      </c>
      <c r="C28" s="359">
        <f>+B28-B29</f>
        <v>0</v>
      </c>
    </row>
    <row r="29" spans="1:8" ht="15.75" x14ac:dyDescent="0.25">
      <c r="A29" s="423" t="s">
        <v>703</v>
      </c>
      <c r="B29" s="426">
        <f>IF('XS Rating Step A Inputs'!B6="Maryland",B28,MAX(B26,B28))</f>
        <v>70356.999999999985</v>
      </c>
      <c r="D29" s="437"/>
      <c r="E29" s="334"/>
    </row>
    <row r="30" spans="1:8" ht="15.75" x14ac:dyDescent="0.25">
      <c r="A30" s="423"/>
      <c r="B30" s="427"/>
      <c r="E30" s="334"/>
    </row>
    <row r="31" spans="1:8" ht="15.75" x14ac:dyDescent="0.25">
      <c r="A31" s="468" t="s">
        <v>731</v>
      </c>
      <c r="B31" s="469" t="str">
        <f>IF(B32=0,"N/A",B32/$B$29)</f>
        <v>N/A</v>
      </c>
      <c r="E31" s="334"/>
    </row>
    <row r="32" spans="1:8" ht="12.75" customHeight="1" x14ac:dyDescent="0.25">
      <c r="A32" s="468" t="s">
        <v>709</v>
      </c>
      <c r="B32" s="470">
        <f>IF(OR('XS Rating Step A Inputs'!$B$6="Florida",'XS Rating Step A Inputs'!$B$6="Maryland"),IF('XS Rating Step B-F Inputs'!B14="Yes",VLOOKUP('XS Rating Step B-F Inputs'!$B$16,'XS Rate Tables Sections A-F'!$A$64:$G$69,7,FALSE)*$B$29,0),IF('XS Rating Step B-F Inputs'!$B$14="Yes",('XS Rating Step B-F Inputs'!$B$15)*$B$29,0))</f>
        <v>0</v>
      </c>
      <c r="C32" s="281"/>
      <c r="E32" s="334"/>
      <c r="G32" s="281"/>
      <c r="H32" s="359"/>
    </row>
    <row r="33" spans="1:8" ht="12.75" customHeight="1" x14ac:dyDescent="0.25">
      <c r="A33" s="468" t="s">
        <v>733</v>
      </c>
      <c r="B33" s="469" t="str">
        <f>IF(B34=0,"N/A",B34/$B$29)</f>
        <v>N/A</v>
      </c>
      <c r="C33" s="281"/>
      <c r="E33" s="334"/>
      <c r="G33" s="281"/>
      <c r="H33" s="359"/>
    </row>
    <row r="34" spans="1:8" ht="12.75" customHeight="1" x14ac:dyDescent="0.25">
      <c r="A34" s="439" t="s">
        <v>704</v>
      </c>
      <c r="B34" s="440">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59"/>
      <c r="E34" s="334"/>
      <c r="G34" s="281"/>
      <c r="H34" s="359"/>
    </row>
    <row r="35" spans="1:8" ht="15.75" x14ac:dyDescent="0.25">
      <c r="A35" s="423" t="s">
        <v>705</v>
      </c>
      <c r="B35" s="426">
        <f>B29+B32+B34</f>
        <v>70356.999999999985</v>
      </c>
      <c r="E35" s="334"/>
      <c r="G35" s="359"/>
    </row>
    <row r="36" spans="1:8" ht="15.75" x14ac:dyDescent="0.25">
      <c r="B36" s="304"/>
      <c r="E36" s="334"/>
      <c r="G36" s="359"/>
    </row>
    <row r="37" spans="1:8" outlineLevel="1" x14ac:dyDescent="0.2">
      <c r="A37" s="349" t="s">
        <v>732</v>
      </c>
      <c r="B37" s="338" t="s">
        <v>615</v>
      </c>
      <c r="G37" s="359"/>
    </row>
    <row r="38" spans="1:8" outlineLevel="1" x14ac:dyDescent="0.2">
      <c r="A38" s="343" t="s">
        <v>611</v>
      </c>
      <c r="B38" s="462">
        <v>0.1</v>
      </c>
      <c r="C38" s="338" t="s">
        <v>627</v>
      </c>
    </row>
    <row r="39" spans="1:8" outlineLevel="1" x14ac:dyDescent="0.2">
      <c r="A39" s="343" t="s">
        <v>612</v>
      </c>
      <c r="B39" s="462">
        <v>0.10680000000000001</v>
      </c>
      <c r="C39" s="338" t="s">
        <v>627</v>
      </c>
      <c r="G39" s="359"/>
    </row>
    <row r="40" spans="1:8" outlineLevel="1" x14ac:dyDescent="0.2">
      <c r="A40" s="423" t="s">
        <v>706</v>
      </c>
      <c r="B40" s="450">
        <f>B35*(1+B38)*(1+B39)</f>
        <v>85658.240359999996</v>
      </c>
    </row>
    <row r="41" spans="1:8" x14ac:dyDescent="0.2">
      <c r="A41" s="343"/>
      <c r="B41" s="348"/>
    </row>
    <row r="42" spans="1:8" x14ac:dyDescent="0.2">
      <c r="A42" s="343"/>
      <c r="B42" s="348"/>
    </row>
    <row r="43" spans="1:8" x14ac:dyDescent="0.2">
      <c r="B43" s="458"/>
    </row>
    <row r="44" spans="1:8" x14ac:dyDescent="0.2">
      <c r="B44" s="458"/>
    </row>
    <row r="45" spans="1:8" x14ac:dyDescent="0.2">
      <c r="B45" s="471"/>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topLeftCell="A20" zoomScaleNormal="130" zoomScaleSheetLayoutView="100" workbookViewId="0">
      <selection activeCell="B37" sqref="B37"/>
    </sheetView>
  </sheetViews>
  <sheetFormatPr defaultRowHeight="12.75" outlineLevelRow="1" x14ac:dyDescent="0.2"/>
  <cols>
    <col min="1" max="1" width="72.375" style="213" bestFit="1" customWidth="1"/>
    <col min="2" max="2" width="12.125" style="213" customWidth="1"/>
    <col min="3" max="3" width="9" style="213" customWidth="1"/>
    <col min="4" max="4" width="11.25" style="213" bestFit="1" customWidth="1"/>
    <col min="5" max="5" width="10.75" style="213" bestFit="1" customWidth="1"/>
    <col min="6"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16">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288">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341">
        <f>+B10</f>
        <v>0.7</v>
      </c>
    </row>
    <row r="17" spans="1:5" x14ac:dyDescent="0.2">
      <c r="A17" s="343" t="s">
        <v>598</v>
      </c>
      <c r="B17" s="430">
        <f>IF(OR('XS Rating Step A Inputs'!$B$6="Florida",'XS Rating Step A Inputs'!$B$6="Maryland"),1,IF('XS Rating Step B-F Inputs'!$B$14="Yes",'XS Rating Step B-F Inputs'!B15+1,1))</f>
        <v>1</v>
      </c>
      <c r="D17" s="320"/>
      <c r="E17" s="359"/>
    </row>
    <row r="18" spans="1:5" x14ac:dyDescent="0.2">
      <c r="A18" s="343" t="s">
        <v>599</v>
      </c>
      <c r="B18" s="430">
        <f>IF(OR('XS Rating Step A Inputs'!$B$6="Florida",'XS Rating Step A Inputs'!$B$6="Maryland"),1,IF('XS Rating Step B-F Inputs'!$B$21="Yes",'XS Rating Step B-F Inputs'!B22+1,1))</f>
        <v>1</v>
      </c>
    </row>
    <row r="19" spans="1:5" x14ac:dyDescent="0.2">
      <c r="A19" s="343" t="s">
        <v>601</v>
      </c>
      <c r="B19" s="431">
        <f>1-'XS Rating Step B-F Inputs'!B29</f>
        <v>1</v>
      </c>
      <c r="D19" s="320"/>
    </row>
    <row r="20" spans="1:5" x14ac:dyDescent="0.2">
      <c r="A20" s="343" t="s">
        <v>604</v>
      </c>
      <c r="B20" s="431">
        <f>1+B12</f>
        <v>1.1499999999999999</v>
      </c>
    </row>
    <row r="21" spans="1:5" x14ac:dyDescent="0.2">
      <c r="A21" s="345" t="s">
        <v>602</v>
      </c>
      <c r="B21" s="417">
        <f>B14*B15*B16*B17*B18*B19*B20</f>
        <v>70356.999999999985</v>
      </c>
      <c r="C21" s="344" t="s">
        <v>605</v>
      </c>
    </row>
    <row r="22" spans="1:5" x14ac:dyDescent="0.2">
      <c r="A22" s="213" t="s">
        <v>482</v>
      </c>
      <c r="B22" s="418">
        <f>(B6*('XS Rating Step A Inputs'!B12/1000000)*B10*IF('XS Rating Step B-F Inputs'!B15="",1,'XS Rating Step B-F Inputs'!B15+1)*IF('XS Rating Step B-F Inputs'!B22="",1,'XS Rating Step B-F Inputs'!B22+1)*(1-'XS Rating Step B-F Inputs'!B29)*(1+'XS Final Premium Calculatio OLD'!B12))</f>
        <v>70356.999999999985</v>
      </c>
      <c r="C22" s="320">
        <f>+B22-B21</f>
        <v>0</v>
      </c>
      <c r="D22" s="359"/>
    </row>
    <row r="23" spans="1:5" x14ac:dyDescent="0.2">
      <c r="B23" s="320"/>
    </row>
    <row r="24" spans="1:5" x14ac:dyDescent="0.2">
      <c r="A24" s="213" t="s">
        <v>481</v>
      </c>
      <c r="B24" s="301">
        <f>IF('XS Rating Step A Inputs'!B6="Maryland","n/a",VLOOKUP('XS Rate Tables Sections A-F'!J128,'XS Rate Tables Sections A-F'!$I$96:$J$113,2,FALSE)*'XS Rating Step A Inputs'!B12/1000000)</f>
        <v>10000</v>
      </c>
    </row>
    <row r="25" spans="1:5" x14ac:dyDescent="0.2">
      <c r="B25" s="304"/>
    </row>
    <row r="26" spans="1:5" x14ac:dyDescent="0.2">
      <c r="A26" s="343" t="s">
        <v>610</v>
      </c>
      <c r="B26" s="342">
        <f>MAX('XS Rating Step B-F Inputs'!B9,'XS Rating Step B-F Inputs'!B10)</f>
        <v>0</v>
      </c>
    </row>
    <row r="27" spans="1:5" x14ac:dyDescent="0.2">
      <c r="A27" s="343" t="s">
        <v>606</v>
      </c>
      <c r="B27" s="304"/>
    </row>
    <row r="28" spans="1:5" x14ac:dyDescent="0.2">
      <c r="A28" s="343" t="s">
        <v>607</v>
      </c>
      <c r="B28" s="304" t="str">
        <f>IF('XS Rating Step A Inputs'!B6="Maryland","n/a",IF(B22&lt;B24,B24*B26,"n/a"))</f>
        <v>n/a</v>
      </c>
      <c r="C28" s="304"/>
    </row>
    <row r="29" spans="1:5" x14ac:dyDescent="0.2">
      <c r="A29" s="420" t="s">
        <v>608</v>
      </c>
      <c r="B29" s="304"/>
      <c r="C29" s="346" t="s">
        <v>605</v>
      </c>
    </row>
    <row r="30" spans="1:5" x14ac:dyDescent="0.2">
      <c r="A30" s="419" t="s">
        <v>609</v>
      </c>
      <c r="B30" s="421">
        <f>IF('XS Rating Step A Inputs'!B6="Maryland",B22*B26,IF(OR(B22&gt;B24,B22=B24),B22*B26,"n/a"))</f>
        <v>0</v>
      </c>
      <c r="C30" s="359">
        <f>+B30-B31</f>
        <v>-70356.999999999985</v>
      </c>
    </row>
    <row r="31" spans="1:5" ht="15.75" x14ac:dyDescent="0.25">
      <c r="A31" s="423" t="str">
        <f>IF(OR('XS Rating Step A Inputs'!$B$6="Florida",'XS Rating Step A Inputs'!B6="Maryland"),"vii.   Final Premium Calculation (Prior to Run-off Policies and/or Extended Reporting Period Premium:","vii.   Final Premium Calculation:")</f>
        <v>vii.   Final Premium Calculation:</v>
      </c>
      <c r="B31" s="426">
        <f>IF('XS Rating Step A Inputs'!B6="Maryland",B22*B26,IF(AND('XS Rating Step B-F Inputs'!B9="",'XS Rating Step B-F Inputs'!B10=""),IF(B22&lt;B24,B24,B22),IF(B22&lt;B24,B24*MAX('XS Rating Step B-F Inputs'!B9,'XS Rating Step B-F Inputs'!B10),B22*MAX('XS Rating Step B-F Inputs'!B9,'XS Rating Step B-F Inputs'!B10))))</f>
        <v>70356.999999999985</v>
      </c>
      <c r="E31" s="334"/>
    </row>
    <row r="32" spans="1:5" ht="15.75" x14ac:dyDescent="0.25">
      <c r="A32" s="423"/>
      <c r="B32" s="427"/>
      <c r="E32" s="334"/>
    </row>
    <row r="33" spans="1:5" ht="12.75" customHeight="1" x14ac:dyDescent="0.25">
      <c r="A33" s="424" t="str">
        <f>IF(OR('XS Rating Step A Inputs'!$B$6="Florida",'XS Rating Step A Inputs'!$B$6="Maryland"),"        Run-off Policy Premium:","")</f>
        <v/>
      </c>
      <c r="B33" s="432" t="str">
        <f>IF(OR('XS Rating Step A Inputs'!$B$6="Florida",'XS Rating Step A Inputs'!$B$6="Maryland"),VLOOKUP('XS Rating Step B-F Inputs'!$B$16,'XS Rate Tables Sections A-F'!$A$64:$G$69,7,FALSE)*$B$31,"")</f>
        <v/>
      </c>
      <c r="E33" s="334"/>
    </row>
    <row r="34" spans="1:5" ht="12.75" customHeight="1" x14ac:dyDescent="0.25">
      <c r="A34" s="424" t="str">
        <f>IF(OR('XS Rating Step A Inputs'!$B$6="Florida",'XS Rating Step A Inputs'!$B$6="Maryland"),"        Extended Reporting Period Premium:","")</f>
        <v/>
      </c>
      <c r="B34" s="432" t="str">
        <f>IF(OR('XS Rating Step A Inputs'!$B$6="Florida",'XS Rating Step A Inputs'!$B$6="Maryland"),VLOOKUP('XS Rating Step B-F Inputs'!$B$23,'XS Rate Tables Sections A-F'!$A$79:$G$84,7,FALSE)*$B$31,"")</f>
        <v/>
      </c>
      <c r="E34" s="334"/>
    </row>
    <row r="35" spans="1:5" ht="15.75" x14ac:dyDescent="0.25">
      <c r="A35" s="423" t="str">
        <f>IF(OR('XS Rating Step A Inputs'!$B$6="Florida",'XS Rating Step A Inputs'!B10="Maryland"),"vii.   Final Premium Calculation (Prior to Run-off Policies and/or Extended Reporting Period Premium:","vii.   Final Premium Calculation:")</f>
        <v>vii.   Final Premium Calculation:</v>
      </c>
      <c r="B35" s="422"/>
      <c r="E35" s="334"/>
    </row>
    <row r="36" spans="1:5" ht="15.75" x14ac:dyDescent="0.25">
      <c r="B36" s="304"/>
      <c r="E36" s="334"/>
    </row>
    <row r="37" spans="1:5" outlineLevel="1" x14ac:dyDescent="0.2">
      <c r="A37" s="349" t="s">
        <v>614</v>
      </c>
      <c r="B37" s="338" t="s">
        <v>615</v>
      </c>
    </row>
    <row r="38" spans="1:5" outlineLevel="1" x14ac:dyDescent="0.2">
      <c r="A38" s="343" t="s">
        <v>611</v>
      </c>
      <c r="B38" s="347">
        <v>0.05</v>
      </c>
      <c r="C38" s="338" t="s">
        <v>627</v>
      </c>
    </row>
    <row r="39" spans="1:5" outlineLevel="1" x14ac:dyDescent="0.2">
      <c r="A39" s="343" t="s">
        <v>612</v>
      </c>
      <c r="B39" s="347">
        <v>0</v>
      </c>
    </row>
    <row r="40" spans="1:5" outlineLevel="1" x14ac:dyDescent="0.2">
      <c r="A40" s="214" t="s">
        <v>613</v>
      </c>
      <c r="B40" s="358">
        <f>+B31*(1+B38+B39)</f>
        <v>73874.849999999991</v>
      </c>
    </row>
    <row r="41" spans="1:5" x14ac:dyDescent="0.2">
      <c r="A41" s="343"/>
      <c r="B41" s="348"/>
    </row>
    <row r="42" spans="1:5" x14ac:dyDescent="0.2">
      <c r="A42" s="343"/>
      <c r="B42" s="348"/>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707</v>
      </c>
    </row>
    <row r="10" spans="1:1" x14ac:dyDescent="0.25">
      <c r="A10" s="270" t="s">
        <v>433</v>
      </c>
    </row>
    <row r="11" spans="1:1" x14ac:dyDescent="0.25">
      <c r="A11" s="271" t="s">
        <v>434</v>
      </c>
    </row>
    <row r="12" spans="1:1" x14ac:dyDescent="0.25">
      <c r="A12" s="270" t="s">
        <v>708</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441" t="s">
        <v>710</v>
      </c>
    </row>
    <row r="18" spans="1:2" x14ac:dyDescent="0.25">
      <c r="A18" s="442" t="s">
        <v>711</v>
      </c>
    </row>
    <row r="19" spans="1:2" x14ac:dyDescent="0.25">
      <c r="A19" s="442" t="s">
        <v>712</v>
      </c>
    </row>
    <row r="20" spans="1:2" x14ac:dyDescent="0.25">
      <c r="A20" s="442" t="s">
        <v>713</v>
      </c>
    </row>
    <row r="21" spans="1:2" x14ac:dyDescent="0.25">
      <c r="A21" s="272"/>
    </row>
    <row r="22" spans="1:2" x14ac:dyDescent="0.25">
      <c r="A22" s="272"/>
    </row>
    <row r="23" spans="1:2" x14ac:dyDescent="0.25">
      <c r="A23" s="270" t="s">
        <v>506</v>
      </c>
    </row>
    <row r="24" spans="1:2" x14ac:dyDescent="0.25">
      <c r="A24" s="271" t="s">
        <v>697</v>
      </c>
    </row>
    <row r="25" spans="1:2" x14ac:dyDescent="0.25">
      <c r="A25" s="333"/>
      <c r="B25" s="319"/>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432</v>
      </c>
    </row>
    <row r="10" spans="1:1" x14ac:dyDescent="0.25">
      <c r="A10" s="270" t="s">
        <v>433</v>
      </c>
    </row>
    <row r="11" spans="1:1" x14ac:dyDescent="0.25">
      <c r="A11" s="271" t="s">
        <v>434</v>
      </c>
    </row>
    <row r="12" spans="1:1" x14ac:dyDescent="0.25">
      <c r="A12" s="270" t="s">
        <v>435</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272"/>
    </row>
    <row r="18" spans="1:2" x14ac:dyDescent="0.25">
      <c r="A18" s="272"/>
    </row>
    <row r="19" spans="1:2" x14ac:dyDescent="0.25">
      <c r="A19" s="270" t="s">
        <v>506</v>
      </c>
    </row>
    <row r="20" spans="1:2" x14ac:dyDescent="0.25">
      <c r="A20" s="271" t="s">
        <v>697</v>
      </c>
    </row>
    <row r="21" spans="1:2" x14ac:dyDescent="0.25">
      <c r="A21" s="333"/>
      <c r="B21" s="319"/>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94" zoomScale="93" zoomScaleNormal="93" workbookViewId="0">
      <selection activeCell="M128" sqref="M128"/>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31.75" style="213" bestFit="1" customWidth="1"/>
    <col min="10" max="16384" width="9" style="213"/>
  </cols>
  <sheetData>
    <row r="1" spans="1:6" x14ac:dyDescent="0.2">
      <c r="A1" s="213" t="s">
        <v>249</v>
      </c>
      <c r="F1" s="276"/>
    </row>
    <row r="2" spans="1:6" x14ac:dyDescent="0.2">
      <c r="A2" s="213" t="s">
        <v>494</v>
      </c>
      <c r="F2" s="276"/>
    </row>
    <row r="3" spans="1:6" x14ac:dyDescent="0.2">
      <c r="F3" s="276"/>
    </row>
    <row r="4" spans="1:6" x14ac:dyDescent="0.2">
      <c r="A4" s="228" t="s">
        <v>250</v>
      </c>
      <c r="F4" s="276"/>
    </row>
    <row r="5" spans="1:6" x14ac:dyDescent="0.2">
      <c r="A5" s="229" t="s">
        <v>294</v>
      </c>
      <c r="F5" s="276"/>
    </row>
    <row r="6" spans="1:6" x14ac:dyDescent="0.2">
      <c r="A6" s="230" t="s">
        <v>251</v>
      </c>
      <c r="F6" s="276"/>
    </row>
    <row r="7" spans="1:6" x14ac:dyDescent="0.2">
      <c r="A7" s="230" t="s">
        <v>252</v>
      </c>
      <c r="F7" s="276"/>
    </row>
    <row r="8" spans="1:6" x14ac:dyDescent="0.2">
      <c r="A8" s="230"/>
      <c r="F8" s="276"/>
    </row>
    <row r="9" spans="1:6" x14ac:dyDescent="0.2">
      <c r="A9" s="231" t="s">
        <v>518</v>
      </c>
      <c r="F9" s="276"/>
    </row>
    <row r="10" spans="1:6" x14ac:dyDescent="0.2">
      <c r="A10" s="215">
        <v>1</v>
      </c>
      <c r="B10" s="215">
        <v>2</v>
      </c>
      <c r="C10" s="215">
        <v>3</v>
      </c>
      <c r="D10" s="215">
        <v>4</v>
      </c>
      <c r="E10" s="215">
        <v>5</v>
      </c>
      <c r="F10" s="277"/>
    </row>
    <row r="11" spans="1:6" x14ac:dyDescent="0.2">
      <c r="A11" s="215" t="s">
        <v>253</v>
      </c>
      <c r="B11" s="215" t="s">
        <v>254</v>
      </c>
      <c r="C11" s="215" t="s">
        <v>255</v>
      </c>
      <c r="D11" s="215" t="s">
        <v>256</v>
      </c>
      <c r="E11" s="215" t="s">
        <v>257</v>
      </c>
      <c r="F11" s="277"/>
    </row>
    <row r="12" spans="1:6" x14ac:dyDescent="0.2">
      <c r="A12" s="216" t="s">
        <v>258</v>
      </c>
      <c r="B12" s="216" t="s">
        <v>259</v>
      </c>
      <c r="C12" s="216" t="s">
        <v>260</v>
      </c>
      <c r="D12" s="216" t="s">
        <v>261</v>
      </c>
      <c r="E12" s="216" t="s">
        <v>262</v>
      </c>
      <c r="F12" s="278"/>
    </row>
    <row r="13" spans="1:6" x14ac:dyDescent="0.2">
      <c r="A13" s="232" t="s">
        <v>263</v>
      </c>
      <c r="F13" s="276"/>
    </row>
    <row r="14" spans="1:6" x14ac:dyDescent="0.2">
      <c r="A14" s="232"/>
      <c r="F14" s="276"/>
    </row>
    <row r="15" spans="1:6" x14ac:dyDescent="0.2">
      <c r="A15" s="231" t="s">
        <v>519</v>
      </c>
      <c r="F15" s="276"/>
    </row>
    <row r="16" spans="1:6" x14ac:dyDescent="0.2">
      <c r="A16" s="215">
        <v>1</v>
      </c>
      <c r="B16" s="215">
        <v>2</v>
      </c>
      <c r="C16" s="215">
        <v>3</v>
      </c>
      <c r="D16" s="215">
        <v>4</v>
      </c>
      <c r="E16" s="215">
        <v>5</v>
      </c>
      <c r="F16" s="276"/>
    </row>
    <row r="17" spans="1:16" x14ac:dyDescent="0.2">
      <c r="A17" s="215" t="s">
        <v>253</v>
      </c>
      <c r="B17" s="215" t="s">
        <v>254</v>
      </c>
      <c r="C17" s="215" t="s">
        <v>255</v>
      </c>
      <c r="D17" s="215" t="s">
        <v>256</v>
      </c>
      <c r="E17" s="215" t="s">
        <v>257</v>
      </c>
      <c r="F17" s="276"/>
    </row>
    <row r="18" spans="1:16" x14ac:dyDescent="0.2">
      <c r="A18" s="308">
        <v>0.48</v>
      </c>
      <c r="B18" s="308">
        <v>0.6</v>
      </c>
      <c r="C18" s="308">
        <v>0.7</v>
      </c>
      <c r="D18" s="308">
        <v>0.8</v>
      </c>
      <c r="E18" s="308">
        <v>0.93</v>
      </c>
      <c r="F18" s="276"/>
    </row>
    <row r="19" spans="1:16" x14ac:dyDescent="0.2">
      <c r="A19" s="232"/>
      <c r="F19" s="276"/>
    </row>
    <row r="20" spans="1:16" x14ac:dyDescent="0.2">
      <c r="A20" s="232"/>
      <c r="F20" s="276"/>
    </row>
    <row r="21" spans="1:16" x14ac:dyDescent="0.2">
      <c r="A21" s="231" t="s">
        <v>504</v>
      </c>
      <c r="F21" s="276"/>
    </row>
    <row r="22" spans="1:16" x14ac:dyDescent="0.2">
      <c r="A22" s="215">
        <v>1</v>
      </c>
      <c r="B22" s="215">
        <v>2</v>
      </c>
      <c r="C22" s="215">
        <v>3</v>
      </c>
      <c r="D22" s="215">
        <v>4</v>
      </c>
      <c r="E22" s="215">
        <v>5</v>
      </c>
      <c r="F22" s="276"/>
    </row>
    <row r="23" spans="1:16" x14ac:dyDescent="0.2">
      <c r="A23" s="215" t="s">
        <v>253</v>
      </c>
      <c r="B23" s="215" t="s">
        <v>254</v>
      </c>
      <c r="C23" s="215" t="s">
        <v>255</v>
      </c>
      <c r="D23" s="215" t="s">
        <v>256</v>
      </c>
      <c r="E23" s="215" t="s">
        <v>257</v>
      </c>
      <c r="F23" s="276"/>
    </row>
    <row r="24" spans="1:16" x14ac:dyDescent="0.2">
      <c r="A24" s="308">
        <v>0.7</v>
      </c>
      <c r="B24" s="308">
        <v>0.7</v>
      </c>
      <c r="C24" s="308">
        <v>0.7</v>
      </c>
      <c r="D24" s="308">
        <v>0.7</v>
      </c>
      <c r="E24" s="308">
        <v>0.7</v>
      </c>
      <c r="F24" s="276"/>
    </row>
    <row r="25" spans="1:16" x14ac:dyDescent="0.2">
      <c r="A25" s="318"/>
      <c r="B25" s="318"/>
      <c r="C25" s="318"/>
      <c r="D25" s="318"/>
      <c r="E25" s="318"/>
      <c r="F25" s="276"/>
    </row>
    <row r="26" spans="1:16" x14ac:dyDescent="0.2">
      <c r="A26" s="318"/>
      <c r="B26" s="318"/>
      <c r="C26" s="318"/>
      <c r="D26" s="318"/>
      <c r="E26" s="318"/>
      <c r="F26" s="276"/>
    </row>
    <row r="27" spans="1:16" x14ac:dyDescent="0.2">
      <c r="A27" s="217" t="s">
        <v>264</v>
      </c>
      <c r="F27" s="276"/>
      <c r="N27" s="346" t="s">
        <v>588</v>
      </c>
      <c r="P27" s="346" t="s">
        <v>702</v>
      </c>
    </row>
    <row r="28" spans="1:16" x14ac:dyDescent="0.2">
      <c r="A28" s="231"/>
      <c r="F28" s="276"/>
      <c r="K28" s="213" t="s">
        <v>714</v>
      </c>
    </row>
    <row r="29" spans="1:16" x14ac:dyDescent="0.2">
      <c r="A29" s="233" t="s">
        <v>337</v>
      </c>
      <c r="B29" s="234"/>
      <c r="F29" s="276"/>
      <c r="H29" s="213">
        <v>1</v>
      </c>
      <c r="I29" s="213" t="s">
        <v>253</v>
      </c>
      <c r="J29" s="213" t="s">
        <v>258</v>
      </c>
      <c r="K29" s="434">
        <v>0.4</v>
      </c>
      <c r="L29" s="434">
        <v>0.55000000000000004</v>
      </c>
      <c r="M29" s="434"/>
      <c r="N29" s="434">
        <v>0.48</v>
      </c>
      <c r="O29" s="434"/>
      <c r="P29" s="434">
        <v>0.7</v>
      </c>
    </row>
    <row r="30" spans="1:16" x14ac:dyDescent="0.2">
      <c r="A30" s="233" t="s">
        <v>338</v>
      </c>
      <c r="B30" s="234"/>
      <c r="F30" s="276"/>
      <c r="H30" s="213">
        <v>2</v>
      </c>
      <c r="I30" s="213" t="s">
        <v>254</v>
      </c>
      <c r="J30" s="213" t="s">
        <v>259</v>
      </c>
      <c r="K30" s="434">
        <v>0.55000000000000004</v>
      </c>
      <c r="L30" s="434">
        <v>0.65</v>
      </c>
      <c r="M30" s="434"/>
      <c r="N30" s="434">
        <v>0.6</v>
      </c>
      <c r="O30" s="434"/>
      <c r="P30" s="434">
        <v>0.7</v>
      </c>
    </row>
    <row r="31" spans="1:16" x14ac:dyDescent="0.2">
      <c r="A31" s="233" t="s">
        <v>339</v>
      </c>
      <c r="B31" s="234"/>
      <c r="F31" s="276"/>
      <c r="H31" s="213">
        <v>3</v>
      </c>
      <c r="I31" s="213" t="s">
        <v>255</v>
      </c>
      <c r="J31" s="213" t="s">
        <v>260</v>
      </c>
      <c r="K31" s="434">
        <v>0.65</v>
      </c>
      <c r="L31" s="434">
        <v>0.75</v>
      </c>
      <c r="M31" s="434"/>
      <c r="N31" s="434">
        <v>0.7</v>
      </c>
      <c r="O31" s="434"/>
      <c r="P31" s="434">
        <v>0.7</v>
      </c>
    </row>
    <row r="32" spans="1:16" x14ac:dyDescent="0.2">
      <c r="A32" s="233" t="s">
        <v>340</v>
      </c>
      <c r="B32" s="234"/>
      <c r="F32" s="276"/>
      <c r="H32" s="213">
        <v>4</v>
      </c>
      <c r="I32" s="213" t="s">
        <v>256</v>
      </c>
      <c r="J32" s="213" t="s">
        <v>261</v>
      </c>
      <c r="K32" s="434">
        <v>0.75</v>
      </c>
      <c r="L32" s="434">
        <v>0.85</v>
      </c>
      <c r="M32" s="434"/>
      <c r="N32" s="434">
        <v>0.8</v>
      </c>
      <c r="O32" s="434"/>
      <c r="P32" s="434">
        <v>0.7</v>
      </c>
    </row>
    <row r="33" spans="1:16" x14ac:dyDescent="0.2">
      <c r="A33" s="233" t="s">
        <v>341</v>
      </c>
      <c r="B33" s="234"/>
      <c r="F33" s="276"/>
      <c r="H33" s="213">
        <v>5</v>
      </c>
      <c r="I33" s="213" t="s">
        <v>257</v>
      </c>
      <c r="J33" s="213" t="s">
        <v>262</v>
      </c>
      <c r="K33" s="434">
        <v>0.85</v>
      </c>
      <c r="L33" s="434">
        <v>1.5</v>
      </c>
      <c r="M33" s="434"/>
      <c r="N33" s="434">
        <v>0.93</v>
      </c>
      <c r="O33" s="434"/>
      <c r="P33" s="434">
        <v>0.7</v>
      </c>
    </row>
    <row r="34" spans="1:16" x14ac:dyDescent="0.2">
      <c r="A34" s="233" t="s">
        <v>342</v>
      </c>
      <c r="B34" s="234"/>
      <c r="F34" s="276"/>
    </row>
    <row r="35" spans="1:16" x14ac:dyDescent="0.2">
      <c r="A35" s="233" t="s">
        <v>343</v>
      </c>
      <c r="B35" s="234"/>
      <c r="F35" s="276"/>
    </row>
    <row r="36" spans="1:16" x14ac:dyDescent="0.2">
      <c r="A36" s="233"/>
      <c r="B36" s="234"/>
      <c r="F36" s="276"/>
      <c r="I36" s="213" t="s">
        <v>300</v>
      </c>
      <c r="J36" s="220">
        <f>LEFT('XS Rating Step A Inputs'!C38,4)/100</f>
        <v>6.9999999999999993E-3</v>
      </c>
    </row>
    <row r="37" spans="1:16" x14ac:dyDescent="0.2">
      <c r="A37" s="217" t="s">
        <v>289</v>
      </c>
      <c r="B37" s="234"/>
      <c r="F37" s="276"/>
      <c r="I37" s="213" t="s">
        <v>301</v>
      </c>
      <c r="J37" s="220" t="e">
        <f>MID('XS Rating Step A Inputs'!C38,4,2)/100</f>
        <v>#VALUE!</v>
      </c>
    </row>
    <row r="38" spans="1:16" x14ac:dyDescent="0.2">
      <c r="A38" s="217" t="s">
        <v>288</v>
      </c>
      <c r="F38" s="276"/>
    </row>
    <row r="39" spans="1:16" ht="65.25" customHeight="1" x14ac:dyDescent="0.2">
      <c r="A39" s="475" t="s">
        <v>311</v>
      </c>
      <c r="B39" s="476"/>
      <c r="C39" s="476"/>
      <c r="D39" s="476"/>
      <c r="E39" s="477"/>
      <c r="F39" s="279"/>
    </row>
    <row r="40" spans="1:16" ht="70.5" customHeight="1" x14ac:dyDescent="0.2">
      <c r="A40" s="475" t="s">
        <v>312</v>
      </c>
      <c r="B40" s="476"/>
      <c r="C40" s="476"/>
      <c r="D40" s="476"/>
      <c r="E40" s="477"/>
      <c r="F40" s="279"/>
    </row>
    <row r="41" spans="1:16" ht="69" customHeight="1" x14ac:dyDescent="0.2">
      <c r="A41" s="475" t="s">
        <v>313</v>
      </c>
      <c r="B41" s="476"/>
      <c r="C41" s="476"/>
      <c r="D41" s="476"/>
      <c r="E41" s="477"/>
      <c r="F41" s="279"/>
    </row>
    <row r="42" spans="1:16" ht="65.25" customHeight="1" x14ac:dyDescent="0.2">
      <c r="A42" s="475" t="s">
        <v>314</v>
      </c>
      <c r="B42" s="476"/>
      <c r="C42" s="476"/>
      <c r="D42" s="476"/>
      <c r="E42" s="477"/>
      <c r="F42" s="279"/>
    </row>
    <row r="43" spans="1:16" ht="55.5" customHeight="1" x14ac:dyDescent="0.2">
      <c r="A43" s="475" t="s">
        <v>315</v>
      </c>
      <c r="B43" s="476"/>
      <c r="C43" s="476"/>
      <c r="D43" s="476"/>
      <c r="E43" s="477"/>
      <c r="F43" s="279"/>
    </row>
    <row r="44" spans="1:16" x14ac:dyDescent="0.2">
      <c r="F44" s="276"/>
    </row>
    <row r="45" spans="1:16" x14ac:dyDescent="0.2">
      <c r="A45" s="231"/>
      <c r="F45" s="276"/>
    </row>
    <row r="46" spans="1:16" x14ac:dyDescent="0.2">
      <c r="A46" s="229" t="s">
        <v>295</v>
      </c>
      <c r="F46" s="276"/>
    </row>
    <row r="47" spans="1:16" x14ac:dyDescent="0.2">
      <c r="A47" s="335" t="s">
        <v>592</v>
      </c>
      <c r="F47" s="276"/>
    </row>
    <row r="48" spans="1:16" ht="15.75" customHeight="1" x14ac:dyDescent="0.2">
      <c r="A48" s="241"/>
      <c r="B48" s="215" t="s">
        <v>495</v>
      </c>
      <c r="C48" s="215" t="s">
        <v>496</v>
      </c>
      <c r="F48" s="276"/>
    </row>
    <row r="49" spans="1:8" ht="25.5" x14ac:dyDescent="0.2">
      <c r="A49" s="241" t="s">
        <v>265</v>
      </c>
      <c r="B49" s="305" t="s">
        <v>266</v>
      </c>
      <c r="C49" s="309">
        <v>0.8</v>
      </c>
      <c r="F49" s="276"/>
      <c r="G49" s="213">
        <v>0.599999999999</v>
      </c>
      <c r="H49" s="213">
        <v>0.90000000000001001</v>
      </c>
    </row>
    <row r="50" spans="1:8" ht="25.5" x14ac:dyDescent="0.2">
      <c r="A50" s="241" t="s">
        <v>267</v>
      </c>
      <c r="B50" s="305" t="s">
        <v>268</v>
      </c>
      <c r="C50" s="309">
        <v>0.65</v>
      </c>
      <c r="F50" s="276"/>
      <c r="G50" s="213">
        <v>0.54999999999999005</v>
      </c>
      <c r="H50" s="213">
        <v>0.75</v>
      </c>
    </row>
    <row r="51" spans="1:8" x14ac:dyDescent="0.2">
      <c r="A51" s="236"/>
      <c r="B51" s="237"/>
      <c r="F51" s="276"/>
    </row>
    <row r="52" spans="1:8" x14ac:dyDescent="0.2">
      <c r="A52" s="236"/>
      <c r="B52" s="237"/>
      <c r="F52" s="276"/>
    </row>
    <row r="53" spans="1:8" x14ac:dyDescent="0.2">
      <c r="A53" s="229" t="s">
        <v>296</v>
      </c>
      <c r="F53" s="276"/>
    </row>
    <row r="54" spans="1:8" x14ac:dyDescent="0.2">
      <c r="A54" s="229"/>
      <c r="F54" s="276"/>
    </row>
    <row r="55" spans="1:8" x14ac:dyDescent="0.2">
      <c r="A55" s="217" t="s">
        <v>494</v>
      </c>
      <c r="F55" s="276"/>
    </row>
    <row r="56" spans="1:8" x14ac:dyDescent="0.2">
      <c r="A56" s="315" t="s">
        <v>84</v>
      </c>
      <c r="B56" s="315" t="s">
        <v>516</v>
      </c>
      <c r="C56" s="321"/>
      <c r="F56" s="276"/>
      <c r="G56" s="424" t="s">
        <v>84</v>
      </c>
    </row>
    <row r="57" spans="1:8" x14ac:dyDescent="0.2">
      <c r="A57" s="315" t="s">
        <v>85</v>
      </c>
      <c r="B57" s="315" t="s">
        <v>516</v>
      </c>
      <c r="C57" s="321"/>
      <c r="F57" s="276"/>
      <c r="G57" s="424" t="s">
        <v>85</v>
      </c>
    </row>
    <row r="58" spans="1:8" x14ac:dyDescent="0.2">
      <c r="A58" s="315" t="s">
        <v>86</v>
      </c>
      <c r="B58" s="315" t="s">
        <v>516</v>
      </c>
      <c r="C58" s="321"/>
      <c r="F58" s="276"/>
      <c r="G58" s="424" t="s">
        <v>86</v>
      </c>
    </row>
    <row r="59" spans="1:8" x14ac:dyDescent="0.2">
      <c r="A59" s="315" t="s">
        <v>507</v>
      </c>
      <c r="B59" s="315" t="s">
        <v>516</v>
      </c>
      <c r="C59" s="321"/>
      <c r="F59" s="276"/>
      <c r="G59" s="424" t="s">
        <v>507</v>
      </c>
    </row>
    <row r="60" spans="1:8" x14ac:dyDescent="0.2">
      <c r="A60" s="315" t="s">
        <v>508</v>
      </c>
      <c r="B60" s="315" t="s">
        <v>516</v>
      </c>
      <c r="C60" s="321"/>
      <c r="F60" s="276"/>
      <c r="G60" s="424" t="s">
        <v>508</v>
      </c>
    </row>
    <row r="61" spans="1:8" x14ac:dyDescent="0.2">
      <c r="A61" s="315" t="s">
        <v>509</v>
      </c>
      <c r="B61" s="315" t="s">
        <v>516</v>
      </c>
      <c r="C61" s="321"/>
      <c r="F61" s="276"/>
      <c r="G61" s="424" t="s">
        <v>509</v>
      </c>
    </row>
    <row r="62" spans="1:8" x14ac:dyDescent="0.2">
      <c r="A62" s="238"/>
      <c r="F62" s="276"/>
    </row>
    <row r="63" spans="1:8" x14ac:dyDescent="0.2">
      <c r="A63" s="217" t="s">
        <v>590</v>
      </c>
      <c r="F63" s="276"/>
    </row>
    <row r="64" spans="1:8" x14ac:dyDescent="0.2">
      <c r="A64" s="315" t="s">
        <v>84</v>
      </c>
      <c r="B64" s="315" t="s">
        <v>510</v>
      </c>
      <c r="C64" s="321"/>
      <c r="F64" s="276"/>
      <c r="G64" s="425">
        <v>1</v>
      </c>
    </row>
    <row r="65" spans="1:7" x14ac:dyDescent="0.2">
      <c r="A65" s="315" t="s">
        <v>85</v>
      </c>
      <c r="B65" s="315" t="s">
        <v>511</v>
      </c>
      <c r="C65" s="321"/>
      <c r="F65" s="276"/>
      <c r="G65" s="425">
        <v>1.25</v>
      </c>
    </row>
    <row r="66" spans="1:7" x14ac:dyDescent="0.2">
      <c r="A66" s="315" t="s">
        <v>86</v>
      </c>
      <c r="B66" s="315" t="s">
        <v>512</v>
      </c>
      <c r="C66" s="321"/>
      <c r="F66" s="276"/>
      <c r="G66" s="425">
        <v>1.75</v>
      </c>
    </row>
    <row r="67" spans="1:7" x14ac:dyDescent="0.2">
      <c r="A67" s="315" t="s">
        <v>507</v>
      </c>
      <c r="B67" s="315" t="s">
        <v>513</v>
      </c>
      <c r="C67" s="321"/>
      <c r="F67" s="276"/>
      <c r="G67" s="425">
        <v>2</v>
      </c>
    </row>
    <row r="68" spans="1:7" x14ac:dyDescent="0.2">
      <c r="A68" s="315" t="s">
        <v>508</v>
      </c>
      <c r="B68" s="315" t="s">
        <v>514</v>
      </c>
      <c r="C68" s="321"/>
      <c r="F68" s="276"/>
      <c r="G68" s="425">
        <v>2.25</v>
      </c>
    </row>
    <row r="69" spans="1:7" x14ac:dyDescent="0.2">
      <c r="A69" s="315" t="s">
        <v>509</v>
      </c>
      <c r="B69" s="315" t="s">
        <v>515</v>
      </c>
      <c r="C69" s="321"/>
      <c r="F69" s="276"/>
      <c r="G69" s="425">
        <v>2.5</v>
      </c>
    </row>
    <row r="70" spans="1:7" x14ac:dyDescent="0.2">
      <c r="A70" s="238"/>
      <c r="F70" s="276"/>
    </row>
    <row r="71" spans="1:7" x14ac:dyDescent="0.2">
      <c r="A71" s="238"/>
      <c r="F71" s="276"/>
    </row>
    <row r="72" spans="1:7" x14ac:dyDescent="0.2">
      <c r="A72" s="229" t="s">
        <v>297</v>
      </c>
      <c r="F72" s="276"/>
    </row>
    <row r="73" spans="1:7" x14ac:dyDescent="0.2">
      <c r="A73" s="229"/>
      <c r="F73" s="276"/>
    </row>
    <row r="74" spans="1:7" x14ac:dyDescent="0.2">
      <c r="A74" s="213" t="s">
        <v>494</v>
      </c>
      <c r="F74" s="276"/>
      <c r="G74" s="213" t="s">
        <v>333</v>
      </c>
    </row>
    <row r="75" spans="1:7" x14ac:dyDescent="0.2">
      <c r="A75" s="324" t="s">
        <v>332</v>
      </c>
      <c r="B75" s="325"/>
      <c r="C75" s="325"/>
      <c r="D75" s="294"/>
      <c r="F75" s="276"/>
      <c r="G75" s="213" t="s">
        <v>187</v>
      </c>
    </row>
    <row r="76" spans="1:7" x14ac:dyDescent="0.2">
      <c r="A76" s="326" t="s">
        <v>331</v>
      </c>
      <c r="B76" s="260"/>
      <c r="C76" s="260"/>
      <c r="D76" s="261"/>
      <c r="F76" s="276"/>
    </row>
    <row r="77" spans="1:7" x14ac:dyDescent="0.2">
      <c r="A77" s="230"/>
      <c r="F77" s="276"/>
    </row>
    <row r="78" spans="1:7" x14ac:dyDescent="0.2">
      <c r="A78" s="231" t="s">
        <v>590</v>
      </c>
      <c r="F78" s="276"/>
    </row>
    <row r="79" spans="1:7" x14ac:dyDescent="0.2">
      <c r="A79" s="315" t="s">
        <v>84</v>
      </c>
      <c r="B79" s="315" t="s">
        <v>510</v>
      </c>
      <c r="C79" s="321"/>
      <c r="F79" s="276"/>
      <c r="G79" s="425">
        <v>1</v>
      </c>
    </row>
    <row r="80" spans="1:7" x14ac:dyDescent="0.2">
      <c r="A80" s="315" t="s">
        <v>85</v>
      </c>
      <c r="B80" s="315" t="s">
        <v>511</v>
      </c>
      <c r="C80" s="321"/>
      <c r="F80" s="276"/>
      <c r="G80" s="425">
        <v>1.25</v>
      </c>
    </row>
    <row r="81" spans="1:14" x14ac:dyDescent="0.2">
      <c r="A81" s="315" t="s">
        <v>86</v>
      </c>
      <c r="B81" s="315" t="s">
        <v>512</v>
      </c>
      <c r="C81" s="321"/>
      <c r="F81" s="276"/>
      <c r="G81" s="425">
        <v>1.75</v>
      </c>
    </row>
    <row r="82" spans="1:14" x14ac:dyDescent="0.2">
      <c r="A82" s="315" t="s">
        <v>507</v>
      </c>
      <c r="B82" s="315" t="s">
        <v>513</v>
      </c>
      <c r="C82" s="321"/>
      <c r="F82" s="276"/>
      <c r="G82" s="425">
        <v>2</v>
      </c>
    </row>
    <row r="83" spans="1:14" x14ac:dyDescent="0.2">
      <c r="A83" s="315" t="s">
        <v>508</v>
      </c>
      <c r="B83" s="315" t="s">
        <v>514</v>
      </c>
      <c r="C83" s="321"/>
      <c r="F83" s="276"/>
      <c r="G83" s="425">
        <v>2.25</v>
      </c>
    </row>
    <row r="84" spans="1:14" x14ac:dyDescent="0.2">
      <c r="A84" s="315" t="s">
        <v>509</v>
      </c>
      <c r="B84" s="315" t="s">
        <v>515</v>
      </c>
      <c r="C84" s="321"/>
      <c r="F84" s="276"/>
      <c r="G84" s="425">
        <v>2.5</v>
      </c>
    </row>
    <row r="85" spans="1:14" x14ac:dyDescent="0.2">
      <c r="A85" s="230"/>
      <c r="F85" s="276"/>
    </row>
    <row r="86" spans="1:14" x14ac:dyDescent="0.2">
      <c r="A86" s="213" t="s">
        <v>591</v>
      </c>
      <c r="F86" s="276"/>
    </row>
    <row r="87" spans="1:14" x14ac:dyDescent="0.2">
      <c r="A87" s="322" t="s">
        <v>520</v>
      </c>
      <c r="B87" s="327"/>
      <c r="C87" s="327"/>
      <c r="D87" s="323"/>
      <c r="F87" s="276"/>
    </row>
    <row r="88" spans="1:14" x14ac:dyDescent="0.2">
      <c r="A88" s="230"/>
      <c r="F88" s="276"/>
    </row>
    <row r="89" spans="1:14" x14ac:dyDescent="0.2">
      <c r="A89" s="230"/>
      <c r="F89" s="276"/>
    </row>
    <row r="90" spans="1:14" x14ac:dyDescent="0.2">
      <c r="A90" s="229" t="s">
        <v>298</v>
      </c>
      <c r="F90" s="276"/>
    </row>
    <row r="91" spans="1:14" x14ac:dyDescent="0.2">
      <c r="A91" s="217" t="s">
        <v>269</v>
      </c>
      <c r="F91" s="276"/>
    </row>
    <row r="92" spans="1:14" x14ac:dyDescent="0.2">
      <c r="A92" s="235" t="s">
        <v>517</v>
      </c>
      <c r="F92" s="276"/>
    </row>
    <row r="93" spans="1:14" ht="25.5" customHeight="1" x14ac:dyDescent="0.2">
      <c r="A93" s="484" t="s">
        <v>270</v>
      </c>
      <c r="B93" s="485"/>
      <c r="C93" s="485"/>
      <c r="D93" s="485"/>
      <c r="F93" s="276"/>
    </row>
    <row r="94" spans="1:14" x14ac:dyDescent="0.2">
      <c r="A94" s="486" t="s">
        <v>271</v>
      </c>
      <c r="B94" s="239" t="s">
        <v>272</v>
      </c>
      <c r="C94" s="239" t="s">
        <v>274</v>
      </c>
      <c r="D94" s="239" t="s">
        <v>276</v>
      </c>
      <c r="F94" s="276"/>
      <c r="I94" s="293" t="s">
        <v>479</v>
      </c>
      <c r="J94" s="294"/>
    </row>
    <row r="95" spans="1:14" x14ac:dyDescent="0.2">
      <c r="A95" s="486"/>
      <c r="B95" s="240" t="s">
        <v>273</v>
      </c>
      <c r="C95" s="240" t="s">
        <v>275</v>
      </c>
      <c r="D95" s="240" t="s">
        <v>277</v>
      </c>
      <c r="F95" s="276"/>
      <c r="I95" s="295"/>
      <c r="J95" s="296"/>
    </row>
    <row r="96" spans="1:14" x14ac:dyDescent="0.2">
      <c r="A96" s="241" t="s">
        <v>278</v>
      </c>
      <c r="B96" s="242">
        <v>5000</v>
      </c>
      <c r="C96" s="242">
        <v>3000</v>
      </c>
      <c r="D96" s="242">
        <v>2000</v>
      </c>
      <c r="F96" s="276"/>
      <c r="I96" s="297" t="s">
        <v>457</v>
      </c>
      <c r="J96" s="298">
        <f>B96</f>
        <v>5000</v>
      </c>
      <c r="L96" s="213">
        <v>1</v>
      </c>
      <c r="M96" s="467"/>
      <c r="N96" s="467"/>
    </row>
    <row r="97" spans="1:14" ht="25.5" x14ac:dyDescent="0.2">
      <c r="A97" s="241" t="s">
        <v>279</v>
      </c>
      <c r="B97" s="243">
        <v>2000</v>
      </c>
      <c r="C97" s="243">
        <v>1000</v>
      </c>
      <c r="D97" s="243">
        <v>1000</v>
      </c>
      <c r="F97" s="276"/>
      <c r="I97" s="297" t="s">
        <v>458</v>
      </c>
      <c r="J97" s="298">
        <f>C96</f>
        <v>3000</v>
      </c>
      <c r="L97" s="213">
        <v>10</v>
      </c>
      <c r="M97" s="467"/>
      <c r="N97" s="467"/>
    </row>
    <row r="98" spans="1:14" ht="25.5" x14ac:dyDescent="0.2">
      <c r="A98" s="241" t="s">
        <v>280</v>
      </c>
      <c r="B98" s="243">
        <v>2000</v>
      </c>
      <c r="C98" s="243">
        <v>2000</v>
      </c>
      <c r="D98" s="243">
        <v>2000</v>
      </c>
      <c r="F98" s="276"/>
      <c r="I98" s="297" t="s">
        <v>459</v>
      </c>
      <c r="J98" s="298">
        <f>D96</f>
        <v>2000</v>
      </c>
      <c r="L98" s="213">
        <v>25</v>
      </c>
      <c r="M98" s="467"/>
      <c r="N98" s="467"/>
    </row>
    <row r="99" spans="1:14" x14ac:dyDescent="0.2">
      <c r="A99" s="445" t="s">
        <v>715</v>
      </c>
      <c r="B99" s="243">
        <v>2500</v>
      </c>
      <c r="C99" s="243">
        <v>2000</v>
      </c>
      <c r="D99" s="243">
        <v>1500</v>
      </c>
      <c r="F99" s="276"/>
      <c r="I99" s="299" t="s">
        <v>460</v>
      </c>
      <c r="J99" s="298">
        <f>B97</f>
        <v>2000</v>
      </c>
      <c r="M99" s="467"/>
      <c r="N99" s="467"/>
    </row>
    <row r="100" spans="1:14" ht="25.5" x14ac:dyDescent="0.2">
      <c r="A100" s="241" t="s">
        <v>281</v>
      </c>
      <c r="B100" s="243">
        <v>750</v>
      </c>
      <c r="C100" s="243">
        <v>750</v>
      </c>
      <c r="D100" s="243">
        <v>750</v>
      </c>
      <c r="F100" s="276"/>
      <c r="I100" s="299" t="s">
        <v>461</v>
      </c>
      <c r="J100" s="298">
        <f>C97</f>
        <v>1000</v>
      </c>
      <c r="M100" s="467"/>
      <c r="N100" s="467"/>
    </row>
    <row r="101" spans="1:14" x14ac:dyDescent="0.2">
      <c r="A101" s="241" t="s">
        <v>282</v>
      </c>
      <c r="B101" s="243">
        <v>2000</v>
      </c>
      <c r="C101" s="243">
        <v>1000</v>
      </c>
      <c r="D101" s="243">
        <v>1000</v>
      </c>
      <c r="F101" s="276"/>
      <c r="I101" s="299" t="s">
        <v>462</v>
      </c>
      <c r="J101" s="298">
        <f>D97</f>
        <v>1000</v>
      </c>
      <c r="M101" s="467"/>
      <c r="N101" s="467"/>
    </row>
    <row r="102" spans="1:14" ht="25.5" x14ac:dyDescent="0.2">
      <c r="A102" s="445" t="s">
        <v>716</v>
      </c>
      <c r="B102" s="446">
        <v>1000</v>
      </c>
      <c r="C102" s="446">
        <v>1000</v>
      </c>
      <c r="D102" s="446">
        <v>1000</v>
      </c>
      <c r="F102" s="276"/>
      <c r="I102" s="299" t="s">
        <v>463</v>
      </c>
      <c r="J102" s="298">
        <f>B98</f>
        <v>2000</v>
      </c>
      <c r="M102" s="467"/>
      <c r="N102" s="467"/>
    </row>
    <row r="103" spans="1:14" x14ac:dyDescent="0.2">
      <c r="A103" s="445" t="s">
        <v>717</v>
      </c>
      <c r="B103" s="446">
        <v>5000</v>
      </c>
      <c r="C103" s="446">
        <v>2500</v>
      </c>
      <c r="D103" s="446">
        <v>1000</v>
      </c>
      <c r="F103" s="276"/>
      <c r="I103" s="299" t="s">
        <v>464</v>
      </c>
      <c r="J103" s="298">
        <f>C98</f>
        <v>2000</v>
      </c>
      <c r="M103" s="467"/>
      <c r="N103" s="467"/>
    </row>
    <row r="104" spans="1:14" x14ac:dyDescent="0.2">
      <c r="A104" s="217" t="s">
        <v>283</v>
      </c>
      <c r="F104" s="276"/>
      <c r="I104" s="299" t="s">
        <v>465</v>
      </c>
      <c r="J104" s="298">
        <f>D98</f>
        <v>2000</v>
      </c>
      <c r="M104" s="467"/>
      <c r="N104" s="467"/>
    </row>
    <row r="105" spans="1:14" x14ac:dyDescent="0.2">
      <c r="F105" s="276"/>
      <c r="G105" s="213">
        <v>0</v>
      </c>
      <c r="H105" s="213">
        <v>0.02</v>
      </c>
      <c r="I105" s="299" t="s">
        <v>466</v>
      </c>
      <c r="J105" s="298">
        <f>B99</f>
        <v>2500</v>
      </c>
      <c r="M105" s="467"/>
      <c r="N105" s="467"/>
    </row>
    <row r="106" spans="1:14" x14ac:dyDescent="0.2">
      <c r="A106" s="229" t="s">
        <v>299</v>
      </c>
      <c r="F106" s="276"/>
      <c r="I106" s="299" t="s">
        <v>467</v>
      </c>
      <c r="J106" s="298">
        <f>C99</f>
        <v>2000</v>
      </c>
      <c r="M106" s="467"/>
      <c r="N106" s="467"/>
    </row>
    <row r="107" spans="1:14" x14ac:dyDescent="0.2">
      <c r="A107" s="217" t="s">
        <v>449</v>
      </c>
      <c r="I107" s="299" t="s">
        <v>468</v>
      </c>
      <c r="J107" s="298">
        <f>D99</f>
        <v>1500</v>
      </c>
      <c r="M107" s="467"/>
      <c r="N107" s="467"/>
    </row>
    <row r="108" spans="1:14" ht="12.75" customHeight="1" x14ac:dyDescent="0.2">
      <c r="A108" s="483" t="s">
        <v>284</v>
      </c>
      <c r="B108" s="483"/>
      <c r="C108" s="483"/>
      <c r="D108" s="483"/>
      <c r="I108" s="299" t="s">
        <v>469</v>
      </c>
      <c r="J108" s="298">
        <f>B100</f>
        <v>750</v>
      </c>
      <c r="M108" s="467"/>
      <c r="N108" s="467"/>
    </row>
    <row r="109" spans="1:14" x14ac:dyDescent="0.2">
      <c r="A109" s="483"/>
      <c r="B109" s="483"/>
      <c r="C109" s="483"/>
      <c r="D109" s="483"/>
      <c r="I109" s="299" t="s">
        <v>470</v>
      </c>
      <c r="J109" s="298">
        <f>C100</f>
        <v>750</v>
      </c>
      <c r="M109" s="467"/>
      <c r="N109" s="467"/>
    </row>
    <row r="110" spans="1:14" x14ac:dyDescent="0.2">
      <c r="A110" s="241"/>
      <c r="B110" s="215" t="s">
        <v>729</v>
      </c>
      <c r="C110" s="215" t="s">
        <v>730</v>
      </c>
      <c r="I110" s="299" t="s">
        <v>471</v>
      </c>
      <c r="J110" s="298">
        <f>D100</f>
        <v>750</v>
      </c>
      <c r="M110" s="467"/>
      <c r="N110" s="467"/>
    </row>
    <row r="111" spans="1:14" x14ac:dyDescent="0.2">
      <c r="A111" s="241" t="s">
        <v>497</v>
      </c>
      <c r="B111" s="305" t="s">
        <v>498</v>
      </c>
      <c r="C111" s="313">
        <v>0.01</v>
      </c>
      <c r="I111" s="299" t="s">
        <v>472</v>
      </c>
      <c r="J111" s="298">
        <f>B101</f>
        <v>2000</v>
      </c>
      <c r="M111" s="467"/>
      <c r="N111" s="467"/>
    </row>
    <row r="112" spans="1:14" x14ac:dyDescent="0.2">
      <c r="I112" s="299" t="s">
        <v>473</v>
      </c>
      <c r="J112" s="298">
        <f>C101</f>
        <v>1000</v>
      </c>
      <c r="M112" s="467"/>
      <c r="N112" s="467"/>
    </row>
    <row r="113" spans="9:14" x14ac:dyDescent="0.2">
      <c r="I113" s="299" t="s">
        <v>474</v>
      </c>
      <c r="J113" s="298">
        <f>D101</f>
        <v>1000</v>
      </c>
      <c r="M113" s="467"/>
      <c r="N113" s="467"/>
    </row>
    <row r="114" spans="9:14" x14ac:dyDescent="0.2">
      <c r="I114" s="299" t="s">
        <v>719</v>
      </c>
      <c r="J114" s="298">
        <f>B102</f>
        <v>1000</v>
      </c>
      <c r="M114" s="467"/>
      <c r="N114" s="467"/>
    </row>
    <row r="115" spans="9:14" x14ac:dyDescent="0.2">
      <c r="I115" s="299" t="s">
        <v>720</v>
      </c>
      <c r="J115" s="298">
        <f>C102</f>
        <v>1000</v>
      </c>
      <c r="M115" s="467"/>
      <c r="N115" s="467"/>
    </row>
    <row r="116" spans="9:14" x14ac:dyDescent="0.2">
      <c r="I116" s="299" t="s">
        <v>721</v>
      </c>
      <c r="J116" s="298">
        <f>D102</f>
        <v>1000</v>
      </c>
      <c r="M116" s="467"/>
      <c r="N116" s="467"/>
    </row>
    <row r="117" spans="9:14" x14ac:dyDescent="0.2">
      <c r="I117" s="299" t="s">
        <v>722</v>
      </c>
      <c r="J117" s="298">
        <f>B103</f>
        <v>5000</v>
      </c>
      <c r="M117" s="467"/>
      <c r="N117" s="467"/>
    </row>
    <row r="118" spans="9:14" x14ac:dyDescent="0.2">
      <c r="I118" s="299" t="s">
        <v>723</v>
      </c>
      <c r="J118" s="298">
        <f>C103</f>
        <v>2500</v>
      </c>
      <c r="M118" s="467"/>
      <c r="N118" s="467"/>
    </row>
    <row r="119" spans="9:14" x14ac:dyDescent="0.2">
      <c r="I119" s="299" t="s">
        <v>724</v>
      </c>
      <c r="J119" s="298">
        <f>D103</f>
        <v>1000</v>
      </c>
      <c r="M119" s="467"/>
      <c r="N119" s="467"/>
    </row>
    <row r="120" spans="9:14" x14ac:dyDescent="0.2">
      <c r="I120" s="295"/>
      <c r="J120" s="296"/>
      <c r="M120" s="467"/>
      <c r="N120" s="467"/>
    </row>
    <row r="121" spans="9:14" x14ac:dyDescent="0.2">
      <c r="I121" s="295" t="s">
        <v>725</v>
      </c>
      <c r="J121" s="296"/>
      <c r="M121" s="467"/>
      <c r="N121" s="467"/>
    </row>
    <row r="122" spans="9:14" x14ac:dyDescent="0.2">
      <c r="I122" s="303">
        <v>1</v>
      </c>
      <c r="J122" s="302" t="s">
        <v>476</v>
      </c>
      <c r="M122" s="467"/>
      <c r="N122" s="467"/>
    </row>
    <row r="123" spans="9:14" x14ac:dyDescent="0.2">
      <c r="I123" s="303">
        <v>10</v>
      </c>
      <c r="J123" s="302" t="s">
        <v>477</v>
      </c>
      <c r="M123" s="467"/>
      <c r="N123" s="467"/>
    </row>
    <row r="124" spans="9:14" x14ac:dyDescent="0.2">
      <c r="I124" s="303">
        <v>25</v>
      </c>
      <c r="J124" s="302" t="s">
        <v>478</v>
      </c>
      <c r="M124" s="467"/>
      <c r="N124" s="467"/>
    </row>
    <row r="125" spans="9:14" x14ac:dyDescent="0.2">
      <c r="I125" s="295"/>
      <c r="J125" s="296"/>
      <c r="M125" s="467"/>
      <c r="N125" s="467"/>
    </row>
    <row r="126" spans="9:14" ht="13.5" customHeight="1" x14ac:dyDescent="0.2">
      <c r="I126" s="295" t="s">
        <v>475</v>
      </c>
      <c r="J126" s="302" t="str">
        <f>VLOOKUP('XS Rating Step A Inputs'!B14/1000000,'XS Rate Tables Sections A-F'!$I$122:$J$124,2)</f>
        <v>25M</v>
      </c>
      <c r="M126" s="467"/>
      <c r="N126" s="467"/>
    </row>
    <row r="127" spans="9:14" x14ac:dyDescent="0.2">
      <c r="I127" s="295"/>
      <c r="J127" s="296"/>
      <c r="M127" s="467"/>
      <c r="N127" s="467"/>
    </row>
    <row r="128" spans="9:14" x14ac:dyDescent="0.2">
      <c r="I128" s="300" t="s">
        <v>480</v>
      </c>
      <c r="J128" s="448" t="str">
        <f>'XS Rating Step A Inputs'!B16&amp;J126</f>
        <v>Public Organizations25M</v>
      </c>
      <c r="M128" s="467"/>
      <c r="N128" s="467"/>
    </row>
    <row r="140" spans="1:4" x14ac:dyDescent="0.2">
      <c r="A140" s="447"/>
      <c r="B140" s="447"/>
      <c r="C140" s="447"/>
      <c r="D140" s="447"/>
    </row>
    <row r="141" spans="1:4" x14ac:dyDescent="0.2">
      <c r="A141" s="447"/>
      <c r="B141" s="447"/>
      <c r="C141" s="447"/>
      <c r="D141" s="447"/>
    </row>
    <row r="142" spans="1:4" x14ac:dyDescent="0.2">
      <c r="A142" s="447"/>
      <c r="B142" s="447"/>
      <c r="C142" s="447"/>
      <c r="D142" s="447"/>
    </row>
    <row r="143" spans="1:4" x14ac:dyDescent="0.2">
      <c r="A143" s="447"/>
      <c r="B143" s="447"/>
      <c r="C143" s="447"/>
      <c r="D143" s="447"/>
    </row>
    <row r="144" spans="1:4" x14ac:dyDescent="0.2">
      <c r="A144" s="447"/>
      <c r="B144" s="447"/>
      <c r="C144" s="447"/>
      <c r="D144" s="447"/>
    </row>
    <row r="145" spans="1:4" x14ac:dyDescent="0.2">
      <c r="A145" s="447"/>
      <c r="B145" s="447"/>
      <c r="C145" s="447"/>
      <c r="D145" s="447"/>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24.375" style="213" bestFit="1" customWidth="1"/>
    <col min="10" max="16384" width="9" style="213"/>
  </cols>
  <sheetData>
    <row r="1" spans="1:12" x14ac:dyDescent="0.2">
      <c r="A1" s="213" t="s">
        <v>249</v>
      </c>
      <c r="F1" s="276"/>
    </row>
    <row r="2" spans="1:12" x14ac:dyDescent="0.2">
      <c r="A2" s="213" t="s">
        <v>443</v>
      </c>
      <c r="F2" s="276"/>
    </row>
    <row r="3" spans="1:12" x14ac:dyDescent="0.2">
      <c r="F3" s="276"/>
    </row>
    <row r="4" spans="1:12" x14ac:dyDescent="0.2">
      <c r="A4" s="228" t="s">
        <v>250</v>
      </c>
      <c r="F4" s="276"/>
    </row>
    <row r="5" spans="1:12" x14ac:dyDescent="0.2">
      <c r="A5" s="229" t="s">
        <v>294</v>
      </c>
      <c r="F5" s="276"/>
    </row>
    <row r="6" spans="1:12" x14ac:dyDescent="0.2">
      <c r="A6" s="230" t="s">
        <v>521</v>
      </c>
      <c r="F6" s="276"/>
    </row>
    <row r="7" spans="1:12" x14ac:dyDescent="0.2">
      <c r="A7" s="230" t="s">
        <v>522</v>
      </c>
      <c r="F7" s="276"/>
    </row>
    <row r="8" spans="1:12" x14ac:dyDescent="0.2">
      <c r="A8" s="230"/>
      <c r="F8" s="276"/>
    </row>
    <row r="9" spans="1:12" x14ac:dyDescent="0.2">
      <c r="A9" s="231" t="s">
        <v>443</v>
      </c>
      <c r="F9" s="276"/>
    </row>
    <row r="10" spans="1:12" x14ac:dyDescent="0.2">
      <c r="A10" s="215" t="s">
        <v>523</v>
      </c>
      <c r="B10" s="215" t="s">
        <v>524</v>
      </c>
      <c r="C10" s="215" t="s">
        <v>525</v>
      </c>
      <c r="D10" s="215" t="s">
        <v>526</v>
      </c>
      <c r="E10" s="215" t="s">
        <v>527</v>
      </c>
      <c r="F10" s="276"/>
    </row>
    <row r="11" spans="1:12" x14ac:dyDescent="0.2">
      <c r="A11" s="309">
        <v>0.48</v>
      </c>
      <c r="B11" s="309">
        <v>0.6</v>
      </c>
      <c r="C11" s="309">
        <v>0.7</v>
      </c>
      <c r="D11" s="309">
        <v>0.8</v>
      </c>
      <c r="E11" s="309">
        <v>0.93</v>
      </c>
      <c r="F11" s="276"/>
    </row>
    <row r="12" spans="1:12" x14ac:dyDescent="0.2">
      <c r="A12" s="318"/>
      <c r="B12" s="318"/>
      <c r="C12" s="318"/>
      <c r="D12" s="318"/>
      <c r="E12" s="318"/>
      <c r="F12" s="276"/>
    </row>
    <row r="13" spans="1:12" x14ac:dyDescent="0.2">
      <c r="A13" s="318"/>
      <c r="B13" s="318"/>
      <c r="C13" s="318"/>
      <c r="D13" s="318"/>
      <c r="E13" s="318"/>
      <c r="F13" s="276"/>
    </row>
    <row r="14" spans="1:12" x14ac:dyDescent="0.2">
      <c r="A14" s="217" t="s">
        <v>528</v>
      </c>
      <c r="F14" s="276"/>
    </row>
    <row r="15" spans="1:12" x14ac:dyDescent="0.2">
      <c r="A15" s="231"/>
      <c r="F15" s="276"/>
    </row>
    <row r="16" spans="1:12" x14ac:dyDescent="0.2">
      <c r="A16" s="233" t="s">
        <v>337</v>
      </c>
      <c r="B16" s="340"/>
      <c r="C16" s="339" t="s">
        <v>595</v>
      </c>
      <c r="D16" s="338" t="s">
        <v>594</v>
      </c>
      <c r="F16" s="276"/>
      <c r="H16" s="213">
        <v>1</v>
      </c>
      <c r="I16" s="213" t="s">
        <v>523</v>
      </c>
      <c r="J16" s="281">
        <v>0.48</v>
      </c>
      <c r="K16" s="281">
        <v>0.48</v>
      </c>
      <c r="L16" s="281">
        <v>0.48</v>
      </c>
    </row>
    <row r="17" spans="1:12" x14ac:dyDescent="0.2">
      <c r="A17" s="233" t="s">
        <v>529</v>
      </c>
      <c r="B17" s="340"/>
      <c r="C17" s="339" t="s">
        <v>595</v>
      </c>
      <c r="D17" s="338" t="s">
        <v>594</v>
      </c>
      <c r="F17" s="276"/>
      <c r="H17" s="213">
        <v>2</v>
      </c>
      <c r="I17" s="213" t="s">
        <v>524</v>
      </c>
      <c r="J17" s="281">
        <v>0.6</v>
      </c>
      <c r="K17" s="281">
        <v>0.6</v>
      </c>
      <c r="L17" s="281">
        <v>0.6</v>
      </c>
    </row>
    <row r="18" spans="1:12" x14ac:dyDescent="0.2">
      <c r="A18" s="233" t="s">
        <v>530</v>
      </c>
      <c r="B18" s="340"/>
      <c r="C18" s="339" t="s">
        <v>595</v>
      </c>
      <c r="F18" s="276"/>
      <c r="H18" s="213">
        <v>3</v>
      </c>
      <c r="I18" s="213" t="s">
        <v>525</v>
      </c>
      <c r="J18" s="281">
        <v>0.7</v>
      </c>
      <c r="K18" s="281">
        <v>0.7</v>
      </c>
      <c r="L18" s="281">
        <v>0.7</v>
      </c>
    </row>
    <row r="19" spans="1:12" x14ac:dyDescent="0.2">
      <c r="A19" s="233" t="s">
        <v>531</v>
      </c>
      <c r="B19" s="340"/>
      <c r="C19" s="339" t="s">
        <v>595</v>
      </c>
      <c r="F19" s="276"/>
      <c r="H19" s="213">
        <v>4</v>
      </c>
      <c r="I19" s="213" t="s">
        <v>526</v>
      </c>
      <c r="J19" s="281">
        <v>0.8</v>
      </c>
      <c r="K19" s="281">
        <v>0.8</v>
      </c>
      <c r="L19" s="281">
        <v>0.8</v>
      </c>
    </row>
    <row r="20" spans="1:12" x14ac:dyDescent="0.2">
      <c r="A20" s="233"/>
      <c r="B20" s="234"/>
      <c r="C20" s="337" t="s">
        <v>596</v>
      </c>
      <c r="F20" s="276"/>
      <c r="H20" s="213">
        <v>5</v>
      </c>
      <c r="I20" s="213" t="s">
        <v>527</v>
      </c>
      <c r="J20" s="281">
        <v>0.93</v>
      </c>
      <c r="K20" s="281">
        <v>0.93</v>
      </c>
      <c r="L20" s="281">
        <v>0.93</v>
      </c>
    </row>
    <row r="21" spans="1:12" x14ac:dyDescent="0.2">
      <c r="A21" s="233"/>
      <c r="B21" s="234"/>
      <c r="C21" s="284"/>
      <c r="F21" s="276"/>
      <c r="J21" s="281"/>
      <c r="K21" s="281"/>
      <c r="L21" s="281"/>
    </row>
    <row r="22" spans="1:12" x14ac:dyDescent="0.2">
      <c r="A22" s="217" t="s">
        <v>537</v>
      </c>
      <c r="B22" s="234"/>
      <c r="F22" s="276"/>
    </row>
    <row r="23" spans="1:12" x14ac:dyDescent="0.2">
      <c r="A23" s="217" t="s">
        <v>538</v>
      </c>
      <c r="B23" s="234"/>
      <c r="F23" s="276"/>
      <c r="I23" s="213" t="s">
        <v>300</v>
      </c>
      <c r="J23" s="220">
        <f>LEFT('XS Rating Step A Inputs'!C38,2)/100</f>
        <v>0</v>
      </c>
    </row>
    <row r="24" spans="1:12" x14ac:dyDescent="0.2">
      <c r="A24" s="217"/>
      <c r="F24" s="276"/>
      <c r="I24" s="213" t="s">
        <v>301</v>
      </c>
      <c r="J24" s="220" t="e">
        <f>MID('XS Rating Step A Inputs'!C38,4,2)/100</f>
        <v>#VALUE!</v>
      </c>
    </row>
    <row r="25" spans="1:12" x14ac:dyDescent="0.2">
      <c r="A25" s="488" t="s">
        <v>532</v>
      </c>
      <c r="B25" s="489"/>
      <c r="C25" s="489"/>
      <c r="D25" s="489"/>
      <c r="E25" s="490"/>
      <c r="F25" s="276"/>
    </row>
    <row r="26" spans="1:12" ht="45" customHeight="1" x14ac:dyDescent="0.2">
      <c r="A26" s="488" t="s">
        <v>533</v>
      </c>
      <c r="B26" s="489"/>
      <c r="C26" s="489"/>
      <c r="D26" s="489"/>
      <c r="E26" s="490"/>
      <c r="F26" s="276"/>
    </row>
    <row r="27" spans="1:12" ht="45" customHeight="1" x14ac:dyDescent="0.2">
      <c r="A27" s="488" t="s">
        <v>534</v>
      </c>
      <c r="B27" s="489"/>
      <c r="C27" s="489"/>
      <c r="D27" s="489"/>
      <c r="E27" s="490"/>
      <c r="F27" s="276"/>
    </row>
    <row r="28" spans="1:12" ht="45" customHeight="1" x14ac:dyDescent="0.2">
      <c r="A28" s="488" t="s">
        <v>535</v>
      </c>
      <c r="B28" s="489"/>
      <c r="C28" s="489"/>
      <c r="D28" s="489"/>
      <c r="E28" s="490"/>
      <c r="F28" s="279"/>
    </row>
    <row r="29" spans="1:12" ht="45" customHeight="1" x14ac:dyDescent="0.2">
      <c r="A29" s="488" t="s">
        <v>536</v>
      </c>
      <c r="B29" s="489"/>
      <c r="C29" s="489"/>
      <c r="D29" s="489"/>
      <c r="E29" s="490"/>
      <c r="F29" s="279"/>
    </row>
    <row r="30" spans="1:12" ht="45" customHeight="1" x14ac:dyDescent="0.2">
      <c r="A30" s="221"/>
      <c r="B30" s="221"/>
      <c r="C30" s="221"/>
      <c r="D30" s="221"/>
      <c r="E30" s="221"/>
      <c r="F30" s="279"/>
    </row>
    <row r="31" spans="1:12" x14ac:dyDescent="0.2">
      <c r="A31" s="336" t="s">
        <v>593</v>
      </c>
      <c r="F31" s="279"/>
    </row>
    <row r="32" spans="1:12" ht="15" x14ac:dyDescent="0.2">
      <c r="A32" s="328"/>
      <c r="B32" s="329" t="s">
        <v>539</v>
      </c>
      <c r="C32" s="329" t="s">
        <v>540</v>
      </c>
      <c r="D32" s="329" t="s">
        <v>541</v>
      </c>
      <c r="F32" s="279"/>
    </row>
    <row r="33" spans="1:6" ht="15" x14ac:dyDescent="0.2">
      <c r="A33" s="329" t="s">
        <v>523</v>
      </c>
      <c r="B33" s="329" t="s">
        <v>542</v>
      </c>
      <c r="C33" s="329" t="s">
        <v>543</v>
      </c>
      <c r="D33" s="329" t="s">
        <v>542</v>
      </c>
      <c r="F33" s="276"/>
    </row>
    <row r="34" spans="1:6" ht="15" x14ac:dyDescent="0.2">
      <c r="A34" s="329" t="s">
        <v>523</v>
      </c>
      <c r="B34" s="329" t="s">
        <v>544</v>
      </c>
      <c r="C34" s="329" t="s">
        <v>545</v>
      </c>
      <c r="D34" s="329" t="s">
        <v>544</v>
      </c>
    </row>
    <row r="35" spans="1:6" ht="15" x14ac:dyDescent="0.2">
      <c r="A35" s="329" t="s">
        <v>523</v>
      </c>
      <c r="B35" s="329" t="s">
        <v>546</v>
      </c>
      <c r="C35" s="329" t="s">
        <v>547</v>
      </c>
      <c r="D35" s="329" t="s">
        <v>546</v>
      </c>
    </row>
    <row r="36" spans="1:6" ht="15" x14ac:dyDescent="0.2">
      <c r="A36" s="329" t="s">
        <v>524</v>
      </c>
      <c r="B36" s="329" t="s">
        <v>548</v>
      </c>
      <c r="C36" s="329" t="s">
        <v>549</v>
      </c>
      <c r="D36" s="329" t="s">
        <v>548</v>
      </c>
    </row>
    <row r="37" spans="1:6" ht="15" x14ac:dyDescent="0.2">
      <c r="A37" s="329" t="s">
        <v>524</v>
      </c>
      <c r="B37" s="329" t="s">
        <v>131</v>
      </c>
      <c r="C37" s="329" t="s">
        <v>550</v>
      </c>
      <c r="D37" s="329" t="s">
        <v>131</v>
      </c>
    </row>
    <row r="38" spans="1:6" ht="15" x14ac:dyDescent="0.2">
      <c r="A38" s="329" t="s">
        <v>524</v>
      </c>
      <c r="B38" s="329" t="s">
        <v>551</v>
      </c>
      <c r="C38" s="329" t="s">
        <v>552</v>
      </c>
      <c r="D38" s="329" t="s">
        <v>551</v>
      </c>
    </row>
    <row r="39" spans="1:6" ht="15" x14ac:dyDescent="0.2">
      <c r="A39" s="329" t="s">
        <v>525</v>
      </c>
      <c r="B39" s="329" t="s">
        <v>553</v>
      </c>
      <c r="C39" s="329" t="s">
        <v>554</v>
      </c>
      <c r="D39" s="329" t="s">
        <v>553</v>
      </c>
    </row>
    <row r="40" spans="1:6" ht="15" x14ac:dyDescent="0.2">
      <c r="A40" s="329" t="s">
        <v>525</v>
      </c>
      <c r="B40" s="329" t="s">
        <v>555</v>
      </c>
      <c r="C40" s="329" t="s">
        <v>556</v>
      </c>
      <c r="D40" s="329" t="s">
        <v>555</v>
      </c>
    </row>
    <row r="41" spans="1:6" ht="15" x14ac:dyDescent="0.2">
      <c r="A41" s="329" t="s">
        <v>525</v>
      </c>
      <c r="B41" s="329" t="s">
        <v>557</v>
      </c>
      <c r="C41" s="329" t="s">
        <v>558</v>
      </c>
      <c r="D41" s="329" t="s">
        <v>557</v>
      </c>
    </row>
    <row r="42" spans="1:6" ht="15" x14ac:dyDescent="0.2">
      <c r="A42" s="329" t="s">
        <v>526</v>
      </c>
      <c r="B42" s="329" t="s">
        <v>559</v>
      </c>
      <c r="C42" s="329" t="s">
        <v>560</v>
      </c>
      <c r="D42" s="329" t="s">
        <v>559</v>
      </c>
    </row>
    <row r="43" spans="1:6" ht="15" x14ac:dyDescent="0.2">
      <c r="A43" s="329" t="s">
        <v>526</v>
      </c>
      <c r="B43" s="329" t="s">
        <v>561</v>
      </c>
      <c r="C43" s="329" t="s">
        <v>562</v>
      </c>
      <c r="D43" s="329" t="s">
        <v>561</v>
      </c>
    </row>
    <row r="44" spans="1:6" ht="15" x14ac:dyDescent="0.2">
      <c r="A44" s="329" t="s">
        <v>526</v>
      </c>
      <c r="B44" s="329" t="s">
        <v>563</v>
      </c>
      <c r="C44" s="329" t="s">
        <v>564</v>
      </c>
      <c r="D44" s="329" t="s">
        <v>563</v>
      </c>
    </row>
    <row r="45" spans="1:6" ht="15" x14ac:dyDescent="0.2">
      <c r="A45" s="329" t="s">
        <v>527</v>
      </c>
      <c r="B45" s="329" t="s">
        <v>565</v>
      </c>
      <c r="C45" s="329" t="s">
        <v>566</v>
      </c>
      <c r="D45" s="329" t="s">
        <v>565</v>
      </c>
    </row>
    <row r="46" spans="1:6" ht="15" x14ac:dyDescent="0.2">
      <c r="A46" s="329" t="s">
        <v>527</v>
      </c>
      <c r="B46" s="329" t="s">
        <v>133</v>
      </c>
      <c r="C46" s="329" t="s">
        <v>567</v>
      </c>
      <c r="D46" s="329" t="s">
        <v>133</v>
      </c>
    </row>
    <row r="47" spans="1:6" ht="15" x14ac:dyDescent="0.2">
      <c r="A47" s="329" t="s">
        <v>527</v>
      </c>
      <c r="B47" s="329" t="s">
        <v>568</v>
      </c>
      <c r="C47" s="329" t="s">
        <v>569</v>
      </c>
      <c r="D47" s="329" t="s">
        <v>568</v>
      </c>
    </row>
    <row r="48" spans="1:6" ht="15" x14ac:dyDescent="0.2">
      <c r="A48" s="329" t="s">
        <v>527</v>
      </c>
      <c r="B48" s="329" t="s">
        <v>570</v>
      </c>
      <c r="C48" s="329" t="s">
        <v>571</v>
      </c>
      <c r="D48" s="329" t="s">
        <v>572</v>
      </c>
    </row>
    <row r="49" spans="1:4" ht="15" x14ac:dyDescent="0.2">
      <c r="A49" s="329" t="s">
        <v>527</v>
      </c>
      <c r="B49" s="329" t="s">
        <v>572</v>
      </c>
      <c r="C49" s="329" t="s">
        <v>573</v>
      </c>
      <c r="D49" s="329" t="s">
        <v>574</v>
      </c>
    </row>
    <row r="50" spans="1:4" ht="15" x14ac:dyDescent="0.2">
      <c r="A50" s="329" t="s">
        <v>527</v>
      </c>
      <c r="B50" s="329" t="s">
        <v>575</v>
      </c>
      <c r="C50" s="329" t="s">
        <v>576</v>
      </c>
      <c r="D50" s="329" t="s">
        <v>577</v>
      </c>
    </row>
    <row r="51" spans="1:4" ht="15" x14ac:dyDescent="0.2">
      <c r="A51" s="329" t="s">
        <v>527</v>
      </c>
      <c r="B51" s="329" t="s">
        <v>578</v>
      </c>
      <c r="C51" s="329" t="s">
        <v>579</v>
      </c>
      <c r="D51" s="329" t="s">
        <v>580</v>
      </c>
    </row>
    <row r="52" spans="1:4" ht="15" x14ac:dyDescent="0.2">
      <c r="A52" s="329" t="s">
        <v>527</v>
      </c>
      <c r="B52" s="329" t="s">
        <v>132</v>
      </c>
      <c r="C52" s="329" t="s">
        <v>132</v>
      </c>
      <c r="D52" s="328"/>
    </row>
    <row r="53" spans="1:4" ht="15" x14ac:dyDescent="0.2">
      <c r="A53" s="329" t="s">
        <v>527</v>
      </c>
      <c r="B53" s="329" t="s">
        <v>580</v>
      </c>
      <c r="C53" s="328"/>
      <c r="D53" s="328"/>
    </row>
    <row r="56" spans="1:4" x14ac:dyDescent="0.2">
      <c r="A56" s="332" t="s">
        <v>581</v>
      </c>
    </row>
    <row r="57" spans="1:4" x14ac:dyDescent="0.2">
      <c r="A57" s="331"/>
    </row>
    <row r="58" spans="1:4" ht="15" x14ac:dyDescent="0.2">
      <c r="A58" s="330" t="s">
        <v>582</v>
      </c>
    </row>
    <row r="59" spans="1:4" ht="15" x14ac:dyDescent="0.2">
      <c r="A59" s="487" t="s">
        <v>583</v>
      </c>
      <c r="B59" s="487"/>
      <c r="C59" s="487"/>
      <c r="D59" s="487"/>
    </row>
    <row r="60" spans="1:4" ht="198.75" customHeight="1" x14ac:dyDescent="0.2">
      <c r="A60" s="487" t="s">
        <v>584</v>
      </c>
      <c r="B60" s="487"/>
      <c r="C60" s="487"/>
      <c r="D60" s="487"/>
    </row>
    <row r="61" spans="1:4" ht="64.5" customHeight="1" x14ac:dyDescent="0.25">
      <c r="A61" s="310"/>
    </row>
    <row r="62" spans="1:4" ht="15" x14ac:dyDescent="0.2">
      <c r="A62" s="487" t="s">
        <v>585</v>
      </c>
      <c r="B62" s="487"/>
      <c r="C62" s="487"/>
      <c r="D62" s="487"/>
    </row>
    <row r="63" spans="1:4" ht="323.25" customHeight="1" x14ac:dyDescent="0.2">
      <c r="A63" s="330"/>
    </row>
    <row r="64" spans="1:4" ht="15" x14ac:dyDescent="0.2">
      <c r="A64" s="487" t="s">
        <v>586</v>
      </c>
      <c r="B64" s="487"/>
      <c r="C64" s="487"/>
      <c r="D64" s="487"/>
    </row>
    <row r="65" spans="1:1" ht="101.25" customHeight="1" x14ac:dyDescent="0.2">
      <c r="A65" s="330"/>
    </row>
    <row r="66" spans="1:1" ht="15" x14ac:dyDescent="0.2">
      <c r="A66" s="330" t="s">
        <v>587</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RowHeight="12.75" x14ac:dyDescent="0.2"/>
  <cols>
    <col min="1" max="1" width="20" style="213" customWidth="1"/>
    <col min="2" max="2" width="16.875" style="213" customWidth="1"/>
    <col min="3" max="3" width="12.25" style="213" customWidth="1"/>
    <col min="4" max="4" width="16" style="213" customWidth="1"/>
    <col min="5" max="5" width="13" style="213" customWidth="1"/>
    <col min="6" max="6" width="10.5" style="213" customWidth="1"/>
    <col min="7" max="7" width="9" style="213"/>
    <col min="8" max="8" width="16" style="213" bestFit="1" customWidth="1"/>
    <col min="9" max="16384" width="9" style="213"/>
  </cols>
  <sheetData>
    <row r="1" spans="1:12" x14ac:dyDescent="0.2">
      <c r="A1" s="213" t="s">
        <v>249</v>
      </c>
    </row>
    <row r="2" spans="1:12" x14ac:dyDescent="0.2">
      <c r="A2" s="213" t="str">
        <f>'XS Rating Step A Inputs'!$A$4</f>
        <v>Countrywide With No Range Modifiers</v>
      </c>
    </row>
    <row r="4" spans="1:12" x14ac:dyDescent="0.2">
      <c r="A4" s="229" t="s">
        <v>336</v>
      </c>
    </row>
    <row r="5" spans="1:12" x14ac:dyDescent="0.2">
      <c r="A5" s="244" t="s">
        <v>345</v>
      </c>
    </row>
    <row r="6" spans="1:12" x14ac:dyDescent="0.2">
      <c r="A6" s="244" t="s">
        <v>346</v>
      </c>
    </row>
    <row r="7" spans="1:12" x14ac:dyDescent="0.2">
      <c r="A7" s="244"/>
    </row>
    <row r="8" spans="1:12" x14ac:dyDescent="0.2">
      <c r="A8" s="217" t="s">
        <v>285</v>
      </c>
    </row>
    <row r="9" spans="1:12" x14ac:dyDescent="0.2">
      <c r="A9" s="231"/>
    </row>
    <row r="10" spans="1:12" x14ac:dyDescent="0.2">
      <c r="A10" s="213" t="s">
        <v>320</v>
      </c>
      <c r="C10" s="219" t="s">
        <v>419</v>
      </c>
      <c r="D10" s="219" t="s">
        <v>351</v>
      </c>
      <c r="E10" s="219" t="s">
        <v>379</v>
      </c>
      <c r="F10" s="219" t="s">
        <v>588</v>
      </c>
      <c r="H10" s="213" t="s">
        <v>503</v>
      </c>
    </row>
    <row r="11" spans="1:12" x14ac:dyDescent="0.2">
      <c r="A11" s="217" t="s">
        <v>324</v>
      </c>
      <c r="B11" s="236"/>
      <c r="C11" s="265" t="s">
        <v>418</v>
      </c>
      <c r="D11" s="265" t="s">
        <v>286</v>
      </c>
      <c r="E11" s="265" t="s">
        <v>420</v>
      </c>
      <c r="F11" s="265" t="s">
        <v>418</v>
      </c>
      <c r="H11" s="213" t="s">
        <v>352</v>
      </c>
      <c r="I11" s="265" t="s">
        <v>286</v>
      </c>
      <c r="K11" s="220">
        <f>IF('XS Rating Step A Inputs'!$B$6="California",-0.15, IF('XS Rating Step A Inputs'!$B$6="New York",-0.1,-0.25))</f>
        <v>-0.1</v>
      </c>
      <c r="L11" s="220">
        <f>IF('XS Rating Step A Inputs'!$B$6="California",0.15, IF('XS Rating Step A Inputs'!$B$6="New York",0.1,0.25))</f>
        <v>0.1</v>
      </c>
    </row>
    <row r="12" spans="1:12" x14ac:dyDescent="0.2">
      <c r="A12" s="217" t="s">
        <v>323</v>
      </c>
      <c r="B12" s="236"/>
      <c r="C12" s="265" t="s">
        <v>418</v>
      </c>
      <c r="D12" s="265" t="s">
        <v>286</v>
      </c>
      <c r="E12" s="265" t="s">
        <v>420</v>
      </c>
      <c r="F12" s="265" t="s">
        <v>418</v>
      </c>
      <c r="H12" s="213" t="s">
        <v>356</v>
      </c>
      <c r="I12" s="213" t="s">
        <v>492</v>
      </c>
    </row>
    <row r="13" spans="1:12" x14ac:dyDescent="0.2">
      <c r="A13" s="217" t="s">
        <v>322</v>
      </c>
      <c r="B13" s="236"/>
      <c r="C13" s="265" t="s">
        <v>418</v>
      </c>
      <c r="D13" s="265" t="s">
        <v>286</v>
      </c>
      <c r="E13" s="265" t="s">
        <v>420</v>
      </c>
      <c r="F13" s="265" t="s">
        <v>589</v>
      </c>
      <c r="H13" s="213" t="s">
        <v>374</v>
      </c>
      <c r="I13" s="255" t="s">
        <v>493</v>
      </c>
    </row>
    <row r="14" spans="1:12" x14ac:dyDescent="0.2">
      <c r="A14" s="217" t="s">
        <v>321</v>
      </c>
      <c r="B14" s="236"/>
      <c r="C14" s="265" t="s">
        <v>418</v>
      </c>
      <c r="D14" s="265" t="s">
        <v>286</v>
      </c>
      <c r="E14" s="265" t="s">
        <v>420</v>
      </c>
      <c r="F14" s="265" t="s">
        <v>418</v>
      </c>
      <c r="H14" s="213" t="s">
        <v>380</v>
      </c>
      <c r="I14" s="265" t="s">
        <v>420</v>
      </c>
    </row>
    <row r="15" spans="1:12" x14ac:dyDescent="0.2">
      <c r="A15" s="217"/>
      <c r="B15" s="236"/>
      <c r="C15" s="237"/>
    </row>
    <row r="16" spans="1:12" ht="27.75" customHeight="1" x14ac:dyDescent="0.2">
      <c r="A16" s="478" t="s">
        <v>344</v>
      </c>
      <c r="B16" s="474"/>
      <c r="C16" s="474"/>
      <c r="D16" s="474"/>
      <c r="E16" s="479"/>
      <c r="G16" s="255" t="s">
        <v>491</v>
      </c>
    </row>
    <row r="17" spans="1:8" ht="48" customHeight="1" x14ac:dyDescent="0.2">
      <c r="A17" s="480" t="s">
        <v>287</v>
      </c>
      <c r="B17" s="481"/>
      <c r="C17" s="481"/>
      <c r="D17" s="481"/>
      <c r="E17" s="482"/>
    </row>
    <row r="18" spans="1:8" ht="63" customHeight="1" x14ac:dyDescent="0.2">
      <c r="A18" s="475" t="s">
        <v>395</v>
      </c>
      <c r="B18" s="476"/>
      <c r="C18" s="476"/>
      <c r="D18" s="476"/>
      <c r="E18" s="477"/>
    </row>
    <row r="19" spans="1:8" ht="69.75" customHeight="1" x14ac:dyDescent="0.2">
      <c r="A19" s="478" t="s">
        <v>396</v>
      </c>
      <c r="B19" s="474"/>
      <c r="C19" s="474"/>
      <c r="D19" s="474"/>
      <c r="E19" s="479"/>
    </row>
    <row r="20" spans="1:8" ht="105" customHeight="1" x14ac:dyDescent="0.2">
      <c r="A20" s="256"/>
      <c r="B20" s="257"/>
      <c r="C20" s="257"/>
      <c r="D20" s="257"/>
      <c r="E20" s="258"/>
    </row>
    <row r="21" spans="1:8" ht="110.25" customHeight="1" x14ac:dyDescent="0.2">
      <c r="A21" s="259"/>
      <c r="B21" s="260"/>
      <c r="C21" s="260"/>
      <c r="D21" s="260"/>
      <c r="E21" s="261"/>
    </row>
    <row r="22" spans="1:8" ht="53.25" customHeight="1" x14ac:dyDescent="0.2">
      <c r="A22" s="475" t="s">
        <v>397</v>
      </c>
      <c r="B22" s="476"/>
      <c r="C22" s="476"/>
      <c r="D22" s="476"/>
      <c r="E22" s="477"/>
    </row>
    <row r="25" spans="1:8" x14ac:dyDescent="0.2">
      <c r="A25" s="214" t="s">
        <v>446</v>
      </c>
    </row>
    <row r="26" spans="1:8" x14ac:dyDescent="0.2">
      <c r="A26" s="214"/>
      <c r="F26" s="356">
        <f>VLOOKUP('XS Rating Step A Inputs'!$B$6,'XS Rate Tables Section G'!$A$29:$G$79,6,FALSE)</f>
        <v>-0.15</v>
      </c>
      <c r="G26" s="356">
        <f>VLOOKUP('XS Rating Step A Inputs'!$B$6,'XS Rate Tables Section G'!$A$29:$G$79,7,FALSE)</f>
        <v>0.15</v>
      </c>
      <c r="H26" s="357" t="str">
        <f>'XS Rating Step A Inputs'!B6</f>
        <v>New York</v>
      </c>
    </row>
    <row r="27" spans="1:8" x14ac:dyDescent="0.2">
      <c r="A27" s="245"/>
      <c r="B27" s="246" t="s">
        <v>414</v>
      </c>
    </row>
    <row r="28" spans="1:8" x14ac:dyDescent="0.2">
      <c r="A28" s="247" t="s">
        <v>399</v>
      </c>
      <c r="B28" s="248" t="s">
        <v>415</v>
      </c>
      <c r="F28" s="219" t="s">
        <v>300</v>
      </c>
      <c r="G28" s="219" t="s">
        <v>301</v>
      </c>
    </row>
    <row r="29" spans="1:8" x14ac:dyDescent="0.2">
      <c r="A29" s="249" t="s">
        <v>348</v>
      </c>
      <c r="B29" s="250" t="s">
        <v>400</v>
      </c>
      <c r="C29" s="265" t="s">
        <v>418</v>
      </c>
      <c r="F29" s="266">
        <v>-0.25</v>
      </c>
      <c r="G29" s="266">
        <v>0.25</v>
      </c>
      <c r="H29" s="281"/>
    </row>
    <row r="30" spans="1:8" x14ac:dyDescent="0.2">
      <c r="A30" s="249" t="s">
        <v>347</v>
      </c>
      <c r="B30" s="250" t="s">
        <v>401</v>
      </c>
      <c r="C30" s="265" t="s">
        <v>421</v>
      </c>
      <c r="F30" s="266">
        <v>-0.4</v>
      </c>
      <c r="G30" s="266">
        <v>0.4</v>
      </c>
      <c r="H30" s="281"/>
    </row>
    <row r="31" spans="1:8" x14ac:dyDescent="0.2">
      <c r="A31" s="249" t="s">
        <v>350</v>
      </c>
      <c r="B31" s="250" t="s">
        <v>400</v>
      </c>
      <c r="C31" s="265" t="s">
        <v>418</v>
      </c>
      <c r="F31" s="266">
        <v>-0.25</v>
      </c>
      <c r="G31" s="266">
        <v>0.25</v>
      </c>
      <c r="H31" s="281"/>
    </row>
    <row r="32" spans="1:8" x14ac:dyDescent="0.2">
      <c r="A32" s="249" t="s">
        <v>349</v>
      </c>
      <c r="B32" s="250" t="s">
        <v>401</v>
      </c>
      <c r="C32" s="265" t="s">
        <v>421</v>
      </c>
      <c r="F32" s="266">
        <v>-0.4</v>
      </c>
      <c r="G32" s="266">
        <v>0.4</v>
      </c>
      <c r="H32" s="281"/>
    </row>
    <row r="33" spans="1:8" ht="13.5" thickBot="1" x14ac:dyDescent="0.25">
      <c r="A33" s="252" t="s">
        <v>352</v>
      </c>
      <c r="B33" s="253" t="s">
        <v>400</v>
      </c>
      <c r="C33" s="265" t="s">
        <v>418</v>
      </c>
      <c r="F33" s="266">
        <v>-0.25</v>
      </c>
      <c r="G33" s="266">
        <v>0.25</v>
      </c>
      <c r="H33" s="281"/>
    </row>
    <row r="34" spans="1:8" x14ac:dyDescent="0.2">
      <c r="A34" s="249" t="s">
        <v>353</v>
      </c>
      <c r="B34" s="250" t="s">
        <v>400</v>
      </c>
      <c r="C34" s="265" t="s">
        <v>418</v>
      </c>
      <c r="F34" s="266">
        <v>-0.25</v>
      </c>
      <c r="G34" s="266">
        <v>0.25</v>
      </c>
      <c r="H34" s="281"/>
    </row>
    <row r="35" spans="1:8" x14ac:dyDescent="0.2">
      <c r="A35" s="249" t="s">
        <v>354</v>
      </c>
      <c r="B35" s="250" t="s">
        <v>400</v>
      </c>
      <c r="C35" s="265" t="s">
        <v>418</v>
      </c>
      <c r="F35" s="266">
        <v>-0.25</v>
      </c>
      <c r="G35" s="266">
        <v>0.25</v>
      </c>
      <c r="H35" s="281"/>
    </row>
    <row r="36" spans="1:8" x14ac:dyDescent="0.2">
      <c r="A36" s="249" t="s">
        <v>355</v>
      </c>
      <c r="B36" s="250" t="s">
        <v>400</v>
      </c>
      <c r="C36" s="265" t="s">
        <v>418</v>
      </c>
      <c r="F36" s="266">
        <v>-0.25</v>
      </c>
      <c r="G36" s="266">
        <v>0.25</v>
      </c>
      <c r="H36" s="281"/>
    </row>
    <row r="37" spans="1:8" x14ac:dyDescent="0.2">
      <c r="A37" s="249" t="s">
        <v>403</v>
      </c>
      <c r="B37" s="250" t="s">
        <v>400</v>
      </c>
      <c r="C37" s="265" t="s">
        <v>418</v>
      </c>
      <c r="F37" s="266">
        <v>-0.25</v>
      </c>
      <c r="G37" s="266">
        <v>0.25</v>
      </c>
      <c r="H37" s="281"/>
    </row>
    <row r="38" spans="1:8" ht="13.5" thickBot="1" x14ac:dyDescent="0.25">
      <c r="A38" s="252" t="s">
        <v>505</v>
      </c>
      <c r="B38" s="253" t="s">
        <v>400</v>
      </c>
      <c r="C38" s="265" t="s">
        <v>418</v>
      </c>
      <c r="F38" s="266">
        <v>-0.25</v>
      </c>
      <c r="G38" s="266">
        <v>0.25</v>
      </c>
      <c r="H38" s="281"/>
    </row>
    <row r="39" spans="1:8" x14ac:dyDescent="0.2">
      <c r="A39" s="249" t="s">
        <v>443</v>
      </c>
      <c r="B39" s="262" t="s">
        <v>401</v>
      </c>
      <c r="C39" s="265" t="s">
        <v>421</v>
      </c>
      <c r="D39" s="255"/>
      <c r="E39" s="264"/>
      <c r="F39" s="266">
        <v>-0.4</v>
      </c>
      <c r="G39" s="266">
        <v>0.4</v>
      </c>
      <c r="H39" s="281"/>
    </row>
    <row r="40" spans="1:8" x14ac:dyDescent="0.2">
      <c r="A40" s="249" t="s">
        <v>356</v>
      </c>
      <c r="B40" s="250" t="s">
        <v>398</v>
      </c>
      <c r="C40" s="213" t="s">
        <v>423</v>
      </c>
      <c r="F40" s="266" t="s">
        <v>190</v>
      </c>
      <c r="G40" s="266" t="s">
        <v>190</v>
      </c>
      <c r="H40" s="281"/>
    </row>
    <row r="41" spans="1:8" x14ac:dyDescent="0.2">
      <c r="A41" s="249" t="s">
        <v>358</v>
      </c>
      <c r="B41" s="250" t="s">
        <v>400</v>
      </c>
      <c r="C41" s="265" t="s">
        <v>418</v>
      </c>
      <c r="F41" s="266">
        <v>-0.25</v>
      </c>
      <c r="G41" s="266">
        <v>0.25</v>
      </c>
      <c r="H41" s="281"/>
    </row>
    <row r="42" spans="1:8" x14ac:dyDescent="0.2">
      <c r="A42" s="249" t="s">
        <v>359</v>
      </c>
      <c r="B42" s="250" t="s">
        <v>404</v>
      </c>
      <c r="C42" s="265" t="s">
        <v>422</v>
      </c>
      <c r="F42" s="266">
        <v>-0.5</v>
      </c>
      <c r="G42" s="266">
        <v>0.5</v>
      </c>
      <c r="H42" s="281"/>
    </row>
    <row r="43" spans="1:8" ht="13.5" thickBot="1" x14ac:dyDescent="0.25">
      <c r="A43" s="252" t="s">
        <v>360</v>
      </c>
      <c r="B43" s="263" t="s">
        <v>404</v>
      </c>
      <c r="C43" s="265" t="s">
        <v>422</v>
      </c>
      <c r="D43" s="255"/>
      <c r="F43" s="266">
        <v>-0.5</v>
      </c>
      <c r="G43" s="266">
        <v>0.5</v>
      </c>
      <c r="H43" s="281"/>
    </row>
    <row r="44" spans="1:8" x14ac:dyDescent="0.2">
      <c r="A44" s="249" t="s">
        <v>357</v>
      </c>
      <c r="B44" s="250" t="s">
        <v>400</v>
      </c>
      <c r="C44" s="265" t="s">
        <v>418</v>
      </c>
      <c r="F44" s="266">
        <v>-0.25</v>
      </c>
      <c r="G44" s="266">
        <v>0.25</v>
      </c>
      <c r="H44" s="281"/>
    </row>
    <row r="45" spans="1:8" x14ac:dyDescent="0.2">
      <c r="A45" s="249" t="s">
        <v>361</v>
      </c>
      <c r="B45" s="250" t="s">
        <v>401</v>
      </c>
      <c r="C45" s="265" t="s">
        <v>421</v>
      </c>
      <c r="F45" s="266">
        <v>-0.4</v>
      </c>
      <c r="G45" s="266">
        <v>0.4</v>
      </c>
      <c r="H45" s="281"/>
    </row>
    <row r="46" spans="1:8" x14ac:dyDescent="0.2">
      <c r="A46" s="249" t="s">
        <v>362</v>
      </c>
      <c r="B46" s="250" t="s">
        <v>404</v>
      </c>
      <c r="C46" s="265" t="s">
        <v>422</v>
      </c>
      <c r="D46" s="255"/>
      <c r="F46" s="266">
        <v>-0.5</v>
      </c>
      <c r="G46" s="266">
        <v>0.5</v>
      </c>
      <c r="H46" s="281"/>
    </row>
    <row r="47" spans="1:8" x14ac:dyDescent="0.2">
      <c r="A47" s="249" t="s">
        <v>363</v>
      </c>
      <c r="B47" s="250" t="s">
        <v>400</v>
      </c>
      <c r="C47" s="265" t="s">
        <v>418</v>
      </c>
      <c r="F47" s="266">
        <v>-0.25</v>
      </c>
      <c r="G47" s="266">
        <v>0.25</v>
      </c>
      <c r="H47" s="281"/>
    </row>
    <row r="48" spans="1:8" ht="13.5" thickBot="1" x14ac:dyDescent="0.25">
      <c r="A48" s="252" t="s">
        <v>366</v>
      </c>
      <c r="B48" s="253" t="s">
        <v>401</v>
      </c>
      <c r="C48" s="265" t="s">
        <v>421</v>
      </c>
      <c r="F48" s="266">
        <v>-0.4</v>
      </c>
      <c r="G48" s="266">
        <v>0.4</v>
      </c>
      <c r="H48" s="281"/>
    </row>
    <row r="49" spans="1:8" x14ac:dyDescent="0.2">
      <c r="A49" s="249" t="s">
        <v>365</v>
      </c>
      <c r="B49" s="250" t="s">
        <v>401</v>
      </c>
      <c r="C49" s="265" t="s">
        <v>421</v>
      </c>
      <c r="F49" s="266">
        <v>-0.4</v>
      </c>
      <c r="G49" s="266">
        <v>0.4</v>
      </c>
      <c r="H49" s="281"/>
    </row>
    <row r="50" spans="1:8" x14ac:dyDescent="0.2">
      <c r="A50" s="249" t="s">
        <v>364</v>
      </c>
      <c r="B50" s="262" t="s">
        <v>405</v>
      </c>
      <c r="C50" s="225" t="s">
        <v>442</v>
      </c>
      <c r="D50" s="275"/>
      <c r="F50" s="266">
        <v>-0.4</v>
      </c>
      <c r="G50" s="266">
        <v>0.25</v>
      </c>
      <c r="H50" s="281"/>
    </row>
    <row r="51" spans="1:8" x14ac:dyDescent="0.2">
      <c r="A51" s="249" t="s">
        <v>367</v>
      </c>
      <c r="B51" s="250" t="s">
        <v>400</v>
      </c>
      <c r="C51" s="265" t="s">
        <v>418</v>
      </c>
      <c r="F51" s="266">
        <v>-0.25</v>
      </c>
      <c r="G51" s="266">
        <v>0.25</v>
      </c>
      <c r="H51" s="281"/>
    </row>
    <row r="52" spans="1:8" x14ac:dyDescent="0.2">
      <c r="A52" s="249" t="s">
        <v>368</v>
      </c>
      <c r="B52" s="250" t="s">
        <v>401</v>
      </c>
      <c r="C52" s="265" t="s">
        <v>421</v>
      </c>
      <c r="F52" s="266">
        <v>-0.4</v>
      </c>
      <c r="G52" s="266">
        <v>0.4</v>
      </c>
      <c r="H52" s="281"/>
    </row>
    <row r="53" spans="1:8" x14ac:dyDescent="0.2">
      <c r="A53" s="251" t="s">
        <v>370</v>
      </c>
      <c r="B53" s="250" t="s">
        <v>401</v>
      </c>
      <c r="C53" s="265" t="s">
        <v>421</v>
      </c>
      <c r="F53" s="266">
        <v>-0.4</v>
      </c>
      <c r="G53" s="266">
        <v>0.4</v>
      </c>
      <c r="H53" s="281"/>
    </row>
    <row r="54" spans="1:8" ht="13.5" thickBot="1" x14ac:dyDescent="0.25">
      <c r="A54" s="252" t="s">
        <v>369</v>
      </c>
      <c r="B54" s="253" t="s">
        <v>400</v>
      </c>
      <c r="C54" s="265" t="s">
        <v>418</v>
      </c>
      <c r="F54" s="266">
        <v>-0.25</v>
      </c>
      <c r="G54" s="266">
        <v>0.25</v>
      </c>
      <c r="H54" s="281"/>
    </row>
    <row r="55" spans="1:8" x14ac:dyDescent="0.2">
      <c r="A55" s="249" t="s">
        <v>371</v>
      </c>
      <c r="B55" s="250" t="s">
        <v>401</v>
      </c>
      <c r="C55" s="265" t="s">
        <v>421</v>
      </c>
      <c r="F55" s="266">
        <v>-0.4</v>
      </c>
      <c r="G55" s="266">
        <v>0.4</v>
      </c>
      <c r="H55" s="281"/>
    </row>
    <row r="56" spans="1:8" x14ac:dyDescent="0.2">
      <c r="A56" s="249" t="s">
        <v>374</v>
      </c>
      <c r="B56" s="250" t="s">
        <v>401</v>
      </c>
      <c r="C56" s="265" t="s">
        <v>421</v>
      </c>
      <c r="D56" s="264"/>
      <c r="F56" s="266">
        <v>-0.4</v>
      </c>
      <c r="G56" s="266">
        <v>0.4</v>
      </c>
      <c r="H56" s="281"/>
    </row>
    <row r="57" spans="1:8" x14ac:dyDescent="0.2">
      <c r="A57" s="249" t="s">
        <v>378</v>
      </c>
      <c r="B57" s="250" t="s">
        <v>401</v>
      </c>
      <c r="C57" s="265" t="s">
        <v>421</v>
      </c>
      <c r="D57" s="283"/>
      <c r="F57" s="266">
        <v>-0.4</v>
      </c>
      <c r="G57" s="266">
        <v>0.4</v>
      </c>
      <c r="H57" s="281"/>
    </row>
    <row r="58" spans="1:8" x14ac:dyDescent="0.2">
      <c r="A58" s="251" t="s">
        <v>375</v>
      </c>
      <c r="B58" s="250" t="s">
        <v>401</v>
      </c>
      <c r="C58" s="265" t="s">
        <v>421</v>
      </c>
      <c r="D58" s="264"/>
      <c r="F58" s="266">
        <v>-0.4</v>
      </c>
      <c r="G58" s="266">
        <v>0.4</v>
      </c>
      <c r="H58" s="281"/>
    </row>
    <row r="59" spans="1:8" ht="13.5" thickBot="1" x14ac:dyDescent="0.25">
      <c r="A59" s="252" t="s">
        <v>376</v>
      </c>
      <c r="B59" s="253" t="s">
        <v>400</v>
      </c>
      <c r="C59" s="265" t="s">
        <v>418</v>
      </c>
      <c r="D59" s="283"/>
      <c r="F59" s="266">
        <v>-0.25</v>
      </c>
      <c r="G59" s="266">
        <v>0.25</v>
      </c>
      <c r="H59" s="281"/>
    </row>
    <row r="60" spans="1:8" x14ac:dyDescent="0.2">
      <c r="A60" s="249" t="s">
        <v>377</v>
      </c>
      <c r="B60" s="250" t="s">
        <v>400</v>
      </c>
      <c r="C60" s="265" t="s">
        <v>418</v>
      </c>
      <c r="D60" s="283"/>
      <c r="F60" s="266">
        <v>-0.25</v>
      </c>
      <c r="G60" s="266">
        <v>0.25</v>
      </c>
      <c r="H60" s="281"/>
    </row>
    <row r="61" spans="1:8" x14ac:dyDescent="0.2">
      <c r="A61" s="249" t="s">
        <v>380</v>
      </c>
      <c r="B61" s="250" t="s">
        <v>402</v>
      </c>
      <c r="C61" s="265" t="s">
        <v>286</v>
      </c>
      <c r="D61" s="283"/>
      <c r="F61" s="266">
        <v>-0.15</v>
      </c>
      <c r="G61" s="266">
        <v>0.15</v>
      </c>
      <c r="H61" s="281"/>
    </row>
    <row r="62" spans="1:8" x14ac:dyDescent="0.2">
      <c r="A62" s="249" t="s">
        <v>372</v>
      </c>
      <c r="B62" s="250" t="s">
        <v>401</v>
      </c>
      <c r="C62" s="265" t="s">
        <v>421</v>
      </c>
      <c r="D62" s="283"/>
      <c r="F62" s="266">
        <v>-0.4</v>
      </c>
      <c r="G62" s="266">
        <v>0.4</v>
      </c>
      <c r="H62" s="281"/>
    </row>
    <row r="63" spans="1:8" x14ac:dyDescent="0.2">
      <c r="A63" s="251" t="s">
        <v>373</v>
      </c>
      <c r="B63" s="254" t="s">
        <v>400</v>
      </c>
      <c r="C63" s="265" t="s">
        <v>418</v>
      </c>
      <c r="D63" s="283"/>
      <c r="F63" s="266">
        <v>-0.25</v>
      </c>
      <c r="G63" s="266">
        <v>0.25</v>
      </c>
      <c r="H63" s="281"/>
    </row>
    <row r="64" spans="1:8" ht="13.5" thickBot="1" x14ac:dyDescent="0.25">
      <c r="A64" s="252" t="s">
        <v>381</v>
      </c>
      <c r="B64" s="253" t="s">
        <v>400</v>
      </c>
      <c r="C64" s="265" t="s">
        <v>418</v>
      </c>
      <c r="D64" s="283"/>
      <c r="F64" s="266">
        <v>-0.25</v>
      </c>
      <c r="G64" s="266">
        <v>0.25</v>
      </c>
      <c r="H64" s="281"/>
    </row>
    <row r="65" spans="1:8" x14ac:dyDescent="0.2">
      <c r="A65" s="249" t="s">
        <v>382</v>
      </c>
      <c r="B65" s="250" t="s">
        <v>401</v>
      </c>
      <c r="C65" s="265" t="s">
        <v>421</v>
      </c>
      <c r="D65" s="264"/>
      <c r="F65" s="266">
        <v>-0.4</v>
      </c>
      <c r="G65" s="266">
        <v>0.4</v>
      </c>
      <c r="H65" s="281"/>
    </row>
    <row r="66" spans="1:8" x14ac:dyDescent="0.2">
      <c r="A66" s="249" t="s">
        <v>383</v>
      </c>
      <c r="B66" s="254" t="s">
        <v>401</v>
      </c>
      <c r="C66" s="265" t="s">
        <v>421</v>
      </c>
      <c r="D66" s="284"/>
      <c r="F66" s="266">
        <v>-0.4</v>
      </c>
      <c r="G66" s="266">
        <v>0.4</v>
      </c>
      <c r="H66" s="281"/>
    </row>
    <row r="67" spans="1:8" x14ac:dyDescent="0.2">
      <c r="A67" s="249" t="s">
        <v>384</v>
      </c>
      <c r="B67" s="254" t="s">
        <v>401</v>
      </c>
      <c r="C67" s="265" t="s">
        <v>421</v>
      </c>
      <c r="D67" s="283"/>
      <c r="F67" s="266">
        <v>-0.4</v>
      </c>
      <c r="G67" s="266">
        <v>0.4</v>
      </c>
      <c r="H67" s="281"/>
    </row>
    <row r="68" spans="1:8" x14ac:dyDescent="0.2">
      <c r="A68" s="251" t="s">
        <v>385</v>
      </c>
      <c r="B68" s="254" t="s">
        <v>401</v>
      </c>
      <c r="C68" s="265" t="s">
        <v>421</v>
      </c>
      <c r="D68" s="283"/>
      <c r="F68" s="266">
        <v>-0.4</v>
      </c>
      <c r="G68" s="266">
        <v>0.4</v>
      </c>
      <c r="H68" s="281"/>
    </row>
    <row r="69" spans="1:8" ht="13.5" thickBot="1" x14ac:dyDescent="0.25">
      <c r="A69" s="252" t="s">
        <v>386</v>
      </c>
      <c r="B69" s="253" t="s">
        <v>401</v>
      </c>
      <c r="C69" s="265" t="s">
        <v>421</v>
      </c>
      <c r="D69" s="283"/>
      <c r="F69" s="266">
        <v>-0.4</v>
      </c>
      <c r="G69" s="266">
        <v>0.4</v>
      </c>
      <c r="H69" s="281"/>
    </row>
    <row r="70" spans="1:8" x14ac:dyDescent="0.2">
      <c r="A70" s="249" t="s">
        <v>387</v>
      </c>
      <c r="B70" s="250" t="s">
        <v>400</v>
      </c>
      <c r="C70" s="265" t="s">
        <v>418</v>
      </c>
      <c r="D70" s="283"/>
      <c r="F70" s="266">
        <v>-0.25</v>
      </c>
      <c r="G70" s="266">
        <v>0.25</v>
      </c>
      <c r="H70" s="281"/>
    </row>
    <row r="71" spans="1:8" x14ac:dyDescent="0.2">
      <c r="A71" s="249" t="s">
        <v>388</v>
      </c>
      <c r="B71" s="250" t="s">
        <v>404</v>
      </c>
      <c r="C71" s="265" t="s">
        <v>422</v>
      </c>
      <c r="D71" s="284"/>
      <c r="F71" s="266">
        <v>-0.5</v>
      </c>
      <c r="G71" s="266">
        <v>0.5</v>
      </c>
      <c r="H71" s="281"/>
    </row>
    <row r="72" spans="1:8" x14ac:dyDescent="0.2">
      <c r="A72" s="249" t="s">
        <v>389</v>
      </c>
      <c r="B72" s="250" t="s">
        <v>401</v>
      </c>
      <c r="C72" s="265" t="s">
        <v>421</v>
      </c>
      <c r="D72" s="283"/>
      <c r="F72" s="266">
        <v>-0.4</v>
      </c>
      <c r="G72" s="266">
        <v>0.4</v>
      </c>
      <c r="H72" s="281"/>
    </row>
    <row r="73" spans="1:8" x14ac:dyDescent="0.2">
      <c r="A73" s="251" t="s">
        <v>390</v>
      </c>
      <c r="B73" s="254" t="s">
        <v>400</v>
      </c>
      <c r="C73" s="265" t="s">
        <v>418</v>
      </c>
      <c r="D73" s="283"/>
      <c r="F73" s="266">
        <v>-0.25</v>
      </c>
      <c r="G73" s="266">
        <v>0.25</v>
      </c>
      <c r="H73" s="281"/>
    </row>
    <row r="74" spans="1:8" ht="13.5" thickBot="1" x14ac:dyDescent="0.25">
      <c r="A74" s="252" t="s">
        <v>391</v>
      </c>
      <c r="B74" s="253" t="s">
        <v>404</v>
      </c>
      <c r="C74" s="265" t="s">
        <v>422</v>
      </c>
      <c r="D74" s="284"/>
      <c r="F74" s="266">
        <v>-0.5</v>
      </c>
      <c r="G74" s="266">
        <v>0.5</v>
      </c>
      <c r="H74" s="281"/>
    </row>
    <row r="75" spans="1:8" x14ac:dyDescent="0.2">
      <c r="A75" s="249" t="s">
        <v>445</v>
      </c>
      <c r="B75" s="250" t="s">
        <v>404</v>
      </c>
      <c r="C75" s="265" t="s">
        <v>422</v>
      </c>
      <c r="D75" s="264"/>
      <c r="F75" s="266">
        <v>-0.5</v>
      </c>
      <c r="G75" s="266">
        <v>0.5</v>
      </c>
      <c r="H75" s="281"/>
    </row>
    <row r="76" spans="1:8" x14ac:dyDescent="0.2">
      <c r="A76" s="249" t="s">
        <v>444</v>
      </c>
      <c r="B76" s="250" t="s">
        <v>400</v>
      </c>
      <c r="C76" s="265" t="s">
        <v>418</v>
      </c>
      <c r="D76" s="264"/>
      <c r="F76" s="266">
        <v>-0.25</v>
      </c>
      <c r="G76" s="266">
        <v>0.25</v>
      </c>
      <c r="H76" s="281"/>
    </row>
    <row r="77" spans="1:8" x14ac:dyDescent="0.2">
      <c r="A77" s="249" t="s">
        <v>393</v>
      </c>
      <c r="B77" s="250" t="s">
        <v>401</v>
      </c>
      <c r="C77" s="265" t="s">
        <v>421</v>
      </c>
      <c r="D77" s="283"/>
      <c r="F77" s="266">
        <v>-0.4</v>
      </c>
      <c r="G77" s="266">
        <v>0.4</v>
      </c>
      <c r="H77" s="281"/>
    </row>
    <row r="78" spans="1:8" x14ac:dyDescent="0.2">
      <c r="A78" s="249" t="s">
        <v>392</v>
      </c>
      <c r="B78" s="250" t="s">
        <v>404</v>
      </c>
      <c r="C78" s="265" t="s">
        <v>422</v>
      </c>
      <c r="D78" s="283"/>
      <c r="F78" s="266">
        <v>-0.5</v>
      </c>
      <c r="G78" s="266">
        <v>0.5</v>
      </c>
      <c r="H78" s="281"/>
    </row>
    <row r="79" spans="1:8" ht="13.5" thickBot="1" x14ac:dyDescent="0.25">
      <c r="A79" s="252" t="s">
        <v>394</v>
      </c>
      <c r="B79" s="253" t="s">
        <v>404</v>
      </c>
      <c r="C79" s="265" t="s">
        <v>422</v>
      </c>
      <c r="F79" s="266">
        <v>-0.5</v>
      </c>
      <c r="G79" s="266">
        <v>0.5</v>
      </c>
      <c r="H79" s="281"/>
    </row>
    <row r="82" spans="1:1" x14ac:dyDescent="0.2">
      <c r="A82" s="285" t="s">
        <v>406</v>
      </c>
    </row>
    <row r="84" spans="1:1" x14ac:dyDescent="0.2">
      <c r="A84" s="213" t="s">
        <v>407</v>
      </c>
    </row>
    <row r="85" spans="1:1" x14ac:dyDescent="0.2">
      <c r="A85" s="213" t="s">
        <v>408</v>
      </c>
    </row>
    <row r="86" spans="1:1" x14ac:dyDescent="0.2">
      <c r="A86" s="213" t="s">
        <v>409</v>
      </c>
    </row>
    <row r="88" spans="1:1" x14ac:dyDescent="0.2">
      <c r="A88" s="213" t="s">
        <v>410</v>
      </c>
    </row>
    <row r="89" spans="1:1" x14ac:dyDescent="0.2">
      <c r="A89" s="213" t="s">
        <v>411</v>
      </c>
    </row>
    <row r="91" spans="1:1" x14ac:dyDescent="0.2">
      <c r="A91" s="213" t="s">
        <v>417</v>
      </c>
    </row>
    <row r="93" spans="1:1" x14ac:dyDescent="0.2">
      <c r="A93" s="213" t="s">
        <v>412</v>
      </c>
    </row>
    <row r="95" spans="1:1" x14ac:dyDescent="0.2">
      <c r="A95" s="286" t="s">
        <v>447</v>
      </c>
    </row>
    <row r="97" spans="1:1" x14ac:dyDescent="0.2">
      <c r="A97" s="213" t="s">
        <v>448</v>
      </c>
    </row>
    <row r="98" spans="1:1" x14ac:dyDescent="0.2">
      <c r="A98" s="213" t="s">
        <v>413</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style="310" customWidth="1"/>
    <col min="3" max="3" width="21.875" style="310" bestFit="1" customWidth="1"/>
  </cols>
  <sheetData>
    <row r="1" spans="1:8" x14ac:dyDescent="0.25">
      <c r="A1" s="213" t="s">
        <v>249</v>
      </c>
    </row>
    <row r="2" spans="1:8" x14ac:dyDescent="0.25">
      <c r="A2" s="213" t="s">
        <v>494</v>
      </c>
    </row>
    <row r="4" spans="1:8" x14ac:dyDescent="0.25">
      <c r="A4" t="s">
        <v>501</v>
      </c>
      <c r="B4" s="413" t="str">
        <f>'XS Rating Step A Inputs'!B6</f>
        <v>New York</v>
      </c>
    </row>
    <row r="5" spans="1:8" x14ac:dyDescent="0.25">
      <c r="A5" t="s">
        <v>499</v>
      </c>
      <c r="B5" s="413" t="str">
        <f>VLOOKUP($B$4,$A$9:$C$59,2,FALSE)</f>
        <v>No</v>
      </c>
    </row>
    <row r="6" spans="1:8" x14ac:dyDescent="0.25">
      <c r="A6" t="s">
        <v>502</v>
      </c>
      <c r="B6" s="413" t="str">
        <f>VLOOKUP($B$4,$A$9:$C$59,3,FALSE)</f>
        <v>Yes</v>
      </c>
      <c r="C6" s="316" t="str">
        <f>IF(B6="Yes","","Terrorism Coverage provided at no additional cost. Coverage cannot be rejected. Leave cell blank.")</f>
        <v/>
      </c>
    </row>
    <row r="8" spans="1:8" x14ac:dyDescent="0.25">
      <c r="A8" s="317" t="s">
        <v>501</v>
      </c>
      <c r="B8" s="311" t="s">
        <v>499</v>
      </c>
      <c r="C8" s="311" t="s">
        <v>500</v>
      </c>
    </row>
    <row r="9" spans="1:8" x14ac:dyDescent="0.25">
      <c r="A9" s="312" t="s">
        <v>348</v>
      </c>
      <c r="B9" s="305" t="s">
        <v>333</v>
      </c>
      <c r="C9" s="305" t="s">
        <v>333</v>
      </c>
      <c r="H9" s="399"/>
    </row>
    <row r="10" spans="1:8" x14ac:dyDescent="0.25">
      <c r="A10" s="249" t="s">
        <v>347</v>
      </c>
      <c r="B10" s="472" t="s">
        <v>187</v>
      </c>
      <c r="C10" s="305" t="s">
        <v>333</v>
      </c>
      <c r="H10" s="399"/>
    </row>
    <row r="11" spans="1:8" x14ac:dyDescent="0.25">
      <c r="A11" s="249" t="s">
        <v>350</v>
      </c>
      <c r="B11" s="305" t="s">
        <v>333</v>
      </c>
      <c r="C11" s="305" t="s">
        <v>333</v>
      </c>
      <c r="H11" s="399"/>
    </row>
    <row r="12" spans="1:8" x14ac:dyDescent="0.25">
      <c r="A12" s="249" t="s">
        <v>349</v>
      </c>
      <c r="B12" s="305" t="s">
        <v>333</v>
      </c>
      <c r="C12" s="305" t="s">
        <v>333</v>
      </c>
      <c r="H12" s="399"/>
    </row>
    <row r="13" spans="1:8" x14ac:dyDescent="0.25">
      <c r="A13" s="249" t="s">
        <v>352</v>
      </c>
      <c r="B13" s="472" t="s">
        <v>187</v>
      </c>
      <c r="C13" s="305" t="s">
        <v>333</v>
      </c>
      <c r="H13" s="399"/>
    </row>
    <row r="14" spans="1:8" x14ac:dyDescent="0.25">
      <c r="A14" s="249" t="s">
        <v>353</v>
      </c>
      <c r="B14" s="305" t="s">
        <v>333</v>
      </c>
      <c r="C14" s="305" t="s">
        <v>333</v>
      </c>
      <c r="H14" s="399"/>
    </row>
    <row r="15" spans="1:8" x14ac:dyDescent="0.25">
      <c r="A15" s="249" t="s">
        <v>354</v>
      </c>
      <c r="B15" s="305" t="s">
        <v>187</v>
      </c>
      <c r="C15" s="305" t="s">
        <v>333</v>
      </c>
      <c r="H15" s="399"/>
    </row>
    <row r="16" spans="1:8" x14ac:dyDescent="0.25">
      <c r="A16" s="249" t="s">
        <v>355</v>
      </c>
      <c r="B16" s="305" t="s">
        <v>333</v>
      </c>
      <c r="C16" s="305" t="s">
        <v>333</v>
      </c>
      <c r="H16" s="399"/>
    </row>
    <row r="17" spans="1:8" x14ac:dyDescent="0.25">
      <c r="A17" s="249" t="s">
        <v>403</v>
      </c>
      <c r="B17" s="305" t="s">
        <v>333</v>
      </c>
      <c r="C17" s="305" t="s">
        <v>333</v>
      </c>
      <c r="H17" s="399"/>
    </row>
    <row r="18" spans="1:8" x14ac:dyDescent="0.25">
      <c r="A18" s="249" t="s">
        <v>505</v>
      </c>
      <c r="B18" s="308" t="s">
        <v>187</v>
      </c>
      <c r="C18" s="305" t="s">
        <v>333</v>
      </c>
      <c r="H18" s="399"/>
    </row>
    <row r="19" spans="1:8" x14ac:dyDescent="0.25">
      <c r="A19" s="249" t="s">
        <v>443</v>
      </c>
      <c r="B19" s="308" t="s">
        <v>187</v>
      </c>
      <c r="C19" s="305" t="s">
        <v>333</v>
      </c>
      <c r="H19" s="399"/>
    </row>
    <row r="20" spans="1:8" x14ac:dyDescent="0.25">
      <c r="A20" s="249" t="s">
        <v>356</v>
      </c>
      <c r="B20" s="472" t="s">
        <v>187</v>
      </c>
      <c r="C20" s="305" t="s">
        <v>333</v>
      </c>
      <c r="H20" s="399"/>
    </row>
    <row r="21" spans="1:8" x14ac:dyDescent="0.25">
      <c r="A21" s="249" t="s">
        <v>358</v>
      </c>
      <c r="B21" s="305" t="s">
        <v>333</v>
      </c>
      <c r="C21" s="305" t="s">
        <v>333</v>
      </c>
      <c r="H21" s="399"/>
    </row>
    <row r="22" spans="1:8" x14ac:dyDescent="0.25">
      <c r="A22" s="249" t="s">
        <v>359</v>
      </c>
      <c r="B22" s="305" t="s">
        <v>333</v>
      </c>
      <c r="C22" s="305" t="s">
        <v>333</v>
      </c>
      <c r="H22" s="399"/>
    </row>
    <row r="23" spans="1:8" x14ac:dyDescent="0.25">
      <c r="A23" s="249" t="s">
        <v>360</v>
      </c>
      <c r="B23" s="305" t="s">
        <v>333</v>
      </c>
      <c r="C23" s="305" t="s">
        <v>333</v>
      </c>
      <c r="H23" s="399"/>
    </row>
    <row r="24" spans="1:8" x14ac:dyDescent="0.25">
      <c r="A24" s="249" t="s">
        <v>357</v>
      </c>
      <c r="B24" s="305" t="s">
        <v>333</v>
      </c>
      <c r="C24" s="305" t="s">
        <v>333</v>
      </c>
      <c r="H24" s="399"/>
    </row>
    <row r="25" spans="1:8" x14ac:dyDescent="0.25">
      <c r="A25" s="249" t="s">
        <v>361</v>
      </c>
      <c r="B25" s="305" t="s">
        <v>333</v>
      </c>
      <c r="C25" s="305" t="s">
        <v>333</v>
      </c>
      <c r="H25" s="399"/>
    </row>
    <row r="26" spans="1:8" x14ac:dyDescent="0.25">
      <c r="A26" s="249" t="s">
        <v>362</v>
      </c>
      <c r="B26" s="305" t="s">
        <v>333</v>
      </c>
      <c r="C26" s="305" t="s">
        <v>333</v>
      </c>
      <c r="H26" s="399"/>
    </row>
    <row r="27" spans="1:8" x14ac:dyDescent="0.25">
      <c r="A27" s="249" t="s">
        <v>363</v>
      </c>
      <c r="B27" s="308" t="s">
        <v>187</v>
      </c>
      <c r="C27" s="305" t="s">
        <v>187</v>
      </c>
      <c r="H27" s="399"/>
    </row>
    <row r="28" spans="1:8" x14ac:dyDescent="0.25">
      <c r="A28" s="249" t="s">
        <v>366</v>
      </c>
      <c r="B28" s="305" t="s">
        <v>333</v>
      </c>
      <c r="C28" s="305" t="s">
        <v>333</v>
      </c>
      <c r="H28" s="399"/>
    </row>
    <row r="29" spans="1:8" x14ac:dyDescent="0.25">
      <c r="A29" s="249" t="s">
        <v>365</v>
      </c>
      <c r="B29" s="473" t="s">
        <v>333</v>
      </c>
      <c r="C29" s="305" t="s">
        <v>333</v>
      </c>
      <c r="H29" s="399"/>
    </row>
    <row r="30" spans="1:8" x14ac:dyDescent="0.25">
      <c r="A30" s="249" t="s">
        <v>364</v>
      </c>
      <c r="B30" s="305" t="s">
        <v>333</v>
      </c>
      <c r="C30" s="305" t="s">
        <v>333</v>
      </c>
      <c r="H30" s="399"/>
    </row>
    <row r="31" spans="1:8" x14ac:dyDescent="0.25">
      <c r="A31" s="249" t="s">
        <v>367</v>
      </c>
      <c r="B31" s="305" t="s">
        <v>333</v>
      </c>
      <c r="C31" s="305" t="s">
        <v>333</v>
      </c>
      <c r="H31" s="399"/>
    </row>
    <row r="32" spans="1:8" x14ac:dyDescent="0.25">
      <c r="A32" s="249" t="s">
        <v>368</v>
      </c>
      <c r="B32" s="305" t="s">
        <v>333</v>
      </c>
      <c r="C32" s="305" t="s">
        <v>333</v>
      </c>
      <c r="H32" s="399"/>
    </row>
    <row r="33" spans="1:8" x14ac:dyDescent="0.25">
      <c r="A33" s="249" t="s">
        <v>370</v>
      </c>
      <c r="B33" s="308" t="s">
        <v>187</v>
      </c>
      <c r="C33" s="305" t="s">
        <v>187</v>
      </c>
      <c r="H33" s="399"/>
    </row>
    <row r="34" spans="1:8" x14ac:dyDescent="0.25">
      <c r="A34" s="249" t="s">
        <v>369</v>
      </c>
      <c r="B34" s="308" t="s">
        <v>187</v>
      </c>
      <c r="C34" s="305" t="s">
        <v>187</v>
      </c>
      <c r="H34" s="399"/>
    </row>
    <row r="35" spans="1:8" x14ac:dyDescent="0.25">
      <c r="A35" s="249" t="s">
        <v>371</v>
      </c>
      <c r="B35" s="305" t="s">
        <v>333</v>
      </c>
      <c r="C35" s="305" t="s">
        <v>333</v>
      </c>
      <c r="H35" s="399"/>
    </row>
    <row r="36" spans="1:8" x14ac:dyDescent="0.25">
      <c r="A36" s="249" t="s">
        <v>374</v>
      </c>
      <c r="B36" s="308" t="s">
        <v>187</v>
      </c>
      <c r="C36" s="305" t="s">
        <v>333</v>
      </c>
      <c r="H36" s="399"/>
    </row>
    <row r="37" spans="1:8" x14ac:dyDescent="0.25">
      <c r="A37" s="249" t="s">
        <v>378</v>
      </c>
      <c r="B37" s="305" t="s">
        <v>333</v>
      </c>
      <c r="C37" s="305" t="s">
        <v>333</v>
      </c>
      <c r="H37" s="399"/>
    </row>
    <row r="38" spans="1:8" x14ac:dyDescent="0.25">
      <c r="A38" s="249" t="s">
        <v>375</v>
      </c>
      <c r="B38" s="305" t="s">
        <v>333</v>
      </c>
      <c r="C38" s="305" t="s">
        <v>333</v>
      </c>
      <c r="H38" s="399"/>
    </row>
    <row r="39" spans="1:8" x14ac:dyDescent="0.25">
      <c r="A39" s="249" t="s">
        <v>376</v>
      </c>
      <c r="B39" s="305" t="s">
        <v>333</v>
      </c>
      <c r="C39" s="305" t="s">
        <v>333</v>
      </c>
      <c r="H39" s="399"/>
    </row>
    <row r="40" spans="1:8" x14ac:dyDescent="0.25">
      <c r="A40" s="249" t="s">
        <v>377</v>
      </c>
      <c r="B40" s="305" t="s">
        <v>333</v>
      </c>
      <c r="C40" s="305" t="s">
        <v>333</v>
      </c>
      <c r="H40" s="399"/>
    </row>
    <row r="41" spans="1:8" x14ac:dyDescent="0.25">
      <c r="A41" s="249" t="s">
        <v>380</v>
      </c>
      <c r="B41" s="308" t="s">
        <v>187</v>
      </c>
      <c r="C41" s="305" t="s">
        <v>333</v>
      </c>
      <c r="H41" s="399"/>
    </row>
    <row r="42" spans="1:8" x14ac:dyDescent="0.25">
      <c r="A42" s="249" t="s">
        <v>372</v>
      </c>
      <c r="B42" s="305" t="s">
        <v>333</v>
      </c>
      <c r="C42" s="305" t="s">
        <v>333</v>
      </c>
      <c r="H42" s="399"/>
    </row>
    <row r="43" spans="1:8" x14ac:dyDescent="0.25">
      <c r="A43" s="249" t="s">
        <v>373</v>
      </c>
      <c r="B43" s="305" t="s">
        <v>333</v>
      </c>
      <c r="C43" s="305" t="s">
        <v>333</v>
      </c>
      <c r="H43" s="399"/>
    </row>
    <row r="44" spans="1:8" x14ac:dyDescent="0.25">
      <c r="A44" s="249" t="s">
        <v>381</v>
      </c>
      <c r="B44" s="308" t="s">
        <v>187</v>
      </c>
      <c r="C44" s="305" t="s">
        <v>187</v>
      </c>
      <c r="H44" s="399"/>
    </row>
    <row r="45" spans="1:8" x14ac:dyDescent="0.25">
      <c r="A45" s="249" t="s">
        <v>382</v>
      </c>
      <c r="B45" s="305" t="s">
        <v>333</v>
      </c>
      <c r="C45" s="305" t="s">
        <v>333</v>
      </c>
      <c r="H45" s="399"/>
    </row>
    <row r="46" spans="1:8" x14ac:dyDescent="0.25">
      <c r="A46" s="249" t="s">
        <v>383</v>
      </c>
      <c r="B46" s="305" t="s">
        <v>333</v>
      </c>
      <c r="C46" s="305" t="s">
        <v>333</v>
      </c>
      <c r="H46" s="399"/>
    </row>
    <row r="47" spans="1:8" x14ac:dyDescent="0.25">
      <c r="A47" s="249" t="s">
        <v>384</v>
      </c>
      <c r="B47" s="305" t="s">
        <v>333</v>
      </c>
      <c r="C47" s="305" t="s">
        <v>333</v>
      </c>
      <c r="H47" s="399"/>
    </row>
    <row r="48" spans="1:8" x14ac:dyDescent="0.25">
      <c r="A48" s="249" t="s">
        <v>385</v>
      </c>
      <c r="B48" s="305" t="s">
        <v>333</v>
      </c>
      <c r="C48" s="305" t="s">
        <v>333</v>
      </c>
      <c r="H48" s="399"/>
    </row>
    <row r="49" spans="1:8" x14ac:dyDescent="0.25">
      <c r="A49" s="249" t="s">
        <v>386</v>
      </c>
      <c r="B49" s="305" t="s">
        <v>333</v>
      </c>
      <c r="C49" s="305" t="s">
        <v>333</v>
      </c>
      <c r="H49" s="399"/>
    </row>
    <row r="50" spans="1:8" x14ac:dyDescent="0.25">
      <c r="A50" s="249" t="s">
        <v>387</v>
      </c>
      <c r="B50" s="308" t="s">
        <v>187</v>
      </c>
      <c r="C50" s="305" t="s">
        <v>333</v>
      </c>
      <c r="H50" s="399"/>
    </row>
    <row r="51" spans="1:8" x14ac:dyDescent="0.25">
      <c r="A51" s="249" t="s">
        <v>388</v>
      </c>
      <c r="B51" s="305" t="s">
        <v>333</v>
      </c>
      <c r="C51" s="305" t="s">
        <v>333</v>
      </c>
      <c r="H51" s="399"/>
    </row>
    <row r="52" spans="1:8" x14ac:dyDescent="0.25">
      <c r="A52" s="249" t="s">
        <v>389</v>
      </c>
      <c r="B52" s="308" t="s">
        <v>187</v>
      </c>
      <c r="C52" s="305" t="s">
        <v>333</v>
      </c>
      <c r="H52" s="399"/>
    </row>
    <row r="53" spans="1:8" x14ac:dyDescent="0.25">
      <c r="A53" s="249" t="s">
        <v>390</v>
      </c>
      <c r="B53" s="305" t="s">
        <v>333</v>
      </c>
      <c r="C53" s="305" t="s">
        <v>333</v>
      </c>
      <c r="H53" s="399"/>
    </row>
    <row r="54" spans="1:8" x14ac:dyDescent="0.25">
      <c r="A54" s="249" t="s">
        <v>391</v>
      </c>
      <c r="B54" s="305" t="s">
        <v>333</v>
      </c>
      <c r="C54" s="305" t="s">
        <v>333</v>
      </c>
      <c r="H54" s="399"/>
    </row>
    <row r="55" spans="1:8" x14ac:dyDescent="0.25">
      <c r="A55" s="249" t="s">
        <v>445</v>
      </c>
      <c r="B55" s="308" t="s">
        <v>187</v>
      </c>
      <c r="C55" s="305" t="s">
        <v>333</v>
      </c>
      <c r="H55" s="399"/>
    </row>
    <row r="56" spans="1:8" x14ac:dyDescent="0.25">
      <c r="A56" s="249" t="s">
        <v>444</v>
      </c>
      <c r="B56" s="308" t="s">
        <v>187</v>
      </c>
      <c r="C56" s="305" t="s">
        <v>333</v>
      </c>
      <c r="H56" s="399"/>
    </row>
    <row r="57" spans="1:8" x14ac:dyDescent="0.25">
      <c r="A57" s="249" t="s">
        <v>393</v>
      </c>
      <c r="B57" s="305" t="s">
        <v>333</v>
      </c>
      <c r="C57" s="305" t="s">
        <v>333</v>
      </c>
      <c r="H57" s="399"/>
    </row>
    <row r="58" spans="1:8" x14ac:dyDescent="0.25">
      <c r="A58" s="249" t="s">
        <v>392</v>
      </c>
      <c r="B58" s="305" t="s">
        <v>333</v>
      </c>
      <c r="C58" s="305" t="s">
        <v>333</v>
      </c>
      <c r="H58" s="399"/>
    </row>
    <row r="59" spans="1:8" x14ac:dyDescent="0.25">
      <c r="A59" s="249" t="s">
        <v>394</v>
      </c>
      <c r="B59" s="305" t="s">
        <v>333</v>
      </c>
      <c r="C59" s="305" t="s">
        <v>333</v>
      </c>
      <c r="H59" s="39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171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heetViews>
  <sheetFormatPr defaultColWidth="10.875" defaultRowHeight="15.75" x14ac:dyDescent="0.25"/>
  <cols>
    <col min="1" max="1" width="10.875" style="17"/>
    <col min="2" max="2" width="11.5" style="1" bestFit="1" customWidth="1"/>
    <col min="3" max="3" width="11.5" style="17" bestFit="1" customWidth="1"/>
    <col min="4" max="4" width="12.5" style="2" bestFit="1" customWidth="1"/>
    <col min="5" max="6" width="10.875" style="17"/>
    <col min="7" max="7" width="11.5" style="17" bestFit="1" customWidth="1"/>
    <col min="8" max="9" width="11.125" style="17" bestFit="1" customWidth="1"/>
    <col min="10" max="10" width="11.5" style="17" bestFit="1" customWidth="1"/>
    <col min="11" max="16384" width="10.875" style="17"/>
  </cols>
  <sheetData>
    <row r="1" spans="2:14" x14ac:dyDescent="0.25">
      <c r="B1" s="57"/>
      <c r="C1" s="57"/>
      <c r="D1" s="57"/>
      <c r="E1" s="57"/>
      <c r="F1" s="57"/>
      <c r="G1" s="57"/>
      <c r="H1" s="57"/>
      <c r="I1" s="57"/>
      <c r="J1" s="57"/>
    </row>
    <row r="2" spans="2:14" x14ac:dyDescent="0.25">
      <c r="B2" s="10" t="s">
        <v>1</v>
      </c>
      <c r="C2" s="10"/>
      <c r="D2" s="10"/>
      <c r="E2" s="10"/>
      <c r="F2" s="10"/>
      <c r="G2" s="10"/>
      <c r="H2" s="10"/>
      <c r="I2" s="10"/>
      <c r="J2" s="10"/>
    </row>
    <row r="3" spans="2:14" x14ac:dyDescent="0.25">
      <c r="B3" s="10"/>
      <c r="C3" s="10"/>
      <c r="D3" s="10"/>
      <c r="E3" s="10"/>
      <c r="F3" s="10"/>
      <c r="G3" s="10"/>
      <c r="H3" s="10"/>
      <c r="I3" s="10"/>
      <c r="J3" s="10"/>
    </row>
    <row r="4" spans="2:14" x14ac:dyDescent="0.25">
      <c r="B4" s="58" t="s">
        <v>2</v>
      </c>
      <c r="C4" s="59"/>
      <c r="D4" s="60"/>
      <c r="E4" s="58" t="s">
        <v>11</v>
      </c>
      <c r="F4" s="59"/>
      <c r="G4" s="60"/>
      <c r="H4" s="58" t="s">
        <v>12</v>
      </c>
      <c r="I4" s="59"/>
      <c r="J4" s="60"/>
    </row>
    <row r="5" spans="2:14" ht="63" x14ac:dyDescent="0.25">
      <c r="B5" s="103" t="s">
        <v>3</v>
      </c>
      <c r="C5" s="104" t="s">
        <v>4</v>
      </c>
      <c r="D5" s="105" t="s">
        <v>5</v>
      </c>
      <c r="E5" s="103" t="s">
        <v>3</v>
      </c>
      <c r="F5" s="104" t="s">
        <v>4</v>
      </c>
      <c r="G5" s="105" t="s">
        <v>8</v>
      </c>
      <c r="H5" s="103" t="s">
        <v>3</v>
      </c>
      <c r="I5" s="104" t="s">
        <v>4</v>
      </c>
      <c r="J5" s="106" t="s">
        <v>9</v>
      </c>
      <c r="M5" s="11"/>
    </row>
    <row r="6" spans="2:14" x14ac:dyDescent="0.25">
      <c r="B6" s="4" t="s">
        <v>6</v>
      </c>
      <c r="C6" s="5">
        <v>1</v>
      </c>
      <c r="D6" s="13">
        <v>1977</v>
      </c>
      <c r="E6" s="4" t="s">
        <v>6</v>
      </c>
      <c r="F6" s="5">
        <v>0.4</v>
      </c>
      <c r="G6" s="15">
        <v>988</v>
      </c>
      <c r="H6" s="4" t="s">
        <v>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8"/>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8"/>
      <c r="N12" s="11"/>
    </row>
    <row r="13" spans="2:14" x14ac:dyDescent="0.25">
      <c r="B13" s="7">
        <v>25</v>
      </c>
      <c r="C13" s="5">
        <v>50</v>
      </c>
      <c r="D13" s="13">
        <v>5559</v>
      </c>
      <c r="E13" s="7">
        <v>10</v>
      </c>
      <c r="F13" s="5">
        <v>20</v>
      </c>
      <c r="G13" s="15">
        <v>2780</v>
      </c>
      <c r="H13" s="7">
        <v>17.5</v>
      </c>
      <c r="I13" s="5">
        <v>35</v>
      </c>
      <c r="J13" s="16">
        <v>5559</v>
      </c>
      <c r="M13" s="19"/>
      <c r="N13" s="18"/>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8"/>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8"/>
    </row>
    <row r="19" spans="2:14" x14ac:dyDescent="0.25">
      <c r="B19" s="7">
        <v>500</v>
      </c>
      <c r="C19" s="5">
        <v>750</v>
      </c>
      <c r="D19" s="13">
        <v>14208</v>
      </c>
      <c r="E19" s="7">
        <v>200</v>
      </c>
      <c r="F19" s="5">
        <v>300</v>
      </c>
      <c r="G19" s="13">
        <v>7104</v>
      </c>
      <c r="H19" s="7">
        <v>350</v>
      </c>
      <c r="I19" s="5">
        <v>525</v>
      </c>
      <c r="J19" s="16">
        <v>14208</v>
      </c>
      <c r="M19" s="18"/>
      <c r="N19" s="11"/>
    </row>
    <row r="20" spans="2:14" x14ac:dyDescent="0.25">
      <c r="B20" s="7">
        <v>750</v>
      </c>
      <c r="C20" s="5">
        <v>1000</v>
      </c>
      <c r="D20" s="13">
        <v>16308</v>
      </c>
      <c r="E20" s="7">
        <v>300</v>
      </c>
      <c r="F20" s="5">
        <v>400</v>
      </c>
      <c r="G20" s="13">
        <v>8154</v>
      </c>
      <c r="H20" s="7">
        <v>525</v>
      </c>
      <c r="I20" s="5">
        <v>700</v>
      </c>
      <c r="J20" s="16">
        <v>16308</v>
      </c>
      <c r="M20" s="11"/>
      <c r="N20" s="18"/>
    </row>
    <row r="21" spans="2:14" x14ac:dyDescent="0.25">
      <c r="B21" s="7">
        <v>1000</v>
      </c>
      <c r="C21" s="5">
        <v>5000</v>
      </c>
      <c r="D21" s="13">
        <v>21744</v>
      </c>
      <c r="E21" s="7">
        <v>400</v>
      </c>
      <c r="F21" s="5">
        <v>2000</v>
      </c>
      <c r="G21" s="13">
        <v>10872</v>
      </c>
      <c r="H21" s="7">
        <v>700</v>
      </c>
      <c r="I21" s="5">
        <v>3500</v>
      </c>
      <c r="J21" s="6">
        <v>21744</v>
      </c>
      <c r="M21" s="11"/>
      <c r="N21" s="19"/>
    </row>
    <row r="22" spans="2:14" x14ac:dyDescent="0.25">
      <c r="B22" s="7">
        <v>5000</v>
      </c>
      <c r="C22" s="5">
        <v>10000</v>
      </c>
      <c r="D22" s="13">
        <v>26661</v>
      </c>
      <c r="E22" s="7">
        <v>2000</v>
      </c>
      <c r="F22" s="5">
        <v>4000</v>
      </c>
      <c r="G22" s="13">
        <v>13330</v>
      </c>
      <c r="H22" s="7">
        <v>3500</v>
      </c>
      <c r="I22" s="5">
        <v>7000</v>
      </c>
      <c r="J22" s="6">
        <v>26661</v>
      </c>
      <c r="M22" s="18"/>
      <c r="N22" s="11"/>
    </row>
    <row r="23" spans="2:14" x14ac:dyDescent="0.25">
      <c r="B23" s="7">
        <v>10000</v>
      </c>
      <c r="C23" s="5">
        <v>15000</v>
      </c>
      <c r="D23" s="13">
        <v>29379</v>
      </c>
      <c r="E23" s="7">
        <v>4000</v>
      </c>
      <c r="F23" s="5">
        <v>6000</v>
      </c>
      <c r="G23" s="13">
        <v>14689</v>
      </c>
      <c r="H23" s="7">
        <v>7000</v>
      </c>
      <c r="I23" s="5">
        <v>10500</v>
      </c>
      <c r="J23" s="16">
        <v>29379</v>
      </c>
      <c r="M23" s="18"/>
      <c r="N23" s="11"/>
    </row>
    <row r="24" spans="2:14" x14ac:dyDescent="0.25">
      <c r="B24" s="7">
        <v>15000</v>
      </c>
      <c r="C24" s="5">
        <v>25000</v>
      </c>
      <c r="D24" s="13">
        <v>32023</v>
      </c>
      <c r="E24" s="7">
        <v>6000</v>
      </c>
      <c r="F24" s="5">
        <v>10000</v>
      </c>
      <c r="G24" s="13">
        <v>16011</v>
      </c>
      <c r="H24" s="7">
        <v>10500</v>
      </c>
      <c r="I24" s="5">
        <v>17500</v>
      </c>
      <c r="J24" s="6">
        <v>32023</v>
      </c>
      <c r="M24" s="11"/>
      <c r="N24" s="20"/>
    </row>
    <row r="25" spans="2:14" x14ac:dyDescent="0.25">
      <c r="B25" s="7">
        <v>25000</v>
      </c>
      <c r="C25" s="5">
        <v>50000</v>
      </c>
      <c r="D25" s="13">
        <v>37038</v>
      </c>
      <c r="E25" s="7">
        <v>10000</v>
      </c>
      <c r="F25" s="5">
        <v>20000</v>
      </c>
      <c r="G25" s="15">
        <v>18519</v>
      </c>
      <c r="H25" s="7">
        <v>17500</v>
      </c>
      <c r="I25" s="5">
        <v>35000</v>
      </c>
      <c r="J25" s="6">
        <v>37038</v>
      </c>
      <c r="M25" s="20"/>
      <c r="N25" s="11"/>
    </row>
    <row r="26" spans="2:14" x14ac:dyDescent="0.25">
      <c r="B26" s="7">
        <v>50000</v>
      </c>
      <c r="C26" s="5">
        <v>100000</v>
      </c>
      <c r="D26" s="13">
        <v>46947</v>
      </c>
      <c r="E26" s="7">
        <v>20000</v>
      </c>
      <c r="F26" s="5">
        <v>40000</v>
      </c>
      <c r="G26" s="15">
        <v>23473</v>
      </c>
      <c r="H26" s="7">
        <v>35000</v>
      </c>
      <c r="I26" s="5">
        <v>70000</v>
      </c>
      <c r="J26" s="6">
        <v>46947</v>
      </c>
      <c r="M26" s="11"/>
      <c r="N26" s="18"/>
    </row>
    <row r="27" spans="2:14" x14ac:dyDescent="0.25">
      <c r="B27" s="8">
        <v>100000</v>
      </c>
      <c r="C27" s="12" t="s">
        <v>7</v>
      </c>
      <c r="D27" s="14">
        <v>53124</v>
      </c>
      <c r="E27" s="8">
        <v>40000</v>
      </c>
      <c r="F27" s="12" t="s">
        <v>7</v>
      </c>
      <c r="G27" s="21">
        <v>26562</v>
      </c>
      <c r="H27" s="8">
        <v>70000</v>
      </c>
      <c r="I27" s="12" t="s">
        <v>7</v>
      </c>
      <c r="J27" s="9">
        <v>53124</v>
      </c>
      <c r="M27" s="11"/>
      <c r="N27" s="11"/>
    </row>
    <row r="28" spans="2:14" x14ac:dyDescent="0.25">
      <c r="B28" s="17"/>
      <c r="C28" s="55"/>
      <c r="D28" s="55"/>
      <c r="E28" s="56"/>
      <c r="F28" s="56"/>
      <c r="G28" s="56"/>
      <c r="H28" s="56"/>
      <c r="I28" s="56"/>
      <c r="J28" s="56"/>
      <c r="M28" s="18"/>
      <c r="N28" s="11"/>
    </row>
    <row r="29" spans="2:14" x14ac:dyDescent="0.25">
      <c r="B29" s="56" t="s">
        <v>10</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3"/>
    <col min="2" max="2" width="13" style="23" bestFit="1" customWidth="1"/>
    <col min="3" max="3" width="13" style="23" hidden="1" customWidth="1"/>
    <col min="4"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61"/>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f>C9</f>
        <v>1</v>
      </c>
      <c r="B9" s="34">
        <v>500</v>
      </c>
      <c r="C9" s="365">
        <v>1</v>
      </c>
      <c r="D9" s="38">
        <v>1.004</v>
      </c>
      <c r="E9" s="396">
        <v>1</v>
      </c>
      <c r="F9" s="38">
        <v>0.98799999999999999</v>
      </c>
      <c r="G9" s="38">
        <v>0.97</v>
      </c>
      <c r="H9" s="38">
        <v>0.95199999999999996</v>
      </c>
      <c r="I9" s="38">
        <v>0.93600000000000005</v>
      </c>
      <c r="J9" s="38">
        <v>0.85699999999999998</v>
      </c>
      <c r="K9" s="38">
        <v>0.79</v>
      </c>
      <c r="L9" s="38">
        <v>0.76200000000000001</v>
      </c>
      <c r="M9" s="38">
        <v>0.73599999999999999</v>
      </c>
      <c r="N9" s="38">
        <v>0.64800000000000002</v>
      </c>
      <c r="O9" s="38">
        <v>0.57899999999999996</v>
      </c>
      <c r="P9" s="38">
        <v>0.52400000000000002</v>
      </c>
      <c r="Q9" s="38">
        <v>0.47799999999999998</v>
      </c>
      <c r="R9" s="38">
        <v>0.44</v>
      </c>
      <c r="S9" s="39">
        <v>0.40699999999999997</v>
      </c>
      <c r="T9" s="50">
        <v>0.379</v>
      </c>
      <c r="U9" s="50">
        <v>0.35499999999999998</v>
      </c>
      <c r="V9" s="50">
        <v>0.311</v>
      </c>
      <c r="W9" s="50">
        <v>0.29399999999999998</v>
      </c>
      <c r="X9" s="50">
        <v>0.27700000000000002</v>
      </c>
      <c r="Y9" s="50">
        <v>0.25700000000000001</v>
      </c>
      <c r="Z9" s="50">
        <v>0.224</v>
      </c>
      <c r="AA9" s="50">
        <v>0.185</v>
      </c>
      <c r="AB9" s="50">
        <v>0.16</v>
      </c>
      <c r="AC9" s="50">
        <v>0.129</v>
      </c>
      <c r="AD9" s="50">
        <v>0.124</v>
      </c>
      <c r="AE9" s="50">
        <v>0.10100000000000001</v>
      </c>
      <c r="AF9" s="50">
        <v>8.5000000000000006E-2</v>
      </c>
      <c r="AG9" s="50">
        <v>7.1999999999999995E-2</v>
      </c>
      <c r="AH9" s="50">
        <v>6.0999999999999999E-2</v>
      </c>
      <c r="AI9" s="51">
        <v>5.2999999999999999E-2</v>
      </c>
    </row>
    <row r="10" spans="1:35" s="29" customFormat="1" x14ac:dyDescent="0.25">
      <c r="A10" s="365">
        <f t="shared" ref="A10:A54" si="2">C10</f>
        <v>2</v>
      </c>
      <c r="B10" s="34">
        <v>750</v>
      </c>
      <c r="C10" s="365">
        <f>C9+1</f>
        <v>2</v>
      </c>
      <c r="D10" s="38">
        <v>1.4059999999999999</v>
      </c>
      <c r="E10" s="38">
        <v>1.401</v>
      </c>
      <c r="F10" s="38">
        <v>1.389</v>
      </c>
      <c r="G10" s="38">
        <v>1.369</v>
      </c>
      <c r="H10" s="38">
        <v>1.35</v>
      </c>
      <c r="I10" s="38">
        <v>1.3320000000000001</v>
      </c>
      <c r="J10" s="38">
        <v>1.2450000000000001</v>
      </c>
      <c r="K10" s="38">
        <v>1.1639999999999999</v>
      </c>
      <c r="L10" s="38">
        <v>1.1240000000000001</v>
      </c>
      <c r="M10" s="38">
        <v>1.0860000000000001</v>
      </c>
      <c r="N10" s="38">
        <v>0.95899999999999996</v>
      </c>
      <c r="O10" s="38">
        <v>0.85799999999999998</v>
      </c>
      <c r="P10" s="38">
        <v>0.77700000000000002</v>
      </c>
      <c r="Q10" s="38">
        <v>0.71</v>
      </c>
      <c r="R10" s="38">
        <v>0.65300000000000002</v>
      </c>
      <c r="S10" s="39">
        <v>0.60499999999999998</v>
      </c>
      <c r="T10" s="50">
        <v>0.56399999999999995</v>
      </c>
      <c r="U10" s="50">
        <v>0.52800000000000002</v>
      </c>
      <c r="V10" s="50">
        <v>0.46700000000000003</v>
      </c>
      <c r="W10" s="50">
        <v>0.44</v>
      </c>
      <c r="X10" s="50">
        <v>0.41499999999999998</v>
      </c>
      <c r="Y10" s="50">
        <v>0.38500000000000001</v>
      </c>
      <c r="Z10" s="50">
        <v>0.33700000000000002</v>
      </c>
      <c r="AA10" s="50">
        <v>0.27700000000000002</v>
      </c>
      <c r="AB10" s="50" t="s">
        <v>121</v>
      </c>
      <c r="AC10" s="50">
        <v>0.193</v>
      </c>
      <c r="AD10" s="50">
        <v>0.185</v>
      </c>
      <c r="AE10" s="50">
        <v>0.152</v>
      </c>
      <c r="AF10" s="50">
        <v>0.127</v>
      </c>
      <c r="AG10" s="50">
        <v>0.107</v>
      </c>
      <c r="AH10" s="50">
        <v>9.1999999999999998E-2</v>
      </c>
      <c r="AI10" s="51">
        <v>0.08</v>
      </c>
    </row>
    <row r="11" spans="1:35" s="29" customFormat="1" x14ac:dyDescent="0.25">
      <c r="A11" s="365">
        <f t="shared" si="2"/>
        <v>3</v>
      </c>
      <c r="B11" s="34">
        <v>1000</v>
      </c>
      <c r="C11" s="365">
        <f t="shared" ref="C11:C54" si="3">C10+1</f>
        <v>3</v>
      </c>
      <c r="D11" s="38">
        <v>1.7929999999999999</v>
      </c>
      <c r="E11" s="38">
        <v>1.7889999999999999</v>
      </c>
      <c r="F11" s="38">
        <v>1.7749999999999999</v>
      </c>
      <c r="G11" s="38">
        <v>1.754</v>
      </c>
      <c r="H11" s="38">
        <v>1.734</v>
      </c>
      <c r="I11" s="38">
        <v>1.714</v>
      </c>
      <c r="J11" s="38">
        <v>1.619</v>
      </c>
      <c r="K11" s="38">
        <v>1.526</v>
      </c>
      <c r="L11" s="38">
        <v>1.474</v>
      </c>
      <c r="M11" s="38">
        <v>1.4259999999999999</v>
      </c>
      <c r="N11" s="38">
        <v>1.26</v>
      </c>
      <c r="O11" s="38">
        <v>1.1299999999999999</v>
      </c>
      <c r="P11" s="38">
        <v>1.024</v>
      </c>
      <c r="Q11" s="38">
        <v>0.93600000000000005</v>
      </c>
      <c r="R11" s="38">
        <v>0.86299999999999999</v>
      </c>
      <c r="S11" s="39">
        <v>0.8</v>
      </c>
      <c r="T11" s="50">
        <v>0.746</v>
      </c>
      <c r="U11" s="50">
        <v>0.69899999999999995</v>
      </c>
      <c r="V11" s="50">
        <v>0.622</v>
      </c>
      <c r="W11" s="50">
        <v>0.58699999999999997</v>
      </c>
      <c r="X11" s="50">
        <v>0.55400000000000005</v>
      </c>
      <c r="Y11" s="50">
        <v>0.51400000000000001</v>
      </c>
      <c r="Z11" s="50">
        <v>0.44900000000000001</v>
      </c>
      <c r="AA11" s="50">
        <v>0.37</v>
      </c>
      <c r="AB11" s="50">
        <v>0.32</v>
      </c>
      <c r="AC11" s="50">
        <v>0.25700000000000001</v>
      </c>
      <c r="AD11" s="50">
        <v>0.246</v>
      </c>
      <c r="AE11" s="50">
        <v>0.20200000000000001</v>
      </c>
      <c r="AF11" s="50">
        <v>0.16900000000000001</v>
      </c>
      <c r="AG11" s="50">
        <v>0.14299999999999999</v>
      </c>
      <c r="AH11" s="50">
        <v>0.123</v>
      </c>
      <c r="AI11" s="51">
        <v>0.106</v>
      </c>
    </row>
    <row r="12" spans="1:35" s="29" customFormat="1" x14ac:dyDescent="0.25">
      <c r="A12" s="365">
        <f t="shared" si="2"/>
        <v>4</v>
      </c>
      <c r="B12" s="34">
        <v>2000</v>
      </c>
      <c r="C12" s="365">
        <f t="shared" si="3"/>
        <v>4</v>
      </c>
      <c r="D12" s="38">
        <v>3.218</v>
      </c>
      <c r="E12" s="38">
        <v>3.2120000000000002</v>
      </c>
      <c r="F12" s="38">
        <v>3.1960000000000002</v>
      </c>
      <c r="G12" s="40">
        <v>3.17</v>
      </c>
      <c r="H12" s="40">
        <v>3.145</v>
      </c>
      <c r="I12" s="40">
        <v>3.1219999999999999</v>
      </c>
      <c r="J12" s="40">
        <v>2.9990000000000001</v>
      </c>
      <c r="K12" s="40">
        <v>2.8639999999999999</v>
      </c>
      <c r="L12" s="40">
        <v>2.7719999999999998</v>
      </c>
      <c r="M12" s="40">
        <v>2.6859999999999999</v>
      </c>
      <c r="N12" s="40">
        <v>2.39</v>
      </c>
      <c r="O12" s="40">
        <v>2.1539999999999999</v>
      </c>
      <c r="P12" s="40">
        <v>1.96</v>
      </c>
      <c r="Q12" s="40">
        <v>1.7989999999999999</v>
      </c>
      <c r="R12" s="40">
        <v>1.663</v>
      </c>
      <c r="S12" s="41">
        <v>1.546</v>
      </c>
      <c r="T12" s="50">
        <v>1.4450000000000001</v>
      </c>
      <c r="U12" s="50">
        <v>1.321</v>
      </c>
      <c r="V12" s="50">
        <v>1.244</v>
      </c>
      <c r="W12" s="50">
        <v>1.175</v>
      </c>
      <c r="X12" s="50">
        <v>1.107</v>
      </c>
      <c r="Y12" s="50">
        <v>1.028</v>
      </c>
      <c r="Z12" s="50">
        <v>0.89800000000000002</v>
      </c>
      <c r="AA12" s="50">
        <v>0.73899999999999999</v>
      </c>
      <c r="AB12" s="50">
        <v>0.64100000000000001</v>
      </c>
      <c r="AC12" s="50">
        <v>0.51400000000000001</v>
      </c>
      <c r="AD12" s="50">
        <v>0.48799999999999999</v>
      </c>
      <c r="AE12" s="50">
        <v>0.4</v>
      </c>
      <c r="AF12" s="50">
        <v>0.33500000000000002</v>
      </c>
      <c r="AG12" s="50">
        <v>0.28399999999999997</v>
      </c>
      <c r="AH12" s="50">
        <v>0.24399999999999999</v>
      </c>
      <c r="AI12" s="51">
        <v>0.21099999999999999</v>
      </c>
    </row>
    <row r="13" spans="1:35" s="29" customFormat="1" x14ac:dyDescent="0.25">
      <c r="A13" s="365">
        <f t="shared" si="2"/>
        <v>5</v>
      </c>
      <c r="B13" s="34">
        <v>3000</v>
      </c>
      <c r="C13" s="365">
        <f t="shared" si="3"/>
        <v>5</v>
      </c>
      <c r="D13" s="38">
        <v>4.4779999999999998</v>
      </c>
      <c r="E13" s="38">
        <v>4.4710000000000001</v>
      </c>
      <c r="F13" s="38">
        <v>4.4530000000000003</v>
      </c>
      <c r="G13" s="40">
        <v>4.423</v>
      </c>
      <c r="H13" s="40">
        <v>4.3949999999999996</v>
      </c>
      <c r="I13" s="40">
        <v>4.367</v>
      </c>
      <c r="J13" s="40">
        <v>4.2240000000000002</v>
      </c>
      <c r="K13" s="40">
        <v>4.0549999999999997</v>
      </c>
      <c r="L13" s="40">
        <v>3.9319999999999999</v>
      </c>
      <c r="M13" s="40">
        <v>3.8159999999999998</v>
      </c>
      <c r="N13" s="40">
        <v>3.4140000000000001</v>
      </c>
      <c r="O13" s="40">
        <v>3.09</v>
      </c>
      <c r="P13" s="40">
        <v>2.823</v>
      </c>
      <c r="Q13" s="40">
        <v>2.5990000000000002</v>
      </c>
      <c r="R13" s="40">
        <v>2.4089999999999998</v>
      </c>
      <c r="S13" s="41">
        <v>2.2450000000000001</v>
      </c>
      <c r="T13" s="50">
        <v>2.0670000000000002</v>
      </c>
      <c r="U13" s="50">
        <v>1.9430000000000001</v>
      </c>
      <c r="V13" s="50">
        <v>1.8660000000000001</v>
      </c>
      <c r="W13" s="50">
        <v>1.762</v>
      </c>
      <c r="X13" s="50">
        <v>1.661</v>
      </c>
      <c r="Y13" s="50">
        <v>1.542</v>
      </c>
      <c r="Z13" s="50">
        <v>1.347</v>
      </c>
      <c r="AA13" s="50">
        <v>1.109</v>
      </c>
      <c r="AB13" s="50">
        <v>0.96099999999999997</v>
      </c>
      <c r="AC13" s="50">
        <v>0.77100000000000002</v>
      </c>
      <c r="AD13" s="50">
        <v>0.72699999999999998</v>
      </c>
      <c r="AE13" s="50">
        <v>0.59599999999999997</v>
      </c>
      <c r="AF13" s="50">
        <v>0.499</v>
      </c>
      <c r="AG13" s="50">
        <v>0.42399999999999999</v>
      </c>
      <c r="AH13" s="50">
        <v>0.36399999999999999</v>
      </c>
      <c r="AI13" s="51">
        <v>0.315</v>
      </c>
    </row>
    <row r="14" spans="1:35" s="29" customFormat="1" x14ac:dyDescent="0.25">
      <c r="A14" s="365">
        <f t="shared" si="2"/>
        <v>6</v>
      </c>
      <c r="B14" s="34">
        <v>4000</v>
      </c>
      <c r="C14" s="365">
        <f t="shared" si="3"/>
        <v>6</v>
      </c>
      <c r="D14" s="38">
        <v>5.6070000000000002</v>
      </c>
      <c r="E14" s="38">
        <v>5.6</v>
      </c>
      <c r="F14" s="38">
        <v>5.58</v>
      </c>
      <c r="G14" s="40">
        <v>5.5469999999999997</v>
      </c>
      <c r="H14" s="40">
        <v>5.516</v>
      </c>
      <c r="I14" s="40">
        <v>5.4859999999999998</v>
      </c>
      <c r="J14" s="40">
        <v>5.3250000000000002</v>
      </c>
      <c r="K14" s="40">
        <v>5.13</v>
      </c>
      <c r="L14" s="40">
        <v>4.9800000000000004</v>
      </c>
      <c r="M14" s="40">
        <v>4.84</v>
      </c>
      <c r="N14" s="40">
        <v>4.3499999999999996</v>
      </c>
      <c r="O14" s="40">
        <v>3.9529999999999998</v>
      </c>
      <c r="P14" s="40">
        <v>3.6230000000000002</v>
      </c>
      <c r="Q14" s="40">
        <v>3.3450000000000002</v>
      </c>
      <c r="R14" s="40">
        <v>3.1080000000000001</v>
      </c>
      <c r="S14" s="41">
        <v>2.867</v>
      </c>
      <c r="T14" s="50">
        <v>2.6890000000000001</v>
      </c>
      <c r="U14" s="50">
        <v>2.5649999999999999</v>
      </c>
      <c r="V14" s="50">
        <v>2.448</v>
      </c>
      <c r="W14" s="50">
        <v>2.3490000000000002</v>
      </c>
      <c r="X14" s="50">
        <v>2.214</v>
      </c>
      <c r="Y14" s="50">
        <v>2.056</v>
      </c>
      <c r="Z14" s="50">
        <v>1.7949999999999999</v>
      </c>
      <c r="AA14" s="50">
        <v>1.4790000000000001</v>
      </c>
      <c r="AB14" s="50">
        <v>1.2809999999999999</v>
      </c>
      <c r="AC14" s="50">
        <v>1.028</v>
      </c>
      <c r="AD14" s="50">
        <v>0.96099999999999997</v>
      </c>
      <c r="AE14" s="50">
        <v>0.78900000000000003</v>
      </c>
      <c r="AF14" s="50">
        <v>0.66200000000000003</v>
      </c>
      <c r="AG14" s="50">
        <v>0.56200000000000006</v>
      </c>
      <c r="AH14" s="50">
        <v>0.48299999999999998</v>
      </c>
      <c r="AI14" s="51">
        <v>0.41899999999999998</v>
      </c>
    </row>
    <row r="15" spans="1:35" s="29" customFormat="1" x14ac:dyDescent="0.25">
      <c r="A15" s="365">
        <f t="shared" si="2"/>
        <v>7</v>
      </c>
      <c r="B15" s="34">
        <v>5000</v>
      </c>
      <c r="C15" s="365">
        <f t="shared" si="3"/>
        <v>7</v>
      </c>
      <c r="D15" s="38">
        <v>6.63</v>
      </c>
      <c r="E15" s="38">
        <v>6.6230000000000002</v>
      </c>
      <c r="F15" s="38">
        <v>6.601</v>
      </c>
      <c r="G15" s="40">
        <v>6.5670000000000002</v>
      </c>
      <c r="H15" s="40">
        <v>6.5330000000000004</v>
      </c>
      <c r="I15" s="40">
        <v>6.5</v>
      </c>
      <c r="J15" s="40">
        <v>6.3259999999999996</v>
      </c>
      <c r="K15" s="40">
        <v>6.1079999999999997</v>
      </c>
      <c r="L15" s="40">
        <v>5.9370000000000003</v>
      </c>
      <c r="M15" s="40">
        <v>5.7759999999999998</v>
      </c>
      <c r="N15" s="40">
        <v>5.2130000000000001</v>
      </c>
      <c r="O15" s="40">
        <v>4.7530000000000001</v>
      </c>
      <c r="P15" s="40">
        <v>4.3689999999999998</v>
      </c>
      <c r="Q15" s="40">
        <v>4.0439999999999996</v>
      </c>
      <c r="R15" s="40">
        <v>3.73</v>
      </c>
      <c r="S15" s="41">
        <v>3.4889999999999999</v>
      </c>
      <c r="T15" s="50">
        <v>3.3109999999999999</v>
      </c>
      <c r="U15" s="50">
        <v>3.1869999999999998</v>
      </c>
      <c r="V15" s="50">
        <v>3.11</v>
      </c>
      <c r="W15" s="50">
        <v>2.9359999999999999</v>
      </c>
      <c r="X15" s="50">
        <v>2.7679999999999998</v>
      </c>
      <c r="Y15" s="50">
        <v>2.57</v>
      </c>
      <c r="Z15" s="50">
        <v>2.2440000000000002</v>
      </c>
      <c r="AA15" s="50">
        <v>1.849</v>
      </c>
      <c r="AB15" s="50">
        <v>1.6020000000000001</v>
      </c>
      <c r="AC15" s="50">
        <v>1.2849999999999999</v>
      </c>
      <c r="AD15" s="50">
        <v>1.1910000000000001</v>
      </c>
      <c r="AE15" s="50">
        <v>0.98</v>
      </c>
      <c r="AF15" s="50">
        <v>0.82199999999999995</v>
      </c>
      <c r="AG15" s="50">
        <v>0.69899999999999995</v>
      </c>
      <c r="AH15" s="50">
        <v>0.60099999999999998</v>
      </c>
      <c r="AI15" s="51">
        <v>0.52100000000000002</v>
      </c>
    </row>
    <row r="16" spans="1:35" s="29" customFormat="1" x14ac:dyDescent="0.25">
      <c r="A16" s="365">
        <f t="shared" si="2"/>
        <v>8</v>
      </c>
      <c r="B16" s="34">
        <v>6000</v>
      </c>
      <c r="C16" s="365">
        <f t="shared" si="3"/>
        <v>8</v>
      </c>
      <c r="D16" s="38">
        <v>7.5659999999999998</v>
      </c>
      <c r="E16" s="38">
        <v>7.5590000000000002</v>
      </c>
      <c r="F16" s="38">
        <v>7.5359999999999996</v>
      </c>
      <c r="G16" s="40">
        <v>7.4989999999999997</v>
      </c>
      <c r="H16" s="40">
        <v>7.4630000000000001</v>
      </c>
      <c r="I16" s="40">
        <v>7.4290000000000003</v>
      </c>
      <c r="J16" s="40">
        <v>7.2430000000000003</v>
      </c>
      <c r="K16" s="40">
        <v>7.0060000000000002</v>
      </c>
      <c r="L16" s="40">
        <v>6.8170000000000002</v>
      </c>
      <c r="M16" s="40">
        <v>6.6390000000000002</v>
      </c>
      <c r="N16" s="40">
        <v>6.0129999999999999</v>
      </c>
      <c r="O16" s="40">
        <v>5.4989999999999997</v>
      </c>
      <c r="P16" s="40">
        <v>5.0679999999999996</v>
      </c>
      <c r="Q16" s="40">
        <v>4.6660000000000004</v>
      </c>
      <c r="R16" s="40">
        <v>4.3520000000000003</v>
      </c>
      <c r="S16" s="41">
        <v>4.1109999999999998</v>
      </c>
      <c r="T16" s="50">
        <v>3.9329999999999998</v>
      </c>
      <c r="U16" s="50">
        <v>3.8090000000000002</v>
      </c>
      <c r="V16" s="50">
        <v>3.6970000000000001</v>
      </c>
      <c r="W16" s="50">
        <v>3.49</v>
      </c>
      <c r="X16" s="50">
        <v>3.282</v>
      </c>
      <c r="Y16" s="50">
        <v>3.0190000000000001</v>
      </c>
      <c r="Z16" s="50">
        <v>2.6139999999999999</v>
      </c>
      <c r="AA16" s="50">
        <v>2.169</v>
      </c>
      <c r="AB16" s="50">
        <v>1.859</v>
      </c>
      <c r="AC16" s="50">
        <v>1.532</v>
      </c>
      <c r="AD16" s="50">
        <v>1.4179999999999999</v>
      </c>
      <c r="AE16" s="50">
        <v>1.1679999999999999</v>
      </c>
      <c r="AF16" s="50">
        <v>0.98</v>
      </c>
      <c r="AG16" s="50">
        <v>0.83499999999999996</v>
      </c>
      <c r="AH16" s="50">
        <v>0.71799999999999997</v>
      </c>
      <c r="AI16" s="51">
        <v>0.622</v>
      </c>
    </row>
    <row r="17" spans="1:36" s="29" customFormat="1" x14ac:dyDescent="0.25">
      <c r="A17" s="365">
        <f t="shared" si="2"/>
        <v>9</v>
      </c>
      <c r="B17" s="34">
        <v>7000</v>
      </c>
      <c r="C17" s="365">
        <f t="shared" si="3"/>
        <v>9</v>
      </c>
      <c r="D17" s="38">
        <v>8.4290000000000003</v>
      </c>
      <c r="E17" s="38">
        <v>8.4209999999999994</v>
      </c>
      <c r="F17" s="38">
        <v>8.3970000000000002</v>
      </c>
      <c r="G17" s="40">
        <v>8.3580000000000005</v>
      </c>
      <c r="H17" s="40">
        <v>8.3209999999999997</v>
      </c>
      <c r="I17" s="40">
        <v>8.2850000000000001</v>
      </c>
      <c r="J17" s="40">
        <v>8.0890000000000004</v>
      </c>
      <c r="K17" s="40">
        <v>7.8360000000000003</v>
      </c>
      <c r="L17" s="40">
        <v>7.6319999999999997</v>
      </c>
      <c r="M17" s="40">
        <v>7.4390000000000001</v>
      </c>
      <c r="N17" s="40">
        <v>6.7590000000000003</v>
      </c>
      <c r="O17" s="40">
        <v>6.1980000000000004</v>
      </c>
      <c r="P17" s="40">
        <v>5.69</v>
      </c>
      <c r="Q17" s="40">
        <v>5.2880000000000003</v>
      </c>
      <c r="R17" s="40">
        <v>4.9740000000000002</v>
      </c>
      <c r="S17" s="41">
        <v>4.7329999999999997</v>
      </c>
      <c r="T17" s="50">
        <v>4.5549999999999997</v>
      </c>
      <c r="U17" s="50">
        <v>4.3959999999999999</v>
      </c>
      <c r="V17" s="50">
        <v>4.2850000000000001</v>
      </c>
      <c r="W17" s="50">
        <v>4.0430000000000001</v>
      </c>
      <c r="X17" s="50">
        <v>3.7959999999999998</v>
      </c>
      <c r="Y17" s="50">
        <v>3.468</v>
      </c>
      <c r="Z17" s="50">
        <v>2.984</v>
      </c>
      <c r="AA17" s="50">
        <v>2.4889999999999999</v>
      </c>
      <c r="AB17" s="50">
        <v>2.1160000000000001</v>
      </c>
      <c r="AC17" s="50">
        <v>1.774</v>
      </c>
      <c r="AD17" s="50">
        <v>1.641</v>
      </c>
      <c r="AE17" s="50">
        <v>1.353</v>
      </c>
      <c r="AF17" s="50">
        <v>1.137</v>
      </c>
      <c r="AG17" s="50">
        <v>0.96799999999999997</v>
      </c>
      <c r="AH17" s="50">
        <v>0.83299999999999996</v>
      </c>
      <c r="AI17" s="51">
        <v>0.72299999999999998</v>
      </c>
    </row>
    <row r="18" spans="1:36" s="29" customFormat="1" x14ac:dyDescent="0.25">
      <c r="A18" s="365">
        <f t="shared" si="2"/>
        <v>10</v>
      </c>
      <c r="B18" s="34">
        <v>8000</v>
      </c>
      <c r="C18" s="365">
        <f t="shared" si="3"/>
        <v>10</v>
      </c>
      <c r="D18" s="38">
        <v>9.2289999999999992</v>
      </c>
      <c r="E18" s="38">
        <v>9.2200000000000006</v>
      </c>
      <c r="F18" s="38">
        <v>9.1959999999999997</v>
      </c>
      <c r="G18" s="40">
        <v>9.1560000000000006</v>
      </c>
      <c r="H18" s="40">
        <v>9.1170000000000009</v>
      </c>
      <c r="I18" s="40">
        <v>9.0790000000000006</v>
      </c>
      <c r="J18" s="40">
        <v>8.875</v>
      </c>
      <c r="K18" s="40">
        <v>8.6080000000000005</v>
      </c>
      <c r="L18" s="40">
        <v>8.391</v>
      </c>
      <c r="M18" s="40">
        <v>8.1850000000000005</v>
      </c>
      <c r="N18" s="40">
        <v>7.4580000000000002</v>
      </c>
      <c r="O18" s="40">
        <v>6.82</v>
      </c>
      <c r="P18" s="40">
        <v>6.3120000000000003</v>
      </c>
      <c r="Q18" s="40">
        <v>5.91</v>
      </c>
      <c r="R18" s="40">
        <v>5.5960000000000001</v>
      </c>
      <c r="S18" s="41">
        <v>5.3550000000000004</v>
      </c>
      <c r="T18" s="50">
        <v>5.1420000000000003</v>
      </c>
      <c r="U18" s="50">
        <v>4.9829999999999997</v>
      </c>
      <c r="V18" s="50">
        <v>4.8719999999999999</v>
      </c>
      <c r="W18" s="50">
        <v>4.5970000000000004</v>
      </c>
      <c r="X18" s="50">
        <v>4.3099999999999996</v>
      </c>
      <c r="Y18" s="50">
        <v>3.9169999999999998</v>
      </c>
      <c r="Z18" s="50">
        <v>3.3530000000000002</v>
      </c>
      <c r="AA18" s="50">
        <v>2.81</v>
      </c>
      <c r="AB18" s="50">
        <v>2.3730000000000002</v>
      </c>
      <c r="AC18" s="50">
        <v>2.012</v>
      </c>
      <c r="AD18" s="50">
        <v>1.861</v>
      </c>
      <c r="AE18" s="50">
        <v>1.536</v>
      </c>
      <c r="AF18" s="50">
        <v>1.292</v>
      </c>
      <c r="AG18" s="50">
        <v>1.101</v>
      </c>
      <c r="AH18" s="50">
        <v>0.94799999999999995</v>
      </c>
      <c r="AI18" s="51">
        <v>0.82199999999999995</v>
      </c>
    </row>
    <row r="19" spans="1:36" s="29" customFormat="1" x14ac:dyDescent="0.25">
      <c r="A19" s="365">
        <f t="shared" si="2"/>
        <v>11</v>
      </c>
      <c r="B19" s="34">
        <v>9000</v>
      </c>
      <c r="C19" s="365">
        <f t="shared" si="3"/>
        <v>11</v>
      </c>
      <c r="D19" s="38">
        <v>9.9740000000000002</v>
      </c>
      <c r="E19" s="38">
        <v>9.9659999999999993</v>
      </c>
      <c r="F19" s="38">
        <v>9.94</v>
      </c>
      <c r="G19" s="40">
        <v>9.8989999999999991</v>
      </c>
      <c r="H19" s="40">
        <v>9.859</v>
      </c>
      <c r="I19" s="40">
        <v>9.82</v>
      </c>
      <c r="J19" s="40">
        <v>9.6080000000000005</v>
      </c>
      <c r="K19" s="40">
        <v>9.33</v>
      </c>
      <c r="L19" s="40">
        <v>9.1010000000000009</v>
      </c>
      <c r="M19" s="40">
        <v>8.8840000000000003</v>
      </c>
      <c r="N19" s="40">
        <v>8.08</v>
      </c>
      <c r="O19" s="40">
        <v>7.4420000000000002</v>
      </c>
      <c r="P19" s="40">
        <v>6.9340000000000002</v>
      </c>
      <c r="Q19" s="40">
        <v>6.532</v>
      </c>
      <c r="R19" s="40">
        <v>6.218</v>
      </c>
      <c r="S19" s="41">
        <v>5.9420000000000002</v>
      </c>
      <c r="T19" s="50">
        <v>5.7290000000000001</v>
      </c>
      <c r="U19" s="50">
        <v>5.5709999999999997</v>
      </c>
      <c r="V19" s="50">
        <v>5.4589999999999996</v>
      </c>
      <c r="W19" s="50">
        <v>5.1509999999999998</v>
      </c>
      <c r="X19" s="50">
        <v>4.8239999999999998</v>
      </c>
      <c r="Y19" s="50">
        <v>4.3659999999999997</v>
      </c>
      <c r="Z19" s="50">
        <v>3.7229999999999999</v>
      </c>
      <c r="AA19" s="50">
        <v>3.13</v>
      </c>
      <c r="AB19" s="50">
        <v>2.63</v>
      </c>
      <c r="AC19" s="50">
        <v>2.246</v>
      </c>
      <c r="AD19" s="50">
        <v>2.077</v>
      </c>
      <c r="AE19" s="50">
        <v>1.716</v>
      </c>
      <c r="AF19" s="50">
        <v>1.444</v>
      </c>
      <c r="AG19" s="50">
        <v>1.232</v>
      </c>
      <c r="AH19" s="50">
        <v>1.0609999999999999</v>
      </c>
      <c r="AI19" s="51">
        <v>0.92100000000000004</v>
      </c>
    </row>
    <row r="20" spans="1:36" s="29" customFormat="1" x14ac:dyDescent="0.25">
      <c r="A20" s="365">
        <f t="shared" si="2"/>
        <v>12</v>
      </c>
      <c r="B20" s="34">
        <v>10000</v>
      </c>
      <c r="C20" s="365">
        <f t="shared" si="3"/>
        <v>12</v>
      </c>
      <c r="D20" s="38">
        <v>10.673999999999999</v>
      </c>
      <c r="E20" s="38">
        <v>10.664999999999999</v>
      </c>
      <c r="F20" s="38">
        <v>10.64</v>
      </c>
      <c r="G20" s="40">
        <v>10.6</v>
      </c>
      <c r="H20" s="40">
        <v>10.56</v>
      </c>
      <c r="I20" s="40">
        <v>10.52</v>
      </c>
      <c r="J20" s="40">
        <v>10.284000000000001</v>
      </c>
      <c r="K20" s="40">
        <v>9.9849999999999994</v>
      </c>
      <c r="L20" s="40">
        <v>9.7379999999999995</v>
      </c>
      <c r="M20" s="40">
        <v>9.5060000000000002</v>
      </c>
      <c r="N20" s="65">
        <v>8.702</v>
      </c>
      <c r="O20" s="40">
        <v>8.0640000000000001</v>
      </c>
      <c r="P20" s="40">
        <v>7.556</v>
      </c>
      <c r="Q20" s="40">
        <v>7.1539999999999999</v>
      </c>
      <c r="R20" s="40">
        <v>6.8049999999999997</v>
      </c>
      <c r="S20" s="41">
        <v>6.5289999999999999</v>
      </c>
      <c r="T20" s="50">
        <v>6.3170000000000002</v>
      </c>
      <c r="U20" s="50">
        <v>6.1580000000000004</v>
      </c>
      <c r="V20" s="50">
        <v>6.0460000000000003</v>
      </c>
      <c r="W20" s="50">
        <v>5.7039999999999997</v>
      </c>
      <c r="X20" s="50">
        <v>5.3380000000000001</v>
      </c>
      <c r="Y20" s="50">
        <v>4.8140000000000001</v>
      </c>
      <c r="Z20" s="50">
        <v>4.093</v>
      </c>
      <c r="AA20" s="50">
        <v>3.45</v>
      </c>
      <c r="AB20" s="50">
        <v>2.887</v>
      </c>
      <c r="AC20" s="50">
        <v>2.476</v>
      </c>
      <c r="AD20" s="50">
        <v>2.2909999999999999</v>
      </c>
      <c r="AE20" s="50">
        <v>1.895</v>
      </c>
      <c r="AF20" s="50">
        <v>1.5960000000000001</v>
      </c>
      <c r="AG20" s="50">
        <v>1.3620000000000001</v>
      </c>
      <c r="AH20" s="50" t="s">
        <v>691</v>
      </c>
      <c r="AI20" s="51">
        <v>1.0189999999999999</v>
      </c>
    </row>
    <row r="21" spans="1:36" s="29" customFormat="1" x14ac:dyDescent="0.25">
      <c r="A21" s="365">
        <f t="shared" si="2"/>
        <v>13</v>
      </c>
      <c r="B21" s="34">
        <v>15000</v>
      </c>
      <c r="C21" s="365">
        <f t="shared" si="3"/>
        <v>13</v>
      </c>
      <c r="D21" s="38">
        <v>13.786</v>
      </c>
      <c r="E21" s="38">
        <v>13.775</v>
      </c>
      <c r="F21" s="38">
        <v>13.75</v>
      </c>
      <c r="G21" s="40">
        <v>13.708</v>
      </c>
      <c r="H21" s="40">
        <v>13.667</v>
      </c>
      <c r="I21" s="40">
        <v>13.625999999999999</v>
      </c>
      <c r="J21" s="40">
        <v>13.385</v>
      </c>
      <c r="K21" s="40">
        <v>13.077</v>
      </c>
      <c r="L21" s="40">
        <v>12.821999999999999</v>
      </c>
      <c r="M21" s="40">
        <v>12.581</v>
      </c>
      <c r="N21" s="40">
        <v>11.743</v>
      </c>
      <c r="O21" s="40">
        <v>11.07</v>
      </c>
      <c r="P21" s="40">
        <v>10.526999999999999</v>
      </c>
      <c r="Q21" s="40">
        <v>10.09</v>
      </c>
      <c r="R21" s="40">
        <v>9.7080000000000002</v>
      </c>
      <c r="S21" s="41">
        <v>9.3979999999999997</v>
      </c>
      <c r="T21" s="50">
        <v>9.1519999999999992</v>
      </c>
      <c r="U21" s="50">
        <v>8.9600000000000009</v>
      </c>
      <c r="V21" s="50">
        <v>8.8140000000000001</v>
      </c>
      <c r="W21" s="50">
        <v>8.2750000000000004</v>
      </c>
      <c r="X21" s="50">
        <v>7.5830000000000002</v>
      </c>
      <c r="Y21" s="50">
        <v>6.6630000000000003</v>
      </c>
      <c r="Z21" s="50">
        <v>5.694</v>
      </c>
      <c r="AA21" s="50">
        <v>4.7350000000000003</v>
      </c>
      <c r="AB21" s="50">
        <v>4.0780000000000003</v>
      </c>
      <c r="AC21" s="50">
        <v>3.5760000000000001</v>
      </c>
      <c r="AD21" s="50">
        <v>3.27</v>
      </c>
      <c r="AE21" s="50">
        <v>2.7170000000000001</v>
      </c>
      <c r="AF21" s="50">
        <v>2.2949999999999999</v>
      </c>
      <c r="AG21" s="50">
        <v>1.9630000000000001</v>
      </c>
      <c r="AH21" s="50">
        <v>1.6950000000000001</v>
      </c>
      <c r="AI21" s="51">
        <v>1.4970000000000001</v>
      </c>
    </row>
    <row r="22" spans="1:36" s="29" customFormat="1" x14ac:dyDescent="0.25">
      <c r="A22" s="365">
        <f t="shared" si="2"/>
        <v>14</v>
      </c>
      <c r="B22" s="34">
        <v>20000</v>
      </c>
      <c r="C22" s="365">
        <f t="shared" si="3"/>
        <v>14</v>
      </c>
      <c r="D22" s="38">
        <v>16.722999999999999</v>
      </c>
      <c r="E22" s="38">
        <v>16.710999999999999</v>
      </c>
      <c r="F22" s="38">
        <v>16.684999999999999</v>
      </c>
      <c r="G22" s="40">
        <v>16.643000000000001</v>
      </c>
      <c r="H22" s="40">
        <v>16.600999999999999</v>
      </c>
      <c r="I22" s="40">
        <v>16.559000000000001</v>
      </c>
      <c r="J22" s="40">
        <v>16.312999999999999</v>
      </c>
      <c r="K22" s="40">
        <v>15.997</v>
      </c>
      <c r="L22" s="40">
        <v>15.733000000000001</v>
      </c>
      <c r="M22" s="40">
        <v>15.484</v>
      </c>
      <c r="N22" s="40">
        <v>14.612</v>
      </c>
      <c r="O22" s="40">
        <v>13.904999999999999</v>
      </c>
      <c r="P22" s="40">
        <v>13.329000000000001</v>
      </c>
      <c r="Q22" s="40">
        <v>12.858000000000001</v>
      </c>
      <c r="R22" s="40">
        <v>12.436</v>
      </c>
      <c r="S22" s="41">
        <v>12.087</v>
      </c>
      <c r="T22" s="50">
        <v>11.801</v>
      </c>
      <c r="U22" s="50">
        <v>11.569000000000001</v>
      </c>
      <c r="V22" s="50">
        <v>11.385</v>
      </c>
      <c r="W22" s="50">
        <v>10.519</v>
      </c>
      <c r="X22" s="50">
        <v>9.4309999999999992</v>
      </c>
      <c r="Y22" s="50">
        <v>8.2650000000000006</v>
      </c>
      <c r="Z22" s="50">
        <v>6.98</v>
      </c>
      <c r="AA22" s="50">
        <v>5.9269999999999996</v>
      </c>
      <c r="AB22" s="50">
        <v>5.1769999999999996</v>
      </c>
      <c r="AC22" s="50">
        <v>4.556</v>
      </c>
      <c r="AD22" s="50">
        <v>4.1849999999999996</v>
      </c>
      <c r="AE22" s="50">
        <v>3.49</v>
      </c>
      <c r="AF22" s="50">
        <v>2.9569999999999999</v>
      </c>
      <c r="AG22" s="50">
        <v>2.536</v>
      </c>
      <c r="AH22" s="50">
        <v>2.1930000000000001</v>
      </c>
      <c r="AI22" s="51">
        <v>1.956</v>
      </c>
    </row>
    <row r="23" spans="1:36" s="29" customFormat="1" x14ac:dyDescent="0.25">
      <c r="A23" s="365">
        <f t="shared" si="2"/>
        <v>15</v>
      </c>
      <c r="B23" s="34">
        <v>25000</v>
      </c>
      <c r="C23" s="365">
        <f t="shared" si="3"/>
        <v>15</v>
      </c>
      <c r="D23" s="38">
        <v>19.492999999999999</v>
      </c>
      <c r="E23" s="38">
        <v>19.478000000000002</v>
      </c>
      <c r="F23" s="38">
        <v>19.452000000000002</v>
      </c>
      <c r="G23" s="40">
        <v>19.408999999999999</v>
      </c>
      <c r="H23" s="40">
        <v>19.366</v>
      </c>
      <c r="I23" s="40">
        <v>19.323</v>
      </c>
      <c r="J23" s="40">
        <v>19.071000000000002</v>
      </c>
      <c r="K23" s="40">
        <v>18.745000000000001</v>
      </c>
      <c r="L23" s="40">
        <v>18.471</v>
      </c>
      <c r="M23" s="40">
        <v>18.212</v>
      </c>
      <c r="N23" s="40">
        <v>17.300999999999998</v>
      </c>
      <c r="O23" s="40">
        <v>16.553999999999998</v>
      </c>
      <c r="P23" s="40">
        <v>15.939</v>
      </c>
      <c r="Q23" s="40">
        <v>15.429</v>
      </c>
      <c r="R23" s="40">
        <v>14.941000000000001</v>
      </c>
      <c r="S23" s="41">
        <v>14.526999999999999</v>
      </c>
      <c r="T23" s="50">
        <v>14.176</v>
      </c>
      <c r="U23" s="50">
        <v>13.879</v>
      </c>
      <c r="V23" s="50">
        <v>13.629</v>
      </c>
      <c r="W23" s="50">
        <v>12.367000000000001</v>
      </c>
      <c r="X23" s="50">
        <v>11.032999999999999</v>
      </c>
      <c r="Y23" s="50">
        <v>9.5500000000000007</v>
      </c>
      <c r="Z23" s="50">
        <v>8.1709999999999994</v>
      </c>
      <c r="AA23" s="50">
        <v>7.0259999999999998</v>
      </c>
      <c r="AB23" s="50">
        <v>6.157</v>
      </c>
      <c r="AC23" s="50">
        <v>5.47</v>
      </c>
      <c r="AD23" s="50">
        <v>5.0069999999999997</v>
      </c>
      <c r="AE23" s="50">
        <v>4.1890000000000001</v>
      </c>
      <c r="AF23" s="50">
        <v>3.5590000000000002</v>
      </c>
      <c r="AG23" s="50">
        <v>3.056</v>
      </c>
      <c r="AH23" s="50">
        <v>2.6709999999999998</v>
      </c>
      <c r="AI23" s="51">
        <v>2.3969999999999998</v>
      </c>
    </row>
    <row r="24" spans="1:36" s="29" customFormat="1" x14ac:dyDescent="0.25">
      <c r="A24" s="365">
        <f t="shared" si="2"/>
        <v>16</v>
      </c>
      <c r="B24" s="34">
        <v>30000</v>
      </c>
      <c r="C24" s="365">
        <f t="shared" si="3"/>
        <v>16</v>
      </c>
      <c r="D24" s="38">
        <v>22.064</v>
      </c>
      <c r="E24" s="38">
        <v>22.047999999999998</v>
      </c>
      <c r="F24" s="38">
        <v>22.021000000000001</v>
      </c>
      <c r="G24" s="40">
        <v>21.975999999999999</v>
      </c>
      <c r="H24" s="40">
        <v>21.931000000000001</v>
      </c>
      <c r="I24" s="40">
        <v>21.887</v>
      </c>
      <c r="J24" s="40">
        <v>21.625</v>
      </c>
      <c r="K24" s="40">
        <v>21.283000000000001</v>
      </c>
      <c r="L24" s="40">
        <v>20.933</v>
      </c>
      <c r="M24" s="40">
        <v>20.716999999999999</v>
      </c>
      <c r="N24" s="40">
        <v>19.739999999999998</v>
      </c>
      <c r="O24" s="40">
        <v>18.928999999999998</v>
      </c>
      <c r="P24" s="40">
        <v>18.248000000000001</v>
      </c>
      <c r="Q24" s="40">
        <v>17.672999999999998</v>
      </c>
      <c r="R24" s="40">
        <v>17.106000000000002</v>
      </c>
      <c r="S24" s="41">
        <v>16.613</v>
      </c>
      <c r="T24" s="50">
        <v>16.183</v>
      </c>
      <c r="U24" s="50">
        <v>15.805999999999999</v>
      </c>
      <c r="V24" s="50">
        <v>15.478</v>
      </c>
      <c r="W24" s="50">
        <v>13.968999999999999</v>
      </c>
      <c r="X24" s="50">
        <v>12.318</v>
      </c>
      <c r="Y24" s="50">
        <v>10.714</v>
      </c>
      <c r="Z24" s="50">
        <v>9.27</v>
      </c>
      <c r="AA24" s="50">
        <v>8.0060000000000002</v>
      </c>
      <c r="AB24" s="50">
        <v>7.0720000000000001</v>
      </c>
      <c r="AC24" s="50">
        <v>6.2919999999999998</v>
      </c>
      <c r="AD24" s="50">
        <v>5.7809999999999997</v>
      </c>
      <c r="AE24" s="50">
        <v>4.8520000000000003</v>
      </c>
      <c r="AF24" s="50">
        <v>4.1310000000000002</v>
      </c>
      <c r="AG24" s="50">
        <v>3.5550000000000002</v>
      </c>
      <c r="AH24" s="50">
        <v>3.13</v>
      </c>
      <c r="AI24" s="51">
        <v>2.823</v>
      </c>
    </row>
    <row r="25" spans="1:36" s="29" customFormat="1" x14ac:dyDescent="0.25">
      <c r="A25" s="365">
        <f t="shared" si="2"/>
        <v>17</v>
      </c>
      <c r="B25" s="34">
        <v>35000</v>
      </c>
      <c r="C25" s="365">
        <f t="shared" si="3"/>
        <v>17</v>
      </c>
      <c r="D25" s="38">
        <v>24.308</v>
      </c>
      <c r="E25" s="38">
        <v>24.291</v>
      </c>
      <c r="F25" s="38">
        <v>24.263000000000002</v>
      </c>
      <c r="G25" s="40">
        <v>24.216000000000001</v>
      </c>
      <c r="H25" s="40">
        <v>24.17</v>
      </c>
      <c r="I25" s="40">
        <v>24.123000000000001</v>
      </c>
      <c r="J25" s="40">
        <v>23.85</v>
      </c>
      <c r="K25" s="40">
        <v>23.486999999999998</v>
      </c>
      <c r="L25" s="40">
        <v>23.178000000000001</v>
      </c>
      <c r="M25" s="40">
        <v>22.882000000000001</v>
      </c>
      <c r="N25" s="40">
        <v>21.826000000000001</v>
      </c>
      <c r="O25" s="40">
        <v>20.936</v>
      </c>
      <c r="P25" s="40">
        <v>20.175999999999998</v>
      </c>
      <c r="Q25" s="40">
        <v>19.521999999999998</v>
      </c>
      <c r="R25" s="40">
        <v>18.905999999999999</v>
      </c>
      <c r="S25" s="41">
        <v>18.363</v>
      </c>
      <c r="T25" s="50">
        <v>17.882999999999999</v>
      </c>
      <c r="U25" s="50">
        <v>17.457000000000001</v>
      </c>
      <c r="V25" s="50">
        <v>17.079000000000001</v>
      </c>
      <c r="W25" s="50">
        <v>15.254</v>
      </c>
      <c r="X25" s="50">
        <v>13.509</v>
      </c>
      <c r="Y25" s="50">
        <v>11.84</v>
      </c>
      <c r="Z25" s="50">
        <v>10.25</v>
      </c>
      <c r="AA25" s="50">
        <v>8.9209999999999994</v>
      </c>
      <c r="AB25" s="50">
        <v>7.8940000000000001</v>
      </c>
      <c r="AC25" s="50">
        <v>7.0659999999999998</v>
      </c>
      <c r="AD25" s="50">
        <v>6.48</v>
      </c>
      <c r="AE25" s="50">
        <v>5.4530000000000003</v>
      </c>
      <c r="AF25" s="50">
        <v>4.6520000000000001</v>
      </c>
      <c r="AG25" s="50">
        <v>4.0330000000000004</v>
      </c>
      <c r="AH25" s="50">
        <v>3.5710000000000002</v>
      </c>
      <c r="AI25" s="51">
        <v>3.2330000000000001</v>
      </c>
    </row>
    <row r="26" spans="1:36" s="29" customFormat="1" x14ac:dyDescent="0.25">
      <c r="A26" s="365">
        <f t="shared" si="2"/>
        <v>18</v>
      </c>
      <c r="B26" s="34">
        <v>40000</v>
      </c>
      <c r="C26" s="365">
        <f t="shared" si="3"/>
        <v>18</v>
      </c>
      <c r="D26" s="38">
        <v>26.157</v>
      </c>
      <c r="E26" s="38">
        <v>26.14</v>
      </c>
      <c r="F26" s="38">
        <v>26.111000000000001</v>
      </c>
      <c r="G26" s="40">
        <v>26.062000000000001</v>
      </c>
      <c r="H26" s="40">
        <v>26.013999999999999</v>
      </c>
      <c r="I26" s="40">
        <v>25.966999999999999</v>
      </c>
      <c r="J26" s="40">
        <v>25.686</v>
      </c>
      <c r="K26" s="40">
        <v>25.311</v>
      </c>
      <c r="L26" s="40">
        <v>24.989000000000001</v>
      </c>
      <c r="M26" s="40">
        <v>24.681999999999999</v>
      </c>
      <c r="N26" s="40">
        <v>23.576000000000001</v>
      </c>
      <c r="O26" s="40">
        <v>22.635999999999999</v>
      </c>
      <c r="P26" s="40">
        <v>21.827000000000002</v>
      </c>
      <c r="Q26" s="40">
        <v>21.123000000000001</v>
      </c>
      <c r="R26" s="40">
        <v>20.443999999999999</v>
      </c>
      <c r="S26" s="41">
        <v>19.838000000000001</v>
      </c>
      <c r="T26" s="50">
        <v>19.295000000000002</v>
      </c>
      <c r="U26" s="50">
        <v>18.806000000000001</v>
      </c>
      <c r="V26" s="50">
        <v>18.364000000000001</v>
      </c>
      <c r="W26" s="52">
        <v>16.445</v>
      </c>
      <c r="X26" s="50">
        <v>14.609</v>
      </c>
      <c r="Y26" s="50">
        <v>12.82</v>
      </c>
      <c r="Z26" s="50">
        <v>11.164999999999999</v>
      </c>
      <c r="AA26" s="50">
        <v>9.7420000000000009</v>
      </c>
      <c r="AB26" s="50">
        <v>8.6679999999999993</v>
      </c>
      <c r="AC26" s="50">
        <v>7.7649999999999997</v>
      </c>
      <c r="AD26" s="50">
        <v>7.1429999999999998</v>
      </c>
      <c r="AE26" s="50">
        <v>6.0259999999999998</v>
      </c>
      <c r="AF26" s="50">
        <v>5.15</v>
      </c>
      <c r="AG26" s="50">
        <v>4.4909999999999997</v>
      </c>
      <c r="AH26" s="50">
        <v>3.996</v>
      </c>
      <c r="AI26" s="51">
        <v>3.629</v>
      </c>
    </row>
    <row r="27" spans="1:36" s="29" customFormat="1" x14ac:dyDescent="0.25">
      <c r="A27" s="365">
        <f t="shared" si="2"/>
        <v>19</v>
      </c>
      <c r="B27" s="34">
        <v>45000</v>
      </c>
      <c r="C27" s="365">
        <f t="shared" si="3"/>
        <v>19</v>
      </c>
      <c r="D27" s="38">
        <v>27.759</v>
      </c>
      <c r="E27" s="38">
        <v>27.74</v>
      </c>
      <c r="F27" s="38">
        <v>27.710999999999999</v>
      </c>
      <c r="G27" s="40">
        <v>27.661000000000001</v>
      </c>
      <c r="H27" s="40">
        <v>27.611000000000001</v>
      </c>
      <c r="I27" s="40">
        <v>27.562000000000001</v>
      </c>
      <c r="J27" s="40">
        <v>27.271999999999998</v>
      </c>
      <c r="K27" s="40">
        <v>26.881</v>
      </c>
      <c r="L27" s="40">
        <v>26.542999999999999</v>
      </c>
      <c r="M27" s="40">
        <v>26.22</v>
      </c>
      <c r="N27" s="40">
        <v>25.050999999999998</v>
      </c>
      <c r="O27" s="40">
        <v>24.047999999999998</v>
      </c>
      <c r="P27" s="40">
        <v>23.175000000000001</v>
      </c>
      <c r="Q27" s="40">
        <v>22.408000000000001</v>
      </c>
      <c r="R27" s="40">
        <v>21.718</v>
      </c>
      <c r="S27" s="41">
        <v>21.097000000000001</v>
      </c>
      <c r="T27" s="50">
        <v>20.535</v>
      </c>
      <c r="U27" s="50">
        <v>20.024000000000001</v>
      </c>
      <c r="V27" s="50">
        <v>19.556000000000001</v>
      </c>
      <c r="W27" s="50">
        <v>17.545100000000001</v>
      </c>
      <c r="X27" s="50">
        <v>15.587999999999999</v>
      </c>
      <c r="Y27" s="50">
        <v>13.734999999999999</v>
      </c>
      <c r="Z27" s="50">
        <v>11.987</v>
      </c>
      <c r="AA27" s="50">
        <v>10.516</v>
      </c>
      <c r="AB27" s="50">
        <v>9.3670000000000009</v>
      </c>
      <c r="AC27" s="50">
        <v>8.4280000000000008</v>
      </c>
      <c r="AD27" s="50">
        <v>7.7439999999999998</v>
      </c>
      <c r="AE27" s="50">
        <v>6.5469999999999997</v>
      </c>
      <c r="AF27" s="50">
        <v>5.6280000000000001</v>
      </c>
      <c r="AG27" s="50">
        <v>4.9329999999999998</v>
      </c>
      <c r="AH27" s="50">
        <v>4.407</v>
      </c>
      <c r="AI27" s="51">
        <v>4.0119999999999996</v>
      </c>
    </row>
    <row r="28" spans="1:36" s="29" customFormat="1" x14ac:dyDescent="0.25">
      <c r="A28" s="365">
        <f t="shared" si="2"/>
        <v>20</v>
      </c>
      <c r="B28" s="34">
        <v>50000</v>
      </c>
      <c r="C28" s="365">
        <f t="shared" si="3"/>
        <v>20</v>
      </c>
      <c r="D28" s="38">
        <v>29.042999999999999</v>
      </c>
      <c r="E28" s="38">
        <v>29.024000000000001</v>
      </c>
      <c r="F28" s="38">
        <v>28.992000000000001</v>
      </c>
      <c r="G28" s="40">
        <v>28.939</v>
      </c>
      <c r="H28" s="40">
        <v>28.887</v>
      </c>
      <c r="I28" s="40">
        <v>28.835999999999999</v>
      </c>
      <c r="J28" s="40">
        <v>28.555</v>
      </c>
      <c r="K28" s="40">
        <v>28.161999999999999</v>
      </c>
      <c r="L28" s="40">
        <v>27.821000000000002</v>
      </c>
      <c r="M28" s="40">
        <v>27.494</v>
      </c>
      <c r="N28" s="40">
        <v>26.311</v>
      </c>
      <c r="O28" s="40">
        <v>25.289000000000001</v>
      </c>
      <c r="P28" s="40">
        <v>24.393000000000001</v>
      </c>
      <c r="Q28" s="40">
        <v>23.6</v>
      </c>
      <c r="R28" s="40">
        <v>22.89</v>
      </c>
      <c r="S28" s="41">
        <v>22.25</v>
      </c>
      <c r="T28" s="50">
        <v>21.67</v>
      </c>
      <c r="U28" s="50">
        <v>21.14</v>
      </c>
      <c r="V28" s="50">
        <v>20.655000000000001</v>
      </c>
      <c r="W28" s="50">
        <v>18.524999999999999</v>
      </c>
      <c r="X28" s="50">
        <v>16.503</v>
      </c>
      <c r="Y28" s="50">
        <v>14.557</v>
      </c>
      <c r="Z28" s="50">
        <v>12.76</v>
      </c>
      <c r="AA28" s="50">
        <v>11.215</v>
      </c>
      <c r="AB28" s="50">
        <v>10.029</v>
      </c>
      <c r="AC28" s="50">
        <v>9.0289999999999999</v>
      </c>
      <c r="AD28" s="50">
        <v>8.3160000000000007</v>
      </c>
      <c r="AE28" s="50">
        <v>7.0449999999999999</v>
      </c>
      <c r="AF28" s="50">
        <v>6.0869999999999997</v>
      </c>
      <c r="AG28" s="50">
        <v>5.3579999999999997</v>
      </c>
      <c r="AH28" s="50">
        <v>4.8029999999999999</v>
      </c>
      <c r="AI28" s="51">
        <v>4.383</v>
      </c>
    </row>
    <row r="29" spans="1:36" s="29" customFormat="1" x14ac:dyDescent="0.25">
      <c r="A29" s="365">
        <f t="shared" si="2"/>
        <v>21</v>
      </c>
      <c r="B29" s="34">
        <v>75000</v>
      </c>
      <c r="C29" s="365">
        <f t="shared" si="3"/>
        <v>21</v>
      </c>
      <c r="D29" s="38">
        <v>34.051000000000002</v>
      </c>
      <c r="E29" s="38">
        <v>34.03</v>
      </c>
      <c r="F29" s="38">
        <v>33.996000000000002</v>
      </c>
      <c r="G29" s="40">
        <v>33.941000000000003</v>
      </c>
      <c r="H29" s="40">
        <v>33.887</v>
      </c>
      <c r="I29" s="40">
        <v>33.834000000000003</v>
      </c>
      <c r="J29" s="40">
        <v>33.54</v>
      </c>
      <c r="K29" s="40">
        <v>33.124000000000002</v>
      </c>
      <c r="L29" s="40">
        <v>32.762</v>
      </c>
      <c r="M29" s="40">
        <v>32.414000000000001</v>
      </c>
      <c r="N29" s="40">
        <v>31.143999999999998</v>
      </c>
      <c r="O29" s="40">
        <v>30.039000000000001</v>
      </c>
      <c r="P29" s="40">
        <v>29.062000000000001</v>
      </c>
      <c r="Q29" s="40">
        <v>28.189</v>
      </c>
      <c r="R29" s="40">
        <v>27.396000000000001</v>
      </c>
      <c r="S29" s="41">
        <v>26.673999999999999</v>
      </c>
      <c r="T29" s="50">
        <v>26.013999999999999</v>
      </c>
      <c r="U29" s="50">
        <v>25.405999999999999</v>
      </c>
      <c r="V29" s="50">
        <v>24.844000000000001</v>
      </c>
      <c r="W29" s="50">
        <v>22.396999999999998</v>
      </c>
      <c r="X29" s="50">
        <v>20.062000000000001</v>
      </c>
      <c r="Y29" s="50">
        <v>17.866</v>
      </c>
      <c r="Z29" s="50">
        <v>15.817</v>
      </c>
      <c r="AA29" s="50">
        <v>14.071</v>
      </c>
      <c r="AB29" s="50">
        <v>12.7</v>
      </c>
      <c r="AC29" s="50">
        <v>11.557</v>
      </c>
      <c r="AD29" s="50">
        <v>10.714</v>
      </c>
      <c r="AE29" s="50">
        <v>9.2590000000000003</v>
      </c>
      <c r="AF29" s="50">
        <v>8.1440000000000001</v>
      </c>
      <c r="AG29" s="50">
        <v>7.2789999999999999</v>
      </c>
      <c r="AH29" s="50">
        <v>6.6040000000000001</v>
      </c>
      <c r="AI29" s="51">
        <v>6.08</v>
      </c>
    </row>
    <row r="30" spans="1:36" s="29" customFormat="1" x14ac:dyDescent="0.25">
      <c r="A30" s="365">
        <f t="shared" si="2"/>
        <v>22</v>
      </c>
      <c r="B30" s="35">
        <v>100000</v>
      </c>
      <c r="C30" s="383">
        <f t="shared" si="3"/>
        <v>22</v>
      </c>
      <c r="D30" s="42">
        <v>37.362000000000002</v>
      </c>
      <c r="E30" s="42">
        <v>37.338999999999999</v>
      </c>
      <c r="F30" s="42">
        <v>37.304000000000002</v>
      </c>
      <c r="G30" s="43">
        <v>37.247999999999998</v>
      </c>
      <c r="H30" s="43">
        <v>37.192</v>
      </c>
      <c r="I30" s="43">
        <v>37.137999999999998</v>
      </c>
      <c r="J30" s="43">
        <v>36.835999999999999</v>
      </c>
      <c r="K30" s="43">
        <v>36.406999999999996</v>
      </c>
      <c r="L30" s="43">
        <v>36.031999999999996</v>
      </c>
      <c r="M30" s="43">
        <v>35.670999999999999</v>
      </c>
      <c r="N30" s="43">
        <v>34.35</v>
      </c>
      <c r="O30" s="43">
        <v>33.194000000000003</v>
      </c>
      <c r="P30" s="43">
        <v>32.167000000000002</v>
      </c>
      <c r="Q30" s="43">
        <v>31.245999999999999</v>
      </c>
      <c r="R30" s="43">
        <v>30.440999999999999</v>
      </c>
      <c r="S30" s="44">
        <v>29.648</v>
      </c>
      <c r="T30" s="53">
        <v>28.948</v>
      </c>
      <c r="U30" s="53">
        <v>28.300999999999998</v>
      </c>
      <c r="V30" s="53">
        <v>27.7</v>
      </c>
      <c r="W30" s="53">
        <v>25.068000000000001</v>
      </c>
      <c r="X30" s="53">
        <v>22.59</v>
      </c>
      <c r="Y30" s="53">
        <v>20.263999999999999</v>
      </c>
      <c r="Z30" s="53">
        <v>18.117999999999999</v>
      </c>
      <c r="AA30" s="53">
        <v>16.285</v>
      </c>
      <c r="AB30" s="53">
        <v>14.832000000000001</v>
      </c>
      <c r="AC30" s="53">
        <v>13.614000000000001</v>
      </c>
      <c r="AD30" s="53">
        <v>12.7</v>
      </c>
      <c r="AE30" s="53">
        <v>11.118</v>
      </c>
      <c r="AF30" s="53">
        <v>9.891</v>
      </c>
      <c r="AG30" s="53">
        <v>8.9269999999999996</v>
      </c>
      <c r="AH30" s="53">
        <v>8.1649999999999991</v>
      </c>
      <c r="AI30" s="54">
        <v>7.5609999999999999</v>
      </c>
    </row>
    <row r="31" spans="1:36" s="29" customFormat="1" x14ac:dyDescent="0.25">
      <c r="A31" s="365">
        <f t="shared" si="2"/>
        <v>23</v>
      </c>
      <c r="B31" s="386">
        <f>+B30+25000</f>
        <v>125000</v>
      </c>
      <c r="C31" s="387">
        <f t="shared" si="3"/>
        <v>23</v>
      </c>
      <c r="D31" s="391">
        <f>D30^AJ31</f>
        <v>37.70172240257002</v>
      </c>
      <c r="E31" s="388">
        <f>D31</f>
        <v>37.70172240257002</v>
      </c>
      <c r="F31" s="388">
        <f t="shared" ref="F31:AI39" si="4">E31</f>
        <v>37.70172240257002</v>
      </c>
      <c r="G31" s="388">
        <f t="shared" si="4"/>
        <v>37.70172240257002</v>
      </c>
      <c r="H31" s="388">
        <f t="shared" si="4"/>
        <v>37.70172240257002</v>
      </c>
      <c r="I31" s="388">
        <f t="shared" si="4"/>
        <v>37.70172240257002</v>
      </c>
      <c r="J31" s="388">
        <f t="shared" si="4"/>
        <v>37.70172240257002</v>
      </c>
      <c r="K31" s="388">
        <f t="shared" si="4"/>
        <v>37.70172240257002</v>
      </c>
      <c r="L31" s="388">
        <f t="shared" si="4"/>
        <v>37.70172240257002</v>
      </c>
      <c r="M31" s="388">
        <f t="shared" si="4"/>
        <v>37.70172240257002</v>
      </c>
      <c r="N31" s="388">
        <f t="shared" si="4"/>
        <v>37.70172240257002</v>
      </c>
      <c r="O31" s="388">
        <f t="shared" si="4"/>
        <v>37.70172240257002</v>
      </c>
      <c r="P31" s="388">
        <f t="shared" si="4"/>
        <v>37.70172240257002</v>
      </c>
      <c r="Q31" s="388">
        <f t="shared" si="4"/>
        <v>37.70172240257002</v>
      </c>
      <c r="R31" s="388">
        <f t="shared" si="4"/>
        <v>37.70172240257002</v>
      </c>
      <c r="S31" s="405">
        <f t="shared" si="4"/>
        <v>37.70172240257002</v>
      </c>
      <c r="T31" s="388">
        <f t="shared" si="4"/>
        <v>37.70172240257002</v>
      </c>
      <c r="U31" s="388">
        <f t="shared" si="4"/>
        <v>37.70172240257002</v>
      </c>
      <c r="V31" s="388">
        <f t="shared" si="4"/>
        <v>37.70172240257002</v>
      </c>
      <c r="W31" s="388">
        <f t="shared" si="4"/>
        <v>37.70172240257002</v>
      </c>
      <c r="X31" s="388">
        <f t="shared" si="4"/>
        <v>37.70172240257002</v>
      </c>
      <c r="Y31" s="388">
        <f t="shared" si="4"/>
        <v>37.70172240257002</v>
      </c>
      <c r="Z31" s="388">
        <f t="shared" si="4"/>
        <v>37.70172240257002</v>
      </c>
      <c r="AA31" s="388">
        <f t="shared" si="4"/>
        <v>37.70172240257002</v>
      </c>
      <c r="AB31" s="388">
        <f t="shared" si="4"/>
        <v>37.70172240257002</v>
      </c>
      <c r="AC31" s="388">
        <f t="shared" si="4"/>
        <v>37.70172240257002</v>
      </c>
      <c r="AD31" s="388">
        <f t="shared" si="4"/>
        <v>37.70172240257002</v>
      </c>
      <c r="AE31" s="388">
        <f t="shared" si="4"/>
        <v>37.70172240257002</v>
      </c>
      <c r="AF31" s="388">
        <f t="shared" si="4"/>
        <v>37.70172240257002</v>
      </c>
      <c r="AG31" s="388">
        <f t="shared" si="4"/>
        <v>37.70172240257002</v>
      </c>
      <c r="AH31" s="388">
        <f t="shared" si="4"/>
        <v>37.70172240257002</v>
      </c>
      <c r="AI31" s="405">
        <f t="shared" si="4"/>
        <v>37.70172240257002</v>
      </c>
      <c r="AJ31" s="412">
        <v>1.0024999999999999</v>
      </c>
    </row>
    <row r="32" spans="1:36" s="29" customFormat="1" x14ac:dyDescent="0.25">
      <c r="A32" s="365">
        <f t="shared" si="2"/>
        <v>24</v>
      </c>
      <c r="B32" s="389">
        <f t="shared" ref="B32:B54" si="5">+B31+25000</f>
        <v>150000</v>
      </c>
      <c r="C32" s="390">
        <f t="shared" si="3"/>
        <v>24</v>
      </c>
      <c r="D32" s="391">
        <f t="shared" ref="D32:D54" si="6">D31^AJ32</f>
        <v>38.031587877458819</v>
      </c>
      <c r="E32" s="391">
        <f t="shared" ref="E32:T54" si="7">D32</f>
        <v>38.031587877458819</v>
      </c>
      <c r="F32" s="391">
        <f t="shared" si="7"/>
        <v>38.031587877458819</v>
      </c>
      <c r="G32" s="391">
        <f t="shared" si="7"/>
        <v>38.031587877458819</v>
      </c>
      <c r="H32" s="391">
        <f t="shared" si="7"/>
        <v>38.031587877458819</v>
      </c>
      <c r="I32" s="391">
        <f t="shared" si="7"/>
        <v>38.031587877458819</v>
      </c>
      <c r="J32" s="391">
        <f t="shared" si="7"/>
        <v>38.031587877458819</v>
      </c>
      <c r="K32" s="391">
        <f t="shared" si="7"/>
        <v>38.031587877458819</v>
      </c>
      <c r="L32" s="391">
        <f t="shared" si="7"/>
        <v>38.031587877458819</v>
      </c>
      <c r="M32" s="391">
        <f t="shared" si="7"/>
        <v>38.031587877458819</v>
      </c>
      <c r="N32" s="391">
        <f t="shared" si="7"/>
        <v>38.031587877458819</v>
      </c>
      <c r="O32" s="391">
        <f t="shared" si="7"/>
        <v>38.031587877458819</v>
      </c>
      <c r="P32" s="391">
        <f t="shared" si="7"/>
        <v>38.031587877458819</v>
      </c>
      <c r="Q32" s="391">
        <f t="shared" si="7"/>
        <v>38.031587877458819</v>
      </c>
      <c r="R32" s="391">
        <f t="shared" si="7"/>
        <v>38.031587877458819</v>
      </c>
      <c r="S32" s="406">
        <f t="shared" si="7"/>
        <v>38.031587877458819</v>
      </c>
      <c r="T32" s="391">
        <f t="shared" si="7"/>
        <v>38.031587877458819</v>
      </c>
      <c r="U32" s="391">
        <f t="shared" si="4"/>
        <v>38.031587877458819</v>
      </c>
      <c r="V32" s="391">
        <f t="shared" si="4"/>
        <v>38.031587877458819</v>
      </c>
      <c r="W32" s="391">
        <f t="shared" si="4"/>
        <v>38.031587877458819</v>
      </c>
      <c r="X32" s="391">
        <f t="shared" si="4"/>
        <v>38.031587877458819</v>
      </c>
      <c r="Y32" s="391">
        <f t="shared" si="4"/>
        <v>38.031587877458819</v>
      </c>
      <c r="Z32" s="391">
        <f t="shared" si="4"/>
        <v>38.031587877458819</v>
      </c>
      <c r="AA32" s="391">
        <f t="shared" si="4"/>
        <v>38.031587877458819</v>
      </c>
      <c r="AB32" s="391">
        <f t="shared" si="4"/>
        <v>38.031587877458819</v>
      </c>
      <c r="AC32" s="391">
        <f t="shared" si="4"/>
        <v>38.031587877458819</v>
      </c>
      <c r="AD32" s="391">
        <f t="shared" si="4"/>
        <v>38.031587877458819</v>
      </c>
      <c r="AE32" s="391">
        <f t="shared" si="4"/>
        <v>38.031587877458819</v>
      </c>
      <c r="AF32" s="391">
        <f t="shared" si="4"/>
        <v>38.031587877458819</v>
      </c>
      <c r="AG32" s="391">
        <f t="shared" si="4"/>
        <v>38.031587877458819</v>
      </c>
      <c r="AH32" s="391">
        <f t="shared" si="4"/>
        <v>38.031587877458819</v>
      </c>
      <c r="AI32" s="406">
        <f t="shared" si="4"/>
        <v>38.031587877458819</v>
      </c>
      <c r="AJ32" s="412">
        <f>+AJ31-0.0001</f>
        <v>1.0024</v>
      </c>
    </row>
    <row r="33" spans="1:36" s="29" customFormat="1" x14ac:dyDescent="0.25">
      <c r="A33" s="365">
        <f t="shared" si="2"/>
        <v>25</v>
      </c>
      <c r="B33" s="389">
        <f t="shared" si="5"/>
        <v>175000</v>
      </c>
      <c r="C33" s="390">
        <f t="shared" si="3"/>
        <v>25</v>
      </c>
      <c r="D33" s="391">
        <f t="shared" si="6"/>
        <v>38.351185256208424</v>
      </c>
      <c r="E33" s="391">
        <f t="shared" si="7"/>
        <v>38.351185256208424</v>
      </c>
      <c r="F33" s="391">
        <f t="shared" si="4"/>
        <v>38.351185256208424</v>
      </c>
      <c r="G33" s="391">
        <f t="shared" si="4"/>
        <v>38.351185256208424</v>
      </c>
      <c r="H33" s="391">
        <f t="shared" si="4"/>
        <v>38.351185256208424</v>
      </c>
      <c r="I33" s="391">
        <f t="shared" si="4"/>
        <v>38.351185256208424</v>
      </c>
      <c r="J33" s="391">
        <f t="shared" si="4"/>
        <v>38.351185256208424</v>
      </c>
      <c r="K33" s="391">
        <f t="shared" si="4"/>
        <v>38.351185256208424</v>
      </c>
      <c r="L33" s="391">
        <f t="shared" si="4"/>
        <v>38.351185256208424</v>
      </c>
      <c r="M33" s="391">
        <f t="shared" si="4"/>
        <v>38.351185256208424</v>
      </c>
      <c r="N33" s="391">
        <f t="shared" si="4"/>
        <v>38.351185256208424</v>
      </c>
      <c r="O33" s="391">
        <f t="shared" si="4"/>
        <v>38.351185256208424</v>
      </c>
      <c r="P33" s="391">
        <f t="shared" si="4"/>
        <v>38.351185256208424</v>
      </c>
      <c r="Q33" s="391">
        <f t="shared" si="4"/>
        <v>38.351185256208424</v>
      </c>
      <c r="R33" s="391">
        <f t="shared" si="4"/>
        <v>38.351185256208424</v>
      </c>
      <c r="S33" s="406">
        <f t="shared" si="4"/>
        <v>38.351185256208424</v>
      </c>
      <c r="T33" s="391">
        <f t="shared" si="4"/>
        <v>38.351185256208424</v>
      </c>
      <c r="U33" s="391">
        <f t="shared" si="4"/>
        <v>38.351185256208424</v>
      </c>
      <c r="V33" s="391">
        <f t="shared" si="4"/>
        <v>38.351185256208424</v>
      </c>
      <c r="W33" s="391">
        <f t="shared" si="4"/>
        <v>38.351185256208424</v>
      </c>
      <c r="X33" s="391">
        <f t="shared" si="4"/>
        <v>38.351185256208424</v>
      </c>
      <c r="Y33" s="391">
        <f t="shared" si="4"/>
        <v>38.351185256208424</v>
      </c>
      <c r="Z33" s="391">
        <f t="shared" si="4"/>
        <v>38.351185256208424</v>
      </c>
      <c r="AA33" s="391">
        <f t="shared" si="4"/>
        <v>38.351185256208424</v>
      </c>
      <c r="AB33" s="391">
        <f t="shared" si="4"/>
        <v>38.351185256208424</v>
      </c>
      <c r="AC33" s="391">
        <f t="shared" si="4"/>
        <v>38.351185256208424</v>
      </c>
      <c r="AD33" s="391">
        <f t="shared" si="4"/>
        <v>38.351185256208424</v>
      </c>
      <c r="AE33" s="391">
        <f t="shared" si="4"/>
        <v>38.351185256208424</v>
      </c>
      <c r="AF33" s="391">
        <f t="shared" si="4"/>
        <v>38.351185256208424</v>
      </c>
      <c r="AG33" s="391">
        <f t="shared" si="4"/>
        <v>38.351185256208424</v>
      </c>
      <c r="AH33" s="391">
        <f t="shared" si="4"/>
        <v>38.351185256208424</v>
      </c>
      <c r="AI33" s="406">
        <f t="shared" si="4"/>
        <v>38.351185256208424</v>
      </c>
      <c r="AJ33" s="412">
        <f t="shared" ref="AJ33:AJ54" si="8">+AJ32-0.0001</f>
        <v>1.0023</v>
      </c>
    </row>
    <row r="34" spans="1:36" s="29" customFormat="1" x14ac:dyDescent="0.25">
      <c r="A34" s="365">
        <f t="shared" si="2"/>
        <v>26</v>
      </c>
      <c r="B34" s="389">
        <f t="shared" si="5"/>
        <v>200000</v>
      </c>
      <c r="C34" s="390">
        <f t="shared" si="3"/>
        <v>26</v>
      </c>
      <c r="D34" s="391">
        <f t="shared" si="6"/>
        <v>38.6601116424754</v>
      </c>
      <c r="E34" s="391">
        <f t="shared" si="7"/>
        <v>38.6601116424754</v>
      </c>
      <c r="F34" s="391">
        <f t="shared" si="4"/>
        <v>38.6601116424754</v>
      </c>
      <c r="G34" s="391">
        <f t="shared" si="4"/>
        <v>38.6601116424754</v>
      </c>
      <c r="H34" s="391">
        <f t="shared" si="4"/>
        <v>38.6601116424754</v>
      </c>
      <c r="I34" s="391">
        <f t="shared" si="4"/>
        <v>38.6601116424754</v>
      </c>
      <c r="J34" s="391">
        <f t="shared" si="4"/>
        <v>38.6601116424754</v>
      </c>
      <c r="K34" s="391">
        <f t="shared" si="4"/>
        <v>38.6601116424754</v>
      </c>
      <c r="L34" s="391">
        <f t="shared" si="4"/>
        <v>38.6601116424754</v>
      </c>
      <c r="M34" s="391">
        <f t="shared" si="4"/>
        <v>38.6601116424754</v>
      </c>
      <c r="N34" s="391">
        <f t="shared" si="4"/>
        <v>38.6601116424754</v>
      </c>
      <c r="O34" s="391">
        <f t="shared" si="4"/>
        <v>38.6601116424754</v>
      </c>
      <c r="P34" s="391">
        <f t="shared" si="4"/>
        <v>38.6601116424754</v>
      </c>
      <c r="Q34" s="391">
        <f t="shared" si="4"/>
        <v>38.6601116424754</v>
      </c>
      <c r="R34" s="391">
        <f t="shared" si="4"/>
        <v>38.6601116424754</v>
      </c>
      <c r="S34" s="406">
        <f t="shared" si="4"/>
        <v>38.6601116424754</v>
      </c>
      <c r="T34" s="391">
        <f t="shared" si="4"/>
        <v>38.6601116424754</v>
      </c>
      <c r="U34" s="391">
        <f t="shared" si="4"/>
        <v>38.6601116424754</v>
      </c>
      <c r="V34" s="391">
        <f t="shared" si="4"/>
        <v>38.6601116424754</v>
      </c>
      <c r="W34" s="391">
        <f t="shared" si="4"/>
        <v>38.6601116424754</v>
      </c>
      <c r="X34" s="391">
        <f t="shared" si="4"/>
        <v>38.6601116424754</v>
      </c>
      <c r="Y34" s="391">
        <f t="shared" si="4"/>
        <v>38.6601116424754</v>
      </c>
      <c r="Z34" s="391">
        <f t="shared" si="4"/>
        <v>38.6601116424754</v>
      </c>
      <c r="AA34" s="391">
        <f t="shared" si="4"/>
        <v>38.6601116424754</v>
      </c>
      <c r="AB34" s="391">
        <f t="shared" si="4"/>
        <v>38.6601116424754</v>
      </c>
      <c r="AC34" s="391">
        <f t="shared" si="4"/>
        <v>38.6601116424754</v>
      </c>
      <c r="AD34" s="391">
        <f t="shared" si="4"/>
        <v>38.6601116424754</v>
      </c>
      <c r="AE34" s="391">
        <f t="shared" si="4"/>
        <v>38.6601116424754</v>
      </c>
      <c r="AF34" s="391">
        <f t="shared" si="4"/>
        <v>38.6601116424754</v>
      </c>
      <c r="AG34" s="391">
        <f t="shared" si="4"/>
        <v>38.6601116424754</v>
      </c>
      <c r="AH34" s="391">
        <f t="shared" si="4"/>
        <v>38.6601116424754</v>
      </c>
      <c r="AI34" s="406">
        <f t="shared" si="4"/>
        <v>38.6601116424754</v>
      </c>
      <c r="AJ34" s="412">
        <f t="shared" si="8"/>
        <v>1.0022</v>
      </c>
    </row>
    <row r="35" spans="1:36" s="29" customFormat="1" x14ac:dyDescent="0.25">
      <c r="A35" s="365">
        <f t="shared" si="2"/>
        <v>27</v>
      </c>
      <c r="B35" s="389">
        <f t="shared" si="5"/>
        <v>225000</v>
      </c>
      <c r="C35" s="390">
        <f t="shared" si="3"/>
        <v>27</v>
      </c>
      <c r="D35" s="391">
        <f t="shared" si="6"/>
        <v>38.957973367705634</v>
      </c>
      <c r="E35" s="391">
        <f t="shared" si="7"/>
        <v>38.957973367705634</v>
      </c>
      <c r="F35" s="391">
        <f t="shared" si="4"/>
        <v>38.957973367705634</v>
      </c>
      <c r="G35" s="391">
        <f t="shared" si="4"/>
        <v>38.957973367705634</v>
      </c>
      <c r="H35" s="391">
        <f t="shared" si="4"/>
        <v>38.957973367705634</v>
      </c>
      <c r="I35" s="391">
        <f t="shared" si="4"/>
        <v>38.957973367705634</v>
      </c>
      <c r="J35" s="391">
        <f t="shared" si="4"/>
        <v>38.957973367705634</v>
      </c>
      <c r="K35" s="391">
        <f t="shared" si="4"/>
        <v>38.957973367705634</v>
      </c>
      <c r="L35" s="391">
        <f t="shared" si="4"/>
        <v>38.957973367705634</v>
      </c>
      <c r="M35" s="391">
        <f t="shared" si="4"/>
        <v>38.957973367705634</v>
      </c>
      <c r="N35" s="391">
        <f t="shared" si="4"/>
        <v>38.957973367705634</v>
      </c>
      <c r="O35" s="391">
        <f t="shared" si="4"/>
        <v>38.957973367705634</v>
      </c>
      <c r="P35" s="391">
        <f t="shared" si="4"/>
        <v>38.957973367705634</v>
      </c>
      <c r="Q35" s="391">
        <f t="shared" si="4"/>
        <v>38.957973367705634</v>
      </c>
      <c r="R35" s="391">
        <f t="shared" si="4"/>
        <v>38.957973367705634</v>
      </c>
      <c r="S35" s="406">
        <f t="shared" si="4"/>
        <v>38.957973367705634</v>
      </c>
      <c r="T35" s="391">
        <f t="shared" si="4"/>
        <v>38.957973367705634</v>
      </c>
      <c r="U35" s="391">
        <f t="shared" si="4"/>
        <v>38.957973367705634</v>
      </c>
      <c r="V35" s="391">
        <f t="shared" si="4"/>
        <v>38.957973367705634</v>
      </c>
      <c r="W35" s="391">
        <f t="shared" si="4"/>
        <v>38.957973367705634</v>
      </c>
      <c r="X35" s="391">
        <f t="shared" si="4"/>
        <v>38.957973367705634</v>
      </c>
      <c r="Y35" s="391">
        <f t="shared" si="4"/>
        <v>38.957973367705634</v>
      </c>
      <c r="Z35" s="391">
        <f t="shared" si="4"/>
        <v>38.957973367705634</v>
      </c>
      <c r="AA35" s="391">
        <f t="shared" si="4"/>
        <v>38.957973367705634</v>
      </c>
      <c r="AB35" s="391">
        <f t="shared" si="4"/>
        <v>38.957973367705634</v>
      </c>
      <c r="AC35" s="391">
        <f t="shared" si="4"/>
        <v>38.957973367705634</v>
      </c>
      <c r="AD35" s="391">
        <f t="shared" si="4"/>
        <v>38.957973367705634</v>
      </c>
      <c r="AE35" s="391">
        <f t="shared" si="4"/>
        <v>38.957973367705634</v>
      </c>
      <c r="AF35" s="391">
        <f t="shared" si="4"/>
        <v>38.957973367705634</v>
      </c>
      <c r="AG35" s="391">
        <f t="shared" si="4"/>
        <v>38.957973367705634</v>
      </c>
      <c r="AH35" s="391">
        <f t="shared" si="4"/>
        <v>38.957973367705634</v>
      </c>
      <c r="AI35" s="406">
        <f t="shared" si="4"/>
        <v>38.957973367705634</v>
      </c>
      <c r="AJ35" s="412">
        <f t="shared" si="8"/>
        <v>1.0021</v>
      </c>
    </row>
    <row r="36" spans="1:36" s="29" customFormat="1" x14ac:dyDescent="0.25">
      <c r="A36" s="365">
        <f t="shared" si="2"/>
        <v>28</v>
      </c>
      <c r="B36" s="389">
        <f t="shared" si="5"/>
        <v>250000</v>
      </c>
      <c r="C36" s="390">
        <f t="shared" si="3"/>
        <v>28</v>
      </c>
      <c r="D36" s="391">
        <f t="shared" si="6"/>
        <v>39.244386938162592</v>
      </c>
      <c r="E36" s="391">
        <f t="shared" si="7"/>
        <v>39.244386938162592</v>
      </c>
      <c r="F36" s="391">
        <f t="shared" si="4"/>
        <v>39.244386938162592</v>
      </c>
      <c r="G36" s="391">
        <f t="shared" si="4"/>
        <v>39.244386938162592</v>
      </c>
      <c r="H36" s="391">
        <f t="shared" si="4"/>
        <v>39.244386938162592</v>
      </c>
      <c r="I36" s="391">
        <f t="shared" si="4"/>
        <v>39.244386938162592</v>
      </c>
      <c r="J36" s="391">
        <f t="shared" si="4"/>
        <v>39.244386938162592</v>
      </c>
      <c r="K36" s="391">
        <f t="shared" si="4"/>
        <v>39.244386938162592</v>
      </c>
      <c r="L36" s="391">
        <f t="shared" si="4"/>
        <v>39.244386938162592</v>
      </c>
      <c r="M36" s="391">
        <f t="shared" si="4"/>
        <v>39.244386938162592</v>
      </c>
      <c r="N36" s="391">
        <f t="shared" si="4"/>
        <v>39.244386938162592</v>
      </c>
      <c r="O36" s="391">
        <f t="shared" si="4"/>
        <v>39.244386938162592</v>
      </c>
      <c r="P36" s="391">
        <f t="shared" si="4"/>
        <v>39.244386938162592</v>
      </c>
      <c r="Q36" s="391">
        <f t="shared" si="4"/>
        <v>39.244386938162592</v>
      </c>
      <c r="R36" s="391">
        <f t="shared" si="4"/>
        <v>39.244386938162592</v>
      </c>
      <c r="S36" s="406">
        <f t="shared" si="4"/>
        <v>39.244386938162592</v>
      </c>
      <c r="T36" s="391">
        <f t="shared" si="4"/>
        <v>39.244386938162592</v>
      </c>
      <c r="U36" s="391">
        <f t="shared" si="4"/>
        <v>39.244386938162592</v>
      </c>
      <c r="V36" s="391">
        <f t="shared" si="4"/>
        <v>39.244386938162592</v>
      </c>
      <c r="W36" s="391">
        <f t="shared" si="4"/>
        <v>39.244386938162592</v>
      </c>
      <c r="X36" s="391">
        <f t="shared" si="4"/>
        <v>39.244386938162592</v>
      </c>
      <c r="Y36" s="391">
        <f t="shared" si="4"/>
        <v>39.244386938162592</v>
      </c>
      <c r="Z36" s="391">
        <f t="shared" si="4"/>
        <v>39.244386938162592</v>
      </c>
      <c r="AA36" s="391">
        <f t="shared" si="4"/>
        <v>39.244386938162592</v>
      </c>
      <c r="AB36" s="391">
        <f t="shared" si="4"/>
        <v>39.244386938162592</v>
      </c>
      <c r="AC36" s="391">
        <f t="shared" si="4"/>
        <v>39.244386938162592</v>
      </c>
      <c r="AD36" s="391">
        <f t="shared" si="4"/>
        <v>39.244386938162592</v>
      </c>
      <c r="AE36" s="391">
        <f t="shared" si="4"/>
        <v>39.244386938162592</v>
      </c>
      <c r="AF36" s="391">
        <f t="shared" si="4"/>
        <v>39.244386938162592</v>
      </c>
      <c r="AG36" s="391">
        <f t="shared" si="4"/>
        <v>39.244386938162592</v>
      </c>
      <c r="AH36" s="391">
        <f t="shared" si="4"/>
        <v>39.244386938162592</v>
      </c>
      <c r="AI36" s="406">
        <f t="shared" si="4"/>
        <v>39.244386938162592</v>
      </c>
      <c r="AJ36" s="412">
        <f t="shared" si="8"/>
        <v>1.002</v>
      </c>
    </row>
    <row r="37" spans="1:36" s="29" customFormat="1" x14ac:dyDescent="0.25">
      <c r="A37" s="365">
        <f t="shared" si="2"/>
        <v>29</v>
      </c>
      <c r="B37" s="389">
        <f t="shared" si="5"/>
        <v>275000</v>
      </c>
      <c r="C37" s="390">
        <f t="shared" si="3"/>
        <v>29</v>
      </c>
      <c r="D37" s="391">
        <f t="shared" si="6"/>
        <v>39.518979969824144</v>
      </c>
      <c r="E37" s="391">
        <f t="shared" si="7"/>
        <v>39.518979969824144</v>
      </c>
      <c r="F37" s="391">
        <f t="shared" si="4"/>
        <v>39.518979969824144</v>
      </c>
      <c r="G37" s="391">
        <f t="shared" si="4"/>
        <v>39.518979969824144</v>
      </c>
      <c r="H37" s="391">
        <f t="shared" si="4"/>
        <v>39.518979969824144</v>
      </c>
      <c r="I37" s="391">
        <f t="shared" si="4"/>
        <v>39.518979969824144</v>
      </c>
      <c r="J37" s="391">
        <f t="shared" si="4"/>
        <v>39.518979969824144</v>
      </c>
      <c r="K37" s="391">
        <f t="shared" si="4"/>
        <v>39.518979969824144</v>
      </c>
      <c r="L37" s="391">
        <f t="shared" si="4"/>
        <v>39.518979969824144</v>
      </c>
      <c r="M37" s="391">
        <f t="shared" si="4"/>
        <v>39.518979969824144</v>
      </c>
      <c r="N37" s="391">
        <f t="shared" si="4"/>
        <v>39.518979969824144</v>
      </c>
      <c r="O37" s="391">
        <f t="shared" si="4"/>
        <v>39.518979969824144</v>
      </c>
      <c r="P37" s="391">
        <f t="shared" si="4"/>
        <v>39.518979969824144</v>
      </c>
      <c r="Q37" s="391">
        <f t="shared" si="4"/>
        <v>39.518979969824144</v>
      </c>
      <c r="R37" s="391">
        <f t="shared" si="4"/>
        <v>39.518979969824144</v>
      </c>
      <c r="S37" s="406">
        <f t="shared" si="4"/>
        <v>39.518979969824144</v>
      </c>
      <c r="T37" s="391">
        <f t="shared" si="4"/>
        <v>39.518979969824144</v>
      </c>
      <c r="U37" s="391">
        <f t="shared" si="4"/>
        <v>39.518979969824144</v>
      </c>
      <c r="V37" s="391">
        <f t="shared" si="4"/>
        <v>39.518979969824144</v>
      </c>
      <c r="W37" s="391">
        <f t="shared" si="4"/>
        <v>39.518979969824144</v>
      </c>
      <c r="X37" s="391">
        <f t="shared" si="4"/>
        <v>39.518979969824144</v>
      </c>
      <c r="Y37" s="391">
        <f t="shared" si="4"/>
        <v>39.518979969824144</v>
      </c>
      <c r="Z37" s="391">
        <f t="shared" si="4"/>
        <v>39.518979969824144</v>
      </c>
      <c r="AA37" s="391">
        <f t="shared" si="4"/>
        <v>39.518979969824144</v>
      </c>
      <c r="AB37" s="391">
        <f t="shared" si="4"/>
        <v>39.518979969824144</v>
      </c>
      <c r="AC37" s="391">
        <f t="shared" si="4"/>
        <v>39.518979969824144</v>
      </c>
      <c r="AD37" s="391">
        <f t="shared" si="4"/>
        <v>39.518979969824144</v>
      </c>
      <c r="AE37" s="391">
        <f t="shared" si="4"/>
        <v>39.518979969824144</v>
      </c>
      <c r="AF37" s="391">
        <f t="shared" si="4"/>
        <v>39.518979969824144</v>
      </c>
      <c r="AG37" s="391">
        <f t="shared" si="4"/>
        <v>39.518979969824144</v>
      </c>
      <c r="AH37" s="391">
        <f t="shared" si="4"/>
        <v>39.518979969824144</v>
      </c>
      <c r="AI37" s="406">
        <f t="shared" si="4"/>
        <v>39.518979969824144</v>
      </c>
      <c r="AJ37" s="412">
        <f t="shared" si="8"/>
        <v>1.0019</v>
      </c>
    </row>
    <row r="38" spans="1:36" s="29" customFormat="1" x14ac:dyDescent="0.25">
      <c r="A38" s="365">
        <f t="shared" si="2"/>
        <v>30</v>
      </c>
      <c r="B38" s="389">
        <f t="shared" si="5"/>
        <v>300000</v>
      </c>
      <c r="C38" s="390">
        <f t="shared" si="3"/>
        <v>30</v>
      </c>
      <c r="D38" s="391">
        <f t="shared" si="6"/>
        <v>39.781392107648685</v>
      </c>
      <c r="E38" s="391">
        <f t="shared" si="7"/>
        <v>39.781392107648685</v>
      </c>
      <c r="F38" s="391">
        <f t="shared" si="4"/>
        <v>39.781392107648685</v>
      </c>
      <c r="G38" s="391">
        <f t="shared" si="4"/>
        <v>39.781392107648685</v>
      </c>
      <c r="H38" s="391">
        <f t="shared" si="4"/>
        <v>39.781392107648685</v>
      </c>
      <c r="I38" s="391">
        <f t="shared" si="4"/>
        <v>39.781392107648685</v>
      </c>
      <c r="J38" s="391">
        <f t="shared" si="4"/>
        <v>39.781392107648685</v>
      </c>
      <c r="K38" s="391">
        <f t="shared" si="4"/>
        <v>39.781392107648685</v>
      </c>
      <c r="L38" s="391">
        <f t="shared" si="4"/>
        <v>39.781392107648685</v>
      </c>
      <c r="M38" s="391">
        <f t="shared" si="4"/>
        <v>39.781392107648685</v>
      </c>
      <c r="N38" s="391">
        <f t="shared" si="4"/>
        <v>39.781392107648685</v>
      </c>
      <c r="O38" s="391">
        <f t="shared" si="4"/>
        <v>39.781392107648685</v>
      </c>
      <c r="P38" s="391">
        <f t="shared" si="4"/>
        <v>39.781392107648685</v>
      </c>
      <c r="Q38" s="391">
        <f t="shared" si="4"/>
        <v>39.781392107648685</v>
      </c>
      <c r="R38" s="391">
        <f t="shared" si="4"/>
        <v>39.781392107648685</v>
      </c>
      <c r="S38" s="406">
        <f t="shared" si="4"/>
        <v>39.781392107648685</v>
      </c>
      <c r="T38" s="391">
        <f t="shared" si="4"/>
        <v>39.781392107648685</v>
      </c>
      <c r="U38" s="391">
        <f t="shared" si="4"/>
        <v>39.781392107648685</v>
      </c>
      <c r="V38" s="391">
        <f t="shared" si="4"/>
        <v>39.781392107648685</v>
      </c>
      <c r="W38" s="391">
        <f t="shared" si="4"/>
        <v>39.781392107648685</v>
      </c>
      <c r="X38" s="391">
        <f t="shared" si="4"/>
        <v>39.781392107648685</v>
      </c>
      <c r="Y38" s="391">
        <f t="shared" si="4"/>
        <v>39.781392107648685</v>
      </c>
      <c r="Z38" s="391">
        <f t="shared" si="4"/>
        <v>39.781392107648685</v>
      </c>
      <c r="AA38" s="391">
        <f t="shared" si="4"/>
        <v>39.781392107648685</v>
      </c>
      <c r="AB38" s="391">
        <f t="shared" si="4"/>
        <v>39.781392107648685</v>
      </c>
      <c r="AC38" s="391">
        <f t="shared" si="4"/>
        <v>39.781392107648685</v>
      </c>
      <c r="AD38" s="391">
        <f t="shared" si="4"/>
        <v>39.781392107648685</v>
      </c>
      <c r="AE38" s="391">
        <f t="shared" si="4"/>
        <v>39.781392107648685</v>
      </c>
      <c r="AF38" s="391">
        <f t="shared" si="4"/>
        <v>39.781392107648685</v>
      </c>
      <c r="AG38" s="391">
        <f t="shared" si="4"/>
        <v>39.781392107648685</v>
      </c>
      <c r="AH38" s="391">
        <f t="shared" si="4"/>
        <v>39.781392107648685</v>
      </c>
      <c r="AI38" s="406">
        <f t="shared" si="4"/>
        <v>39.781392107648685</v>
      </c>
      <c r="AJ38" s="412">
        <f t="shared" si="8"/>
        <v>1.0018</v>
      </c>
    </row>
    <row r="39" spans="1:36" s="29" customFormat="1" x14ac:dyDescent="0.25">
      <c r="A39" s="365">
        <f t="shared" si="2"/>
        <v>31</v>
      </c>
      <c r="B39" s="389">
        <f t="shared" si="5"/>
        <v>325000</v>
      </c>
      <c r="C39" s="390">
        <f t="shared" si="3"/>
        <v>31</v>
      </c>
      <c r="D39" s="391">
        <f t="shared" si="6"/>
        <v>40.031275925714546</v>
      </c>
      <c r="E39" s="391">
        <f t="shared" si="7"/>
        <v>40.031275925714546</v>
      </c>
      <c r="F39" s="391">
        <f t="shared" si="4"/>
        <v>40.031275925714546</v>
      </c>
      <c r="G39" s="391">
        <f t="shared" si="4"/>
        <v>40.031275925714546</v>
      </c>
      <c r="H39" s="391">
        <f t="shared" si="4"/>
        <v>40.031275925714546</v>
      </c>
      <c r="I39" s="391">
        <f t="shared" si="4"/>
        <v>40.031275925714546</v>
      </c>
      <c r="J39" s="391">
        <f t="shared" si="4"/>
        <v>40.031275925714546</v>
      </c>
      <c r="K39" s="391">
        <f t="shared" si="4"/>
        <v>40.031275925714546</v>
      </c>
      <c r="L39" s="391">
        <f t="shared" si="4"/>
        <v>40.031275925714546</v>
      </c>
      <c r="M39" s="391">
        <f t="shared" si="4"/>
        <v>40.031275925714546</v>
      </c>
      <c r="N39" s="391">
        <f t="shared" si="4"/>
        <v>40.031275925714546</v>
      </c>
      <c r="O39" s="391">
        <f t="shared" si="4"/>
        <v>40.031275925714546</v>
      </c>
      <c r="P39" s="391">
        <f t="shared" si="4"/>
        <v>40.031275925714546</v>
      </c>
      <c r="Q39" s="391">
        <f t="shared" si="4"/>
        <v>40.031275925714546</v>
      </c>
      <c r="R39" s="391">
        <f t="shared" si="4"/>
        <v>40.031275925714546</v>
      </c>
      <c r="S39" s="406">
        <f t="shared" si="4"/>
        <v>40.031275925714546</v>
      </c>
      <c r="T39" s="391">
        <f t="shared" si="4"/>
        <v>40.031275925714546</v>
      </c>
      <c r="U39" s="391">
        <f t="shared" si="4"/>
        <v>40.031275925714546</v>
      </c>
      <c r="V39" s="391">
        <f t="shared" si="4"/>
        <v>40.031275925714546</v>
      </c>
      <c r="W39" s="391">
        <f t="shared" si="4"/>
        <v>40.031275925714546</v>
      </c>
      <c r="X39" s="391">
        <f t="shared" si="4"/>
        <v>40.031275925714546</v>
      </c>
      <c r="Y39" s="391">
        <f t="shared" si="4"/>
        <v>40.031275925714546</v>
      </c>
      <c r="Z39" s="391">
        <f t="shared" si="4"/>
        <v>40.031275925714546</v>
      </c>
      <c r="AA39" s="391">
        <f t="shared" si="4"/>
        <v>40.031275925714546</v>
      </c>
      <c r="AB39" s="391">
        <f t="shared" si="4"/>
        <v>40.031275925714546</v>
      </c>
      <c r="AC39" s="391">
        <f t="shared" si="4"/>
        <v>40.031275925714546</v>
      </c>
      <c r="AD39" s="391">
        <f t="shared" si="4"/>
        <v>40.031275925714546</v>
      </c>
      <c r="AE39" s="391">
        <f t="shared" si="4"/>
        <v>40.031275925714546</v>
      </c>
      <c r="AF39" s="391">
        <f t="shared" si="4"/>
        <v>40.031275925714546</v>
      </c>
      <c r="AG39" s="391">
        <f t="shared" si="4"/>
        <v>40.031275925714546</v>
      </c>
      <c r="AH39" s="391">
        <f t="shared" si="4"/>
        <v>40.031275925714546</v>
      </c>
      <c r="AI39" s="406">
        <f t="shared" si="4"/>
        <v>40.031275925714546</v>
      </c>
      <c r="AJ39" s="412">
        <f t="shared" si="8"/>
        <v>1.0017</v>
      </c>
    </row>
    <row r="40" spans="1:36" s="29" customFormat="1" x14ac:dyDescent="0.25">
      <c r="A40" s="365">
        <f t="shared" si="2"/>
        <v>32</v>
      </c>
      <c r="B40" s="389">
        <f t="shared" si="5"/>
        <v>350000</v>
      </c>
      <c r="C40" s="390">
        <f t="shared" si="3"/>
        <v>32</v>
      </c>
      <c r="D40" s="391">
        <f t="shared" si="6"/>
        <v>40.268297804757978</v>
      </c>
      <c r="E40" s="391">
        <f t="shared" si="7"/>
        <v>40.268297804757978</v>
      </c>
      <c r="F40" s="391">
        <f t="shared" ref="F40:AI48" si="9">E40</f>
        <v>40.268297804757978</v>
      </c>
      <c r="G40" s="391">
        <f t="shared" si="9"/>
        <v>40.268297804757978</v>
      </c>
      <c r="H40" s="391">
        <f t="shared" si="9"/>
        <v>40.268297804757978</v>
      </c>
      <c r="I40" s="391">
        <f t="shared" si="9"/>
        <v>40.268297804757978</v>
      </c>
      <c r="J40" s="391">
        <f t="shared" si="9"/>
        <v>40.268297804757978</v>
      </c>
      <c r="K40" s="391">
        <f t="shared" si="9"/>
        <v>40.268297804757978</v>
      </c>
      <c r="L40" s="391">
        <f t="shared" si="9"/>
        <v>40.268297804757978</v>
      </c>
      <c r="M40" s="391">
        <f t="shared" si="9"/>
        <v>40.268297804757978</v>
      </c>
      <c r="N40" s="391">
        <f t="shared" si="9"/>
        <v>40.268297804757978</v>
      </c>
      <c r="O40" s="391">
        <f t="shared" si="9"/>
        <v>40.268297804757978</v>
      </c>
      <c r="P40" s="391">
        <f t="shared" si="9"/>
        <v>40.268297804757978</v>
      </c>
      <c r="Q40" s="391">
        <f t="shared" si="9"/>
        <v>40.268297804757978</v>
      </c>
      <c r="R40" s="391">
        <f t="shared" si="9"/>
        <v>40.268297804757978</v>
      </c>
      <c r="S40" s="406">
        <f t="shared" si="9"/>
        <v>40.268297804757978</v>
      </c>
      <c r="T40" s="391">
        <f t="shared" si="9"/>
        <v>40.268297804757978</v>
      </c>
      <c r="U40" s="391">
        <f t="shared" si="9"/>
        <v>40.268297804757978</v>
      </c>
      <c r="V40" s="391">
        <f t="shared" si="9"/>
        <v>40.268297804757978</v>
      </c>
      <c r="W40" s="391">
        <f t="shared" si="9"/>
        <v>40.268297804757978</v>
      </c>
      <c r="X40" s="391">
        <f t="shared" si="9"/>
        <v>40.268297804757978</v>
      </c>
      <c r="Y40" s="391">
        <f t="shared" si="9"/>
        <v>40.268297804757978</v>
      </c>
      <c r="Z40" s="391">
        <f t="shared" si="9"/>
        <v>40.268297804757978</v>
      </c>
      <c r="AA40" s="391">
        <f t="shared" si="9"/>
        <v>40.268297804757978</v>
      </c>
      <c r="AB40" s="391">
        <f t="shared" si="9"/>
        <v>40.268297804757978</v>
      </c>
      <c r="AC40" s="391">
        <f t="shared" si="9"/>
        <v>40.268297804757978</v>
      </c>
      <c r="AD40" s="391">
        <f t="shared" si="9"/>
        <v>40.268297804757978</v>
      </c>
      <c r="AE40" s="391">
        <f t="shared" si="9"/>
        <v>40.268297804757978</v>
      </c>
      <c r="AF40" s="391">
        <f t="shared" si="9"/>
        <v>40.268297804757978</v>
      </c>
      <c r="AG40" s="391">
        <f t="shared" si="9"/>
        <v>40.268297804757978</v>
      </c>
      <c r="AH40" s="391">
        <f t="shared" si="9"/>
        <v>40.268297804757978</v>
      </c>
      <c r="AI40" s="406">
        <f t="shared" si="9"/>
        <v>40.268297804757978</v>
      </c>
      <c r="AJ40" s="412">
        <f t="shared" si="8"/>
        <v>1.0016</v>
      </c>
    </row>
    <row r="41" spans="1:36" s="29" customFormat="1" x14ac:dyDescent="0.25">
      <c r="A41" s="365">
        <f t="shared" si="2"/>
        <v>33</v>
      </c>
      <c r="B41" s="389">
        <f t="shared" si="5"/>
        <v>375000</v>
      </c>
      <c r="C41" s="390">
        <f t="shared" si="3"/>
        <v>33</v>
      </c>
      <c r="D41" s="391">
        <f t="shared" si="6"/>
        <v>40.492138783675777</v>
      </c>
      <c r="E41" s="391">
        <f t="shared" si="7"/>
        <v>40.492138783675777</v>
      </c>
      <c r="F41" s="391">
        <f t="shared" si="9"/>
        <v>40.492138783675777</v>
      </c>
      <c r="G41" s="391">
        <f t="shared" si="9"/>
        <v>40.492138783675777</v>
      </c>
      <c r="H41" s="391">
        <f t="shared" si="9"/>
        <v>40.492138783675777</v>
      </c>
      <c r="I41" s="391">
        <f t="shared" si="9"/>
        <v>40.492138783675777</v>
      </c>
      <c r="J41" s="391">
        <f t="shared" si="9"/>
        <v>40.492138783675777</v>
      </c>
      <c r="K41" s="391">
        <f t="shared" si="9"/>
        <v>40.492138783675777</v>
      </c>
      <c r="L41" s="391">
        <f t="shared" si="9"/>
        <v>40.492138783675777</v>
      </c>
      <c r="M41" s="391">
        <f t="shared" si="9"/>
        <v>40.492138783675777</v>
      </c>
      <c r="N41" s="391">
        <f t="shared" si="9"/>
        <v>40.492138783675777</v>
      </c>
      <c r="O41" s="391">
        <f t="shared" si="9"/>
        <v>40.492138783675777</v>
      </c>
      <c r="P41" s="391">
        <f t="shared" si="9"/>
        <v>40.492138783675777</v>
      </c>
      <c r="Q41" s="391">
        <f t="shared" si="9"/>
        <v>40.492138783675777</v>
      </c>
      <c r="R41" s="391">
        <f t="shared" si="9"/>
        <v>40.492138783675777</v>
      </c>
      <c r="S41" s="406">
        <f t="shared" si="9"/>
        <v>40.492138783675777</v>
      </c>
      <c r="T41" s="391">
        <f t="shared" si="9"/>
        <v>40.492138783675777</v>
      </c>
      <c r="U41" s="391">
        <f t="shared" si="9"/>
        <v>40.492138783675777</v>
      </c>
      <c r="V41" s="391">
        <f t="shared" si="9"/>
        <v>40.492138783675777</v>
      </c>
      <c r="W41" s="391">
        <f t="shared" si="9"/>
        <v>40.492138783675777</v>
      </c>
      <c r="X41" s="391">
        <f t="shared" si="9"/>
        <v>40.492138783675777</v>
      </c>
      <c r="Y41" s="391">
        <f t="shared" si="9"/>
        <v>40.492138783675777</v>
      </c>
      <c r="Z41" s="391">
        <f t="shared" si="9"/>
        <v>40.492138783675777</v>
      </c>
      <c r="AA41" s="391">
        <f t="shared" si="9"/>
        <v>40.492138783675777</v>
      </c>
      <c r="AB41" s="391">
        <f t="shared" si="9"/>
        <v>40.492138783675777</v>
      </c>
      <c r="AC41" s="391">
        <f t="shared" si="9"/>
        <v>40.492138783675777</v>
      </c>
      <c r="AD41" s="391">
        <f t="shared" si="9"/>
        <v>40.492138783675777</v>
      </c>
      <c r="AE41" s="391">
        <f t="shared" si="9"/>
        <v>40.492138783675777</v>
      </c>
      <c r="AF41" s="391">
        <f t="shared" si="9"/>
        <v>40.492138783675777</v>
      </c>
      <c r="AG41" s="391">
        <f t="shared" si="9"/>
        <v>40.492138783675777</v>
      </c>
      <c r="AH41" s="391">
        <f t="shared" si="9"/>
        <v>40.492138783675777</v>
      </c>
      <c r="AI41" s="406">
        <f t="shared" si="9"/>
        <v>40.492138783675777</v>
      </c>
      <c r="AJ41" s="412">
        <f t="shared" si="8"/>
        <v>1.0015000000000001</v>
      </c>
    </row>
    <row r="42" spans="1:36" s="29" customFormat="1" x14ac:dyDescent="0.25">
      <c r="A42" s="365">
        <f t="shared" si="2"/>
        <v>34</v>
      </c>
      <c r="B42" s="389">
        <f t="shared" si="5"/>
        <v>400000</v>
      </c>
      <c r="C42" s="390">
        <f t="shared" si="3"/>
        <v>34</v>
      </c>
      <c r="D42" s="391">
        <f t="shared" si="6"/>
        <v>40.702495381617069</v>
      </c>
      <c r="E42" s="391">
        <f t="shared" si="7"/>
        <v>40.702495381617069</v>
      </c>
      <c r="F42" s="391">
        <f t="shared" si="9"/>
        <v>40.702495381617069</v>
      </c>
      <c r="G42" s="391">
        <f t="shared" si="9"/>
        <v>40.702495381617069</v>
      </c>
      <c r="H42" s="391">
        <f t="shared" si="9"/>
        <v>40.702495381617069</v>
      </c>
      <c r="I42" s="391">
        <f t="shared" si="9"/>
        <v>40.702495381617069</v>
      </c>
      <c r="J42" s="391">
        <f t="shared" si="9"/>
        <v>40.702495381617069</v>
      </c>
      <c r="K42" s="391">
        <f t="shared" si="9"/>
        <v>40.702495381617069</v>
      </c>
      <c r="L42" s="391">
        <f t="shared" si="9"/>
        <v>40.702495381617069</v>
      </c>
      <c r="M42" s="391">
        <f t="shared" si="9"/>
        <v>40.702495381617069</v>
      </c>
      <c r="N42" s="391">
        <f t="shared" si="9"/>
        <v>40.702495381617069</v>
      </c>
      <c r="O42" s="391">
        <f t="shared" si="9"/>
        <v>40.702495381617069</v>
      </c>
      <c r="P42" s="391">
        <f t="shared" si="9"/>
        <v>40.702495381617069</v>
      </c>
      <c r="Q42" s="391">
        <f t="shared" si="9"/>
        <v>40.702495381617069</v>
      </c>
      <c r="R42" s="391">
        <f t="shared" si="9"/>
        <v>40.702495381617069</v>
      </c>
      <c r="S42" s="406">
        <f t="shared" si="9"/>
        <v>40.702495381617069</v>
      </c>
      <c r="T42" s="391">
        <f t="shared" si="9"/>
        <v>40.702495381617069</v>
      </c>
      <c r="U42" s="391">
        <f t="shared" si="9"/>
        <v>40.702495381617069</v>
      </c>
      <c r="V42" s="391">
        <f t="shared" si="9"/>
        <v>40.702495381617069</v>
      </c>
      <c r="W42" s="391">
        <f t="shared" si="9"/>
        <v>40.702495381617069</v>
      </c>
      <c r="X42" s="391">
        <f t="shared" si="9"/>
        <v>40.702495381617069</v>
      </c>
      <c r="Y42" s="391">
        <f t="shared" si="9"/>
        <v>40.702495381617069</v>
      </c>
      <c r="Z42" s="391">
        <f t="shared" si="9"/>
        <v>40.702495381617069</v>
      </c>
      <c r="AA42" s="391">
        <f t="shared" si="9"/>
        <v>40.702495381617069</v>
      </c>
      <c r="AB42" s="391">
        <f t="shared" si="9"/>
        <v>40.702495381617069</v>
      </c>
      <c r="AC42" s="391">
        <f t="shared" si="9"/>
        <v>40.702495381617069</v>
      </c>
      <c r="AD42" s="391">
        <f t="shared" si="9"/>
        <v>40.702495381617069</v>
      </c>
      <c r="AE42" s="391">
        <f t="shared" si="9"/>
        <v>40.702495381617069</v>
      </c>
      <c r="AF42" s="391">
        <f t="shared" si="9"/>
        <v>40.702495381617069</v>
      </c>
      <c r="AG42" s="391">
        <f t="shared" si="9"/>
        <v>40.702495381617069</v>
      </c>
      <c r="AH42" s="391">
        <f t="shared" si="9"/>
        <v>40.702495381617069</v>
      </c>
      <c r="AI42" s="406">
        <f t="shared" si="9"/>
        <v>40.702495381617069</v>
      </c>
      <c r="AJ42" s="412">
        <f t="shared" si="8"/>
        <v>1.0014000000000001</v>
      </c>
    </row>
    <row r="43" spans="1:36" s="29" customFormat="1" x14ac:dyDescent="0.25">
      <c r="A43" s="365">
        <f t="shared" si="2"/>
        <v>35</v>
      </c>
      <c r="B43" s="389">
        <f t="shared" si="5"/>
        <v>425000</v>
      </c>
      <c r="C43" s="390">
        <f t="shared" si="3"/>
        <v>35</v>
      </c>
      <c r="D43" s="391">
        <f t="shared" si="6"/>
        <v>40.899080387366787</v>
      </c>
      <c r="E43" s="391">
        <f t="shared" si="7"/>
        <v>40.899080387366787</v>
      </c>
      <c r="F43" s="391">
        <f t="shared" si="9"/>
        <v>40.899080387366787</v>
      </c>
      <c r="G43" s="391">
        <f t="shared" si="9"/>
        <v>40.899080387366787</v>
      </c>
      <c r="H43" s="391">
        <f t="shared" si="9"/>
        <v>40.899080387366787</v>
      </c>
      <c r="I43" s="391">
        <f t="shared" si="9"/>
        <v>40.899080387366787</v>
      </c>
      <c r="J43" s="391">
        <f t="shared" si="9"/>
        <v>40.899080387366787</v>
      </c>
      <c r="K43" s="391">
        <f t="shared" si="9"/>
        <v>40.899080387366787</v>
      </c>
      <c r="L43" s="391">
        <f t="shared" si="9"/>
        <v>40.899080387366787</v>
      </c>
      <c r="M43" s="391">
        <f t="shared" si="9"/>
        <v>40.899080387366787</v>
      </c>
      <c r="N43" s="391">
        <f t="shared" si="9"/>
        <v>40.899080387366787</v>
      </c>
      <c r="O43" s="391">
        <f t="shared" si="9"/>
        <v>40.899080387366787</v>
      </c>
      <c r="P43" s="391">
        <f t="shared" si="9"/>
        <v>40.899080387366787</v>
      </c>
      <c r="Q43" s="391">
        <f t="shared" si="9"/>
        <v>40.899080387366787</v>
      </c>
      <c r="R43" s="391">
        <f t="shared" si="9"/>
        <v>40.899080387366787</v>
      </c>
      <c r="S43" s="406">
        <f t="shared" si="9"/>
        <v>40.899080387366787</v>
      </c>
      <c r="T43" s="391">
        <f t="shared" si="9"/>
        <v>40.899080387366787</v>
      </c>
      <c r="U43" s="391">
        <f t="shared" si="9"/>
        <v>40.899080387366787</v>
      </c>
      <c r="V43" s="391">
        <f t="shared" si="9"/>
        <v>40.899080387366787</v>
      </c>
      <c r="W43" s="391">
        <f t="shared" si="9"/>
        <v>40.899080387366787</v>
      </c>
      <c r="X43" s="391">
        <f t="shared" si="9"/>
        <v>40.899080387366787</v>
      </c>
      <c r="Y43" s="391">
        <f t="shared" si="9"/>
        <v>40.899080387366787</v>
      </c>
      <c r="Z43" s="391">
        <f t="shared" si="9"/>
        <v>40.899080387366787</v>
      </c>
      <c r="AA43" s="391">
        <f t="shared" si="9"/>
        <v>40.899080387366787</v>
      </c>
      <c r="AB43" s="391">
        <f t="shared" si="9"/>
        <v>40.899080387366787</v>
      </c>
      <c r="AC43" s="391">
        <f t="shared" si="9"/>
        <v>40.899080387366787</v>
      </c>
      <c r="AD43" s="391">
        <f t="shared" si="9"/>
        <v>40.899080387366787</v>
      </c>
      <c r="AE43" s="391">
        <f t="shared" si="9"/>
        <v>40.899080387366787</v>
      </c>
      <c r="AF43" s="391">
        <f t="shared" si="9"/>
        <v>40.899080387366787</v>
      </c>
      <c r="AG43" s="391">
        <f t="shared" si="9"/>
        <v>40.899080387366787</v>
      </c>
      <c r="AH43" s="391">
        <f t="shared" si="9"/>
        <v>40.899080387366787</v>
      </c>
      <c r="AI43" s="406">
        <f t="shared" si="9"/>
        <v>40.899080387366787</v>
      </c>
      <c r="AJ43" s="412">
        <f t="shared" si="8"/>
        <v>1.0013000000000001</v>
      </c>
    </row>
    <row r="44" spans="1:36" s="29" customFormat="1" x14ac:dyDescent="0.25">
      <c r="A44" s="365">
        <f t="shared" si="2"/>
        <v>36</v>
      </c>
      <c r="B44" s="389">
        <f t="shared" si="5"/>
        <v>450000</v>
      </c>
      <c r="C44" s="390">
        <f t="shared" si="3"/>
        <v>36</v>
      </c>
      <c r="D44" s="391">
        <f t="shared" si="6"/>
        <v>41.081623612819257</v>
      </c>
      <c r="E44" s="391">
        <f t="shared" si="7"/>
        <v>41.081623612819257</v>
      </c>
      <c r="F44" s="391">
        <f t="shared" si="9"/>
        <v>41.081623612819257</v>
      </c>
      <c r="G44" s="391">
        <f t="shared" si="9"/>
        <v>41.081623612819257</v>
      </c>
      <c r="H44" s="391">
        <f t="shared" si="9"/>
        <v>41.081623612819257</v>
      </c>
      <c r="I44" s="391">
        <f t="shared" si="9"/>
        <v>41.081623612819257</v>
      </c>
      <c r="J44" s="391">
        <f t="shared" si="9"/>
        <v>41.081623612819257</v>
      </c>
      <c r="K44" s="391">
        <f t="shared" si="9"/>
        <v>41.081623612819257</v>
      </c>
      <c r="L44" s="391">
        <f t="shared" si="9"/>
        <v>41.081623612819257</v>
      </c>
      <c r="M44" s="391">
        <f t="shared" si="9"/>
        <v>41.081623612819257</v>
      </c>
      <c r="N44" s="391">
        <f t="shared" si="9"/>
        <v>41.081623612819257</v>
      </c>
      <c r="O44" s="391">
        <f t="shared" si="9"/>
        <v>41.081623612819257</v>
      </c>
      <c r="P44" s="391">
        <f t="shared" si="9"/>
        <v>41.081623612819257</v>
      </c>
      <c r="Q44" s="391">
        <f t="shared" si="9"/>
        <v>41.081623612819257</v>
      </c>
      <c r="R44" s="391">
        <f t="shared" si="9"/>
        <v>41.081623612819257</v>
      </c>
      <c r="S44" s="406">
        <f t="shared" si="9"/>
        <v>41.081623612819257</v>
      </c>
      <c r="T44" s="391">
        <f t="shared" si="9"/>
        <v>41.081623612819257</v>
      </c>
      <c r="U44" s="391">
        <f t="shared" si="9"/>
        <v>41.081623612819257</v>
      </c>
      <c r="V44" s="391">
        <f t="shared" si="9"/>
        <v>41.081623612819257</v>
      </c>
      <c r="W44" s="391">
        <f t="shared" si="9"/>
        <v>41.081623612819257</v>
      </c>
      <c r="X44" s="391">
        <f t="shared" si="9"/>
        <v>41.081623612819257</v>
      </c>
      <c r="Y44" s="391">
        <f t="shared" si="9"/>
        <v>41.081623612819257</v>
      </c>
      <c r="Z44" s="391">
        <f t="shared" si="9"/>
        <v>41.081623612819257</v>
      </c>
      <c r="AA44" s="391">
        <f t="shared" si="9"/>
        <v>41.081623612819257</v>
      </c>
      <c r="AB44" s="391">
        <f t="shared" si="9"/>
        <v>41.081623612819257</v>
      </c>
      <c r="AC44" s="391">
        <f t="shared" si="9"/>
        <v>41.081623612819257</v>
      </c>
      <c r="AD44" s="391">
        <f t="shared" si="9"/>
        <v>41.081623612819257</v>
      </c>
      <c r="AE44" s="391">
        <f t="shared" si="9"/>
        <v>41.081623612819257</v>
      </c>
      <c r="AF44" s="391">
        <f t="shared" si="9"/>
        <v>41.081623612819257</v>
      </c>
      <c r="AG44" s="391">
        <f t="shared" si="9"/>
        <v>41.081623612819257</v>
      </c>
      <c r="AH44" s="391">
        <f t="shared" si="9"/>
        <v>41.081623612819257</v>
      </c>
      <c r="AI44" s="406">
        <f t="shared" si="9"/>
        <v>41.081623612819257</v>
      </c>
      <c r="AJ44" s="412">
        <f t="shared" si="8"/>
        <v>1.0012000000000001</v>
      </c>
    </row>
    <row r="45" spans="1:36" s="29" customFormat="1" x14ac:dyDescent="0.25">
      <c r="A45" s="365">
        <f t="shared" si="2"/>
        <v>37</v>
      </c>
      <c r="B45" s="389">
        <f t="shared" si="5"/>
        <v>475000</v>
      </c>
      <c r="C45" s="390">
        <f t="shared" si="3"/>
        <v>37</v>
      </c>
      <c r="D45" s="391">
        <f t="shared" si="6"/>
        <v>41.249872607454797</v>
      </c>
      <c r="E45" s="391">
        <f t="shared" si="7"/>
        <v>41.249872607454797</v>
      </c>
      <c r="F45" s="391">
        <f t="shared" si="9"/>
        <v>41.249872607454797</v>
      </c>
      <c r="G45" s="391">
        <f t="shared" si="9"/>
        <v>41.249872607454797</v>
      </c>
      <c r="H45" s="391">
        <f t="shared" si="9"/>
        <v>41.249872607454797</v>
      </c>
      <c r="I45" s="391">
        <f t="shared" si="9"/>
        <v>41.249872607454797</v>
      </c>
      <c r="J45" s="391">
        <f t="shared" si="9"/>
        <v>41.249872607454797</v>
      </c>
      <c r="K45" s="391">
        <f t="shared" si="9"/>
        <v>41.249872607454797</v>
      </c>
      <c r="L45" s="391">
        <f t="shared" si="9"/>
        <v>41.249872607454797</v>
      </c>
      <c r="M45" s="391">
        <f t="shared" si="9"/>
        <v>41.249872607454797</v>
      </c>
      <c r="N45" s="391">
        <f t="shared" si="9"/>
        <v>41.249872607454797</v>
      </c>
      <c r="O45" s="391">
        <f t="shared" si="9"/>
        <v>41.249872607454797</v>
      </c>
      <c r="P45" s="391">
        <f t="shared" si="9"/>
        <v>41.249872607454797</v>
      </c>
      <c r="Q45" s="391">
        <f t="shared" si="9"/>
        <v>41.249872607454797</v>
      </c>
      <c r="R45" s="391">
        <f t="shared" si="9"/>
        <v>41.249872607454797</v>
      </c>
      <c r="S45" s="406">
        <f t="shared" si="9"/>
        <v>41.249872607454797</v>
      </c>
      <c r="T45" s="391">
        <f t="shared" si="9"/>
        <v>41.249872607454797</v>
      </c>
      <c r="U45" s="391">
        <f t="shared" si="9"/>
        <v>41.249872607454797</v>
      </c>
      <c r="V45" s="391">
        <f t="shared" si="9"/>
        <v>41.249872607454797</v>
      </c>
      <c r="W45" s="391">
        <f t="shared" si="9"/>
        <v>41.249872607454797</v>
      </c>
      <c r="X45" s="391">
        <f t="shared" si="9"/>
        <v>41.249872607454797</v>
      </c>
      <c r="Y45" s="391">
        <f t="shared" si="9"/>
        <v>41.249872607454797</v>
      </c>
      <c r="Z45" s="391">
        <f t="shared" si="9"/>
        <v>41.249872607454797</v>
      </c>
      <c r="AA45" s="391">
        <f t="shared" si="9"/>
        <v>41.249872607454797</v>
      </c>
      <c r="AB45" s="391">
        <f t="shared" si="9"/>
        <v>41.249872607454797</v>
      </c>
      <c r="AC45" s="391">
        <f t="shared" si="9"/>
        <v>41.249872607454797</v>
      </c>
      <c r="AD45" s="391">
        <f t="shared" si="9"/>
        <v>41.249872607454797</v>
      </c>
      <c r="AE45" s="391">
        <f t="shared" si="9"/>
        <v>41.249872607454797</v>
      </c>
      <c r="AF45" s="391">
        <f t="shared" si="9"/>
        <v>41.249872607454797</v>
      </c>
      <c r="AG45" s="391">
        <f t="shared" si="9"/>
        <v>41.249872607454797</v>
      </c>
      <c r="AH45" s="391">
        <f t="shared" si="9"/>
        <v>41.249872607454797</v>
      </c>
      <c r="AI45" s="406">
        <f t="shared" si="9"/>
        <v>41.249872607454797</v>
      </c>
      <c r="AJ45" s="412">
        <f t="shared" si="8"/>
        <v>1.0011000000000001</v>
      </c>
    </row>
    <row r="46" spans="1:36" s="29" customFormat="1" x14ac:dyDescent="0.25">
      <c r="A46" s="365">
        <f t="shared" si="2"/>
        <v>38</v>
      </c>
      <c r="B46" s="389">
        <f t="shared" si="5"/>
        <v>500000</v>
      </c>
      <c r="C46" s="390">
        <f t="shared" si="3"/>
        <v>38</v>
      </c>
      <c r="D46" s="391">
        <f t="shared" si="6"/>
        <v>41.403593330864268</v>
      </c>
      <c r="E46" s="391">
        <f t="shared" si="7"/>
        <v>41.403593330864268</v>
      </c>
      <c r="F46" s="391">
        <f t="shared" si="9"/>
        <v>41.403593330864268</v>
      </c>
      <c r="G46" s="391">
        <f t="shared" si="9"/>
        <v>41.403593330864268</v>
      </c>
      <c r="H46" s="391">
        <f t="shared" si="9"/>
        <v>41.403593330864268</v>
      </c>
      <c r="I46" s="391">
        <f t="shared" si="9"/>
        <v>41.403593330864268</v>
      </c>
      <c r="J46" s="391">
        <f t="shared" si="9"/>
        <v>41.403593330864268</v>
      </c>
      <c r="K46" s="391">
        <f t="shared" si="9"/>
        <v>41.403593330864268</v>
      </c>
      <c r="L46" s="391">
        <f t="shared" si="9"/>
        <v>41.403593330864268</v>
      </c>
      <c r="M46" s="391">
        <f t="shared" si="9"/>
        <v>41.403593330864268</v>
      </c>
      <c r="N46" s="391">
        <f t="shared" si="9"/>
        <v>41.403593330864268</v>
      </c>
      <c r="O46" s="391">
        <f t="shared" si="9"/>
        <v>41.403593330864268</v>
      </c>
      <c r="P46" s="391">
        <f t="shared" si="9"/>
        <v>41.403593330864268</v>
      </c>
      <c r="Q46" s="391">
        <f t="shared" si="9"/>
        <v>41.403593330864268</v>
      </c>
      <c r="R46" s="391">
        <f t="shared" si="9"/>
        <v>41.403593330864268</v>
      </c>
      <c r="S46" s="406">
        <f t="shared" si="9"/>
        <v>41.403593330864268</v>
      </c>
      <c r="T46" s="391">
        <f t="shared" si="9"/>
        <v>41.403593330864268</v>
      </c>
      <c r="U46" s="391">
        <f t="shared" si="9"/>
        <v>41.403593330864268</v>
      </c>
      <c r="V46" s="391">
        <f t="shared" si="9"/>
        <v>41.403593330864268</v>
      </c>
      <c r="W46" s="391">
        <f t="shared" si="9"/>
        <v>41.403593330864268</v>
      </c>
      <c r="X46" s="391">
        <f t="shared" si="9"/>
        <v>41.403593330864268</v>
      </c>
      <c r="Y46" s="391">
        <f t="shared" si="9"/>
        <v>41.403593330864268</v>
      </c>
      <c r="Z46" s="391">
        <f t="shared" si="9"/>
        <v>41.403593330864268</v>
      </c>
      <c r="AA46" s="391">
        <f t="shared" si="9"/>
        <v>41.403593330864268</v>
      </c>
      <c r="AB46" s="391">
        <f t="shared" si="9"/>
        <v>41.403593330864268</v>
      </c>
      <c r="AC46" s="391">
        <f t="shared" si="9"/>
        <v>41.403593330864268</v>
      </c>
      <c r="AD46" s="391">
        <f t="shared" si="9"/>
        <v>41.403593330864268</v>
      </c>
      <c r="AE46" s="391">
        <f t="shared" si="9"/>
        <v>41.403593330864268</v>
      </c>
      <c r="AF46" s="391">
        <f t="shared" si="9"/>
        <v>41.403593330864268</v>
      </c>
      <c r="AG46" s="391">
        <f t="shared" si="9"/>
        <v>41.403593330864268</v>
      </c>
      <c r="AH46" s="391">
        <f t="shared" si="9"/>
        <v>41.403593330864268</v>
      </c>
      <c r="AI46" s="406">
        <f t="shared" si="9"/>
        <v>41.403593330864268</v>
      </c>
      <c r="AJ46" s="412">
        <f t="shared" si="8"/>
        <v>1.0010000000000001</v>
      </c>
    </row>
    <row r="47" spans="1:36" s="29" customFormat="1" x14ac:dyDescent="0.25">
      <c r="A47" s="365">
        <f t="shared" si="2"/>
        <v>39</v>
      </c>
      <c r="B47" s="389">
        <f t="shared" si="5"/>
        <v>525000</v>
      </c>
      <c r="C47" s="390">
        <f t="shared" si="3"/>
        <v>39</v>
      </c>
      <c r="D47" s="391">
        <f t="shared" si="6"/>
        <v>41.542570780515881</v>
      </c>
      <c r="E47" s="391">
        <f t="shared" si="7"/>
        <v>41.542570780515881</v>
      </c>
      <c r="F47" s="391">
        <f t="shared" si="9"/>
        <v>41.542570780515881</v>
      </c>
      <c r="G47" s="391">
        <f t="shared" si="9"/>
        <v>41.542570780515881</v>
      </c>
      <c r="H47" s="391">
        <f t="shared" si="9"/>
        <v>41.542570780515881</v>
      </c>
      <c r="I47" s="391">
        <f t="shared" si="9"/>
        <v>41.542570780515881</v>
      </c>
      <c r="J47" s="391">
        <f t="shared" si="9"/>
        <v>41.542570780515881</v>
      </c>
      <c r="K47" s="391">
        <f t="shared" si="9"/>
        <v>41.542570780515881</v>
      </c>
      <c r="L47" s="391">
        <f t="shared" si="9"/>
        <v>41.542570780515881</v>
      </c>
      <c r="M47" s="391">
        <f t="shared" si="9"/>
        <v>41.542570780515881</v>
      </c>
      <c r="N47" s="391">
        <f t="shared" si="9"/>
        <v>41.542570780515881</v>
      </c>
      <c r="O47" s="391">
        <f t="shared" si="9"/>
        <v>41.542570780515881</v>
      </c>
      <c r="P47" s="391">
        <f t="shared" si="9"/>
        <v>41.542570780515881</v>
      </c>
      <c r="Q47" s="391">
        <f t="shared" si="9"/>
        <v>41.542570780515881</v>
      </c>
      <c r="R47" s="391">
        <f t="shared" si="9"/>
        <v>41.542570780515881</v>
      </c>
      <c r="S47" s="406">
        <f t="shared" si="9"/>
        <v>41.542570780515881</v>
      </c>
      <c r="T47" s="391">
        <f t="shared" si="9"/>
        <v>41.542570780515881</v>
      </c>
      <c r="U47" s="391">
        <f t="shared" si="9"/>
        <v>41.542570780515881</v>
      </c>
      <c r="V47" s="391">
        <f t="shared" si="9"/>
        <v>41.542570780515881</v>
      </c>
      <c r="W47" s="391">
        <f t="shared" si="9"/>
        <v>41.542570780515881</v>
      </c>
      <c r="X47" s="391">
        <f t="shared" si="9"/>
        <v>41.542570780515881</v>
      </c>
      <c r="Y47" s="391">
        <f t="shared" si="9"/>
        <v>41.542570780515881</v>
      </c>
      <c r="Z47" s="391">
        <f t="shared" si="9"/>
        <v>41.542570780515881</v>
      </c>
      <c r="AA47" s="391">
        <f t="shared" si="9"/>
        <v>41.542570780515881</v>
      </c>
      <c r="AB47" s="391">
        <f t="shared" si="9"/>
        <v>41.542570780515881</v>
      </c>
      <c r="AC47" s="391">
        <f t="shared" si="9"/>
        <v>41.542570780515881</v>
      </c>
      <c r="AD47" s="391">
        <f t="shared" si="9"/>
        <v>41.542570780515881</v>
      </c>
      <c r="AE47" s="391">
        <f t="shared" si="9"/>
        <v>41.542570780515881</v>
      </c>
      <c r="AF47" s="391">
        <f t="shared" si="9"/>
        <v>41.542570780515881</v>
      </c>
      <c r="AG47" s="391">
        <f t="shared" si="9"/>
        <v>41.542570780515881</v>
      </c>
      <c r="AH47" s="391">
        <f t="shared" si="9"/>
        <v>41.542570780515881</v>
      </c>
      <c r="AI47" s="406">
        <f t="shared" si="9"/>
        <v>41.542570780515881</v>
      </c>
      <c r="AJ47" s="412">
        <f t="shared" si="8"/>
        <v>1.0009000000000001</v>
      </c>
    </row>
    <row r="48" spans="1:36" s="29" customFormat="1" x14ac:dyDescent="0.25">
      <c r="A48" s="365">
        <f t="shared" si="2"/>
        <v>40</v>
      </c>
      <c r="B48" s="389">
        <f t="shared" si="5"/>
        <v>550000</v>
      </c>
      <c r="C48" s="390">
        <f t="shared" si="3"/>
        <v>40</v>
      </c>
      <c r="D48" s="391">
        <f t="shared" si="6"/>
        <v>41.666609572124315</v>
      </c>
      <c r="E48" s="391">
        <f t="shared" si="7"/>
        <v>41.666609572124315</v>
      </c>
      <c r="F48" s="391">
        <f t="shared" si="9"/>
        <v>41.666609572124315</v>
      </c>
      <c r="G48" s="391">
        <f t="shared" si="9"/>
        <v>41.666609572124315</v>
      </c>
      <c r="H48" s="391">
        <f t="shared" si="9"/>
        <v>41.666609572124315</v>
      </c>
      <c r="I48" s="391">
        <f t="shared" si="9"/>
        <v>41.666609572124315</v>
      </c>
      <c r="J48" s="391">
        <f t="shared" si="9"/>
        <v>41.666609572124315</v>
      </c>
      <c r="K48" s="391">
        <f t="shared" si="9"/>
        <v>41.666609572124315</v>
      </c>
      <c r="L48" s="391">
        <f t="shared" si="9"/>
        <v>41.666609572124315</v>
      </c>
      <c r="M48" s="391">
        <f t="shared" si="9"/>
        <v>41.666609572124315</v>
      </c>
      <c r="N48" s="391">
        <f t="shared" si="9"/>
        <v>41.666609572124315</v>
      </c>
      <c r="O48" s="391">
        <f t="shared" si="9"/>
        <v>41.666609572124315</v>
      </c>
      <c r="P48" s="391">
        <f t="shared" si="9"/>
        <v>41.666609572124315</v>
      </c>
      <c r="Q48" s="391">
        <f t="shared" si="9"/>
        <v>41.666609572124315</v>
      </c>
      <c r="R48" s="391">
        <f t="shared" si="9"/>
        <v>41.666609572124315</v>
      </c>
      <c r="S48" s="406">
        <f t="shared" si="9"/>
        <v>41.666609572124315</v>
      </c>
      <c r="T48" s="391">
        <f t="shared" si="9"/>
        <v>41.666609572124315</v>
      </c>
      <c r="U48" s="391">
        <f t="shared" ref="F48:AI54" si="10">T48</f>
        <v>41.666609572124315</v>
      </c>
      <c r="V48" s="391">
        <f t="shared" si="10"/>
        <v>41.666609572124315</v>
      </c>
      <c r="W48" s="391">
        <f t="shared" si="10"/>
        <v>41.666609572124315</v>
      </c>
      <c r="X48" s="391">
        <f t="shared" si="10"/>
        <v>41.666609572124315</v>
      </c>
      <c r="Y48" s="391">
        <f t="shared" si="10"/>
        <v>41.666609572124315</v>
      </c>
      <c r="Z48" s="391">
        <f t="shared" si="10"/>
        <v>41.666609572124315</v>
      </c>
      <c r="AA48" s="391">
        <f t="shared" si="10"/>
        <v>41.666609572124315</v>
      </c>
      <c r="AB48" s="391">
        <f t="shared" si="10"/>
        <v>41.666609572124315</v>
      </c>
      <c r="AC48" s="391">
        <f t="shared" si="10"/>
        <v>41.666609572124315</v>
      </c>
      <c r="AD48" s="391">
        <f t="shared" si="10"/>
        <v>41.666609572124315</v>
      </c>
      <c r="AE48" s="391">
        <f t="shared" si="10"/>
        <v>41.666609572124315</v>
      </c>
      <c r="AF48" s="391">
        <f t="shared" si="10"/>
        <v>41.666609572124315</v>
      </c>
      <c r="AG48" s="391">
        <f t="shared" si="10"/>
        <v>41.666609572124315</v>
      </c>
      <c r="AH48" s="391">
        <f t="shared" si="10"/>
        <v>41.666609572124315</v>
      </c>
      <c r="AI48" s="406">
        <f t="shared" si="10"/>
        <v>41.666609572124315</v>
      </c>
      <c r="AJ48" s="412">
        <f t="shared" si="8"/>
        <v>1.0008000000000001</v>
      </c>
    </row>
    <row r="49" spans="1:36" s="29" customFormat="1" x14ac:dyDescent="0.25">
      <c r="A49" s="365">
        <f t="shared" si="2"/>
        <v>41</v>
      </c>
      <c r="B49" s="389">
        <f t="shared" si="5"/>
        <v>575000</v>
      </c>
      <c r="C49" s="390">
        <f t="shared" si="3"/>
        <v>41</v>
      </c>
      <c r="D49" s="391">
        <f t="shared" si="6"/>
        <v>41.775534470163656</v>
      </c>
      <c r="E49" s="391">
        <f t="shared" si="7"/>
        <v>41.775534470163656</v>
      </c>
      <c r="F49" s="391">
        <f t="shared" si="10"/>
        <v>41.775534470163656</v>
      </c>
      <c r="G49" s="391">
        <f t="shared" si="10"/>
        <v>41.775534470163656</v>
      </c>
      <c r="H49" s="391">
        <f t="shared" si="10"/>
        <v>41.775534470163656</v>
      </c>
      <c r="I49" s="391">
        <f t="shared" si="10"/>
        <v>41.775534470163656</v>
      </c>
      <c r="J49" s="391">
        <f t="shared" si="10"/>
        <v>41.775534470163656</v>
      </c>
      <c r="K49" s="391">
        <f t="shared" si="10"/>
        <v>41.775534470163656</v>
      </c>
      <c r="L49" s="391">
        <f t="shared" si="10"/>
        <v>41.775534470163656</v>
      </c>
      <c r="M49" s="391">
        <f t="shared" si="10"/>
        <v>41.775534470163656</v>
      </c>
      <c r="N49" s="391">
        <f t="shared" si="10"/>
        <v>41.775534470163656</v>
      </c>
      <c r="O49" s="391">
        <f t="shared" si="10"/>
        <v>41.775534470163656</v>
      </c>
      <c r="P49" s="391">
        <f t="shared" si="10"/>
        <v>41.775534470163656</v>
      </c>
      <c r="Q49" s="391">
        <f t="shared" si="10"/>
        <v>41.775534470163656</v>
      </c>
      <c r="R49" s="391">
        <f t="shared" si="10"/>
        <v>41.775534470163656</v>
      </c>
      <c r="S49" s="406">
        <f t="shared" si="10"/>
        <v>41.775534470163656</v>
      </c>
      <c r="T49" s="391">
        <f t="shared" si="10"/>
        <v>41.775534470163656</v>
      </c>
      <c r="U49" s="391">
        <f t="shared" si="10"/>
        <v>41.775534470163656</v>
      </c>
      <c r="V49" s="391">
        <f t="shared" si="10"/>
        <v>41.775534470163656</v>
      </c>
      <c r="W49" s="391">
        <f t="shared" si="10"/>
        <v>41.775534470163656</v>
      </c>
      <c r="X49" s="391">
        <f t="shared" si="10"/>
        <v>41.775534470163656</v>
      </c>
      <c r="Y49" s="391">
        <f t="shared" si="10"/>
        <v>41.775534470163656</v>
      </c>
      <c r="Z49" s="391">
        <f t="shared" si="10"/>
        <v>41.775534470163656</v>
      </c>
      <c r="AA49" s="391">
        <f t="shared" si="10"/>
        <v>41.775534470163656</v>
      </c>
      <c r="AB49" s="391">
        <f t="shared" si="10"/>
        <v>41.775534470163656</v>
      </c>
      <c r="AC49" s="391">
        <f t="shared" si="10"/>
        <v>41.775534470163656</v>
      </c>
      <c r="AD49" s="391">
        <f t="shared" si="10"/>
        <v>41.775534470163656</v>
      </c>
      <c r="AE49" s="391">
        <f t="shared" si="10"/>
        <v>41.775534470163656</v>
      </c>
      <c r="AF49" s="391">
        <f t="shared" si="10"/>
        <v>41.775534470163656</v>
      </c>
      <c r="AG49" s="391">
        <f t="shared" si="10"/>
        <v>41.775534470163656</v>
      </c>
      <c r="AH49" s="391">
        <f t="shared" si="10"/>
        <v>41.775534470163656</v>
      </c>
      <c r="AI49" s="406">
        <f t="shared" si="10"/>
        <v>41.775534470163656</v>
      </c>
      <c r="AJ49" s="412">
        <f t="shared" si="8"/>
        <v>1.0007000000000001</v>
      </c>
    </row>
    <row r="50" spans="1:36" s="29" customFormat="1" x14ac:dyDescent="0.25">
      <c r="A50" s="365">
        <f t="shared" si="2"/>
        <v>42</v>
      </c>
      <c r="B50" s="389">
        <f t="shared" si="5"/>
        <v>600000</v>
      </c>
      <c r="C50" s="390">
        <f t="shared" si="3"/>
        <v>42</v>
      </c>
      <c r="D50" s="391">
        <f t="shared" si="6"/>
        <v>41.869190866261988</v>
      </c>
      <c r="E50" s="391">
        <f t="shared" si="7"/>
        <v>41.869190866261988</v>
      </c>
      <c r="F50" s="391">
        <f t="shared" si="10"/>
        <v>41.869190866261988</v>
      </c>
      <c r="G50" s="391">
        <f t="shared" si="10"/>
        <v>41.869190866261988</v>
      </c>
      <c r="H50" s="391">
        <f t="shared" si="10"/>
        <v>41.869190866261988</v>
      </c>
      <c r="I50" s="391">
        <f t="shared" si="10"/>
        <v>41.869190866261988</v>
      </c>
      <c r="J50" s="391">
        <f t="shared" si="10"/>
        <v>41.869190866261988</v>
      </c>
      <c r="K50" s="391">
        <f t="shared" si="10"/>
        <v>41.869190866261988</v>
      </c>
      <c r="L50" s="391">
        <f t="shared" si="10"/>
        <v>41.869190866261988</v>
      </c>
      <c r="M50" s="391">
        <f t="shared" si="10"/>
        <v>41.869190866261988</v>
      </c>
      <c r="N50" s="391">
        <f t="shared" si="10"/>
        <v>41.869190866261988</v>
      </c>
      <c r="O50" s="391">
        <f t="shared" si="10"/>
        <v>41.869190866261988</v>
      </c>
      <c r="P50" s="391">
        <f t="shared" si="10"/>
        <v>41.869190866261988</v>
      </c>
      <c r="Q50" s="391">
        <f t="shared" si="10"/>
        <v>41.869190866261988</v>
      </c>
      <c r="R50" s="391">
        <f t="shared" si="10"/>
        <v>41.869190866261988</v>
      </c>
      <c r="S50" s="406">
        <f t="shared" si="10"/>
        <v>41.869190866261988</v>
      </c>
      <c r="T50" s="391">
        <f t="shared" si="10"/>
        <v>41.869190866261988</v>
      </c>
      <c r="U50" s="391">
        <f t="shared" si="10"/>
        <v>41.869190866261988</v>
      </c>
      <c r="V50" s="391">
        <f t="shared" si="10"/>
        <v>41.869190866261988</v>
      </c>
      <c r="W50" s="391">
        <f t="shared" si="10"/>
        <v>41.869190866261988</v>
      </c>
      <c r="X50" s="391">
        <f t="shared" si="10"/>
        <v>41.869190866261988</v>
      </c>
      <c r="Y50" s="391">
        <f t="shared" si="10"/>
        <v>41.869190866261988</v>
      </c>
      <c r="Z50" s="391">
        <f t="shared" si="10"/>
        <v>41.869190866261988</v>
      </c>
      <c r="AA50" s="391">
        <f t="shared" si="10"/>
        <v>41.869190866261988</v>
      </c>
      <c r="AB50" s="391">
        <f t="shared" si="10"/>
        <v>41.869190866261988</v>
      </c>
      <c r="AC50" s="391">
        <f t="shared" si="10"/>
        <v>41.869190866261988</v>
      </c>
      <c r="AD50" s="391">
        <f t="shared" si="10"/>
        <v>41.869190866261988</v>
      </c>
      <c r="AE50" s="391">
        <f t="shared" si="10"/>
        <v>41.869190866261988</v>
      </c>
      <c r="AF50" s="391">
        <f t="shared" si="10"/>
        <v>41.869190866261988</v>
      </c>
      <c r="AG50" s="391">
        <f t="shared" si="10"/>
        <v>41.869190866261988</v>
      </c>
      <c r="AH50" s="391">
        <f t="shared" si="10"/>
        <v>41.869190866261988</v>
      </c>
      <c r="AI50" s="406">
        <f t="shared" si="10"/>
        <v>41.869190866261988</v>
      </c>
      <c r="AJ50" s="412">
        <f t="shared" si="8"/>
        <v>1.0006000000000002</v>
      </c>
    </row>
    <row r="51" spans="1:36" s="29" customFormat="1" x14ac:dyDescent="0.25">
      <c r="A51" s="365">
        <f t="shared" si="2"/>
        <v>43</v>
      </c>
      <c r="B51" s="389">
        <f t="shared" si="5"/>
        <v>625000</v>
      </c>
      <c r="C51" s="390">
        <f t="shared" si="3"/>
        <v>43</v>
      </c>
      <c r="D51" s="391">
        <f t="shared" si="6"/>
        <v>41.947445203425033</v>
      </c>
      <c r="E51" s="391">
        <f t="shared" si="7"/>
        <v>41.947445203425033</v>
      </c>
      <c r="F51" s="391">
        <f t="shared" si="10"/>
        <v>41.947445203425033</v>
      </c>
      <c r="G51" s="391">
        <f t="shared" si="10"/>
        <v>41.947445203425033</v>
      </c>
      <c r="H51" s="391">
        <f t="shared" si="10"/>
        <v>41.947445203425033</v>
      </c>
      <c r="I51" s="391">
        <f t="shared" si="10"/>
        <v>41.947445203425033</v>
      </c>
      <c r="J51" s="391">
        <f t="shared" si="10"/>
        <v>41.947445203425033</v>
      </c>
      <c r="K51" s="391">
        <f t="shared" si="10"/>
        <v>41.947445203425033</v>
      </c>
      <c r="L51" s="391">
        <f t="shared" si="10"/>
        <v>41.947445203425033</v>
      </c>
      <c r="M51" s="391">
        <f t="shared" si="10"/>
        <v>41.947445203425033</v>
      </c>
      <c r="N51" s="391">
        <f t="shared" si="10"/>
        <v>41.947445203425033</v>
      </c>
      <c r="O51" s="391">
        <f t="shared" si="10"/>
        <v>41.947445203425033</v>
      </c>
      <c r="P51" s="391">
        <f t="shared" si="10"/>
        <v>41.947445203425033</v>
      </c>
      <c r="Q51" s="391">
        <f t="shared" si="10"/>
        <v>41.947445203425033</v>
      </c>
      <c r="R51" s="391">
        <f t="shared" si="10"/>
        <v>41.947445203425033</v>
      </c>
      <c r="S51" s="406">
        <f t="shared" si="10"/>
        <v>41.947445203425033</v>
      </c>
      <c r="T51" s="391">
        <f t="shared" si="10"/>
        <v>41.947445203425033</v>
      </c>
      <c r="U51" s="391">
        <f t="shared" si="10"/>
        <v>41.947445203425033</v>
      </c>
      <c r="V51" s="391">
        <f t="shared" si="10"/>
        <v>41.947445203425033</v>
      </c>
      <c r="W51" s="391">
        <f t="shared" si="10"/>
        <v>41.947445203425033</v>
      </c>
      <c r="X51" s="391">
        <f t="shared" si="10"/>
        <v>41.947445203425033</v>
      </c>
      <c r="Y51" s="391">
        <f t="shared" si="10"/>
        <v>41.947445203425033</v>
      </c>
      <c r="Z51" s="391">
        <f t="shared" si="10"/>
        <v>41.947445203425033</v>
      </c>
      <c r="AA51" s="391">
        <f t="shared" si="10"/>
        <v>41.947445203425033</v>
      </c>
      <c r="AB51" s="391">
        <f t="shared" si="10"/>
        <v>41.947445203425033</v>
      </c>
      <c r="AC51" s="391">
        <f t="shared" si="10"/>
        <v>41.947445203425033</v>
      </c>
      <c r="AD51" s="391">
        <f t="shared" si="10"/>
        <v>41.947445203425033</v>
      </c>
      <c r="AE51" s="391">
        <f t="shared" si="10"/>
        <v>41.947445203425033</v>
      </c>
      <c r="AF51" s="391">
        <f t="shared" si="10"/>
        <v>41.947445203425033</v>
      </c>
      <c r="AG51" s="391">
        <f t="shared" si="10"/>
        <v>41.947445203425033</v>
      </c>
      <c r="AH51" s="391">
        <f t="shared" si="10"/>
        <v>41.947445203425033</v>
      </c>
      <c r="AI51" s="406">
        <f t="shared" si="10"/>
        <v>41.947445203425033</v>
      </c>
      <c r="AJ51" s="412">
        <f t="shared" si="8"/>
        <v>1.0005000000000002</v>
      </c>
    </row>
    <row r="52" spans="1:36" s="29" customFormat="1" x14ac:dyDescent="0.25">
      <c r="A52" s="365">
        <f t="shared" si="2"/>
        <v>44</v>
      </c>
      <c r="B52" s="389">
        <f t="shared" si="5"/>
        <v>650000</v>
      </c>
      <c r="C52" s="390">
        <f t="shared" si="3"/>
        <v>44</v>
      </c>
      <c r="D52" s="391">
        <f t="shared" si="6"/>
        <v>42.010185344258609</v>
      </c>
      <c r="E52" s="391">
        <f t="shared" si="7"/>
        <v>42.010185344258609</v>
      </c>
      <c r="F52" s="391">
        <f t="shared" si="10"/>
        <v>42.010185344258609</v>
      </c>
      <c r="G52" s="391">
        <f t="shared" si="10"/>
        <v>42.010185344258609</v>
      </c>
      <c r="H52" s="391">
        <f t="shared" si="10"/>
        <v>42.010185344258609</v>
      </c>
      <c r="I52" s="391">
        <f t="shared" si="10"/>
        <v>42.010185344258609</v>
      </c>
      <c r="J52" s="391">
        <f t="shared" si="10"/>
        <v>42.010185344258609</v>
      </c>
      <c r="K52" s="391">
        <f t="shared" si="10"/>
        <v>42.010185344258609</v>
      </c>
      <c r="L52" s="391">
        <f t="shared" si="10"/>
        <v>42.010185344258609</v>
      </c>
      <c r="M52" s="391">
        <f t="shared" si="10"/>
        <v>42.010185344258609</v>
      </c>
      <c r="N52" s="391">
        <f t="shared" si="10"/>
        <v>42.010185344258609</v>
      </c>
      <c r="O52" s="391">
        <f t="shared" si="10"/>
        <v>42.010185344258609</v>
      </c>
      <c r="P52" s="391">
        <f t="shared" si="10"/>
        <v>42.010185344258609</v>
      </c>
      <c r="Q52" s="391">
        <f t="shared" si="10"/>
        <v>42.010185344258609</v>
      </c>
      <c r="R52" s="391">
        <f t="shared" si="10"/>
        <v>42.010185344258609</v>
      </c>
      <c r="S52" s="406">
        <f t="shared" si="10"/>
        <v>42.010185344258609</v>
      </c>
      <c r="T52" s="391">
        <f t="shared" si="10"/>
        <v>42.010185344258609</v>
      </c>
      <c r="U52" s="391">
        <f t="shared" si="10"/>
        <v>42.010185344258609</v>
      </c>
      <c r="V52" s="391">
        <f t="shared" si="10"/>
        <v>42.010185344258609</v>
      </c>
      <c r="W52" s="391">
        <f t="shared" si="10"/>
        <v>42.010185344258609</v>
      </c>
      <c r="X52" s="391">
        <f t="shared" si="10"/>
        <v>42.010185344258609</v>
      </c>
      <c r="Y52" s="391">
        <f t="shared" si="10"/>
        <v>42.010185344258609</v>
      </c>
      <c r="Z52" s="391">
        <f t="shared" si="10"/>
        <v>42.010185344258609</v>
      </c>
      <c r="AA52" s="391">
        <f t="shared" si="10"/>
        <v>42.010185344258609</v>
      </c>
      <c r="AB52" s="391">
        <f t="shared" si="10"/>
        <v>42.010185344258609</v>
      </c>
      <c r="AC52" s="391">
        <f t="shared" si="10"/>
        <v>42.010185344258609</v>
      </c>
      <c r="AD52" s="391">
        <f t="shared" si="10"/>
        <v>42.010185344258609</v>
      </c>
      <c r="AE52" s="391">
        <f t="shared" si="10"/>
        <v>42.010185344258609</v>
      </c>
      <c r="AF52" s="391">
        <f t="shared" si="10"/>
        <v>42.010185344258609</v>
      </c>
      <c r="AG52" s="391">
        <f t="shared" si="10"/>
        <v>42.010185344258609</v>
      </c>
      <c r="AH52" s="391">
        <f t="shared" si="10"/>
        <v>42.010185344258609</v>
      </c>
      <c r="AI52" s="406">
        <f t="shared" si="10"/>
        <v>42.010185344258609</v>
      </c>
      <c r="AJ52" s="412">
        <f t="shared" si="8"/>
        <v>1.0004000000000002</v>
      </c>
    </row>
    <row r="53" spans="1:36" s="29" customFormat="1" x14ac:dyDescent="0.25">
      <c r="A53" s="365">
        <f t="shared" si="2"/>
        <v>45</v>
      </c>
      <c r="B53" s="389">
        <f t="shared" si="5"/>
        <v>675000</v>
      </c>
      <c r="C53" s="390">
        <f t="shared" si="3"/>
        <v>45</v>
      </c>
      <c r="D53" s="391">
        <f t="shared" si="6"/>
        <v>42.057320881593242</v>
      </c>
      <c r="E53" s="391">
        <f t="shared" si="7"/>
        <v>42.057320881593242</v>
      </c>
      <c r="F53" s="391">
        <f t="shared" si="10"/>
        <v>42.057320881593242</v>
      </c>
      <c r="G53" s="391">
        <f t="shared" si="10"/>
        <v>42.057320881593242</v>
      </c>
      <c r="H53" s="391">
        <f t="shared" si="10"/>
        <v>42.057320881593242</v>
      </c>
      <c r="I53" s="391">
        <f t="shared" si="10"/>
        <v>42.057320881593242</v>
      </c>
      <c r="J53" s="391">
        <f t="shared" si="10"/>
        <v>42.057320881593242</v>
      </c>
      <c r="K53" s="391">
        <f t="shared" si="10"/>
        <v>42.057320881593242</v>
      </c>
      <c r="L53" s="391">
        <f t="shared" si="10"/>
        <v>42.057320881593242</v>
      </c>
      <c r="M53" s="391">
        <f t="shared" si="10"/>
        <v>42.057320881593242</v>
      </c>
      <c r="N53" s="391">
        <f t="shared" si="10"/>
        <v>42.057320881593242</v>
      </c>
      <c r="O53" s="391">
        <f t="shared" si="10"/>
        <v>42.057320881593242</v>
      </c>
      <c r="P53" s="391">
        <f t="shared" si="10"/>
        <v>42.057320881593242</v>
      </c>
      <c r="Q53" s="391">
        <f t="shared" si="10"/>
        <v>42.057320881593242</v>
      </c>
      <c r="R53" s="391">
        <f t="shared" si="10"/>
        <v>42.057320881593242</v>
      </c>
      <c r="S53" s="406">
        <f t="shared" si="10"/>
        <v>42.057320881593242</v>
      </c>
      <c r="T53" s="391">
        <f t="shared" si="10"/>
        <v>42.057320881593242</v>
      </c>
      <c r="U53" s="391">
        <f t="shared" si="10"/>
        <v>42.057320881593242</v>
      </c>
      <c r="V53" s="391">
        <f t="shared" si="10"/>
        <v>42.057320881593242</v>
      </c>
      <c r="W53" s="391">
        <f t="shared" si="10"/>
        <v>42.057320881593242</v>
      </c>
      <c r="X53" s="391">
        <f t="shared" si="10"/>
        <v>42.057320881593242</v>
      </c>
      <c r="Y53" s="391">
        <f t="shared" si="10"/>
        <v>42.057320881593242</v>
      </c>
      <c r="Z53" s="391">
        <f t="shared" si="10"/>
        <v>42.057320881593242</v>
      </c>
      <c r="AA53" s="391">
        <f t="shared" si="10"/>
        <v>42.057320881593242</v>
      </c>
      <c r="AB53" s="391">
        <f t="shared" si="10"/>
        <v>42.057320881593242</v>
      </c>
      <c r="AC53" s="391">
        <f t="shared" si="10"/>
        <v>42.057320881593242</v>
      </c>
      <c r="AD53" s="391">
        <f t="shared" si="10"/>
        <v>42.057320881593242</v>
      </c>
      <c r="AE53" s="391">
        <f t="shared" si="10"/>
        <v>42.057320881593242</v>
      </c>
      <c r="AF53" s="391">
        <f t="shared" si="10"/>
        <v>42.057320881593242</v>
      </c>
      <c r="AG53" s="391">
        <f t="shared" si="10"/>
        <v>42.057320881593242</v>
      </c>
      <c r="AH53" s="391">
        <f t="shared" si="10"/>
        <v>42.057320881593242</v>
      </c>
      <c r="AI53" s="406">
        <f t="shared" si="10"/>
        <v>42.057320881593242</v>
      </c>
      <c r="AJ53" s="412">
        <f t="shared" si="8"/>
        <v>1.0003000000000002</v>
      </c>
    </row>
    <row r="54" spans="1:36" s="29" customFormat="1" x14ac:dyDescent="0.25">
      <c r="A54" s="365">
        <f t="shared" si="2"/>
        <v>46</v>
      </c>
      <c r="B54" s="392">
        <f t="shared" si="5"/>
        <v>700000</v>
      </c>
      <c r="C54" s="393">
        <f t="shared" si="3"/>
        <v>46</v>
      </c>
      <c r="D54" s="394">
        <f t="shared" si="6"/>
        <v>42.088783390157268</v>
      </c>
      <c r="E54" s="394">
        <f t="shared" si="7"/>
        <v>42.088783390157268</v>
      </c>
      <c r="F54" s="394">
        <f t="shared" si="10"/>
        <v>42.088783390157268</v>
      </c>
      <c r="G54" s="394">
        <f t="shared" si="10"/>
        <v>42.088783390157268</v>
      </c>
      <c r="H54" s="394">
        <f t="shared" si="10"/>
        <v>42.088783390157268</v>
      </c>
      <c r="I54" s="394">
        <f t="shared" si="10"/>
        <v>42.088783390157268</v>
      </c>
      <c r="J54" s="394">
        <f t="shared" si="10"/>
        <v>42.088783390157268</v>
      </c>
      <c r="K54" s="394">
        <f t="shared" si="10"/>
        <v>42.088783390157268</v>
      </c>
      <c r="L54" s="394">
        <f t="shared" si="10"/>
        <v>42.088783390157268</v>
      </c>
      <c r="M54" s="394">
        <f t="shared" si="10"/>
        <v>42.088783390157268</v>
      </c>
      <c r="N54" s="394">
        <f t="shared" si="10"/>
        <v>42.088783390157268</v>
      </c>
      <c r="O54" s="394">
        <f t="shared" si="10"/>
        <v>42.088783390157268</v>
      </c>
      <c r="P54" s="394">
        <f t="shared" si="10"/>
        <v>42.088783390157268</v>
      </c>
      <c r="Q54" s="394">
        <f t="shared" si="10"/>
        <v>42.088783390157268</v>
      </c>
      <c r="R54" s="394">
        <f t="shared" si="10"/>
        <v>42.088783390157268</v>
      </c>
      <c r="S54" s="407">
        <f t="shared" si="10"/>
        <v>42.088783390157268</v>
      </c>
      <c r="T54" s="394">
        <f t="shared" si="10"/>
        <v>42.088783390157268</v>
      </c>
      <c r="U54" s="394">
        <f t="shared" si="10"/>
        <v>42.088783390157268</v>
      </c>
      <c r="V54" s="394">
        <f t="shared" si="10"/>
        <v>42.088783390157268</v>
      </c>
      <c r="W54" s="394">
        <f t="shared" si="10"/>
        <v>42.088783390157268</v>
      </c>
      <c r="X54" s="394">
        <f t="shared" si="10"/>
        <v>42.088783390157268</v>
      </c>
      <c r="Y54" s="394">
        <f t="shared" si="10"/>
        <v>42.088783390157268</v>
      </c>
      <c r="Z54" s="394">
        <f t="shared" si="10"/>
        <v>42.088783390157268</v>
      </c>
      <c r="AA54" s="394">
        <f t="shared" si="10"/>
        <v>42.088783390157268</v>
      </c>
      <c r="AB54" s="394">
        <f t="shared" si="10"/>
        <v>42.088783390157268</v>
      </c>
      <c r="AC54" s="394">
        <f t="shared" si="10"/>
        <v>42.088783390157268</v>
      </c>
      <c r="AD54" s="394">
        <f t="shared" si="10"/>
        <v>42.088783390157268</v>
      </c>
      <c r="AE54" s="394">
        <f t="shared" si="10"/>
        <v>42.088783390157268</v>
      </c>
      <c r="AF54" s="394">
        <f t="shared" si="10"/>
        <v>42.088783390157268</v>
      </c>
      <c r="AG54" s="394">
        <f t="shared" si="10"/>
        <v>42.088783390157268</v>
      </c>
      <c r="AH54" s="394">
        <f t="shared" si="10"/>
        <v>42.088783390157268</v>
      </c>
      <c r="AI54" s="407">
        <f t="shared" si="10"/>
        <v>42.088783390157268</v>
      </c>
      <c r="AJ54" s="412">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3" bestFit="1" customWidth="1"/>
    <col min="2" max="3" width="10.875" style="23"/>
    <col min="4" max="4" width="11.125" style="23" bestFit="1" customWidth="1"/>
    <col min="5" max="5" width="10.875" style="23"/>
    <col min="6" max="7" width="11.125" style="23" bestFit="1" customWidth="1"/>
    <col min="8" max="121" width="11.125" style="23" customWidth="1"/>
    <col min="122" max="16384" width="10.875" style="23"/>
  </cols>
  <sheetData>
    <row r="1" spans="1:156" s="22" customFormat="1" x14ac:dyDescent="0.25">
      <c r="A1" s="61" t="s">
        <v>13</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row>
    <row r="2" spans="1:156" s="22" customFormat="1" x14ac:dyDescent="0.25">
      <c r="A2" s="61" t="s">
        <v>14</v>
      </c>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row>
    <row r="3" spans="1:156" s="29" customFormat="1" x14ac:dyDescent="0.25">
      <c r="A3" s="61" t="s">
        <v>632</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row>
    <row r="4" spans="1:156" s="29" customFormat="1" x14ac:dyDescent="0.25">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row>
    <row r="5" spans="1:156" x14ac:dyDescent="0.25">
      <c r="B5" s="24"/>
      <c r="C5" s="24"/>
      <c r="D5" s="27"/>
      <c r="E5" s="24"/>
      <c r="F5" s="27"/>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5"/>
      <c r="DZ5" s="24"/>
      <c r="EA5" s="24"/>
      <c r="EB5" s="26"/>
    </row>
    <row r="6" spans="1:156" x14ac:dyDescent="0.25">
      <c r="B6" s="24"/>
      <c r="C6" s="24"/>
      <c r="D6" s="27"/>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5"/>
      <c r="DZ6" s="24"/>
      <c r="EA6" s="24"/>
      <c r="EB6" s="24"/>
    </row>
    <row r="7" spans="1:156" x14ac:dyDescent="0.25">
      <c r="B7" s="370" t="s">
        <v>644</v>
      </c>
      <c r="C7" s="370"/>
      <c r="D7" s="370"/>
      <c r="E7" s="360"/>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5"/>
      <c r="DZ7" s="24"/>
      <c r="EA7" s="24"/>
      <c r="EB7" s="28"/>
    </row>
    <row r="8" spans="1:156" x14ac:dyDescent="0.25">
      <c r="B8" s="371" t="s">
        <v>645</v>
      </c>
      <c r="C8" s="371"/>
      <c r="D8" s="371"/>
      <c r="E8" s="361"/>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5"/>
      <c r="DZ8" s="24"/>
      <c r="EA8" s="24"/>
      <c r="EB8" s="24"/>
    </row>
    <row r="9" spans="1:156" x14ac:dyDescent="0.25">
      <c r="B9" s="372" t="s">
        <v>646</v>
      </c>
      <c r="C9" s="372"/>
      <c r="D9" s="372"/>
      <c r="E9" s="382"/>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5"/>
      <c r="DZ9" s="24"/>
      <c r="EA9" s="24"/>
      <c r="EB9" s="24"/>
    </row>
    <row r="10" spans="1:156" x14ac:dyDescent="0.25">
      <c r="B10" s="24"/>
      <c r="C10" s="25"/>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5"/>
      <c r="DZ10" s="24"/>
      <c r="EA10" s="24"/>
      <c r="EB10" s="24"/>
    </row>
    <row r="11" spans="1:156" x14ac:dyDescent="0.25">
      <c r="B11" s="491" t="s">
        <v>677</v>
      </c>
      <c r="C11" s="492"/>
      <c r="D11" s="492"/>
      <c r="E11" s="492"/>
      <c r="F11" s="493"/>
      <c r="G11" s="24"/>
      <c r="H11" s="491" t="s">
        <v>637</v>
      </c>
      <c r="I11" s="492"/>
      <c r="J11" s="492"/>
      <c r="K11" s="492"/>
      <c r="L11" s="493"/>
      <c r="M11" s="24"/>
      <c r="N11" s="491" t="s">
        <v>643</v>
      </c>
      <c r="O11" s="492"/>
      <c r="P11" s="492"/>
      <c r="Q11" s="492"/>
      <c r="R11" s="493"/>
      <c r="S11" s="24"/>
      <c r="T11" s="491" t="s">
        <v>642</v>
      </c>
      <c r="U11" s="492"/>
      <c r="V11" s="492"/>
      <c r="W11" s="492"/>
      <c r="X11" s="493"/>
      <c r="Y11" s="24"/>
      <c r="Z11" s="491" t="s">
        <v>641</v>
      </c>
      <c r="AA11" s="492"/>
      <c r="AB11" s="492"/>
      <c r="AC11" s="492"/>
      <c r="AD11" s="493"/>
      <c r="AE11" s="24"/>
      <c r="AF11" s="491" t="s">
        <v>640</v>
      </c>
      <c r="AG11" s="492"/>
      <c r="AH11" s="492"/>
      <c r="AI11" s="492"/>
      <c r="AJ11" s="493"/>
      <c r="AK11" s="24"/>
      <c r="AL11" s="491" t="s">
        <v>638</v>
      </c>
      <c r="AM11" s="492"/>
      <c r="AN11" s="492"/>
      <c r="AO11" s="492"/>
      <c r="AP11" s="493"/>
      <c r="AQ11" s="24"/>
      <c r="AR11" s="491" t="s">
        <v>649</v>
      </c>
      <c r="AS11" s="492"/>
      <c r="AT11" s="492"/>
      <c r="AU11" s="492"/>
      <c r="AV11" s="493"/>
      <c r="AW11" s="24"/>
      <c r="AX11" s="491" t="s">
        <v>650</v>
      </c>
      <c r="AY11" s="492"/>
      <c r="AZ11" s="492"/>
      <c r="BA11" s="492"/>
      <c r="BB11" s="493"/>
      <c r="BC11" s="24"/>
      <c r="BD11" s="491" t="s">
        <v>651</v>
      </c>
      <c r="BE11" s="492"/>
      <c r="BF11" s="492"/>
      <c r="BG11" s="492"/>
      <c r="BH11" s="493"/>
      <c r="BI11" s="24"/>
      <c r="BJ11" s="491" t="s">
        <v>652</v>
      </c>
      <c r="BK11" s="492"/>
      <c r="BL11" s="492"/>
      <c r="BM11" s="492"/>
      <c r="BN11" s="493"/>
      <c r="BO11" s="24"/>
      <c r="BP11" s="491" t="s">
        <v>653</v>
      </c>
      <c r="BQ11" s="492"/>
      <c r="BR11" s="492"/>
      <c r="BS11" s="492"/>
      <c r="BT11" s="493"/>
      <c r="BU11" s="24"/>
      <c r="BV11" s="491" t="s">
        <v>654</v>
      </c>
      <c r="BW11" s="492"/>
      <c r="BX11" s="492"/>
      <c r="BY11" s="492"/>
      <c r="BZ11" s="493"/>
      <c r="CA11" s="24"/>
      <c r="CB11" s="491" t="s">
        <v>678</v>
      </c>
      <c r="CC11" s="492"/>
      <c r="CD11" s="492"/>
      <c r="CE11" s="492"/>
      <c r="CF11" s="493"/>
      <c r="CG11" s="24"/>
      <c r="CH11" s="491" t="s">
        <v>679</v>
      </c>
      <c r="CI11" s="492"/>
      <c r="CJ11" s="492"/>
      <c r="CK11" s="492"/>
      <c r="CL11" s="493"/>
      <c r="CM11" s="24"/>
      <c r="CN11" s="491" t="s">
        <v>680</v>
      </c>
      <c r="CO11" s="492"/>
      <c r="CP11" s="492"/>
      <c r="CQ11" s="492"/>
      <c r="CR11" s="493"/>
      <c r="CS11" s="24"/>
      <c r="CT11" s="491" t="s">
        <v>681</v>
      </c>
      <c r="CU11" s="492"/>
      <c r="CV11" s="492"/>
      <c r="CW11" s="492"/>
      <c r="CX11" s="493"/>
      <c r="CY11" s="24"/>
      <c r="CZ11" s="491" t="s">
        <v>682</v>
      </c>
      <c r="DA11" s="492"/>
      <c r="DB11" s="492"/>
      <c r="DC11" s="492"/>
      <c r="DD11" s="493"/>
      <c r="DE11" s="24"/>
      <c r="DF11" s="491" t="s">
        <v>683</v>
      </c>
      <c r="DG11" s="492"/>
      <c r="DH11" s="492"/>
      <c r="DI11" s="492"/>
      <c r="DJ11" s="493"/>
      <c r="DK11" s="24"/>
      <c r="DL11" s="491" t="s">
        <v>684</v>
      </c>
      <c r="DM11" s="492"/>
      <c r="DN11" s="492"/>
      <c r="DO11" s="492"/>
      <c r="DP11" s="493"/>
      <c r="DQ11" s="24"/>
      <c r="DR11" s="491" t="s">
        <v>685</v>
      </c>
      <c r="DS11" s="492"/>
      <c r="DT11" s="492"/>
      <c r="DU11" s="492"/>
      <c r="DV11" s="493"/>
      <c r="DW11" s="24"/>
      <c r="DX11" s="491" t="s">
        <v>686</v>
      </c>
      <c r="DY11" s="492"/>
      <c r="DZ11" s="492"/>
      <c r="EA11" s="492"/>
      <c r="EB11" s="493"/>
      <c r="ED11" s="491" t="s">
        <v>687</v>
      </c>
      <c r="EE11" s="492"/>
      <c r="EF11" s="492"/>
      <c r="EG11" s="492"/>
      <c r="EH11" s="493"/>
      <c r="EJ11" s="491" t="s">
        <v>688</v>
      </c>
      <c r="EK11" s="492"/>
      <c r="EL11" s="492"/>
      <c r="EM11" s="492"/>
      <c r="EN11" s="493"/>
      <c r="EP11" s="491" t="s">
        <v>689</v>
      </c>
      <c r="EQ11" s="492"/>
      <c r="ER11" s="492"/>
      <c r="ES11" s="492"/>
      <c r="ET11" s="493"/>
      <c r="EV11" s="491" t="s">
        <v>690</v>
      </c>
      <c r="EW11" s="492"/>
      <c r="EX11" s="492"/>
      <c r="EY11" s="492"/>
      <c r="EZ11" s="493"/>
    </row>
    <row r="12" spans="1:156" x14ac:dyDescent="0.25">
      <c r="B12" s="24"/>
      <c r="C12" s="24" t="s">
        <v>694</v>
      </c>
      <c r="D12" s="373" t="s">
        <v>635</v>
      </c>
      <c r="E12" s="374" t="s">
        <v>630</v>
      </c>
      <c r="F12" s="374" t="s">
        <v>631</v>
      </c>
      <c r="G12" s="346"/>
      <c r="H12" s="24"/>
      <c r="I12" s="24" t="str">
        <f>$C$12</f>
        <v>($000s)</v>
      </c>
      <c r="J12" s="373" t="s">
        <v>635</v>
      </c>
      <c r="K12" s="374" t="s">
        <v>630</v>
      </c>
      <c r="L12" s="374" t="s">
        <v>631</v>
      </c>
      <c r="M12" s="24"/>
      <c r="N12" s="24"/>
      <c r="O12" s="24" t="str">
        <f>$C$12</f>
        <v>($000s)</v>
      </c>
      <c r="P12" s="373" t="s">
        <v>635</v>
      </c>
      <c r="Q12" s="374" t="s">
        <v>630</v>
      </c>
      <c r="R12" s="374" t="s">
        <v>631</v>
      </c>
      <c r="S12" s="24"/>
      <c r="T12" s="24"/>
      <c r="U12" s="24" t="str">
        <f>$C$12</f>
        <v>($000s)</v>
      </c>
      <c r="V12" s="373" t="s">
        <v>635</v>
      </c>
      <c r="W12" s="374" t="s">
        <v>630</v>
      </c>
      <c r="X12" s="374" t="s">
        <v>631</v>
      </c>
      <c r="Y12" s="24"/>
      <c r="Z12" s="24"/>
      <c r="AA12" s="24" t="str">
        <f>$C$12</f>
        <v>($000s)</v>
      </c>
      <c r="AB12" s="373" t="s">
        <v>635</v>
      </c>
      <c r="AC12" s="374" t="s">
        <v>630</v>
      </c>
      <c r="AD12" s="374" t="s">
        <v>631</v>
      </c>
      <c r="AE12" s="24"/>
      <c r="AF12" s="24"/>
      <c r="AG12" s="24" t="str">
        <f>$C$12</f>
        <v>($000s)</v>
      </c>
      <c r="AH12" s="373" t="s">
        <v>635</v>
      </c>
      <c r="AI12" s="374" t="s">
        <v>630</v>
      </c>
      <c r="AJ12" s="374" t="s">
        <v>631</v>
      </c>
      <c r="AK12" s="24"/>
      <c r="AL12" s="24"/>
      <c r="AM12" s="24" t="str">
        <f>$C$12</f>
        <v>($000s)</v>
      </c>
      <c r="AN12" s="373" t="s">
        <v>635</v>
      </c>
      <c r="AO12" s="374" t="s">
        <v>630</v>
      </c>
      <c r="AP12" s="374" t="s">
        <v>631</v>
      </c>
      <c r="AQ12" s="24"/>
      <c r="AR12" s="24"/>
      <c r="AS12" s="24" t="str">
        <f>$C$12</f>
        <v>($000s)</v>
      </c>
      <c r="AT12" s="373" t="s">
        <v>635</v>
      </c>
      <c r="AU12" s="374" t="s">
        <v>630</v>
      </c>
      <c r="AV12" s="374" t="s">
        <v>631</v>
      </c>
      <c r="AW12" s="24"/>
      <c r="AX12" s="24"/>
      <c r="AY12" s="24" t="str">
        <f>$C$12</f>
        <v>($000s)</v>
      </c>
      <c r="AZ12" s="373" t="s">
        <v>635</v>
      </c>
      <c r="BA12" s="374" t="s">
        <v>630</v>
      </c>
      <c r="BB12" s="374" t="s">
        <v>631</v>
      </c>
      <c r="BC12" s="24"/>
      <c r="BD12" s="24"/>
      <c r="BE12" s="24" t="str">
        <f>$C$12</f>
        <v>($000s)</v>
      </c>
      <c r="BF12" s="373" t="s">
        <v>635</v>
      </c>
      <c r="BG12" s="374" t="s">
        <v>630</v>
      </c>
      <c r="BH12" s="374" t="s">
        <v>631</v>
      </c>
      <c r="BI12" s="24"/>
      <c r="BJ12" s="24"/>
      <c r="BK12" s="24" t="str">
        <f>$C$12</f>
        <v>($000s)</v>
      </c>
      <c r="BL12" s="373" t="s">
        <v>635</v>
      </c>
      <c r="BM12" s="374" t="s">
        <v>630</v>
      </c>
      <c r="BN12" s="374" t="s">
        <v>631</v>
      </c>
      <c r="BO12" s="24"/>
      <c r="BP12" s="24"/>
      <c r="BQ12" s="24" t="str">
        <f>$C$12</f>
        <v>($000s)</v>
      </c>
      <c r="BR12" s="373" t="s">
        <v>635</v>
      </c>
      <c r="BS12" s="374" t="s">
        <v>630</v>
      </c>
      <c r="BT12" s="374" t="s">
        <v>631</v>
      </c>
      <c r="BU12" s="24"/>
      <c r="BV12" s="24"/>
      <c r="BW12" s="24" t="str">
        <f>$C$12</f>
        <v>($000s)</v>
      </c>
      <c r="BX12" s="373" t="s">
        <v>635</v>
      </c>
      <c r="BY12" s="374" t="s">
        <v>630</v>
      </c>
      <c r="BZ12" s="374" t="s">
        <v>631</v>
      </c>
      <c r="CA12" s="24"/>
      <c r="CB12" s="24"/>
      <c r="CC12" s="24" t="str">
        <f>$C$12</f>
        <v>($000s)</v>
      </c>
      <c r="CD12" s="373" t="s">
        <v>635</v>
      </c>
      <c r="CE12" s="374" t="s">
        <v>630</v>
      </c>
      <c r="CF12" s="374" t="s">
        <v>631</v>
      </c>
      <c r="CG12" s="24"/>
      <c r="CH12" s="24"/>
      <c r="CI12" s="24" t="str">
        <f>$C$12</f>
        <v>($000s)</v>
      </c>
      <c r="CJ12" s="373" t="s">
        <v>635</v>
      </c>
      <c r="CK12" s="374" t="s">
        <v>630</v>
      </c>
      <c r="CL12" s="374" t="s">
        <v>631</v>
      </c>
      <c r="CM12" s="24"/>
      <c r="CN12" s="24"/>
      <c r="CO12" s="24" t="str">
        <f>$C$12</f>
        <v>($000s)</v>
      </c>
      <c r="CP12" s="373" t="s">
        <v>635</v>
      </c>
      <c r="CQ12" s="374" t="s">
        <v>630</v>
      </c>
      <c r="CR12" s="374" t="s">
        <v>631</v>
      </c>
      <c r="CS12" s="24"/>
      <c r="CT12" s="24"/>
      <c r="CU12" s="24" t="str">
        <f>$C$12</f>
        <v>($000s)</v>
      </c>
      <c r="CV12" s="373" t="s">
        <v>635</v>
      </c>
      <c r="CW12" s="374" t="s">
        <v>630</v>
      </c>
      <c r="CX12" s="374" t="s">
        <v>631</v>
      </c>
      <c r="CY12" s="24"/>
      <c r="CZ12" s="24"/>
      <c r="DA12" s="24" t="str">
        <f>$C$12</f>
        <v>($000s)</v>
      </c>
      <c r="DB12" s="373" t="s">
        <v>635</v>
      </c>
      <c r="DC12" s="374" t="s">
        <v>630</v>
      </c>
      <c r="DD12" s="374" t="s">
        <v>631</v>
      </c>
      <c r="DE12" s="24"/>
      <c r="DF12" s="24"/>
      <c r="DG12" s="24" t="str">
        <f>$C$12</f>
        <v>($000s)</v>
      </c>
      <c r="DH12" s="373" t="s">
        <v>635</v>
      </c>
      <c r="DI12" s="374" t="s">
        <v>630</v>
      </c>
      <c r="DJ12" s="374" t="s">
        <v>631</v>
      </c>
      <c r="DK12" s="24"/>
      <c r="DL12" s="24"/>
      <c r="DM12" s="24" t="str">
        <f>$C$12</f>
        <v>($000s)</v>
      </c>
      <c r="DN12" s="373" t="s">
        <v>635</v>
      </c>
      <c r="DO12" s="374" t="s">
        <v>630</v>
      </c>
      <c r="DP12" s="374" t="s">
        <v>631</v>
      </c>
      <c r="DQ12" s="374"/>
      <c r="DR12" s="24"/>
      <c r="DS12" s="24" t="str">
        <f>$C$12</f>
        <v>($000s)</v>
      </c>
      <c r="DT12" s="373" t="s">
        <v>635</v>
      </c>
      <c r="DU12" s="374" t="s">
        <v>630</v>
      </c>
      <c r="DV12" s="374" t="s">
        <v>631</v>
      </c>
      <c r="DW12" s="24"/>
      <c r="DX12" s="24"/>
      <c r="DY12" s="24" t="str">
        <f>$C$12</f>
        <v>($000s)</v>
      </c>
      <c r="DZ12" s="373" t="s">
        <v>635</v>
      </c>
      <c r="EA12" s="374" t="s">
        <v>630</v>
      </c>
      <c r="EB12" s="374" t="s">
        <v>631</v>
      </c>
      <c r="ED12" s="24"/>
      <c r="EE12" s="24" t="str">
        <f>$C$12</f>
        <v>($000s)</v>
      </c>
      <c r="EF12" s="373" t="s">
        <v>635</v>
      </c>
      <c r="EG12" s="374" t="s">
        <v>630</v>
      </c>
      <c r="EH12" s="374" t="s">
        <v>631</v>
      </c>
      <c r="EJ12" s="24"/>
      <c r="EK12" s="24" t="str">
        <f>$C$12</f>
        <v>($000s)</v>
      </c>
      <c r="EL12" s="373" t="s">
        <v>635</v>
      </c>
      <c r="EM12" s="374" t="s">
        <v>630</v>
      </c>
      <c r="EN12" s="374" t="s">
        <v>631</v>
      </c>
      <c r="EP12" s="24"/>
      <c r="EQ12" s="24" t="str">
        <f>$C$12</f>
        <v>($000s)</v>
      </c>
      <c r="ER12" s="373" t="s">
        <v>635</v>
      </c>
      <c r="ES12" s="374" t="s">
        <v>630</v>
      </c>
      <c r="ET12" s="374" t="s">
        <v>631</v>
      </c>
      <c r="EV12" s="24"/>
      <c r="EW12" s="24" t="str">
        <f>$C$12</f>
        <v>($000s)</v>
      </c>
      <c r="EX12" s="373" t="s">
        <v>635</v>
      </c>
      <c r="EY12" s="374" t="s">
        <v>630</v>
      </c>
      <c r="EZ12" s="374" t="s">
        <v>631</v>
      </c>
    </row>
    <row r="13" spans="1:156" x14ac:dyDescent="0.25">
      <c r="B13" s="25" t="s">
        <v>636</v>
      </c>
      <c r="C13" s="395">
        <f>'Step 1'!E23*1000</f>
        <v>1000</v>
      </c>
      <c r="D13" s="213">
        <f>HLOOKUP(C13,'Page 2'!$D$7:$AI$8,2)</f>
        <v>10</v>
      </c>
      <c r="E13" s="366">
        <f>HLOOKUP(D13,'Page 2'!$D$6:$AI$7,2)</f>
        <v>1000</v>
      </c>
      <c r="F13" s="366">
        <f>HLOOKUP(D13+1,'Page 2'!$D$6:$AI$7,2)</f>
        <v>2000</v>
      </c>
      <c r="G13" s="346"/>
      <c r="H13" s="25" t="s">
        <v>636</v>
      </c>
      <c r="I13" s="366">
        <f>C13</f>
        <v>1000</v>
      </c>
      <c r="J13" s="213">
        <f>HLOOKUP(I13,'Page 2'!$D$7:$AI$8,2)</f>
        <v>10</v>
      </c>
      <c r="K13" s="366">
        <f>HLOOKUP(J13,'Page 2'!$D$6:$AI$7,2)</f>
        <v>1000</v>
      </c>
      <c r="L13" s="366">
        <f>HLOOKUP(J13+1,'Page 2'!$D$6:$AI$7,2)</f>
        <v>2000</v>
      </c>
      <c r="M13" s="24"/>
      <c r="N13" s="25" t="s">
        <v>636</v>
      </c>
      <c r="O13" s="366">
        <f>I13</f>
        <v>1000</v>
      </c>
      <c r="P13" s="213">
        <f>HLOOKUP(O13,'Page 2'!$D$7:$AI$8,2)</f>
        <v>10</v>
      </c>
      <c r="Q13" s="366">
        <f>HLOOKUP(P13,'Page 2'!$D$6:$AI$7,2)</f>
        <v>1000</v>
      </c>
      <c r="R13" s="366">
        <f>HLOOKUP(P13+1,'Page 2'!$D$6:$AI$7,2)</f>
        <v>2000</v>
      </c>
      <c r="S13" s="24"/>
      <c r="T13" s="25" t="s">
        <v>636</v>
      </c>
      <c r="U13" s="366">
        <f>O13</f>
        <v>1000</v>
      </c>
      <c r="V13" s="213">
        <f>HLOOKUP(U13,'Page 2'!$D$7:$AI$8,2)</f>
        <v>10</v>
      </c>
      <c r="W13" s="366">
        <f>HLOOKUP(V13,'Page 2'!$D$6:$AI$7,2)</f>
        <v>1000</v>
      </c>
      <c r="X13" s="366">
        <f>HLOOKUP(V13+1,'Page 2'!$D$6:$AI$7,2)</f>
        <v>2000</v>
      </c>
      <c r="Y13" s="24"/>
      <c r="Z13" s="25" t="s">
        <v>636</v>
      </c>
      <c r="AA13" s="366">
        <f>U13</f>
        <v>1000</v>
      </c>
      <c r="AB13" s="213">
        <f>HLOOKUP(AA13,'Page 2'!$D$7:$AI$8,2)</f>
        <v>10</v>
      </c>
      <c r="AC13" s="366">
        <f>HLOOKUP(AB13,'Page 2'!$D$6:$AI$7,2)</f>
        <v>1000</v>
      </c>
      <c r="AD13" s="366">
        <f>HLOOKUP(AB13+1,'Page 2'!$D$6:$AI$7,2)</f>
        <v>2000</v>
      </c>
      <c r="AE13" s="24"/>
      <c r="AF13" s="25" t="s">
        <v>636</v>
      </c>
      <c r="AG13" s="366">
        <f>AA13</f>
        <v>1000</v>
      </c>
      <c r="AH13" s="213">
        <f>HLOOKUP(AG13,'Page 2'!$D$7:$AI$8,2)</f>
        <v>10</v>
      </c>
      <c r="AI13" s="366">
        <f>HLOOKUP(AH13,'Page 2'!$D$6:$AI$7,2)</f>
        <v>1000</v>
      </c>
      <c r="AJ13" s="366">
        <f>HLOOKUP(AH13+1,'Page 2'!$D$6:$AI$7,2)</f>
        <v>2000</v>
      </c>
      <c r="AK13" s="24"/>
      <c r="AL13" s="25" t="s">
        <v>636</v>
      </c>
      <c r="AM13" s="366">
        <f>AG13</f>
        <v>1000</v>
      </c>
      <c r="AN13" s="213">
        <f>HLOOKUP(AM13,'Page 2'!$D$7:$AI$8,2)</f>
        <v>10</v>
      </c>
      <c r="AO13" s="366">
        <f>HLOOKUP(AN13,'Page 2'!$D$6:$AI$7,2)</f>
        <v>1000</v>
      </c>
      <c r="AP13" s="366">
        <f>HLOOKUP(AN13+1,'Page 2'!$D$6:$AI$7,2)</f>
        <v>2000</v>
      </c>
      <c r="AQ13" s="24"/>
      <c r="AR13" s="25" t="s">
        <v>636</v>
      </c>
      <c r="AS13" s="366">
        <f>AM13</f>
        <v>1000</v>
      </c>
      <c r="AT13" s="213">
        <f>HLOOKUP(AS13,'Page 2'!$D$7:$AI$8,2)</f>
        <v>10</v>
      </c>
      <c r="AU13" s="366">
        <f>HLOOKUP(AT13,'Page 2'!$D$6:$AI$7,2)</f>
        <v>1000</v>
      </c>
      <c r="AV13" s="366">
        <f>HLOOKUP(AT13+1,'Page 2'!$D$6:$AI$7,2)</f>
        <v>2000</v>
      </c>
      <c r="AW13" s="24"/>
      <c r="AX13" s="25" t="s">
        <v>636</v>
      </c>
      <c r="AY13" s="366">
        <f>AS13</f>
        <v>1000</v>
      </c>
      <c r="AZ13" s="213">
        <f>HLOOKUP(AY13,'Page 2'!$D$7:$AI$8,2)</f>
        <v>10</v>
      </c>
      <c r="BA13" s="366">
        <f>HLOOKUP(AZ13,'Page 2'!$D$6:$AI$7,2)</f>
        <v>1000</v>
      </c>
      <c r="BB13" s="366">
        <f>HLOOKUP(AZ13+1,'Page 2'!$D$6:$AI$7,2)</f>
        <v>2000</v>
      </c>
      <c r="BC13" s="24"/>
      <c r="BD13" s="25" t="s">
        <v>636</v>
      </c>
      <c r="BE13" s="366">
        <f>AY13</f>
        <v>1000</v>
      </c>
      <c r="BF13" s="213">
        <f>HLOOKUP(BE13,'Page 2'!$D$7:$AI$8,2)</f>
        <v>10</v>
      </c>
      <c r="BG13" s="366">
        <f>HLOOKUP(BF13,'Page 2'!$D$6:$AI$7,2)</f>
        <v>1000</v>
      </c>
      <c r="BH13" s="366">
        <f>HLOOKUP(BF13+1,'Page 2'!$D$6:$AI$7,2)</f>
        <v>2000</v>
      </c>
      <c r="BI13" s="24"/>
      <c r="BJ13" s="25" t="s">
        <v>636</v>
      </c>
      <c r="BK13" s="366">
        <f>BE13</f>
        <v>1000</v>
      </c>
      <c r="BL13" s="213">
        <f>HLOOKUP(BK13,'Page 2'!$D$7:$AI$8,2)</f>
        <v>10</v>
      </c>
      <c r="BM13" s="366">
        <f>HLOOKUP(BL13,'Page 2'!$D$6:$AI$7,2)</f>
        <v>1000</v>
      </c>
      <c r="BN13" s="366">
        <f>HLOOKUP(BL13+1,'Page 2'!$D$6:$AI$7,2)</f>
        <v>2000</v>
      </c>
      <c r="BO13" s="24"/>
      <c r="BP13" s="25" t="s">
        <v>636</v>
      </c>
      <c r="BQ13" s="366">
        <f>BK13</f>
        <v>1000</v>
      </c>
      <c r="BR13" s="213">
        <f>HLOOKUP(BQ13,'Page 2'!$D$7:$AI$8,2)</f>
        <v>10</v>
      </c>
      <c r="BS13" s="366">
        <f>HLOOKUP(BR13,'Page 2'!$D$6:$AI$7,2)</f>
        <v>1000</v>
      </c>
      <c r="BT13" s="366">
        <f>HLOOKUP(BR13+1,'Page 2'!$D$6:$AI$7,2)</f>
        <v>2000</v>
      </c>
      <c r="BU13" s="24"/>
      <c r="BV13" s="25" t="s">
        <v>636</v>
      </c>
      <c r="BW13" s="366">
        <f>BQ13</f>
        <v>1000</v>
      </c>
      <c r="BX13" s="213">
        <f>HLOOKUP(BW13,'Page 2'!$D$7:$AI$8,2)</f>
        <v>10</v>
      </c>
      <c r="BY13" s="366">
        <f>HLOOKUP(BX13,'Page 2'!$D$6:$AI$7,2)</f>
        <v>1000</v>
      </c>
      <c r="BZ13" s="366">
        <f>HLOOKUP(BX13+1,'Page 2'!$D$6:$AI$7,2)</f>
        <v>2000</v>
      </c>
      <c r="CA13" s="24"/>
      <c r="CB13" s="25" t="s">
        <v>636</v>
      </c>
      <c r="CC13" s="366">
        <f>BW13</f>
        <v>1000</v>
      </c>
      <c r="CD13" s="213">
        <f>HLOOKUP(CC13,'Page 2'!$D$7:$AI$8,2)</f>
        <v>10</v>
      </c>
      <c r="CE13" s="366">
        <f>HLOOKUP(CD13,'Page 2'!$D$6:$AI$7,2)</f>
        <v>1000</v>
      </c>
      <c r="CF13" s="366">
        <f>HLOOKUP(CD13+1,'Page 2'!$D$6:$AI$7,2)</f>
        <v>2000</v>
      </c>
      <c r="CG13" s="24"/>
      <c r="CH13" s="25" t="s">
        <v>636</v>
      </c>
      <c r="CI13" s="366">
        <f>CC13</f>
        <v>1000</v>
      </c>
      <c r="CJ13" s="213">
        <f>HLOOKUP(CI13,'Page 2'!$D$7:$AI$8,2)</f>
        <v>10</v>
      </c>
      <c r="CK13" s="366">
        <f>HLOOKUP(CJ13,'Page 2'!$D$6:$AI$7,2)</f>
        <v>1000</v>
      </c>
      <c r="CL13" s="366">
        <f>HLOOKUP(CJ13+1,'Page 2'!$D$6:$AI$7,2)</f>
        <v>2000</v>
      </c>
      <c r="CM13" s="24"/>
      <c r="CN13" s="25" t="s">
        <v>636</v>
      </c>
      <c r="CO13" s="366">
        <f>CI13</f>
        <v>1000</v>
      </c>
      <c r="CP13" s="213">
        <f>HLOOKUP(CO13,'Page 2'!$D$7:$AI$8,2)</f>
        <v>10</v>
      </c>
      <c r="CQ13" s="366">
        <f>HLOOKUP(CP13,'Page 2'!$D$6:$AI$7,2)</f>
        <v>1000</v>
      </c>
      <c r="CR13" s="366">
        <f>HLOOKUP(CP13+1,'Page 2'!$D$6:$AI$7,2)</f>
        <v>2000</v>
      </c>
      <c r="CS13" s="24"/>
      <c r="CT13" s="25" t="s">
        <v>636</v>
      </c>
      <c r="CU13" s="366">
        <f>CO13</f>
        <v>1000</v>
      </c>
      <c r="CV13" s="213">
        <f>HLOOKUP(CU13,'Page 2'!$D$7:$AI$8,2)</f>
        <v>10</v>
      </c>
      <c r="CW13" s="366">
        <f>HLOOKUP(CV13,'Page 2'!$D$6:$AI$7,2)</f>
        <v>1000</v>
      </c>
      <c r="CX13" s="366">
        <f>HLOOKUP(CV13+1,'Page 2'!$D$6:$AI$7,2)</f>
        <v>2000</v>
      </c>
      <c r="CY13" s="24"/>
      <c r="CZ13" s="25" t="s">
        <v>636</v>
      </c>
      <c r="DA13" s="366">
        <f>CU13</f>
        <v>1000</v>
      </c>
      <c r="DB13" s="213">
        <f>HLOOKUP(DA13,'Page 2'!$D$7:$AI$8,2)</f>
        <v>10</v>
      </c>
      <c r="DC13" s="366">
        <f>HLOOKUP(DB13,'Page 2'!$D$6:$AI$7,2)</f>
        <v>1000</v>
      </c>
      <c r="DD13" s="366">
        <f>HLOOKUP(DB13+1,'Page 2'!$D$6:$AI$7,2)</f>
        <v>2000</v>
      </c>
      <c r="DE13" s="24"/>
      <c r="DF13" s="25" t="s">
        <v>636</v>
      </c>
      <c r="DG13" s="366">
        <f>DA13</f>
        <v>1000</v>
      </c>
      <c r="DH13" s="213">
        <f>HLOOKUP(DG13,'Page 2'!$D$7:$AI$8,2)</f>
        <v>10</v>
      </c>
      <c r="DI13" s="366">
        <f>HLOOKUP(DH13,'Page 2'!$D$6:$AI$7,2)</f>
        <v>1000</v>
      </c>
      <c r="DJ13" s="366">
        <f>HLOOKUP(DH13+1,'Page 2'!$D$6:$AI$7,2)</f>
        <v>2000</v>
      </c>
      <c r="DK13" s="24"/>
      <c r="DL13" s="25" t="s">
        <v>636</v>
      </c>
      <c r="DM13" s="366">
        <f>DG13</f>
        <v>1000</v>
      </c>
      <c r="DN13" s="213">
        <f>HLOOKUP(DM13,'Page 2'!$D$7:$AI$8,2)</f>
        <v>10</v>
      </c>
      <c r="DO13" s="366">
        <f>HLOOKUP(DN13,'Page 2'!$D$6:$AI$7,2)</f>
        <v>1000</v>
      </c>
      <c r="DP13" s="366">
        <f>HLOOKUP(DN13+1,'Page 2'!$D$6:$AI$7,2)</f>
        <v>2000</v>
      </c>
      <c r="DQ13" s="366"/>
      <c r="DR13" s="25" t="s">
        <v>636</v>
      </c>
      <c r="DS13" s="366">
        <f>DM13</f>
        <v>1000</v>
      </c>
      <c r="DT13" s="213">
        <f>HLOOKUP(DS13,'Page 2'!$D$7:$AI$8,2)</f>
        <v>10</v>
      </c>
      <c r="DU13" s="366">
        <f>HLOOKUP(DT13,'Page 2'!$D$6:$AI$7,2)</f>
        <v>1000</v>
      </c>
      <c r="DV13" s="366">
        <f>HLOOKUP(DT13+1,'Page 2'!$D$6:$AI$7,2)</f>
        <v>2000</v>
      </c>
      <c r="DW13" s="24"/>
      <c r="DX13" s="25" t="s">
        <v>636</v>
      </c>
      <c r="DY13" s="366">
        <f>DS13</f>
        <v>1000</v>
      </c>
      <c r="DZ13" s="213">
        <f>HLOOKUP(DY13,'Page 2'!$D$7:$AI$8,2)</f>
        <v>10</v>
      </c>
      <c r="EA13" s="366">
        <f>HLOOKUP(DZ13,'Page 2'!$D$6:$AI$7,2)</f>
        <v>1000</v>
      </c>
      <c r="EB13" s="366">
        <f>HLOOKUP(DZ13+1,'Page 2'!$D$6:$AI$7,2)</f>
        <v>2000</v>
      </c>
      <c r="ED13" s="25" t="s">
        <v>636</v>
      </c>
      <c r="EE13" s="366">
        <f>DY13</f>
        <v>1000</v>
      </c>
      <c r="EF13" s="213">
        <f>HLOOKUP(EE13,'Page 2'!$D$7:$AI$8,2)</f>
        <v>10</v>
      </c>
      <c r="EG13" s="366">
        <f>HLOOKUP(EF13,'Page 2'!$D$6:$AI$7,2)</f>
        <v>1000</v>
      </c>
      <c r="EH13" s="366">
        <f>HLOOKUP(EF13+1,'Page 2'!$D$6:$AI$7,2)</f>
        <v>2000</v>
      </c>
      <c r="EJ13" s="25" t="s">
        <v>636</v>
      </c>
      <c r="EK13" s="366">
        <f>EE13</f>
        <v>1000</v>
      </c>
      <c r="EL13" s="213">
        <f>HLOOKUP(EK13,'Page 2'!$D$7:$AI$8,2)</f>
        <v>10</v>
      </c>
      <c r="EM13" s="366">
        <f>HLOOKUP(EL13,'Page 2'!$D$6:$AI$7,2)</f>
        <v>1000</v>
      </c>
      <c r="EN13" s="366">
        <f>HLOOKUP(EL13+1,'Page 2'!$D$6:$AI$7,2)</f>
        <v>2000</v>
      </c>
      <c r="EP13" s="25" t="s">
        <v>636</v>
      </c>
      <c r="EQ13" s="366">
        <f>EK13</f>
        <v>1000</v>
      </c>
      <c r="ER13" s="213">
        <f>HLOOKUP(EQ13,'Page 2'!$D$7:$AI$8,2)</f>
        <v>10</v>
      </c>
      <c r="ES13" s="366">
        <f>HLOOKUP(ER13,'Page 2'!$D$6:$AI$7,2)</f>
        <v>1000</v>
      </c>
      <c r="ET13" s="366">
        <f>HLOOKUP(ER13+1,'Page 2'!$D$6:$AI$7,2)</f>
        <v>2000</v>
      </c>
      <c r="EV13" s="25" t="s">
        <v>636</v>
      </c>
      <c r="EW13" s="366">
        <f>EQ13</f>
        <v>1000</v>
      </c>
      <c r="EX13" s="213">
        <f>HLOOKUP(EW13,'Page 2'!$D$7:$AI$8,2)</f>
        <v>10</v>
      </c>
      <c r="EY13" s="366">
        <f>HLOOKUP(EX13,'Page 2'!$D$6:$AI$7,2)</f>
        <v>1000</v>
      </c>
      <c r="EZ13" s="366">
        <f>HLOOKUP(EX13+1,'Page 2'!$D$6:$AI$7,2)</f>
        <v>2000</v>
      </c>
    </row>
    <row r="14" spans="1:156" x14ac:dyDescent="0.25">
      <c r="B14" s="25" t="s">
        <v>201</v>
      </c>
      <c r="C14" s="395">
        <f>'Step 1'!E22*1000</f>
        <v>5000</v>
      </c>
      <c r="D14" s="213">
        <f>VLOOKUP(C14,'Page 2'!$B$9:$C$54,2)</f>
        <v>7</v>
      </c>
      <c r="E14" s="366">
        <f>VLOOKUP(D14,'Page 2'!$A$9:$B$188,2)</f>
        <v>5000</v>
      </c>
      <c r="F14" s="366">
        <f>VLOOKUP(D14+1,'Page 2'!$A$9:$B$188,2)</f>
        <v>6000</v>
      </c>
      <c r="G14" s="346"/>
      <c r="H14" s="25" t="s">
        <v>201</v>
      </c>
      <c r="I14" s="366">
        <f>'Step 3'!C34*1000</f>
        <v>5000</v>
      </c>
      <c r="J14" s="213">
        <f>VLOOKUP(I14,'Page 2'!$B$9:$C$188,2)</f>
        <v>7</v>
      </c>
      <c r="K14" s="366">
        <f>VLOOKUP(J14,'Page 2'!$A$9:$B$188,2)</f>
        <v>5000</v>
      </c>
      <c r="L14" s="366">
        <f>VLOOKUP(J14+1,'Page 2'!$A$9:$B$188,2)</f>
        <v>6000</v>
      </c>
      <c r="M14" s="24"/>
      <c r="N14" s="25" t="s">
        <v>201</v>
      </c>
      <c r="O14" s="366">
        <f>'Step 3'!C33*1000</f>
        <v>30000</v>
      </c>
      <c r="P14" s="213">
        <f>VLOOKUP(O14,'Page 2'!$B$9:$C$188,2)</f>
        <v>16</v>
      </c>
      <c r="Q14" s="366">
        <f>VLOOKUP(P14,'Page 2'!$A$9:$B$188,2)</f>
        <v>30000</v>
      </c>
      <c r="R14" s="366">
        <f>VLOOKUP(P14+1,'Page 2'!$A$9:$B$188,2)</f>
        <v>35000</v>
      </c>
      <c r="S14" s="24"/>
      <c r="T14" s="25" t="s">
        <v>201</v>
      </c>
      <c r="U14" s="366">
        <f>'Step 3'!C32*1000</f>
        <v>55000</v>
      </c>
      <c r="V14" s="213">
        <f>VLOOKUP(U14,'Page 2'!$B$9:$C$188,2)</f>
        <v>20</v>
      </c>
      <c r="W14" s="366">
        <f>VLOOKUP(V14,'Page 2'!$A$9:$B$188,2)</f>
        <v>50000</v>
      </c>
      <c r="X14" s="366">
        <f>VLOOKUP(V14+1,'Page 2'!$A$9:$B$188,2)</f>
        <v>75000</v>
      </c>
      <c r="Y14" s="24"/>
      <c r="Z14" s="25" t="s">
        <v>201</v>
      </c>
      <c r="AA14" s="366">
        <f>'Step 3'!C31*1000</f>
        <v>80000</v>
      </c>
      <c r="AB14" s="213">
        <f>VLOOKUP(AA14,'Page 2'!$B$9:$C$188,2)</f>
        <v>21</v>
      </c>
      <c r="AC14" s="366">
        <f>VLOOKUP(AB14,'Page 2'!$A$9:$B$188,2)</f>
        <v>75000</v>
      </c>
      <c r="AD14" s="366">
        <f>VLOOKUP(AB14+1,'Page 2'!$A$9:$B$188,2)</f>
        <v>100000</v>
      </c>
      <c r="AE14" s="24"/>
      <c r="AF14" s="25" t="s">
        <v>201</v>
      </c>
      <c r="AG14" s="366">
        <f>'Step 3'!C30*1000</f>
        <v>105000</v>
      </c>
      <c r="AH14" s="213">
        <f>VLOOKUP(AG14,'Page 2'!$B$9:$C$188,2)</f>
        <v>22</v>
      </c>
      <c r="AI14" s="366">
        <f>VLOOKUP(AH14,'Page 2'!$A$9:$B$188,2)</f>
        <v>100000</v>
      </c>
      <c r="AJ14" s="366">
        <f>VLOOKUP(AH14+1,'Page 2'!$A$9:$B$188,2)</f>
        <v>125000</v>
      </c>
      <c r="AK14" s="24"/>
      <c r="AL14" s="25" t="s">
        <v>201</v>
      </c>
      <c r="AM14" s="366">
        <f>'Step 3'!C29*1000</f>
        <v>130000</v>
      </c>
      <c r="AN14" s="213">
        <f>VLOOKUP(AM14,'Page 2'!$B$9:$C$188,2)</f>
        <v>23</v>
      </c>
      <c r="AO14" s="366">
        <f>VLOOKUP(AN14,'Page 2'!$A$9:$B$188,2)</f>
        <v>125000</v>
      </c>
      <c r="AP14" s="366">
        <f>VLOOKUP(AN14+1,'Page 2'!$A$9:$B$188,2)</f>
        <v>150000</v>
      </c>
      <c r="AQ14" s="24"/>
      <c r="AR14" s="25" t="s">
        <v>201</v>
      </c>
      <c r="AS14" s="366">
        <f>'Step 3'!C28*1000</f>
        <v>155000</v>
      </c>
      <c r="AT14" s="213">
        <f>VLOOKUP(AS14,'Page 2'!$B$9:$C$188,2)</f>
        <v>24</v>
      </c>
      <c r="AU14" s="366">
        <f>VLOOKUP(AT14,'Page 2'!$A$9:$B$188,2)</f>
        <v>150000</v>
      </c>
      <c r="AV14" s="366">
        <f>VLOOKUP(AT14+1,'Page 2'!$A$9:$B$188,2)</f>
        <v>175000</v>
      </c>
      <c r="AW14" s="24"/>
      <c r="AX14" s="25" t="s">
        <v>201</v>
      </c>
      <c r="AY14" s="366">
        <f>+'Step 3'!C27*1000</f>
        <v>180000</v>
      </c>
      <c r="AZ14" s="213">
        <f>VLOOKUP(AY14,'Page 2'!$B$9:$C$188,2)</f>
        <v>25</v>
      </c>
      <c r="BA14" s="366">
        <f>VLOOKUP(AZ14,'Page 2'!$A$9:$B$188,2)</f>
        <v>175000</v>
      </c>
      <c r="BB14" s="366">
        <f>VLOOKUP(AZ14+1,'Page 2'!$A$9:$B$188,2)</f>
        <v>200000</v>
      </c>
      <c r="BC14" s="24"/>
      <c r="BD14" s="25" t="s">
        <v>201</v>
      </c>
      <c r="BE14" s="366">
        <f>+'Step 3'!C26*1000</f>
        <v>205000</v>
      </c>
      <c r="BF14" s="213">
        <f>VLOOKUP(BE14,'Page 2'!$B$9:$C$188,2)</f>
        <v>26</v>
      </c>
      <c r="BG14" s="366">
        <f>VLOOKUP(BF14,'Page 2'!$A$9:$B$188,2)</f>
        <v>200000</v>
      </c>
      <c r="BH14" s="366">
        <f>VLOOKUP(BF14+1,'Page 2'!$A$9:$B$188,2)</f>
        <v>225000</v>
      </c>
      <c r="BI14" s="24"/>
      <c r="BJ14" s="25" t="s">
        <v>201</v>
      </c>
      <c r="BK14" s="366">
        <f>+'Step 3'!C25*1000</f>
        <v>230000</v>
      </c>
      <c r="BL14" s="213">
        <f>VLOOKUP(BK14,'Page 2'!$B$9:$C$188,2)</f>
        <v>27</v>
      </c>
      <c r="BM14" s="366">
        <f>VLOOKUP(BL14,'Page 2'!$A$9:$B$188,2)</f>
        <v>225000</v>
      </c>
      <c r="BN14" s="366">
        <f>VLOOKUP(BL14+1,'Page 2'!$A$9:$B$188,2)</f>
        <v>250000</v>
      </c>
      <c r="BO14" s="24"/>
      <c r="BP14" s="25" t="s">
        <v>201</v>
      </c>
      <c r="BQ14" s="366">
        <f>+'Step 3'!C24*1000</f>
        <v>255000</v>
      </c>
      <c r="BR14" s="213">
        <f>VLOOKUP(BQ14,'Page 2'!$B$9:$C$188,2)</f>
        <v>28</v>
      </c>
      <c r="BS14" s="366">
        <f>VLOOKUP(BR14,'Page 2'!$A$9:$B$188,2)</f>
        <v>250000</v>
      </c>
      <c r="BT14" s="366">
        <f>VLOOKUP(BR14+1,'Page 2'!$A$9:$B$188,2)</f>
        <v>275000</v>
      </c>
      <c r="BU14" s="24"/>
      <c r="BV14" s="25" t="s">
        <v>201</v>
      </c>
      <c r="BW14" s="366">
        <f>+'Step 3'!C23*1000</f>
        <v>280000</v>
      </c>
      <c r="BX14" s="213">
        <f>VLOOKUP(BW14,'Page 2'!$B$9:$C$188,2)</f>
        <v>29</v>
      </c>
      <c r="BY14" s="366">
        <f>VLOOKUP(BX14,'Page 2'!$A$9:$B$188,2)</f>
        <v>275000</v>
      </c>
      <c r="BZ14" s="366">
        <f>VLOOKUP(BX14+1,'Page 2'!$A$9:$B$188,2)</f>
        <v>300000</v>
      </c>
      <c r="CA14" s="24"/>
      <c r="CB14" s="25" t="s">
        <v>201</v>
      </c>
      <c r="CC14" s="366">
        <f>'Step 3'!C22*1000</f>
        <v>305000</v>
      </c>
      <c r="CD14" s="213">
        <f>VLOOKUP(CC14,'Page 2'!$B$9:$C$188,2)</f>
        <v>30</v>
      </c>
      <c r="CE14" s="366">
        <f>VLOOKUP(CD14,'Page 2'!$A$9:$B$188,2)</f>
        <v>300000</v>
      </c>
      <c r="CF14" s="366">
        <f>VLOOKUP(CD14+1,'Page 2'!$A$9:$B$188,2)</f>
        <v>325000</v>
      </c>
      <c r="CG14" s="24"/>
      <c r="CH14" s="25" t="s">
        <v>201</v>
      </c>
      <c r="CI14" s="366">
        <f>'Step 3'!C21*1000</f>
        <v>330000</v>
      </c>
      <c r="CJ14" s="213">
        <f>VLOOKUP(CI14,'Page 2'!$B$9:$C$188,2)</f>
        <v>31</v>
      </c>
      <c r="CK14" s="366">
        <f>VLOOKUP(CJ14,'Page 2'!$A$9:$B$188,2)</f>
        <v>325000</v>
      </c>
      <c r="CL14" s="366">
        <f>VLOOKUP(CJ14+1,'Page 2'!$A$9:$B$188,2)</f>
        <v>350000</v>
      </c>
      <c r="CM14" s="24"/>
      <c r="CN14" s="25" t="s">
        <v>201</v>
      </c>
      <c r="CO14" s="366">
        <f>'Step 3'!C20*1000</f>
        <v>355000</v>
      </c>
      <c r="CP14" s="213">
        <f>VLOOKUP(CO14,'Page 2'!$B$9:$C$188,2)</f>
        <v>32</v>
      </c>
      <c r="CQ14" s="366">
        <f>VLOOKUP(CP14,'Page 2'!$A$9:$B$188,2)</f>
        <v>350000</v>
      </c>
      <c r="CR14" s="366">
        <f>VLOOKUP(CP14+1,'Page 2'!$A$9:$B$188,2)</f>
        <v>375000</v>
      </c>
      <c r="CS14" s="24"/>
      <c r="CT14" s="25" t="s">
        <v>201</v>
      </c>
      <c r="CU14" s="366">
        <f>'Step 3'!C19*1000</f>
        <v>380000</v>
      </c>
      <c r="CV14" s="213">
        <f>VLOOKUP(CU14,'Page 2'!$B$9:$C$188,2)</f>
        <v>33</v>
      </c>
      <c r="CW14" s="366">
        <f>VLOOKUP(CV14,'Page 2'!$A$9:$B$188,2)</f>
        <v>375000</v>
      </c>
      <c r="CX14" s="366">
        <f>VLOOKUP(CV14+1,'Page 2'!$A$9:$B$188,2)</f>
        <v>400000</v>
      </c>
      <c r="CY14" s="24"/>
      <c r="CZ14" s="25" t="s">
        <v>201</v>
      </c>
      <c r="DA14" s="366">
        <f>'Step 3'!C18*1000</f>
        <v>405000</v>
      </c>
      <c r="DB14" s="213">
        <f>VLOOKUP(DA14,'Page 2'!$B$9:$C$188,2)</f>
        <v>34</v>
      </c>
      <c r="DC14" s="366">
        <f>VLOOKUP(DB14,'Page 2'!$A$9:$B$188,2)</f>
        <v>400000</v>
      </c>
      <c r="DD14" s="366">
        <f>VLOOKUP(DB14+1,'Page 2'!$A$9:$B$188,2)</f>
        <v>425000</v>
      </c>
      <c r="DE14" s="24"/>
      <c r="DF14" s="25" t="s">
        <v>201</v>
      </c>
      <c r="DG14" s="366">
        <f>'Step 3'!C17*1000</f>
        <v>430000</v>
      </c>
      <c r="DH14" s="213">
        <f>VLOOKUP(DG14,'Page 2'!$B$9:$C$188,2)</f>
        <v>35</v>
      </c>
      <c r="DI14" s="366">
        <f>VLOOKUP(DH14,'Page 2'!$A$9:$B$188,2)</f>
        <v>425000</v>
      </c>
      <c r="DJ14" s="366">
        <f>VLOOKUP(DH14+1,'Page 2'!$A$9:$B$188,2)</f>
        <v>450000</v>
      </c>
      <c r="DK14" s="24"/>
      <c r="DL14" s="25" t="s">
        <v>201</v>
      </c>
      <c r="DM14" s="366">
        <f>'Step 3'!C16*1000</f>
        <v>455000</v>
      </c>
      <c r="DN14" s="213">
        <f>VLOOKUP(DM14,'Page 2'!$B$9:$C$188,2)</f>
        <v>36</v>
      </c>
      <c r="DO14" s="366">
        <f>VLOOKUP(DN14,'Page 2'!$A$9:$B$188,2)</f>
        <v>450000</v>
      </c>
      <c r="DP14" s="366">
        <f>VLOOKUP(DN14+1,'Page 2'!$A$9:$B$188,2)</f>
        <v>475000</v>
      </c>
      <c r="DQ14" s="366"/>
      <c r="DR14" s="25" t="s">
        <v>201</v>
      </c>
      <c r="DS14" s="366">
        <f>'Step 3'!C15*1000</f>
        <v>480000</v>
      </c>
      <c r="DT14" s="213">
        <f>VLOOKUP(DS14,'Page 2'!$B$9:$C$188,2)</f>
        <v>37</v>
      </c>
      <c r="DU14" s="366">
        <f>VLOOKUP(DT14,'Page 2'!$A$9:$B$188,2)</f>
        <v>475000</v>
      </c>
      <c r="DV14" s="366">
        <f>VLOOKUP(DT14+1,'Page 2'!$A$9:$B$188,2)</f>
        <v>500000</v>
      </c>
      <c r="DW14" s="24"/>
      <c r="DX14" s="25" t="s">
        <v>201</v>
      </c>
      <c r="DY14" s="366">
        <f>'Step 3'!C14*1000</f>
        <v>505000</v>
      </c>
      <c r="DZ14" s="213">
        <f>VLOOKUP(DY14,'Page 2'!$B$9:$C$188,2)</f>
        <v>38</v>
      </c>
      <c r="EA14" s="366">
        <f>VLOOKUP(DZ14,'Page 2'!$A$9:$B$188,2)</f>
        <v>500000</v>
      </c>
      <c r="EB14" s="366">
        <f>VLOOKUP(DZ14+1,'Page 2'!$A$9:$B$188,2)</f>
        <v>525000</v>
      </c>
      <c r="ED14" s="25" t="s">
        <v>201</v>
      </c>
      <c r="EE14" s="366">
        <f>'Step 3'!C13*1000</f>
        <v>530000</v>
      </c>
      <c r="EF14" s="213">
        <f>VLOOKUP(EE14,'Page 2'!$B$9:$C$188,2)</f>
        <v>39</v>
      </c>
      <c r="EG14" s="366">
        <f>VLOOKUP(EF14,'Page 2'!$A$9:$B$188,2)</f>
        <v>525000</v>
      </c>
      <c r="EH14" s="366">
        <f>VLOOKUP(EF14+1,'Page 2'!$A$9:$B$188,2)</f>
        <v>550000</v>
      </c>
      <c r="EJ14" s="25" t="s">
        <v>201</v>
      </c>
      <c r="EK14" s="366">
        <f>'Step 3'!C12*1000</f>
        <v>555000</v>
      </c>
      <c r="EL14" s="213">
        <f>VLOOKUP(EK14,'Page 2'!$B$9:$C$188,2)</f>
        <v>40</v>
      </c>
      <c r="EM14" s="366">
        <f>VLOOKUP(EL14,'Page 2'!$A$9:$B$188,2)</f>
        <v>550000</v>
      </c>
      <c r="EN14" s="366">
        <f>VLOOKUP(EL14+1,'Page 2'!$A$9:$B$188,2)</f>
        <v>575000</v>
      </c>
      <c r="EP14" s="25" t="s">
        <v>201</v>
      </c>
      <c r="EQ14" s="366">
        <f>'Step 3'!C11*1000</f>
        <v>580000</v>
      </c>
      <c r="ER14" s="213">
        <f>VLOOKUP(EQ14,'Page 2'!$B$9:$C$188,2)</f>
        <v>41</v>
      </c>
      <c r="ES14" s="366">
        <f>VLOOKUP(ER14,'Page 2'!$A$9:$B$188,2)</f>
        <v>575000</v>
      </c>
      <c r="ET14" s="366">
        <f>VLOOKUP(ER14+1,'Page 2'!$A$9:$B$188,2)</f>
        <v>600000</v>
      </c>
      <c r="EV14" s="25" t="s">
        <v>201</v>
      </c>
      <c r="EW14" s="366">
        <f>'Step 3'!C10*1000</f>
        <v>605000</v>
      </c>
      <c r="EX14" s="213">
        <f>VLOOKUP(EW14,'Page 2'!$B$9:$C$188,2)</f>
        <v>42</v>
      </c>
      <c r="EY14" s="366">
        <f>VLOOKUP(EX14,'Page 2'!$A$9:$B$188,2)</f>
        <v>600000</v>
      </c>
      <c r="EZ14" s="366">
        <f>VLOOKUP(EX14+1,'Page 2'!$A$9:$B$188,2)</f>
        <v>625000</v>
      </c>
    </row>
    <row r="15" spans="1:156" x14ac:dyDescent="0.25">
      <c r="B15" s="24"/>
      <c r="C15" s="25"/>
      <c r="D15" s="24"/>
      <c r="E15" s="24"/>
      <c r="F15" s="367"/>
      <c r="G15" s="367"/>
      <c r="H15" s="24"/>
      <c r="I15" s="25"/>
      <c r="J15" s="24"/>
      <c r="K15" s="24"/>
      <c r="L15" s="367"/>
      <c r="M15" s="24"/>
      <c r="N15" s="24"/>
      <c r="O15" s="25"/>
      <c r="P15" s="24"/>
      <c r="Q15" s="24"/>
      <c r="R15" s="367"/>
      <c r="S15" s="24"/>
      <c r="T15" s="24"/>
      <c r="U15" s="25"/>
      <c r="V15" s="24"/>
      <c r="W15" s="24"/>
      <c r="X15" s="367"/>
      <c r="Y15" s="24"/>
      <c r="Z15" s="24"/>
      <c r="AA15" s="25"/>
      <c r="AB15" s="24"/>
      <c r="AC15" s="24"/>
      <c r="AD15" s="367"/>
      <c r="AE15" s="24"/>
      <c r="AF15" s="24"/>
      <c r="AG15" s="25"/>
      <c r="AH15" s="24"/>
      <c r="AI15" s="24"/>
      <c r="AJ15" s="367"/>
      <c r="AK15" s="24"/>
      <c r="AL15" s="24"/>
      <c r="AM15" s="25"/>
      <c r="AN15" s="24"/>
      <c r="AO15" s="24"/>
      <c r="AP15" s="367"/>
      <c r="AQ15" s="24"/>
      <c r="AR15" s="24"/>
      <c r="AS15" s="25"/>
      <c r="AT15" s="24"/>
      <c r="AU15" s="24"/>
      <c r="AV15" s="367"/>
      <c r="AW15" s="24"/>
      <c r="AX15" s="24"/>
      <c r="AY15" s="25"/>
      <c r="AZ15" s="24"/>
      <c r="BA15" s="24"/>
      <c r="BB15" s="367"/>
      <c r="BC15" s="24"/>
      <c r="BD15" s="24"/>
      <c r="BE15" s="25"/>
      <c r="BF15" s="24"/>
      <c r="BG15" s="24"/>
      <c r="BH15" s="367"/>
      <c r="BI15" s="24"/>
      <c r="BJ15" s="24"/>
      <c r="BK15" s="25"/>
      <c r="BL15" s="24"/>
      <c r="BM15" s="24"/>
      <c r="BN15" s="367"/>
      <c r="BO15" s="24"/>
      <c r="BP15" s="24"/>
      <c r="BQ15" s="25"/>
      <c r="BR15" s="24"/>
      <c r="BS15" s="24"/>
      <c r="BT15" s="367"/>
      <c r="BU15" s="24"/>
      <c r="BV15" s="24"/>
      <c r="BW15" s="25"/>
      <c r="BX15" s="24"/>
      <c r="BY15" s="24"/>
      <c r="BZ15" s="367"/>
      <c r="CA15" s="24"/>
      <c r="CB15" s="24"/>
      <c r="CC15" s="25"/>
      <c r="CD15" s="24"/>
      <c r="CE15" s="24"/>
      <c r="CF15" s="367"/>
      <c r="CG15" s="24"/>
      <c r="CH15" s="24"/>
      <c r="CI15" s="25"/>
      <c r="CJ15" s="24"/>
      <c r="CK15" s="24"/>
      <c r="CL15" s="367"/>
      <c r="CM15" s="24"/>
      <c r="CN15" s="24"/>
      <c r="CO15" s="25"/>
      <c r="CP15" s="24"/>
      <c r="CQ15" s="24"/>
      <c r="CR15" s="367"/>
      <c r="CS15" s="24"/>
      <c r="CT15" s="24"/>
      <c r="CU15" s="25"/>
      <c r="CV15" s="24"/>
      <c r="CW15" s="24"/>
      <c r="CX15" s="367"/>
      <c r="CY15" s="24"/>
      <c r="CZ15" s="24"/>
      <c r="DA15" s="25"/>
      <c r="DB15" s="24"/>
      <c r="DC15" s="24"/>
      <c r="DD15" s="367"/>
      <c r="DE15" s="24"/>
      <c r="DF15" s="24"/>
      <c r="DG15" s="25"/>
      <c r="DH15" s="24"/>
      <c r="DI15" s="24"/>
      <c r="DJ15" s="367"/>
      <c r="DK15" s="24"/>
      <c r="DL15" s="24"/>
      <c r="DM15" s="25"/>
      <c r="DN15" s="24"/>
      <c r="DO15" s="24"/>
      <c r="DP15" s="367"/>
      <c r="DQ15" s="367"/>
      <c r="DR15" s="24"/>
      <c r="DS15" s="25"/>
      <c r="DT15" s="24"/>
      <c r="DU15" s="24"/>
      <c r="DV15" s="367"/>
      <c r="DW15" s="24"/>
      <c r="DX15" s="24"/>
      <c r="DY15" s="25"/>
      <c r="DZ15" s="24"/>
      <c r="EA15" s="24"/>
      <c r="EB15" s="367"/>
      <c r="ED15" s="24"/>
      <c r="EE15" s="25"/>
      <c r="EF15" s="24"/>
      <c r="EG15" s="24"/>
      <c r="EH15" s="367"/>
      <c r="EJ15" s="24"/>
      <c r="EK15" s="25"/>
      <c r="EL15" s="24"/>
      <c r="EM15" s="24"/>
      <c r="EN15" s="367"/>
      <c r="EP15" s="24"/>
      <c r="EQ15" s="25"/>
      <c r="ER15" s="24"/>
      <c r="ES15" s="24"/>
      <c r="ET15" s="367"/>
      <c r="EV15" s="24"/>
      <c r="EW15" s="25"/>
      <c r="EX15" s="24"/>
      <c r="EY15" s="24"/>
      <c r="EZ15" s="367"/>
    </row>
    <row r="16" spans="1:156" x14ac:dyDescent="0.25">
      <c r="B16" s="24"/>
      <c r="C16" s="24"/>
      <c r="D16" s="376" t="s">
        <v>630</v>
      </c>
      <c r="E16" s="376" t="s">
        <v>639</v>
      </c>
      <c r="F16" s="376" t="s">
        <v>631</v>
      </c>
      <c r="G16" s="346"/>
      <c r="H16" s="24"/>
      <c r="I16" s="24"/>
      <c r="J16" s="376" t="s">
        <v>630</v>
      </c>
      <c r="K16" s="376" t="s">
        <v>639</v>
      </c>
      <c r="L16" s="376" t="s">
        <v>631</v>
      </c>
      <c r="M16" s="24"/>
      <c r="N16" s="24"/>
      <c r="O16" s="24"/>
      <c r="P16" s="376" t="s">
        <v>630</v>
      </c>
      <c r="Q16" s="376" t="s">
        <v>639</v>
      </c>
      <c r="R16" s="376" t="s">
        <v>631</v>
      </c>
      <c r="S16" s="24"/>
      <c r="T16" s="24"/>
      <c r="U16" s="24"/>
      <c r="V16" s="376" t="s">
        <v>630</v>
      </c>
      <c r="W16" s="376" t="s">
        <v>639</v>
      </c>
      <c r="X16" s="376" t="s">
        <v>631</v>
      </c>
      <c r="Y16" s="24"/>
      <c r="Z16" s="24"/>
      <c r="AA16" s="24"/>
      <c r="AB16" s="376" t="s">
        <v>630</v>
      </c>
      <c r="AC16" s="376" t="s">
        <v>639</v>
      </c>
      <c r="AD16" s="376" t="s">
        <v>631</v>
      </c>
      <c r="AE16" s="24"/>
      <c r="AF16" s="24"/>
      <c r="AG16" s="24"/>
      <c r="AH16" s="376" t="s">
        <v>630</v>
      </c>
      <c r="AI16" s="376" t="s">
        <v>639</v>
      </c>
      <c r="AJ16" s="376" t="s">
        <v>631</v>
      </c>
      <c r="AK16" s="24"/>
      <c r="AL16" s="24"/>
      <c r="AM16" s="24"/>
      <c r="AN16" s="376" t="s">
        <v>630</v>
      </c>
      <c r="AO16" s="376" t="s">
        <v>639</v>
      </c>
      <c r="AP16" s="376" t="s">
        <v>631</v>
      </c>
      <c r="AQ16" s="24"/>
      <c r="AR16" s="24"/>
      <c r="AS16" s="24"/>
      <c r="AT16" s="376" t="s">
        <v>630</v>
      </c>
      <c r="AU16" s="376" t="s">
        <v>639</v>
      </c>
      <c r="AV16" s="376" t="s">
        <v>631</v>
      </c>
      <c r="AW16" s="24"/>
      <c r="AX16" s="24"/>
      <c r="AY16" s="24"/>
      <c r="AZ16" s="376" t="s">
        <v>630</v>
      </c>
      <c r="BA16" s="376" t="s">
        <v>639</v>
      </c>
      <c r="BB16" s="376" t="s">
        <v>631</v>
      </c>
      <c r="BC16" s="24"/>
      <c r="BD16" s="24"/>
      <c r="BE16" s="24"/>
      <c r="BF16" s="376" t="s">
        <v>630</v>
      </c>
      <c r="BG16" s="376" t="s">
        <v>639</v>
      </c>
      <c r="BH16" s="376" t="s">
        <v>631</v>
      </c>
      <c r="BI16" s="24"/>
      <c r="BJ16" s="24"/>
      <c r="BK16" s="24"/>
      <c r="BL16" s="376" t="s">
        <v>630</v>
      </c>
      <c r="BM16" s="376" t="s">
        <v>639</v>
      </c>
      <c r="BN16" s="376" t="s">
        <v>631</v>
      </c>
      <c r="BO16" s="24"/>
      <c r="BP16" s="24"/>
      <c r="BQ16" s="24"/>
      <c r="BR16" s="376" t="s">
        <v>630</v>
      </c>
      <c r="BS16" s="376" t="s">
        <v>639</v>
      </c>
      <c r="BT16" s="376" t="s">
        <v>631</v>
      </c>
      <c r="BU16" s="24"/>
      <c r="BV16" s="24"/>
      <c r="BW16" s="24"/>
      <c r="BX16" s="376" t="s">
        <v>630</v>
      </c>
      <c r="BY16" s="376" t="s">
        <v>639</v>
      </c>
      <c r="BZ16" s="376" t="s">
        <v>631</v>
      </c>
      <c r="CA16" s="27"/>
      <c r="CB16" s="24"/>
      <c r="CC16" s="24"/>
      <c r="CD16" s="376" t="s">
        <v>630</v>
      </c>
      <c r="CE16" s="376" t="s">
        <v>639</v>
      </c>
      <c r="CF16" s="376" t="s">
        <v>631</v>
      </c>
      <c r="CG16" s="27"/>
      <c r="CH16" s="24"/>
      <c r="CI16" s="24"/>
      <c r="CJ16" s="376" t="s">
        <v>630</v>
      </c>
      <c r="CK16" s="376" t="s">
        <v>639</v>
      </c>
      <c r="CL16" s="376" t="s">
        <v>631</v>
      </c>
      <c r="CM16" s="27"/>
      <c r="CN16" s="24"/>
      <c r="CO16" s="24"/>
      <c r="CP16" s="376" t="s">
        <v>630</v>
      </c>
      <c r="CQ16" s="376" t="s">
        <v>639</v>
      </c>
      <c r="CR16" s="376" t="s">
        <v>631</v>
      </c>
      <c r="CS16" s="27"/>
      <c r="CT16" s="24"/>
      <c r="CU16" s="24"/>
      <c r="CV16" s="376" t="s">
        <v>630</v>
      </c>
      <c r="CW16" s="376" t="s">
        <v>639</v>
      </c>
      <c r="CX16" s="376" t="s">
        <v>631</v>
      </c>
      <c r="CY16" s="27"/>
      <c r="CZ16" s="24"/>
      <c r="DA16" s="24"/>
      <c r="DB16" s="376" t="s">
        <v>630</v>
      </c>
      <c r="DC16" s="376" t="s">
        <v>639</v>
      </c>
      <c r="DD16" s="376" t="s">
        <v>631</v>
      </c>
      <c r="DE16" s="27"/>
      <c r="DF16" s="24"/>
      <c r="DG16" s="24"/>
      <c r="DH16" s="376" t="s">
        <v>630</v>
      </c>
      <c r="DI16" s="376" t="s">
        <v>639</v>
      </c>
      <c r="DJ16" s="376" t="s">
        <v>631</v>
      </c>
      <c r="DK16" s="27"/>
      <c r="DL16" s="24"/>
      <c r="DM16" s="24"/>
      <c r="DN16" s="376" t="s">
        <v>630</v>
      </c>
      <c r="DO16" s="376" t="s">
        <v>639</v>
      </c>
      <c r="DP16" s="376" t="s">
        <v>631</v>
      </c>
      <c r="DQ16" s="376"/>
      <c r="DR16" s="24"/>
      <c r="DS16" s="24"/>
      <c r="DT16" s="376" t="s">
        <v>630</v>
      </c>
      <c r="DU16" s="376" t="s">
        <v>639</v>
      </c>
      <c r="DV16" s="376" t="s">
        <v>631</v>
      </c>
      <c r="DW16" s="27"/>
      <c r="DX16" s="24"/>
      <c r="DY16" s="24"/>
      <c r="DZ16" s="376" t="s">
        <v>630</v>
      </c>
      <c r="EA16" s="376" t="s">
        <v>639</v>
      </c>
      <c r="EB16" s="376" t="s">
        <v>631</v>
      </c>
      <c r="ED16" s="24"/>
      <c r="EE16" s="24"/>
      <c r="EF16" s="376" t="s">
        <v>630</v>
      </c>
      <c r="EG16" s="376" t="s">
        <v>639</v>
      </c>
      <c r="EH16" s="376" t="s">
        <v>631</v>
      </c>
      <c r="EJ16" s="24"/>
      <c r="EK16" s="24"/>
      <c r="EL16" s="376" t="s">
        <v>630</v>
      </c>
      <c r="EM16" s="376" t="s">
        <v>639</v>
      </c>
      <c r="EN16" s="376" t="s">
        <v>631</v>
      </c>
      <c r="EP16" s="24"/>
      <c r="EQ16" s="24"/>
      <c r="ER16" s="376" t="s">
        <v>630</v>
      </c>
      <c r="ES16" s="376" t="s">
        <v>639</v>
      </c>
      <c r="ET16" s="376" t="s">
        <v>631</v>
      </c>
      <c r="EV16" s="24"/>
      <c r="EW16" s="24"/>
      <c r="EX16" s="376" t="s">
        <v>630</v>
      </c>
      <c r="EY16" s="376" t="s">
        <v>639</v>
      </c>
      <c r="EZ16" s="376" t="s">
        <v>631</v>
      </c>
    </row>
    <row r="17" spans="2:156" x14ac:dyDescent="0.25">
      <c r="B17" s="24"/>
      <c r="C17" s="26"/>
      <c r="D17" s="366">
        <f>E13</f>
        <v>1000</v>
      </c>
      <c r="E17" s="366">
        <f>C13</f>
        <v>1000</v>
      </c>
      <c r="F17" s="366">
        <f>F13</f>
        <v>2000</v>
      </c>
      <c r="G17" s="346"/>
      <c r="H17" s="24"/>
      <c r="I17" s="26"/>
      <c r="J17" s="366">
        <f>K13</f>
        <v>1000</v>
      </c>
      <c r="K17" s="366">
        <f>I13</f>
        <v>1000</v>
      </c>
      <c r="L17" s="366">
        <f>L13</f>
        <v>2000</v>
      </c>
      <c r="M17" s="24"/>
      <c r="N17" s="24"/>
      <c r="O17" s="26"/>
      <c r="P17" s="366">
        <f>Q13</f>
        <v>1000</v>
      </c>
      <c r="Q17" s="366">
        <f>O13</f>
        <v>1000</v>
      </c>
      <c r="R17" s="366">
        <f>R13</f>
        <v>2000</v>
      </c>
      <c r="S17" s="24"/>
      <c r="T17" s="24"/>
      <c r="U17" s="26"/>
      <c r="V17" s="366">
        <f>W13</f>
        <v>1000</v>
      </c>
      <c r="W17" s="366">
        <f>U13</f>
        <v>1000</v>
      </c>
      <c r="X17" s="366">
        <f>X13</f>
        <v>2000</v>
      </c>
      <c r="Y17" s="24"/>
      <c r="Z17" s="24"/>
      <c r="AA17" s="26"/>
      <c r="AB17" s="366">
        <f>AC13</f>
        <v>1000</v>
      </c>
      <c r="AC17" s="366">
        <f>AA13</f>
        <v>1000</v>
      </c>
      <c r="AD17" s="366">
        <f>AD13</f>
        <v>2000</v>
      </c>
      <c r="AE17" s="24"/>
      <c r="AF17" s="24"/>
      <c r="AG17" s="26"/>
      <c r="AH17" s="366">
        <f>AI13</f>
        <v>1000</v>
      </c>
      <c r="AI17" s="366">
        <f>AG13</f>
        <v>1000</v>
      </c>
      <c r="AJ17" s="366">
        <f>AJ13</f>
        <v>2000</v>
      </c>
      <c r="AK17" s="24"/>
      <c r="AL17" s="24"/>
      <c r="AM17" s="26"/>
      <c r="AN17" s="366">
        <f>AO13</f>
        <v>1000</v>
      </c>
      <c r="AO17" s="366">
        <f>AM13</f>
        <v>1000</v>
      </c>
      <c r="AP17" s="366">
        <f>AP13</f>
        <v>2000</v>
      </c>
      <c r="AQ17" s="24"/>
      <c r="AR17" s="24"/>
      <c r="AS17" s="26"/>
      <c r="AT17" s="366">
        <f>AU13</f>
        <v>1000</v>
      </c>
      <c r="AU17" s="366">
        <f>AS13</f>
        <v>1000</v>
      </c>
      <c r="AV17" s="366">
        <f>AV13</f>
        <v>2000</v>
      </c>
      <c r="AW17" s="24"/>
      <c r="AX17" s="24"/>
      <c r="AY17" s="26"/>
      <c r="AZ17" s="366">
        <f>BA13</f>
        <v>1000</v>
      </c>
      <c r="BA17" s="366">
        <f>AY13</f>
        <v>1000</v>
      </c>
      <c r="BB17" s="366">
        <f>BB13</f>
        <v>2000</v>
      </c>
      <c r="BC17" s="24"/>
      <c r="BD17" s="24"/>
      <c r="BE17" s="26"/>
      <c r="BF17" s="366">
        <f>BG13</f>
        <v>1000</v>
      </c>
      <c r="BG17" s="366">
        <f>BE13</f>
        <v>1000</v>
      </c>
      <c r="BH17" s="366">
        <f>BH13</f>
        <v>2000</v>
      </c>
      <c r="BI17" s="24"/>
      <c r="BJ17" s="24"/>
      <c r="BK17" s="26"/>
      <c r="BL17" s="366">
        <f>BM13</f>
        <v>1000</v>
      </c>
      <c r="BM17" s="366">
        <f>BK13</f>
        <v>1000</v>
      </c>
      <c r="BN17" s="366">
        <f>BN13</f>
        <v>2000</v>
      </c>
      <c r="BO17" s="24"/>
      <c r="BP17" s="24"/>
      <c r="BQ17" s="26"/>
      <c r="BR17" s="366">
        <f>BS13</f>
        <v>1000</v>
      </c>
      <c r="BS17" s="366">
        <f>BQ13</f>
        <v>1000</v>
      </c>
      <c r="BT17" s="366">
        <f>BT13</f>
        <v>2000</v>
      </c>
      <c r="BU17" s="24"/>
      <c r="BV17" s="24"/>
      <c r="BW17" s="26"/>
      <c r="BX17" s="366">
        <f>BY13</f>
        <v>1000</v>
      </c>
      <c r="BY17" s="366">
        <f>BW13</f>
        <v>1000</v>
      </c>
      <c r="BZ17" s="366">
        <f>BZ13</f>
        <v>2000</v>
      </c>
      <c r="CA17" s="24"/>
      <c r="CB17" s="24"/>
      <c r="CC17" s="26"/>
      <c r="CD17" s="366">
        <f>CE13</f>
        <v>1000</v>
      </c>
      <c r="CE17" s="366">
        <f>CC13</f>
        <v>1000</v>
      </c>
      <c r="CF17" s="366">
        <f>CF13</f>
        <v>2000</v>
      </c>
      <c r="CG17" s="24"/>
      <c r="CH17" s="24"/>
      <c r="CI17" s="26"/>
      <c r="CJ17" s="366">
        <f>CK13</f>
        <v>1000</v>
      </c>
      <c r="CK17" s="366">
        <f>CI13</f>
        <v>1000</v>
      </c>
      <c r="CL17" s="366">
        <f>CL13</f>
        <v>2000</v>
      </c>
      <c r="CM17" s="24"/>
      <c r="CN17" s="24"/>
      <c r="CO17" s="26"/>
      <c r="CP17" s="366">
        <f>CQ13</f>
        <v>1000</v>
      </c>
      <c r="CQ17" s="366">
        <f>CO13</f>
        <v>1000</v>
      </c>
      <c r="CR17" s="366">
        <f>CR13</f>
        <v>2000</v>
      </c>
      <c r="CS17" s="24"/>
      <c r="CT17" s="24"/>
      <c r="CU17" s="26"/>
      <c r="CV17" s="366">
        <f>CW13</f>
        <v>1000</v>
      </c>
      <c r="CW17" s="366">
        <f>CU13</f>
        <v>1000</v>
      </c>
      <c r="CX17" s="366">
        <f>CX13</f>
        <v>2000</v>
      </c>
      <c r="CY17" s="24"/>
      <c r="CZ17" s="24"/>
      <c r="DA17" s="26"/>
      <c r="DB17" s="366">
        <f>DC13</f>
        <v>1000</v>
      </c>
      <c r="DC17" s="366">
        <f>DA13</f>
        <v>1000</v>
      </c>
      <c r="DD17" s="366">
        <f>DD13</f>
        <v>2000</v>
      </c>
      <c r="DE17" s="24"/>
      <c r="DF17" s="24"/>
      <c r="DG17" s="26"/>
      <c r="DH17" s="366">
        <f>DI13</f>
        <v>1000</v>
      </c>
      <c r="DI17" s="366">
        <f>DG13</f>
        <v>1000</v>
      </c>
      <c r="DJ17" s="366">
        <f>DJ13</f>
        <v>2000</v>
      </c>
      <c r="DK17" s="24"/>
      <c r="DL17" s="24"/>
      <c r="DM17" s="26"/>
      <c r="DN17" s="366">
        <f>DO13</f>
        <v>1000</v>
      </c>
      <c r="DO17" s="366">
        <f>DM13</f>
        <v>1000</v>
      </c>
      <c r="DP17" s="366">
        <f>DP13</f>
        <v>2000</v>
      </c>
      <c r="DQ17" s="366"/>
      <c r="DR17" s="24"/>
      <c r="DS17" s="26"/>
      <c r="DT17" s="366">
        <f>DU13</f>
        <v>1000</v>
      </c>
      <c r="DU17" s="366">
        <f>DS13</f>
        <v>1000</v>
      </c>
      <c r="DV17" s="366">
        <f>DV13</f>
        <v>2000</v>
      </c>
      <c r="DW17" s="24"/>
      <c r="DX17" s="24"/>
      <c r="DY17" s="26"/>
      <c r="DZ17" s="366">
        <f>EA13</f>
        <v>1000</v>
      </c>
      <c r="EA17" s="366">
        <f>DY13</f>
        <v>1000</v>
      </c>
      <c r="EB17" s="366">
        <f>EB13</f>
        <v>2000</v>
      </c>
      <c r="ED17" s="24"/>
      <c r="EE17" s="26"/>
      <c r="EF17" s="366">
        <f>EG13</f>
        <v>1000</v>
      </c>
      <c r="EG17" s="366">
        <f>EE13</f>
        <v>1000</v>
      </c>
      <c r="EH17" s="366">
        <f>EH13</f>
        <v>2000</v>
      </c>
      <c r="EJ17" s="24"/>
      <c r="EK17" s="26"/>
      <c r="EL17" s="366">
        <f>EM13</f>
        <v>1000</v>
      </c>
      <c r="EM17" s="366">
        <f>EK13</f>
        <v>1000</v>
      </c>
      <c r="EN17" s="366">
        <f>EN13</f>
        <v>2000</v>
      </c>
      <c r="EP17" s="24"/>
      <c r="EQ17" s="26"/>
      <c r="ER17" s="366">
        <f>ES13</f>
        <v>1000</v>
      </c>
      <c r="ES17" s="366">
        <f>EQ13</f>
        <v>1000</v>
      </c>
      <c r="ET17" s="366">
        <f>ET13</f>
        <v>2000</v>
      </c>
      <c r="EV17" s="24"/>
      <c r="EW17" s="26"/>
      <c r="EX17" s="366">
        <f>EY13</f>
        <v>1000</v>
      </c>
      <c r="EY17" s="366">
        <f>EW13</f>
        <v>1000</v>
      </c>
      <c r="EZ17" s="366">
        <f>EZ13</f>
        <v>2000</v>
      </c>
    </row>
    <row r="18" spans="2:156" x14ac:dyDescent="0.25">
      <c r="B18" s="24" t="s">
        <v>630</v>
      </c>
      <c r="C18" s="366">
        <f>E14</f>
        <v>5000</v>
      </c>
      <c r="D18" s="24" cm="1">
        <f t="array" ref="D18">INDEX('Page 2'!$D$9:$AI$188,D$14,D$13)</f>
        <v>5.7759999999999998</v>
      </c>
      <c r="E18" s="368"/>
      <c r="F18" s="24" cm="1">
        <f t="array" ref="F18">INDEX('Page 2'!$D$9:$AI$188,D$14,D$13+1)</f>
        <v>5.2130000000000001</v>
      </c>
      <c r="G18" s="346"/>
      <c r="H18" s="24" t="s">
        <v>630</v>
      </c>
      <c r="I18" s="366">
        <f>K14</f>
        <v>5000</v>
      </c>
      <c r="J18" s="24" cm="1">
        <f t="array" ref="J18">INDEX('Page 2'!$D$9:$AI$188,J$14,J$13)</f>
        <v>5.7759999999999998</v>
      </c>
      <c r="K18" s="368"/>
      <c r="L18" s="24" cm="1">
        <f t="array" ref="L18">INDEX('Page 2'!$D$9:$AI$188,J$14,J$13+1)</f>
        <v>5.2130000000000001</v>
      </c>
      <c r="M18" s="24"/>
      <c r="N18" s="24" t="s">
        <v>630</v>
      </c>
      <c r="O18" s="366">
        <f>Q14</f>
        <v>30000</v>
      </c>
      <c r="P18" s="24" cm="1">
        <f t="array" ref="P18">INDEX('Page 2'!$D$9:$AI$188,P$14,P$13)</f>
        <v>20.716999999999999</v>
      </c>
      <c r="Q18" s="368"/>
      <c r="R18" s="24" cm="1">
        <f t="array" ref="R18">INDEX('Page 2'!$D$9:$AI$188,P$14,P$13+1)</f>
        <v>19.739999999999998</v>
      </c>
      <c r="S18" s="24"/>
      <c r="T18" s="24" t="s">
        <v>630</v>
      </c>
      <c r="U18" s="366">
        <f>W14</f>
        <v>50000</v>
      </c>
      <c r="V18" s="24" cm="1">
        <f t="array" ref="V18">INDEX('Page 2'!$D$9:$AI$188,V$14,V$13)</f>
        <v>27.494</v>
      </c>
      <c r="W18" s="368"/>
      <c r="X18" s="24" cm="1">
        <f t="array" ref="X18">INDEX('Page 2'!$D$9:$AI$188,V$14,V$13+1)</f>
        <v>26.311</v>
      </c>
      <c r="Y18" s="24"/>
      <c r="Z18" s="24" t="s">
        <v>630</v>
      </c>
      <c r="AA18" s="366">
        <f>AC14</f>
        <v>75000</v>
      </c>
      <c r="AB18" s="24" cm="1">
        <f t="array" ref="AB18">INDEX('Page 2'!$D$9:$AI$188,AB$14,AB$13)</f>
        <v>32.414000000000001</v>
      </c>
      <c r="AC18" s="368"/>
      <c r="AD18" s="24" cm="1">
        <f t="array" ref="AD18">INDEX('Page 2'!$D$9:$AI$188,AB$14,AB$13+1)</f>
        <v>31.143999999999998</v>
      </c>
      <c r="AE18" s="24"/>
      <c r="AF18" s="24" t="s">
        <v>630</v>
      </c>
      <c r="AG18" s="366">
        <f>AI14</f>
        <v>100000</v>
      </c>
      <c r="AH18" s="24" cm="1">
        <f t="array" ref="AH18">INDEX('Page 2'!$D$9:$AI$188,AH$14,AH$13)</f>
        <v>35.670999999999999</v>
      </c>
      <c r="AI18" s="368"/>
      <c r="AJ18" s="24" cm="1">
        <f t="array" ref="AJ18">INDEX('Page 2'!$D$9:$AI$188,AH$14,AH$13+1)</f>
        <v>34.35</v>
      </c>
      <c r="AK18" s="24"/>
      <c r="AL18" s="24" t="s">
        <v>630</v>
      </c>
      <c r="AM18" s="366">
        <f>AO14</f>
        <v>125000</v>
      </c>
      <c r="AN18" s="24" cm="1">
        <f t="array" ref="AN18">INDEX('Page 2'!$D$9:$AI$188,AN$14,AN$13)</f>
        <v>37.70172240257002</v>
      </c>
      <c r="AO18" s="368"/>
      <c r="AP18" s="24" cm="1">
        <f t="array" ref="AP18">INDEX('Page 2'!$D$9:$AI$188,AN$14,AN$13+1)</f>
        <v>37.70172240257002</v>
      </c>
      <c r="AQ18" s="24"/>
      <c r="AR18" s="24" t="s">
        <v>630</v>
      </c>
      <c r="AS18" s="366">
        <f>AU14</f>
        <v>150000</v>
      </c>
      <c r="AT18" s="24" cm="1">
        <f t="array" ref="AT18">INDEX('Page 2'!$D$9:$AI$188,AT$14,AT$13)</f>
        <v>38.031587877458819</v>
      </c>
      <c r="AU18" s="368"/>
      <c r="AV18" s="24" cm="1">
        <f t="array" ref="AV18">INDEX('Page 2'!$D$9:$AI$188,AT$14,AT$13+1)</f>
        <v>38.031587877458819</v>
      </c>
      <c r="AW18" s="24"/>
      <c r="AX18" s="24" t="s">
        <v>630</v>
      </c>
      <c r="AY18" s="366">
        <f>BA14</f>
        <v>175000</v>
      </c>
      <c r="AZ18" s="24" cm="1">
        <f t="array" ref="AZ18">INDEX('Page 2'!$D$9:$AI$188,AZ$14,AZ$13)</f>
        <v>38.351185256208424</v>
      </c>
      <c r="BA18" s="368"/>
      <c r="BB18" s="24" cm="1">
        <f t="array" ref="BB18">INDEX('Page 2'!$D$9:$AI$188,AZ$14,AZ$13+1)</f>
        <v>38.351185256208424</v>
      </c>
      <c r="BC18" s="24"/>
      <c r="BD18" s="24" t="s">
        <v>630</v>
      </c>
      <c r="BE18" s="366">
        <f>BG14</f>
        <v>200000</v>
      </c>
      <c r="BF18" s="24" cm="1">
        <f t="array" ref="BF18">INDEX('Page 2'!$D$9:$AI$188,BF$14,BF$13)</f>
        <v>38.6601116424754</v>
      </c>
      <c r="BG18" s="368"/>
      <c r="BH18" s="24" cm="1">
        <f t="array" ref="BH18">INDEX('Page 2'!$D$9:$AI$188,BF$14,BF$13+1)</f>
        <v>38.6601116424754</v>
      </c>
      <c r="BI18" s="24"/>
      <c r="BJ18" s="24" t="s">
        <v>630</v>
      </c>
      <c r="BK18" s="366">
        <f>BM14</f>
        <v>225000</v>
      </c>
      <c r="BL18" s="24" cm="1">
        <f t="array" ref="BL18">INDEX('Page 2'!$D$9:$AI$188,BL$14,BL$13)</f>
        <v>38.957973367705634</v>
      </c>
      <c r="BM18" s="368"/>
      <c r="BN18" s="24" cm="1">
        <f t="array" ref="BN18">INDEX('Page 2'!$D$9:$AI$188,BL$14,BL$13+1)</f>
        <v>38.957973367705634</v>
      </c>
      <c r="BO18" s="24"/>
      <c r="BP18" s="24" t="s">
        <v>630</v>
      </c>
      <c r="BQ18" s="366">
        <f>BS14</f>
        <v>250000</v>
      </c>
      <c r="BR18" s="24" cm="1">
        <f t="array" ref="BR18">INDEX('Page 2'!$D$9:$AI$188,BR$14,BR$13)</f>
        <v>39.244386938162592</v>
      </c>
      <c r="BS18" s="368"/>
      <c r="BT18" s="24" cm="1">
        <f t="array" ref="BT18">INDEX('Page 2'!$D$9:$AI$188,BR$14,BR$13+1)</f>
        <v>39.244386938162592</v>
      </c>
      <c r="BU18" s="24"/>
      <c r="BV18" s="24" t="s">
        <v>630</v>
      </c>
      <c r="BW18" s="366">
        <f>BY14</f>
        <v>275000</v>
      </c>
      <c r="BX18" s="24" cm="1">
        <f t="array" ref="BX18">INDEX('Page 2'!$D$9:$AI$188,BX$14,BX$13)</f>
        <v>39.518979969824144</v>
      </c>
      <c r="BY18" s="368"/>
      <c r="BZ18" s="24" cm="1">
        <f t="array" ref="BZ18">INDEX('Page 2'!$D$9:$AI$188,BX$14,BX$13+1)</f>
        <v>39.518979969824144</v>
      </c>
      <c r="CA18" s="24"/>
      <c r="CB18" s="24" t="s">
        <v>630</v>
      </c>
      <c r="CC18" s="366">
        <f>CE14</f>
        <v>300000</v>
      </c>
      <c r="CD18" s="24" cm="1">
        <f t="array" ref="CD18">INDEX('Page 2'!$D$9:$AI$188,CD$14,CD$13)</f>
        <v>39.781392107648685</v>
      </c>
      <c r="CE18" s="368"/>
      <c r="CF18" s="24" cm="1">
        <f t="array" ref="CF18">INDEX('Page 2'!$D$9:$AI$188,CD$14,CD$13+1)</f>
        <v>39.781392107648685</v>
      </c>
      <c r="CG18" s="24"/>
      <c r="CH18" s="24" t="s">
        <v>630</v>
      </c>
      <c r="CI18" s="366">
        <f>CK14</f>
        <v>325000</v>
      </c>
      <c r="CJ18" s="24" cm="1">
        <f t="array" ref="CJ18">INDEX('Page 2'!$D$9:$AI$188,CJ$14,CJ$13)</f>
        <v>40.031275925714546</v>
      </c>
      <c r="CK18" s="368"/>
      <c r="CL18" s="24" cm="1">
        <f t="array" ref="CL18">INDEX('Page 2'!$D$9:$AI$188,CJ$14,CJ$13+1)</f>
        <v>40.031275925714546</v>
      </c>
      <c r="CM18" s="24"/>
      <c r="CN18" s="24" t="s">
        <v>630</v>
      </c>
      <c r="CO18" s="366">
        <f>CQ14</f>
        <v>350000</v>
      </c>
      <c r="CP18" s="24" cm="1">
        <f t="array" ref="CP18">INDEX('Page 2'!$D$9:$AI$188,CP$14,CP$13)</f>
        <v>40.268297804757978</v>
      </c>
      <c r="CQ18" s="368"/>
      <c r="CR18" s="24" cm="1">
        <f t="array" ref="CR18">INDEX('Page 2'!$D$9:$AI$188,CP$14,CP$13+1)</f>
        <v>40.268297804757978</v>
      </c>
      <c r="CS18" s="24"/>
      <c r="CT18" s="24" t="s">
        <v>630</v>
      </c>
      <c r="CU18" s="366">
        <f>CW14</f>
        <v>375000</v>
      </c>
      <c r="CV18" s="24" cm="1">
        <f t="array" ref="CV18">INDEX('Page 2'!$D$9:$AI$188,CV$14,CV$13)</f>
        <v>40.492138783675777</v>
      </c>
      <c r="CW18" s="368"/>
      <c r="CX18" s="24" cm="1">
        <f t="array" ref="CX18">INDEX('Page 2'!$D$9:$AI$188,CV$14,CV$13+1)</f>
        <v>40.492138783675777</v>
      </c>
      <c r="CY18" s="24"/>
      <c r="CZ18" s="24" t="s">
        <v>630</v>
      </c>
      <c r="DA18" s="366">
        <f>DC14</f>
        <v>400000</v>
      </c>
      <c r="DB18" s="24" cm="1">
        <f t="array" ref="DB18">INDEX('Page 2'!$D$9:$AI$188,DB$14,DB$13)</f>
        <v>40.702495381617069</v>
      </c>
      <c r="DC18" s="368"/>
      <c r="DD18" s="24" cm="1">
        <f t="array" ref="DD18">INDEX('Page 2'!$D$9:$AI$188,DB$14,DB$13+1)</f>
        <v>40.702495381617069</v>
      </c>
      <c r="DE18" s="24"/>
      <c r="DF18" s="24" t="s">
        <v>630</v>
      </c>
      <c r="DG18" s="366">
        <f>DI14</f>
        <v>425000</v>
      </c>
      <c r="DH18" s="24" cm="1">
        <f t="array" ref="DH18">INDEX('Page 2'!$D$9:$AI$188,DH$14,DH$13)</f>
        <v>40.899080387366787</v>
      </c>
      <c r="DI18" s="368"/>
      <c r="DJ18" s="24" cm="1">
        <f t="array" ref="DJ18">INDEX('Page 2'!$D$9:$AI$188,DH$14,DH$13+1)</f>
        <v>40.899080387366787</v>
      </c>
      <c r="DK18" s="24"/>
      <c r="DL18" s="24" t="s">
        <v>630</v>
      </c>
      <c r="DM18" s="366">
        <f>DO14</f>
        <v>450000</v>
      </c>
      <c r="DN18" s="24" cm="1">
        <f t="array" ref="DN18">INDEX('Page 2'!$D$9:$AI$188,DN$14,DN$13)</f>
        <v>41.081623612819257</v>
      </c>
      <c r="DO18" s="368"/>
      <c r="DP18" s="24" cm="1">
        <f t="array" ref="DP18">INDEX('Page 2'!$D$9:$AI$188,DN$14,DN$13+1)</f>
        <v>41.081623612819257</v>
      </c>
      <c r="DQ18" s="24"/>
      <c r="DR18" s="24" t="s">
        <v>630</v>
      </c>
      <c r="DS18" s="366">
        <f>DU14</f>
        <v>475000</v>
      </c>
      <c r="DT18" s="24" cm="1">
        <f t="array" ref="DT18">INDEX('Page 2'!$D$9:$AI$188,DT$14,DT$13)</f>
        <v>41.249872607454797</v>
      </c>
      <c r="DU18" s="368"/>
      <c r="DV18" s="24" cm="1">
        <f t="array" ref="DV18">INDEX('Page 2'!$D$9:$AI$188,DT$14,DT$13+1)</f>
        <v>41.249872607454797</v>
      </c>
      <c r="DW18" s="24"/>
      <c r="DX18" s="24" t="s">
        <v>630</v>
      </c>
      <c r="DY18" s="366">
        <f>EA14</f>
        <v>500000</v>
      </c>
      <c r="DZ18" s="24" cm="1">
        <f t="array" ref="DZ18">INDEX('Page 2'!$D$9:$AI$188,DZ$14,DZ$13)</f>
        <v>41.403593330864268</v>
      </c>
      <c r="EA18" s="368"/>
      <c r="EB18" s="24" cm="1">
        <f t="array" ref="EB18">INDEX('Page 2'!$D$9:$AI$188,DZ$14,DZ$13+1)</f>
        <v>41.403593330864268</v>
      </c>
      <c r="ED18" s="24" t="s">
        <v>630</v>
      </c>
      <c r="EE18" s="366">
        <f>EG14</f>
        <v>525000</v>
      </c>
      <c r="EF18" s="24" cm="1">
        <f t="array" ref="EF18">INDEX('Page 2'!$D$9:$AI$188,EF$14,EF$13)</f>
        <v>41.542570780515881</v>
      </c>
      <c r="EG18" s="368"/>
      <c r="EH18" s="24" cm="1">
        <f t="array" ref="EH18">INDEX('Page 2'!$D$9:$AI$188,EF$14,EF$13+1)</f>
        <v>41.542570780515881</v>
      </c>
      <c r="EJ18" s="24" t="s">
        <v>630</v>
      </c>
      <c r="EK18" s="366">
        <f>EM14</f>
        <v>550000</v>
      </c>
      <c r="EL18" s="24" cm="1">
        <f t="array" ref="EL18">INDEX('Page 2'!$D$9:$AI$188,EL$14,EL$13)</f>
        <v>41.666609572124315</v>
      </c>
      <c r="EM18" s="368"/>
      <c r="EN18" s="24" cm="1">
        <f t="array" ref="EN18">INDEX('Page 2'!$D$9:$AI$188,EL$14,EL$13+1)</f>
        <v>41.666609572124315</v>
      </c>
      <c r="EP18" s="24" t="s">
        <v>630</v>
      </c>
      <c r="EQ18" s="366">
        <f>ES14</f>
        <v>575000</v>
      </c>
      <c r="ER18" s="24" cm="1">
        <f t="array" ref="ER18">INDEX('Page 2'!$D$9:$AI$188,ER$14,ER$13)</f>
        <v>41.775534470163656</v>
      </c>
      <c r="ES18" s="368"/>
      <c r="ET18" s="24" cm="1">
        <f t="array" ref="ET18">INDEX('Page 2'!$D$9:$AI$188,ER$14,ER$13+1)</f>
        <v>41.775534470163656</v>
      </c>
      <c r="EV18" s="24" t="s">
        <v>630</v>
      </c>
      <c r="EW18" s="366">
        <f>EY14</f>
        <v>600000</v>
      </c>
      <c r="EX18" s="24" cm="1">
        <f t="array" ref="EX18">INDEX('Page 2'!$D$9:$AI$188,EX$14,EX$13)</f>
        <v>41.869190866261988</v>
      </c>
      <c r="EY18" s="368"/>
      <c r="EZ18" s="24" cm="1">
        <f t="array" ref="EZ18">INDEX('Page 2'!$D$9:$AI$188,EX$14,EX$13+1)</f>
        <v>41.869190866261988</v>
      </c>
    </row>
    <row r="19" spans="2:156" x14ac:dyDescent="0.25">
      <c r="B19" s="24" t="s">
        <v>639</v>
      </c>
      <c r="C19" s="366">
        <f>C14</f>
        <v>5000</v>
      </c>
      <c r="D19" s="360">
        <f>-((C18-C19)/(C18-C20)*(D18-D20)-D18)</f>
        <v>5.7759999999999998</v>
      </c>
      <c r="E19" s="369">
        <f>-((D17-E17)/(D17-F17)*(D19-F19)-D19)</f>
        <v>5.7759999999999998</v>
      </c>
      <c r="F19" s="361">
        <f>-((C18-C19)/(C18-C20)*(F18-F20)-F18)</f>
        <v>5.2130000000000001</v>
      </c>
      <c r="G19" s="346"/>
      <c r="H19" s="24" t="s">
        <v>639</v>
      </c>
      <c r="I19" s="366">
        <f>I14</f>
        <v>5000</v>
      </c>
      <c r="J19" s="360">
        <f>-((I18-I19)/(I18-I20)*(J18-J20)-J18)</f>
        <v>5.7759999999999998</v>
      </c>
      <c r="K19" s="369">
        <f>-((J17-K17)/(J17-L17)*(J19-L19)-J19)</f>
        <v>5.7759999999999998</v>
      </c>
      <c r="L19" s="361">
        <f>-((I18-I19)/(I18-I20)*(L18-L20)-L18)</f>
        <v>5.2130000000000001</v>
      </c>
      <c r="M19" s="24"/>
      <c r="N19" s="24" t="s">
        <v>639</v>
      </c>
      <c r="O19" s="366">
        <f>O14</f>
        <v>30000</v>
      </c>
      <c r="P19" s="360">
        <f>-((O18-O19)/(O18-O20)*(P18-P20)-P18)</f>
        <v>20.716999999999999</v>
      </c>
      <c r="Q19" s="369">
        <f>-((P17-Q17)/(P17-R17)*(P19-R19)-P19)</f>
        <v>20.716999999999999</v>
      </c>
      <c r="R19" s="361">
        <f>-((O18-O19)/(O18-O20)*(R18-R20)-R18)</f>
        <v>19.739999999999998</v>
      </c>
      <c r="S19" s="24"/>
      <c r="T19" s="24" t="s">
        <v>639</v>
      </c>
      <c r="U19" s="366">
        <f>U14</f>
        <v>55000</v>
      </c>
      <c r="V19" s="360">
        <f>-((U18-U19)/(U18-U20)*(V18-V20)-V18)</f>
        <v>28.478000000000002</v>
      </c>
      <c r="W19" s="369">
        <f>-((V17-W17)/(V17-X17)*(V19-X19)-V19)</f>
        <v>28.478000000000002</v>
      </c>
      <c r="X19" s="361">
        <f>-((U18-U19)/(U18-U20)*(X18-X20)-X18)</f>
        <v>27.2776</v>
      </c>
      <c r="Y19" s="24"/>
      <c r="Z19" s="24" t="s">
        <v>639</v>
      </c>
      <c r="AA19" s="366">
        <f>AA14</f>
        <v>80000</v>
      </c>
      <c r="AB19" s="360">
        <f>-((AA18-AA19)/(AA18-AA20)*(AB18-AB20)-AB18)</f>
        <v>33.065400000000004</v>
      </c>
      <c r="AC19" s="369">
        <f>-((AB17-AC17)/(AB17-AD17)*(AB19-AD19)-AB19)</f>
        <v>33.065400000000004</v>
      </c>
      <c r="AD19" s="361">
        <f>-((AA18-AA19)/(AA18-AA20)*(AD18-AD20)-AD18)</f>
        <v>31.7852</v>
      </c>
      <c r="AE19" s="24"/>
      <c r="AF19" s="24" t="s">
        <v>639</v>
      </c>
      <c r="AG19" s="366">
        <f>AG14</f>
        <v>105000</v>
      </c>
      <c r="AH19" s="360">
        <f>-((AG18-AG19)/(AG18-AG20)*(AH18-AH20)-AH18)</f>
        <v>36.077144480514001</v>
      </c>
      <c r="AI19" s="369">
        <f>-((AH17-AI17)/(AH17-AJ17)*(AH19-AJ19)-AH19)</f>
        <v>36.077144480514001</v>
      </c>
      <c r="AJ19" s="361">
        <f>-((AG18-AG19)/(AG18-AG20)*(AJ18-AJ20)-AJ18)</f>
        <v>35.020344480514005</v>
      </c>
      <c r="AK19" s="24"/>
      <c r="AL19" s="24" t="s">
        <v>639</v>
      </c>
      <c r="AM19" s="366">
        <f>AM14</f>
        <v>130000</v>
      </c>
      <c r="AN19" s="360">
        <f>-((AM18-AM19)/(AM18-AM20)*(AN18-AN20)-AN18)</f>
        <v>37.767695497547777</v>
      </c>
      <c r="AO19" s="369">
        <f>-((AN17-AO17)/(AN17-AP17)*(AN19-AP19)-AN19)</f>
        <v>37.767695497547777</v>
      </c>
      <c r="AP19" s="361">
        <f>-((AM18-AM19)/(AM18-AM20)*(AP18-AP20)-AP18)</f>
        <v>37.767695497547777</v>
      </c>
      <c r="AQ19" s="24"/>
      <c r="AR19" s="24" t="s">
        <v>639</v>
      </c>
      <c r="AS19" s="366">
        <f>AS14</f>
        <v>155000</v>
      </c>
      <c r="AT19" s="360">
        <f>-((AS18-AS19)/(AS18-AS20)*(AT18-AT20)-AT18)</f>
        <v>38.095507353208738</v>
      </c>
      <c r="AU19" s="369">
        <f>-((AT17-AU17)/(AT17-AV17)*(AT19-AV19)-AT19)</f>
        <v>38.095507353208738</v>
      </c>
      <c r="AV19" s="361">
        <f>-((AS18-AS19)/(AS18-AS20)*(AV18-AV20)-AV18)</f>
        <v>38.095507353208738</v>
      </c>
      <c r="AW19" s="24"/>
      <c r="AX19" s="24" t="s">
        <v>639</v>
      </c>
      <c r="AY19" s="366">
        <f>AY14</f>
        <v>180000</v>
      </c>
      <c r="AZ19" s="360">
        <f>-((AY18-AY19)/(AY18-AY20)*(AZ18-AZ20)-AZ18)</f>
        <v>38.412970533461817</v>
      </c>
      <c r="BA19" s="369">
        <f>-((AZ17-BA17)/(AZ17-BB17)*(AZ19-BB19)-AZ19)</f>
        <v>38.412970533461817</v>
      </c>
      <c r="BB19" s="361">
        <f>-((AY18-AY19)/(AY18-AY20)*(BB18-BB20)-BB18)</f>
        <v>38.412970533461817</v>
      </c>
      <c r="BC19" s="24"/>
      <c r="BD19" s="24" t="s">
        <v>639</v>
      </c>
      <c r="BE19" s="366">
        <f>BE14</f>
        <v>205000</v>
      </c>
      <c r="BF19" s="360">
        <f>-((BE18-BE19)/(BE18-BE20)*(BF18-BF20)-BF18)</f>
        <v>38.719683987521449</v>
      </c>
      <c r="BG19" s="369">
        <f>-((BF17-BG17)/(BF17-BH17)*(BF19-BH19)-BF19)</f>
        <v>38.719683987521449</v>
      </c>
      <c r="BH19" s="361">
        <f>-((BE18-BE19)/(BE18-BE20)*(BH18-BH20)-BH18)</f>
        <v>38.719683987521449</v>
      </c>
      <c r="BI19" s="24"/>
      <c r="BJ19" s="24" t="s">
        <v>639</v>
      </c>
      <c r="BK19" s="366">
        <f>BK14</f>
        <v>230000</v>
      </c>
      <c r="BL19" s="360">
        <f>-((BK18-BK19)/(BK18-BK20)*(BL18-BL20)-BL18)</f>
        <v>39.015256081797027</v>
      </c>
      <c r="BM19" s="369">
        <f>-((BL17-BM17)/(BL17-BN17)*(BL19-BN19)-BL19)</f>
        <v>39.015256081797027</v>
      </c>
      <c r="BN19" s="361">
        <f>-((BK18-BK19)/(BK18-BK20)*(BN18-BN20)-BN18)</f>
        <v>39.015256081797027</v>
      </c>
      <c r="BO19" s="24"/>
      <c r="BP19" s="24" t="s">
        <v>639</v>
      </c>
      <c r="BQ19" s="366">
        <f>BQ14</f>
        <v>255000</v>
      </c>
      <c r="BR19" s="360">
        <f>-((BQ18-BQ19)/(BQ18-BQ20)*(BR18-BR20)-BR18)</f>
        <v>39.299305544494899</v>
      </c>
      <c r="BS19" s="369">
        <f>-((BR17-BS17)/(BR17-BT17)*(BR19-BT19)-BR19)</f>
        <v>39.299305544494899</v>
      </c>
      <c r="BT19" s="361">
        <f>-((BQ18-BQ19)/(BQ18-BQ20)*(BT18-BT20)-BT18)</f>
        <v>39.299305544494899</v>
      </c>
      <c r="BU19" s="24"/>
      <c r="BV19" s="24" t="s">
        <v>639</v>
      </c>
      <c r="BW19" s="366">
        <f>BW14</f>
        <v>280000</v>
      </c>
      <c r="BX19" s="360">
        <f>-((BW18-BW19)/(BW18-BW20)*(BX18-BX20)-BX18)</f>
        <v>39.571462397389055</v>
      </c>
      <c r="BY19" s="369">
        <f>-((BX17-BY17)/(BX17-BZ17)*(BX19-BZ19)-BX19)</f>
        <v>39.571462397389055</v>
      </c>
      <c r="BZ19" s="361">
        <f>-((BW18-BW19)/(BW18-BW20)*(BZ18-BZ20)-BZ18)</f>
        <v>39.571462397389055</v>
      </c>
      <c r="CA19" s="27"/>
      <c r="CB19" s="24" t="s">
        <v>639</v>
      </c>
      <c r="CC19" s="366">
        <f>CC14</f>
        <v>305000</v>
      </c>
      <c r="CD19" s="360">
        <f>-((CC18-CC19)/(CC18-CC20)*(CD18-CD20)-CD18)</f>
        <v>39.831368871261859</v>
      </c>
      <c r="CE19" s="369">
        <f>-((CD17-CE17)/(CD17-CF17)*(CD19-CF19)-CD19)</f>
        <v>39.831368871261859</v>
      </c>
      <c r="CF19" s="361">
        <f>-((CC18-CC19)/(CC18-CC20)*(CF18-CF20)-CF18)</f>
        <v>39.831368871261859</v>
      </c>
      <c r="CG19" s="27"/>
      <c r="CH19" s="24" t="s">
        <v>639</v>
      </c>
      <c r="CI19" s="366">
        <f>CI14</f>
        <v>330000</v>
      </c>
      <c r="CJ19" s="360">
        <f>-((CI18-CI19)/(CI18-CI20)*(CJ18-CJ20)-CJ18)</f>
        <v>40.078680301523235</v>
      </c>
      <c r="CK19" s="369">
        <f>-((CJ17-CK17)/(CJ17-CL17)*(CJ19-CL19)-CJ19)</f>
        <v>40.078680301523235</v>
      </c>
      <c r="CL19" s="361">
        <f>-((CI18-CI19)/(CI18-CI20)*(CL18-CL20)-CL18)</f>
        <v>40.078680301523235</v>
      </c>
      <c r="CM19" s="27"/>
      <c r="CN19" s="24" t="s">
        <v>639</v>
      </c>
      <c r="CO19" s="366">
        <f>CO14</f>
        <v>355000</v>
      </c>
      <c r="CP19" s="360">
        <f>-((CO18-CO19)/(CO18-CO20)*(CP18-CP20)-CP18)</f>
        <v>40.313066000541539</v>
      </c>
      <c r="CQ19" s="369">
        <f>-((CP17-CQ17)/(CP17-CR17)*(CP19-CR19)-CP19)</f>
        <v>40.313066000541539</v>
      </c>
      <c r="CR19" s="361">
        <f>-((CO18-CO19)/(CO18-CO20)*(CR18-CR20)-CR18)</f>
        <v>40.313066000541539</v>
      </c>
      <c r="CS19" s="27"/>
      <c r="CT19" s="24" t="s">
        <v>639</v>
      </c>
      <c r="CU19" s="366">
        <f>CU14</f>
        <v>380000</v>
      </c>
      <c r="CV19" s="360">
        <f>-((CU18-CU19)/(CU18-CU20)*(CV18-CV20)-CV18)</f>
        <v>40.534210103264037</v>
      </c>
      <c r="CW19" s="369">
        <f>-((CV17-CW17)/(CV17-CX17)*(CV19-CX19)-CV19)</f>
        <v>40.534210103264037</v>
      </c>
      <c r="CX19" s="361">
        <f>-((CU18-CU19)/(CU18-CU20)*(CX18-CX20)-CX18)</f>
        <v>40.534210103264037</v>
      </c>
      <c r="CY19" s="27"/>
      <c r="CZ19" s="24" t="s">
        <v>639</v>
      </c>
      <c r="DA19" s="366">
        <f>DA14</f>
        <v>405000</v>
      </c>
      <c r="DB19" s="360">
        <f>-((DA18-DA19)/(DA18-DA20)*(DB18-DB20)-DB18)</f>
        <v>40.741812382767016</v>
      </c>
      <c r="DC19" s="369">
        <f>-((DB17-DC17)/(DB17-DD17)*(DB19-DD19)-DB19)</f>
        <v>40.741812382767016</v>
      </c>
      <c r="DD19" s="361">
        <f>-((DA18-DA19)/(DA18-DA20)*(DD18-DD20)-DD18)</f>
        <v>40.741812382767016</v>
      </c>
      <c r="DE19" s="27"/>
      <c r="DF19" s="24" t="s">
        <v>639</v>
      </c>
      <c r="DG19" s="366">
        <f>DG14</f>
        <v>430000</v>
      </c>
      <c r="DH19" s="360">
        <f>-((DG18-DG19)/(DG18-DG20)*(DH18-DH20)-DH18)</f>
        <v>40.93558903245728</v>
      </c>
      <c r="DI19" s="369">
        <f>-((DH17-DI17)/(DH17-DJ17)*(DH19-DJ19)-DH19)</f>
        <v>40.93558903245728</v>
      </c>
      <c r="DJ19" s="361">
        <f>-((DG18-DG19)/(DG18-DG20)*(DJ18-DJ20)-DJ18)</f>
        <v>40.93558903245728</v>
      </c>
      <c r="DK19" s="27"/>
      <c r="DL19" s="24" t="s">
        <v>639</v>
      </c>
      <c r="DM19" s="366">
        <f>DM14</f>
        <v>455000</v>
      </c>
      <c r="DN19" s="360">
        <f>-((DM18-DM19)/(DM18-DM20)*(DN18-DN20)-DN18)</f>
        <v>41.115273411746365</v>
      </c>
      <c r="DO19" s="369">
        <f>-((DN17-DO17)/(DN17-DP17)*(DN19-DP19)-DN19)</f>
        <v>41.115273411746365</v>
      </c>
      <c r="DP19" s="361">
        <f>-((DM18-DM19)/(DM18-DM20)*(DP18-DP20)-DP18)</f>
        <v>41.115273411746365</v>
      </c>
      <c r="DQ19" s="361"/>
      <c r="DR19" s="24" t="s">
        <v>639</v>
      </c>
      <c r="DS19" s="366">
        <f>DS14</f>
        <v>480000</v>
      </c>
      <c r="DT19" s="360">
        <f>-((DS18-DS19)/(DS18-DS20)*(DT18-DT20)-DT18)</f>
        <v>41.280616752136694</v>
      </c>
      <c r="DU19" s="369">
        <f>-((DT17-DU17)/(DT17-DV17)*(DT19-DV19)-DT19)</f>
        <v>41.280616752136694</v>
      </c>
      <c r="DV19" s="361">
        <f>-((DS18-DS19)/(DS18-DS20)*(DV18-DV20)-DV18)</f>
        <v>41.280616752136694</v>
      </c>
      <c r="DW19" s="27"/>
      <c r="DX19" s="24" t="s">
        <v>639</v>
      </c>
      <c r="DY19" s="366">
        <f>DY14</f>
        <v>505000</v>
      </c>
      <c r="DZ19" s="360">
        <f>-((DY18-DY19)/(DY18-DY20)*(DZ18-DZ20)-DZ18)</f>
        <v>41.431388820794588</v>
      </c>
      <c r="EA19" s="369">
        <f>-((DZ17-EA17)/(DZ17-EB17)*(DZ19-EB19)-DZ19)</f>
        <v>41.431388820794588</v>
      </c>
      <c r="EB19" s="361">
        <f>-((DY18-DY19)/(DY18-DY20)*(EB18-EB20)-EB18)</f>
        <v>41.431388820794588</v>
      </c>
      <c r="ED19" s="24" t="s">
        <v>639</v>
      </c>
      <c r="EE19" s="366">
        <f>EE14</f>
        <v>530000</v>
      </c>
      <c r="EF19" s="360">
        <f>-((EE18-EE19)/(EE18-EE20)*(EF18-EF20)-EF18)</f>
        <v>41.567378538837566</v>
      </c>
      <c r="EG19" s="369">
        <f>-((EF17-EG17)/(EF17-EH17)*(EF19-EH19)-EF19)</f>
        <v>41.567378538837566</v>
      </c>
      <c r="EH19" s="361">
        <f>-((EE18-EE19)/(EE18-EE20)*(EH18-EH20)-EH18)</f>
        <v>41.567378538837566</v>
      </c>
      <c r="EJ19" s="24" t="s">
        <v>639</v>
      </c>
      <c r="EK19" s="366">
        <f>EK14</f>
        <v>555000</v>
      </c>
      <c r="EL19" s="360">
        <f>-((EK18-EK19)/(EK18-EK20)*(EL18-EL20)-EL18)</f>
        <v>41.688394551732181</v>
      </c>
      <c r="EM19" s="369">
        <f>-((EL17-EM17)/(EL17-EN17)*(EL19-EN19)-EL19)</f>
        <v>41.688394551732181</v>
      </c>
      <c r="EN19" s="361">
        <f>-((EK18-EK19)/(EK18-EK20)*(EN18-EN20)-EN18)</f>
        <v>41.688394551732181</v>
      </c>
      <c r="EP19" s="24" t="s">
        <v>639</v>
      </c>
      <c r="EQ19" s="366">
        <f>EQ14</f>
        <v>580000</v>
      </c>
      <c r="ER19" s="360">
        <f>-((EQ18-EQ19)/(EQ18-EQ20)*(ER18-ER20)-ER18)</f>
        <v>41.794265749383321</v>
      </c>
      <c r="ES19" s="369">
        <f>-((ER17-ES17)/(ER17-ET17)*(ER19-ET19)-ER19)</f>
        <v>41.794265749383321</v>
      </c>
      <c r="ET19" s="361">
        <f>-((EQ18-EQ19)/(EQ18-EQ20)*(ET18-ET20)-ET18)</f>
        <v>41.794265749383321</v>
      </c>
      <c r="EV19" s="24" t="s">
        <v>639</v>
      </c>
      <c r="EW19" s="366">
        <f>EW14</f>
        <v>605000</v>
      </c>
      <c r="EX19" s="360">
        <f>-((EW18-EW19)/(EW18-EW20)*(EX18-EX20)-EX18)</f>
        <v>41.8848417336946</v>
      </c>
      <c r="EY19" s="369">
        <f>-((EX17-EY17)/(EX17-EZ17)*(EX19-EZ19)-EX19)</f>
        <v>41.8848417336946</v>
      </c>
      <c r="EZ19" s="361">
        <f>-((EW18-EW19)/(EW18-EW20)*(EZ18-EZ20)-EZ18)</f>
        <v>41.8848417336946</v>
      </c>
    </row>
    <row r="20" spans="2:156" x14ac:dyDescent="0.25">
      <c r="B20" s="24" t="s">
        <v>631</v>
      </c>
      <c r="C20" s="366">
        <f>F14</f>
        <v>6000</v>
      </c>
      <c r="D20" s="24" cm="1">
        <f t="array" ref="D20">INDEX('Page 2'!$D$9:$AI$188,D$14+1,D$13)</f>
        <v>6.6390000000000002</v>
      </c>
      <c r="E20" s="368"/>
      <c r="F20" s="24" cm="1">
        <f t="array" ref="F20">INDEX('Page 2'!$D$9:$AI$188,D$14+1,D$13+1)</f>
        <v>6.0129999999999999</v>
      </c>
      <c r="G20" s="346"/>
      <c r="H20" s="24" t="s">
        <v>631</v>
      </c>
      <c r="I20" s="366">
        <f>L14</f>
        <v>6000</v>
      </c>
      <c r="J20" s="24" cm="1">
        <f t="array" ref="J20">INDEX('Page 2'!$D$9:$AI$188,J$14+1,J$13)</f>
        <v>6.6390000000000002</v>
      </c>
      <c r="K20" s="368"/>
      <c r="L20" s="24" cm="1">
        <f t="array" ref="L20">INDEX('Page 2'!$D$9:$AI$188,J$14+1,J$13+1)</f>
        <v>6.0129999999999999</v>
      </c>
      <c r="M20" s="24"/>
      <c r="N20" s="24" t="s">
        <v>631</v>
      </c>
      <c r="O20" s="366">
        <f>R14</f>
        <v>35000</v>
      </c>
      <c r="P20" s="24" cm="1">
        <f t="array" ref="P20">INDEX('Page 2'!$D$9:$AI$188,P$14+1,P$13)</f>
        <v>22.882000000000001</v>
      </c>
      <c r="Q20" s="368"/>
      <c r="R20" s="24" cm="1">
        <f t="array" ref="R20">INDEX('Page 2'!$D$9:$AI$188,P$14+1,P$13+1)</f>
        <v>21.826000000000001</v>
      </c>
      <c r="S20" s="24"/>
      <c r="T20" s="24" t="s">
        <v>631</v>
      </c>
      <c r="U20" s="366">
        <f>X14</f>
        <v>75000</v>
      </c>
      <c r="V20" s="24" cm="1">
        <f t="array" ref="V20">INDEX('Page 2'!$D$9:$AI$188,V$14+1,V$13)</f>
        <v>32.414000000000001</v>
      </c>
      <c r="W20" s="368"/>
      <c r="X20" s="24" cm="1">
        <f t="array" ref="X20">INDEX('Page 2'!$D$9:$AI$188,V$14+1,V$13+1)</f>
        <v>31.143999999999998</v>
      </c>
      <c r="Y20" s="24"/>
      <c r="Z20" s="24" t="s">
        <v>631</v>
      </c>
      <c r="AA20" s="366">
        <f>AD14</f>
        <v>100000</v>
      </c>
      <c r="AB20" s="24" cm="1">
        <f t="array" ref="AB20">INDEX('Page 2'!$D$9:$AI$188,AB$14+1,AB$13)</f>
        <v>35.670999999999999</v>
      </c>
      <c r="AC20" s="368"/>
      <c r="AD20" s="24" cm="1">
        <f t="array" ref="AD20">INDEX('Page 2'!$D$9:$AI$188,AB$14+1,AB$13+1)</f>
        <v>34.35</v>
      </c>
      <c r="AE20" s="24"/>
      <c r="AF20" s="24" t="s">
        <v>631</v>
      </c>
      <c r="AG20" s="366">
        <f>AJ14</f>
        <v>125000</v>
      </c>
      <c r="AH20" s="24" cm="1">
        <f t="array" ref="AH20">INDEX('Page 2'!$D$9:$AI$188,AH$14+1,AH$13)</f>
        <v>37.70172240257002</v>
      </c>
      <c r="AI20" s="368"/>
      <c r="AJ20" s="24" cm="1">
        <f t="array" ref="AJ20">INDEX('Page 2'!$D$9:$AI$188,AH$14+1,AH$13+1)</f>
        <v>37.70172240257002</v>
      </c>
      <c r="AK20" s="24"/>
      <c r="AL20" s="24" t="s">
        <v>631</v>
      </c>
      <c r="AM20" s="366">
        <f>AP14</f>
        <v>150000</v>
      </c>
      <c r="AN20" s="24" cm="1">
        <f t="array" ref="AN20">INDEX('Page 2'!$D$9:$AI$188,AN$14+1,AN$13)</f>
        <v>38.031587877458819</v>
      </c>
      <c r="AO20" s="368"/>
      <c r="AP20" s="24" cm="1">
        <f t="array" ref="AP20">INDEX('Page 2'!$D$9:$AI$188,AN$14+1,AN$13+1)</f>
        <v>38.031587877458819</v>
      </c>
      <c r="AQ20" s="24"/>
      <c r="AR20" s="24" t="s">
        <v>631</v>
      </c>
      <c r="AS20" s="366">
        <f>AV14</f>
        <v>175000</v>
      </c>
      <c r="AT20" s="24" cm="1">
        <f t="array" ref="AT20">INDEX('Page 2'!$D$9:$AI$188,AT$14+1,AT$13)</f>
        <v>38.351185256208424</v>
      </c>
      <c r="AU20" s="368"/>
      <c r="AV20" s="24" cm="1">
        <f t="array" ref="AV20">INDEX('Page 2'!$D$9:$AI$188,AT$14+1,AT$13+1)</f>
        <v>38.351185256208424</v>
      </c>
      <c r="AW20" s="24"/>
      <c r="AX20" s="24" t="s">
        <v>631</v>
      </c>
      <c r="AY20" s="366">
        <f>BB14</f>
        <v>200000</v>
      </c>
      <c r="AZ20" s="24" cm="1">
        <f t="array" ref="AZ20">INDEX('Page 2'!$D$9:$AI$188,AZ$14+1,AZ$13)</f>
        <v>38.6601116424754</v>
      </c>
      <c r="BA20" s="368"/>
      <c r="BB20" s="24" cm="1">
        <f t="array" ref="BB20">INDEX('Page 2'!$D$9:$AI$188,AZ$14+1,AZ$13+1)</f>
        <v>38.6601116424754</v>
      </c>
      <c r="BC20" s="24"/>
      <c r="BD20" s="24" t="s">
        <v>631</v>
      </c>
      <c r="BE20" s="366">
        <f>BH14</f>
        <v>225000</v>
      </c>
      <c r="BF20" s="24" cm="1">
        <f t="array" ref="BF20">INDEX('Page 2'!$D$9:$AI$188,BF$14+1,BF$13)</f>
        <v>38.957973367705634</v>
      </c>
      <c r="BG20" s="368"/>
      <c r="BH20" s="24" cm="1">
        <f t="array" ref="BH20">INDEX('Page 2'!$D$9:$AI$188,BF$14+1,BF$13+1)</f>
        <v>38.957973367705634</v>
      </c>
      <c r="BI20" s="24"/>
      <c r="BJ20" s="24" t="s">
        <v>631</v>
      </c>
      <c r="BK20" s="366">
        <f>BN14</f>
        <v>250000</v>
      </c>
      <c r="BL20" s="24" cm="1">
        <f t="array" ref="BL20">INDEX('Page 2'!$D$9:$AI$188,BL$14+1,BL$13)</f>
        <v>39.244386938162592</v>
      </c>
      <c r="BM20" s="368"/>
      <c r="BN20" s="24" cm="1">
        <f t="array" ref="BN20">INDEX('Page 2'!$D$9:$AI$188,BL$14+1,BL$13+1)</f>
        <v>39.244386938162592</v>
      </c>
      <c r="BO20" s="24"/>
      <c r="BP20" s="24" t="s">
        <v>631</v>
      </c>
      <c r="BQ20" s="366">
        <f>BT14</f>
        <v>275000</v>
      </c>
      <c r="BR20" s="24" cm="1">
        <f t="array" ref="BR20">INDEX('Page 2'!$D$9:$AI$188,BR$14+1,BR$13)</f>
        <v>39.518979969824144</v>
      </c>
      <c r="BS20" s="368"/>
      <c r="BT20" s="24" cm="1">
        <f t="array" ref="BT20">INDEX('Page 2'!$D$9:$AI$188,BR$14+1,BR$13+1)</f>
        <v>39.518979969824144</v>
      </c>
      <c r="BU20" s="24"/>
      <c r="BV20" s="24" t="s">
        <v>631</v>
      </c>
      <c r="BW20" s="366">
        <f>BZ14</f>
        <v>300000</v>
      </c>
      <c r="BX20" s="24" cm="1">
        <f t="array" ref="BX20">INDEX('Page 2'!$D$9:$AI$188,BX$14+1,BX$13)</f>
        <v>39.781392107648685</v>
      </c>
      <c r="BY20" s="368"/>
      <c r="BZ20" s="24" cm="1">
        <f t="array" ref="BZ20">INDEX('Page 2'!$D$9:$AI$188,BX$14+1,BX$13+1)</f>
        <v>39.781392107648685</v>
      </c>
      <c r="CA20" s="25"/>
      <c r="CB20" s="24" t="s">
        <v>631</v>
      </c>
      <c r="CC20" s="366">
        <f>CF14</f>
        <v>325000</v>
      </c>
      <c r="CD20" s="24" cm="1">
        <f t="array" ref="CD20">INDEX('Page 2'!$D$9:$AI$188,CD$14+1,CD$13)</f>
        <v>40.031275925714546</v>
      </c>
      <c r="CE20" s="368"/>
      <c r="CF20" s="24" cm="1">
        <f t="array" ref="CF20">INDEX('Page 2'!$D$9:$AI$188,CD$14+1,CD$13+1)</f>
        <v>40.031275925714546</v>
      </c>
      <c r="CG20" s="25"/>
      <c r="CH20" s="24" t="s">
        <v>631</v>
      </c>
      <c r="CI20" s="366">
        <f>CL14</f>
        <v>350000</v>
      </c>
      <c r="CJ20" s="24" cm="1">
        <f t="array" ref="CJ20">INDEX('Page 2'!$D$9:$AI$188,CJ$14+1,CJ$13)</f>
        <v>40.268297804757978</v>
      </c>
      <c r="CK20" s="368"/>
      <c r="CL20" s="24" cm="1">
        <f t="array" ref="CL20">INDEX('Page 2'!$D$9:$AI$188,CJ$14+1,CJ$13+1)</f>
        <v>40.268297804757978</v>
      </c>
      <c r="CM20" s="25"/>
      <c r="CN20" s="24" t="s">
        <v>631</v>
      </c>
      <c r="CO20" s="366">
        <f>CR14</f>
        <v>375000</v>
      </c>
      <c r="CP20" s="24" cm="1">
        <f t="array" ref="CP20">INDEX('Page 2'!$D$9:$AI$188,CP$14+1,CP$13)</f>
        <v>40.492138783675777</v>
      </c>
      <c r="CQ20" s="368"/>
      <c r="CR20" s="24" cm="1">
        <f t="array" ref="CR20">INDEX('Page 2'!$D$9:$AI$188,CP$14+1,CP$13+1)</f>
        <v>40.492138783675777</v>
      </c>
      <c r="CS20" s="25"/>
      <c r="CT20" s="24" t="s">
        <v>631</v>
      </c>
      <c r="CU20" s="366">
        <f>CX14</f>
        <v>400000</v>
      </c>
      <c r="CV20" s="24" cm="1">
        <f t="array" ref="CV20">INDEX('Page 2'!$D$9:$AI$188,CV$14+1,CV$13)</f>
        <v>40.702495381617069</v>
      </c>
      <c r="CW20" s="368"/>
      <c r="CX20" s="24" cm="1">
        <f t="array" ref="CX20">INDEX('Page 2'!$D$9:$AI$188,CV$14+1,CV$13+1)</f>
        <v>40.702495381617069</v>
      </c>
      <c r="CY20" s="25"/>
      <c r="CZ20" s="24" t="s">
        <v>631</v>
      </c>
      <c r="DA20" s="366">
        <f>DD14</f>
        <v>425000</v>
      </c>
      <c r="DB20" s="24" cm="1">
        <f t="array" ref="DB20">INDEX('Page 2'!$D$9:$AI$188,DB$14+1,DB$13)</f>
        <v>40.899080387366787</v>
      </c>
      <c r="DC20" s="368"/>
      <c r="DD20" s="24" cm="1">
        <f t="array" ref="DD20">INDEX('Page 2'!$D$9:$AI$188,DB$14+1,DB$13+1)</f>
        <v>40.899080387366787</v>
      </c>
      <c r="DE20" s="25"/>
      <c r="DF20" s="24" t="s">
        <v>631</v>
      </c>
      <c r="DG20" s="366">
        <f>DJ14</f>
        <v>450000</v>
      </c>
      <c r="DH20" s="24" cm="1">
        <f t="array" ref="DH20">INDEX('Page 2'!$D$9:$AI$188,DH$14+1,DH$13)</f>
        <v>41.081623612819257</v>
      </c>
      <c r="DI20" s="368"/>
      <c r="DJ20" s="24" cm="1">
        <f t="array" ref="DJ20">INDEX('Page 2'!$D$9:$AI$188,DH$14+1,DH$13+1)</f>
        <v>41.081623612819257</v>
      </c>
      <c r="DK20" s="25"/>
      <c r="DL20" s="24" t="s">
        <v>631</v>
      </c>
      <c r="DM20" s="366">
        <f>DP14</f>
        <v>475000</v>
      </c>
      <c r="DN20" s="24" cm="1">
        <f t="array" ref="DN20">INDEX('Page 2'!$D$9:$AI$188,DN$14+1,DN$13)</f>
        <v>41.249872607454797</v>
      </c>
      <c r="DO20" s="368"/>
      <c r="DP20" s="24" cm="1">
        <f t="array" ref="DP20">INDEX('Page 2'!$D$9:$AI$188,DN$14+1,DN$13+1)</f>
        <v>41.249872607454797</v>
      </c>
      <c r="DQ20" s="24"/>
      <c r="DR20" s="24" t="s">
        <v>631</v>
      </c>
      <c r="DS20" s="366">
        <f>DV14</f>
        <v>500000</v>
      </c>
      <c r="DT20" s="24" cm="1">
        <f t="array" ref="DT20">INDEX('Page 2'!$D$9:$AI$188,DT$14+1,DT$13)</f>
        <v>41.403593330864268</v>
      </c>
      <c r="DU20" s="368"/>
      <c r="DV20" s="24" cm="1">
        <f t="array" ref="DV20">INDEX('Page 2'!$D$9:$AI$188,DT$14+1,DT$13+1)</f>
        <v>41.403593330864268</v>
      </c>
      <c r="DW20" s="25"/>
      <c r="DX20" s="24" t="s">
        <v>631</v>
      </c>
      <c r="DY20" s="366">
        <f>EB14</f>
        <v>525000</v>
      </c>
      <c r="DZ20" s="24" cm="1">
        <f t="array" ref="DZ20">INDEX('Page 2'!$D$9:$AI$188,DZ$14+1,DZ$13)</f>
        <v>41.542570780515881</v>
      </c>
      <c r="EA20" s="368"/>
      <c r="EB20" s="24" cm="1">
        <f t="array" ref="EB20">INDEX('Page 2'!$D$9:$AI$188,DZ$14+1,DZ$13+1)</f>
        <v>41.542570780515881</v>
      </c>
      <c r="ED20" s="24" t="s">
        <v>631</v>
      </c>
      <c r="EE20" s="366">
        <f>EH14</f>
        <v>550000</v>
      </c>
      <c r="EF20" s="24" cm="1">
        <f t="array" ref="EF20">INDEX('Page 2'!$D$9:$AI$188,EF$14+1,EF$13)</f>
        <v>41.666609572124315</v>
      </c>
      <c r="EG20" s="368"/>
      <c r="EH20" s="24" cm="1">
        <f t="array" ref="EH20">INDEX('Page 2'!$D$9:$AI$188,EF$14+1,EF$13+1)</f>
        <v>41.666609572124315</v>
      </c>
      <c r="EJ20" s="24" t="s">
        <v>631</v>
      </c>
      <c r="EK20" s="366">
        <f>EN14</f>
        <v>575000</v>
      </c>
      <c r="EL20" s="24" cm="1">
        <f t="array" ref="EL20">INDEX('Page 2'!$D$9:$AI$188,EL$14+1,EL$13)</f>
        <v>41.775534470163656</v>
      </c>
      <c r="EM20" s="368"/>
      <c r="EN20" s="24" cm="1">
        <f t="array" ref="EN20">INDEX('Page 2'!$D$9:$AI$188,EL$14+1,EL$13+1)</f>
        <v>41.775534470163656</v>
      </c>
      <c r="EP20" s="24" t="s">
        <v>631</v>
      </c>
      <c r="EQ20" s="366">
        <f>ET14</f>
        <v>600000</v>
      </c>
      <c r="ER20" s="24" cm="1">
        <f t="array" ref="ER20">INDEX('Page 2'!$D$9:$AI$188,ER$14+1,ER$13)</f>
        <v>41.869190866261988</v>
      </c>
      <c r="ES20" s="368"/>
      <c r="ET20" s="24" cm="1">
        <f t="array" ref="ET20">INDEX('Page 2'!$D$9:$AI$188,ER$14+1,ER$13+1)</f>
        <v>41.869190866261988</v>
      </c>
      <c r="EV20" s="24" t="s">
        <v>631</v>
      </c>
      <c r="EW20" s="366">
        <f>EZ14</f>
        <v>625000</v>
      </c>
      <c r="EX20" s="24" cm="1">
        <f t="array" ref="EX20">INDEX('Page 2'!$D$9:$AI$188,EX$14+1,EX$13)</f>
        <v>41.947445203425033</v>
      </c>
      <c r="EY20" s="368"/>
      <c r="EZ20" s="24" cm="1">
        <f t="array" ref="EZ20">INDEX('Page 2'!$D$9:$AI$188,EX$14+1,EX$13+1)</f>
        <v>41.947445203425033</v>
      </c>
    </row>
    <row r="21" spans="2:156" x14ac:dyDescent="0.25">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5"/>
      <c r="DZ21" s="27"/>
      <c r="EA21" s="27"/>
      <c r="EB21" s="27"/>
    </row>
    <row r="22" spans="2:156" x14ac:dyDescent="0.25">
      <c r="B22" s="24"/>
      <c r="C22" s="24"/>
      <c r="D22" s="24"/>
      <c r="E22" s="24"/>
      <c r="F22" s="26"/>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7"/>
      <c r="DT22" s="27"/>
      <c r="DU22" s="27"/>
      <c r="DV22" s="27"/>
      <c r="DW22" s="27"/>
      <c r="DX22" s="27"/>
      <c r="DY22" s="25"/>
      <c r="DZ22" s="27"/>
      <c r="EA22" s="27"/>
      <c r="EB22" s="27"/>
    </row>
    <row r="23" spans="2:156" x14ac:dyDescent="0.25">
      <c r="B23" s="24"/>
      <c r="C23" s="24"/>
      <c r="D23" s="366">
        <v>2000</v>
      </c>
      <c r="E23" s="366">
        <v>2000</v>
      </c>
      <c r="F23" s="366">
        <v>3000</v>
      </c>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5"/>
      <c r="DZ23" s="24"/>
      <c r="EA23" s="24"/>
      <c r="EB23" s="24"/>
    </row>
    <row r="24" spans="2:156" x14ac:dyDescent="0.25">
      <c r="B24" s="25"/>
      <c r="C24" s="366">
        <v>10000</v>
      </c>
      <c r="D24" s="24">
        <f>D18</f>
        <v>5.7759999999999998</v>
      </c>
      <c r="E24" s="25">
        <f>-((D23-E23)/(D23-F23)*(D24-F24)-D24)</f>
        <v>5.7759999999999998</v>
      </c>
      <c r="F24" s="24">
        <f>F18</f>
        <v>5.2130000000000001</v>
      </c>
      <c r="G24" s="25"/>
      <c r="H24" s="25"/>
      <c r="I24" s="25"/>
      <c r="J24" s="25"/>
      <c r="K24" s="25"/>
      <c r="L24" s="25"/>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row>
    <row r="25" spans="2:156" x14ac:dyDescent="0.25">
      <c r="B25" s="346"/>
      <c r="C25" s="366">
        <v>10000</v>
      </c>
      <c r="D25" s="346"/>
      <c r="E25" s="346">
        <f>-((C24-C25)/(C24-C26)*(E24-E26)-E24)</f>
        <v>5.7759999999999998</v>
      </c>
      <c r="F25" s="346"/>
      <c r="G25" s="346"/>
      <c r="H25" s="346"/>
      <c r="I25" s="346"/>
      <c r="J25" s="346"/>
      <c r="K25" s="346"/>
      <c r="L25" s="346"/>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346"/>
      <c r="BW25" s="346"/>
      <c r="BX25" s="346"/>
      <c r="BY25" s="346"/>
      <c r="BZ25" s="346"/>
      <c r="CA25" s="346"/>
      <c r="CB25" s="346"/>
      <c r="CC25" s="346"/>
      <c r="CD25" s="346"/>
      <c r="CE25" s="346"/>
      <c r="CF25" s="346"/>
      <c r="CG25" s="346"/>
      <c r="CH25" s="346"/>
      <c r="CI25" s="346"/>
      <c r="CJ25" s="346"/>
      <c r="CK25" s="346"/>
      <c r="CL25" s="346"/>
      <c r="CM25" s="346"/>
      <c r="CN25" s="346"/>
      <c r="CO25" s="346"/>
      <c r="CP25" s="346"/>
      <c r="CQ25" s="346"/>
      <c r="CR25" s="346"/>
      <c r="CS25" s="346"/>
      <c r="CT25" s="346"/>
      <c r="CU25" s="346"/>
      <c r="CV25" s="346"/>
      <c r="CW25" s="346"/>
      <c r="CX25" s="346"/>
      <c r="CY25" s="346"/>
      <c r="CZ25" s="346"/>
      <c r="DA25" s="346"/>
      <c r="DB25" s="346"/>
      <c r="DC25" s="346"/>
      <c r="DD25" s="346"/>
      <c r="DE25" s="346"/>
      <c r="DF25" s="346"/>
      <c r="DG25" s="346"/>
      <c r="DH25" s="346"/>
      <c r="DI25" s="346"/>
      <c r="DJ25" s="346"/>
      <c r="DK25" s="346"/>
      <c r="DL25" s="346"/>
      <c r="DM25" s="346"/>
      <c r="DN25" s="346"/>
      <c r="DO25" s="346"/>
      <c r="DP25" s="346"/>
      <c r="DQ25" s="346"/>
      <c r="DR25" s="346"/>
    </row>
    <row r="26" spans="2:156" x14ac:dyDescent="0.25">
      <c r="B26" s="346"/>
      <c r="C26" s="366">
        <v>15000</v>
      </c>
      <c r="D26" s="24">
        <f>D20</f>
        <v>6.6390000000000002</v>
      </c>
      <c r="E26" s="346">
        <f>-((D23-E23)/(D23-F23)*(D26-F26)-D26)</f>
        <v>6.6390000000000002</v>
      </c>
      <c r="F26" s="24">
        <f>F20</f>
        <v>6.0129999999999999</v>
      </c>
      <c r="G26" s="346"/>
      <c r="H26" s="346"/>
      <c r="I26" s="346"/>
      <c r="J26" s="346"/>
      <c r="K26" s="346"/>
      <c r="L26" s="346"/>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346"/>
      <c r="BW26" s="346"/>
      <c r="BX26" s="346"/>
      <c r="BY26" s="346"/>
      <c r="BZ26" s="346"/>
      <c r="CA26" s="346"/>
      <c r="CB26" s="346"/>
      <c r="CC26" s="346"/>
      <c r="CD26" s="346"/>
      <c r="CE26" s="346"/>
      <c r="CF26" s="346"/>
      <c r="CG26" s="346"/>
      <c r="CH26" s="346"/>
      <c r="CI26" s="346"/>
      <c r="CJ26" s="346"/>
      <c r="CK26" s="346"/>
      <c r="CL26" s="346"/>
      <c r="CM26" s="346"/>
      <c r="CN26" s="346"/>
      <c r="CO26" s="346"/>
      <c r="CP26" s="346"/>
      <c r="CQ26" s="346"/>
      <c r="CR26" s="346"/>
      <c r="CS26" s="346"/>
      <c r="CT26" s="346"/>
      <c r="CU26" s="346"/>
      <c r="CV26" s="346"/>
      <c r="CW26" s="346"/>
      <c r="CX26" s="346"/>
      <c r="CY26" s="346"/>
      <c r="CZ26" s="346"/>
      <c r="DA26" s="346"/>
      <c r="DB26" s="346"/>
      <c r="DC26" s="346"/>
      <c r="DD26" s="346"/>
      <c r="DE26" s="346"/>
      <c r="DF26" s="346"/>
      <c r="DG26" s="346"/>
      <c r="DH26" s="346"/>
      <c r="DI26" s="346"/>
      <c r="DJ26" s="346"/>
      <c r="DK26" s="346"/>
      <c r="DL26" s="346"/>
      <c r="DM26" s="346"/>
      <c r="DN26" s="346"/>
      <c r="DO26" s="346"/>
      <c r="DP26" s="346"/>
      <c r="DQ26" s="346"/>
      <c r="DR26" s="346"/>
    </row>
    <row r="27" spans="2:156" x14ac:dyDescent="0.25">
      <c r="B27" s="346"/>
      <c r="C27" s="346"/>
      <c r="D27" s="346"/>
      <c r="E27" s="346"/>
      <c r="F27" s="346"/>
      <c r="G27" s="346"/>
      <c r="H27" s="346"/>
      <c r="I27" s="346"/>
      <c r="J27" s="346"/>
      <c r="K27" s="346"/>
      <c r="L27" s="346"/>
      <c r="M27" s="346"/>
      <c r="N27" s="346"/>
      <c r="O27" s="346"/>
      <c r="P27" s="346"/>
      <c r="Q27" s="346"/>
      <c r="R27" s="346"/>
      <c r="S27" s="346"/>
      <c r="T27" s="346"/>
      <c r="U27" s="346"/>
      <c r="V27" s="346"/>
      <c r="W27" s="346"/>
      <c r="X27" s="346"/>
      <c r="Y27" s="346"/>
      <c r="Z27" s="346"/>
      <c r="AA27" s="346"/>
      <c r="AB27" s="346"/>
      <c r="AC27" s="346"/>
      <c r="AD27" s="346"/>
      <c r="AE27" s="346"/>
      <c r="AF27" s="346"/>
      <c r="AG27" s="346"/>
      <c r="AH27" s="346"/>
      <c r="AI27" s="346"/>
      <c r="AJ27" s="346"/>
      <c r="AK27" s="346"/>
      <c r="AL27" s="346"/>
      <c r="AM27" s="346"/>
      <c r="AN27" s="346"/>
      <c r="AO27" s="346"/>
      <c r="AP27" s="346"/>
      <c r="AQ27" s="346"/>
      <c r="AR27" s="346"/>
      <c r="AS27" s="346"/>
      <c r="AT27" s="346"/>
      <c r="AU27" s="346"/>
      <c r="AV27" s="346"/>
      <c r="AW27" s="346"/>
      <c r="AX27" s="346"/>
      <c r="AY27" s="346"/>
      <c r="AZ27" s="346"/>
      <c r="BA27" s="346"/>
      <c r="BB27" s="346"/>
      <c r="BC27" s="346"/>
      <c r="BD27" s="346"/>
      <c r="BE27" s="346"/>
      <c r="BF27" s="346"/>
      <c r="BG27" s="346"/>
      <c r="BH27" s="346"/>
      <c r="BI27" s="346"/>
      <c r="BJ27" s="346"/>
      <c r="BK27" s="346"/>
      <c r="BL27" s="346"/>
      <c r="BM27" s="346"/>
      <c r="BN27" s="346"/>
      <c r="BO27" s="346"/>
      <c r="BP27" s="346"/>
      <c r="BQ27" s="346"/>
      <c r="BR27" s="346"/>
      <c r="BS27" s="346"/>
      <c r="BT27" s="346"/>
      <c r="BU27" s="346"/>
      <c r="BV27" s="346"/>
      <c r="BW27" s="346"/>
      <c r="BX27" s="346"/>
      <c r="BY27" s="346"/>
      <c r="BZ27" s="346"/>
      <c r="CA27" s="346"/>
      <c r="CB27" s="346"/>
      <c r="CC27" s="346"/>
      <c r="CD27" s="346"/>
      <c r="CE27" s="346"/>
      <c r="CF27" s="346"/>
      <c r="CG27" s="346"/>
      <c r="CH27" s="346"/>
      <c r="CI27" s="346"/>
      <c r="CJ27" s="346"/>
      <c r="CK27" s="346"/>
      <c r="CL27" s="346"/>
      <c r="CM27" s="346"/>
      <c r="CN27" s="346"/>
      <c r="CO27" s="346"/>
      <c r="CP27" s="346"/>
      <c r="CQ27" s="346"/>
      <c r="CR27" s="346"/>
      <c r="CS27" s="346"/>
      <c r="CT27" s="346"/>
      <c r="CU27" s="346"/>
      <c r="CV27" s="346"/>
      <c r="CW27" s="346"/>
      <c r="CX27" s="346"/>
      <c r="CY27" s="346"/>
      <c r="CZ27" s="346"/>
      <c r="DA27" s="346"/>
      <c r="DB27" s="346"/>
      <c r="DC27" s="346"/>
      <c r="DD27" s="346"/>
      <c r="DE27" s="346"/>
      <c r="DF27" s="346"/>
      <c r="DG27" s="346"/>
      <c r="DH27" s="346"/>
      <c r="DI27" s="346"/>
      <c r="DJ27" s="346"/>
      <c r="DK27" s="346"/>
      <c r="DL27" s="346"/>
      <c r="DM27" s="346"/>
      <c r="DN27" s="346"/>
      <c r="DO27" s="346"/>
      <c r="DP27" s="346"/>
      <c r="DQ27" s="346"/>
      <c r="DR27" s="346"/>
    </row>
    <row r="28" spans="2:156" x14ac:dyDescent="0.25">
      <c r="B28" s="346"/>
      <c r="C28" s="346"/>
      <c r="D28" s="346"/>
      <c r="E28" s="346"/>
      <c r="F28" s="346"/>
      <c r="G28" s="346"/>
      <c r="H28" s="346"/>
      <c r="I28" s="346"/>
      <c r="J28" s="346"/>
      <c r="K28" s="346"/>
      <c r="L28" s="346"/>
      <c r="M28" s="346"/>
      <c r="N28" s="346"/>
      <c r="O28" s="346"/>
      <c r="P28" s="346"/>
      <c r="Q28" s="346"/>
      <c r="R28" s="346"/>
      <c r="S28" s="346"/>
      <c r="T28" s="346"/>
      <c r="U28" s="346"/>
      <c r="V28" s="346"/>
      <c r="W28" s="346"/>
      <c r="X28" s="346"/>
      <c r="Y28" s="346"/>
      <c r="Z28" s="346"/>
      <c r="AA28" s="346"/>
      <c r="AB28" s="346"/>
      <c r="AC28" s="346"/>
      <c r="AD28" s="346"/>
      <c r="AE28" s="346"/>
      <c r="AF28" s="346"/>
      <c r="AG28" s="346"/>
      <c r="AH28" s="346"/>
      <c r="AI28" s="346"/>
      <c r="AJ28" s="346"/>
      <c r="AK28" s="346"/>
      <c r="AL28" s="346"/>
      <c r="AM28" s="346"/>
      <c r="AN28" s="346"/>
      <c r="AO28" s="346"/>
      <c r="AP28" s="346"/>
      <c r="AQ28" s="346"/>
      <c r="AR28" s="346"/>
      <c r="AS28" s="346"/>
      <c r="AT28" s="346"/>
      <c r="AU28" s="346"/>
      <c r="AV28" s="346"/>
      <c r="AW28" s="346"/>
      <c r="AX28" s="346"/>
      <c r="AY28" s="346"/>
      <c r="AZ28" s="346"/>
      <c r="BA28" s="346"/>
      <c r="BB28" s="346"/>
      <c r="BC28" s="346"/>
      <c r="BD28" s="346"/>
      <c r="BE28" s="346"/>
      <c r="BF28" s="346"/>
      <c r="BG28" s="346"/>
      <c r="BH28" s="346"/>
      <c r="BI28" s="346"/>
      <c r="BJ28" s="346"/>
      <c r="BK28" s="346"/>
      <c r="BL28" s="346"/>
      <c r="BM28" s="346"/>
      <c r="BN28" s="346"/>
      <c r="BO28" s="346"/>
      <c r="BP28" s="346"/>
      <c r="BQ28" s="346"/>
      <c r="BR28" s="346"/>
      <c r="BS28" s="346"/>
      <c r="BT28" s="346"/>
      <c r="BU28" s="346"/>
      <c r="BV28" s="346"/>
      <c r="BW28" s="346"/>
      <c r="BX28" s="346"/>
      <c r="BY28" s="346"/>
      <c r="BZ28" s="346"/>
      <c r="CA28" s="346"/>
      <c r="CB28" s="346"/>
      <c r="CC28" s="346"/>
      <c r="CD28" s="346"/>
      <c r="CE28" s="346"/>
      <c r="CF28" s="346"/>
      <c r="CG28" s="346"/>
      <c r="CH28" s="346"/>
      <c r="CI28" s="346"/>
      <c r="CJ28" s="346"/>
      <c r="CK28" s="346"/>
      <c r="CL28" s="346"/>
      <c r="CM28" s="346"/>
      <c r="CN28" s="346"/>
      <c r="CO28" s="346"/>
      <c r="CP28" s="346"/>
      <c r="CQ28" s="346"/>
      <c r="CR28" s="346"/>
      <c r="CS28" s="346"/>
      <c r="CT28" s="346"/>
      <c r="CU28" s="346"/>
      <c r="CV28" s="346"/>
      <c r="CW28" s="346"/>
      <c r="CX28" s="346"/>
      <c r="CY28" s="346"/>
      <c r="CZ28" s="346"/>
      <c r="DA28" s="346"/>
      <c r="DB28" s="346"/>
      <c r="DC28" s="346"/>
      <c r="DD28" s="346"/>
      <c r="DE28" s="346"/>
      <c r="DF28" s="346"/>
      <c r="DG28" s="346"/>
      <c r="DH28" s="346"/>
      <c r="DI28" s="346"/>
      <c r="DJ28" s="346"/>
      <c r="DK28" s="346"/>
      <c r="DL28" s="346"/>
      <c r="DM28" s="346"/>
      <c r="DN28" s="346"/>
      <c r="DO28" s="346"/>
      <c r="DP28" s="346"/>
      <c r="DQ28" s="346"/>
      <c r="DR28" s="346"/>
    </row>
  </sheetData>
  <mergeCells count="26">
    <mergeCell ref="EJ11:EN11"/>
    <mergeCell ref="EP11:ET11"/>
    <mergeCell ref="EV11:EZ11"/>
    <mergeCell ref="DF11:DJ11"/>
    <mergeCell ref="DL11:DP11"/>
    <mergeCell ref="DR11:DV11"/>
    <mergeCell ref="DX11:EB11"/>
    <mergeCell ref="ED11:EH11"/>
    <mergeCell ref="CB11:CF11"/>
    <mergeCell ref="CH11:CL11"/>
    <mergeCell ref="CN11:CR11"/>
    <mergeCell ref="CT11:CX11"/>
    <mergeCell ref="CZ11:DD11"/>
    <mergeCell ref="N11:R11"/>
    <mergeCell ref="H11:L11"/>
    <mergeCell ref="AL11:AP11"/>
    <mergeCell ref="AF11:AJ11"/>
    <mergeCell ref="B11:F11"/>
    <mergeCell ref="Z11:AD11"/>
    <mergeCell ref="T11:X11"/>
    <mergeCell ref="BV11:BZ11"/>
    <mergeCell ref="AR11:AV11"/>
    <mergeCell ref="AX11:BB11"/>
    <mergeCell ref="BD11:BH11"/>
    <mergeCell ref="BJ11:BN11"/>
    <mergeCell ref="BP11:BT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3"/>
    </row>
    <row r="8" spans="9:9" x14ac:dyDescent="0.25">
      <c r="I8" s="23"/>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activeCell="A21" sqref="A21"/>
      <selection pane="topRight" activeCell="A21" sqref="A21"/>
      <selection pane="bottomLeft" activeCell="A21" sqref="A21"/>
      <selection pane="bottomRight" activeCell="B35" sqref="B35"/>
    </sheetView>
  </sheetViews>
  <sheetFormatPr defaultColWidth="10.875" defaultRowHeight="15.75" x14ac:dyDescent="0.25"/>
  <cols>
    <col min="1" max="1" width="10.875" style="23"/>
    <col min="2" max="2" width="13" style="23" bestFit="1" customWidth="1"/>
    <col min="3" max="3" width="13" style="23" hidden="1" customWidth="1"/>
    <col min="4" max="4" width="12.875" style="23" customWidth="1"/>
    <col min="5"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38">
        <f>D$62*$A4^6-D$61*$A4^5+D$60*$A4^4-D$59*$A4^3+D$58*$A4^2-D$57*$A4+D$56</f>
        <v>1.1186</v>
      </c>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v>1</v>
      </c>
      <c r="B9" s="34">
        <v>500</v>
      </c>
      <c r="C9" s="365">
        <v>1</v>
      </c>
      <c r="D9" s="38">
        <f t="shared" ref="D9:M18" si="2">$A9^2*D$58+$A9*D$57+D$56</f>
        <v>1.3920000000000001</v>
      </c>
      <c r="E9" s="38">
        <f t="shared" si="2"/>
        <v>1.3874</v>
      </c>
      <c r="F9" s="38">
        <f t="shared" si="2"/>
        <v>1.3751</v>
      </c>
      <c r="G9" s="38">
        <f t="shared" si="2"/>
        <v>1.3751</v>
      </c>
      <c r="H9" s="38">
        <f t="shared" si="2"/>
        <v>1.3751</v>
      </c>
      <c r="I9" s="38">
        <f t="shared" si="2"/>
        <v>1.3751</v>
      </c>
      <c r="J9" s="38">
        <f t="shared" si="2"/>
        <v>1.3751</v>
      </c>
      <c r="K9" s="38">
        <f t="shared" si="2"/>
        <v>1.3751</v>
      </c>
      <c r="L9" s="38">
        <f t="shared" si="2"/>
        <v>1.3751</v>
      </c>
      <c r="M9" s="38">
        <f t="shared" si="2"/>
        <v>1.3751</v>
      </c>
      <c r="N9" s="38">
        <f t="shared" ref="N9:W18" si="3">$A9^2*N$58+$A9*N$57+N$56</f>
        <v>1.3751</v>
      </c>
      <c r="O9" s="38">
        <f t="shared" si="3"/>
        <v>1.3751</v>
      </c>
      <c r="P9" s="38">
        <f t="shared" si="3"/>
        <v>1.3751</v>
      </c>
      <c r="Q9" s="38">
        <f t="shared" si="3"/>
        <v>1.3751</v>
      </c>
      <c r="R9" s="38">
        <f t="shared" si="3"/>
        <v>1.3751</v>
      </c>
      <c r="S9" s="39">
        <f t="shared" si="3"/>
        <v>1.3751</v>
      </c>
      <c r="T9" s="38">
        <f t="shared" si="3"/>
        <v>1.3751</v>
      </c>
      <c r="U9" s="38">
        <f t="shared" si="3"/>
        <v>1.3751</v>
      </c>
      <c r="V9" s="38">
        <f t="shared" si="3"/>
        <v>1.3751</v>
      </c>
      <c r="W9" s="38">
        <f t="shared" si="3"/>
        <v>1.3751</v>
      </c>
      <c r="X9" s="38">
        <f t="shared" ref="X9:AI18" si="4">$A9^2*X$58+$A9*X$57+X$56</f>
        <v>1.3751</v>
      </c>
      <c r="Y9" s="38">
        <f t="shared" si="4"/>
        <v>1.3751</v>
      </c>
      <c r="Z9" s="38">
        <f t="shared" si="4"/>
        <v>1.3751</v>
      </c>
      <c r="AA9" s="38">
        <f t="shared" si="4"/>
        <v>1.3751</v>
      </c>
      <c r="AB9" s="38">
        <f t="shared" si="4"/>
        <v>1.3751</v>
      </c>
      <c r="AC9" s="38">
        <f t="shared" si="4"/>
        <v>1.3751</v>
      </c>
      <c r="AD9" s="38">
        <f t="shared" si="4"/>
        <v>1.3751</v>
      </c>
      <c r="AE9" s="38">
        <f t="shared" si="4"/>
        <v>1.3751</v>
      </c>
      <c r="AF9" s="38">
        <f t="shared" si="4"/>
        <v>1.3751</v>
      </c>
      <c r="AG9" s="38">
        <f t="shared" si="4"/>
        <v>1.3751</v>
      </c>
      <c r="AH9" s="38">
        <f t="shared" si="4"/>
        <v>1.3751</v>
      </c>
      <c r="AI9" s="39">
        <f t="shared" si="4"/>
        <v>1.3751</v>
      </c>
    </row>
    <row r="10" spans="1:35" s="29" customFormat="1" x14ac:dyDescent="0.25">
      <c r="A10" s="365">
        <f>A9+1</f>
        <v>2</v>
      </c>
      <c r="B10" s="34">
        <v>750</v>
      </c>
      <c r="C10" s="365">
        <f>C9+1</f>
        <v>2</v>
      </c>
      <c r="D10" s="38">
        <f t="shared" si="2"/>
        <v>1.7936000000000001</v>
      </c>
      <c r="E10" s="38">
        <f t="shared" si="2"/>
        <v>1.7886000000000002</v>
      </c>
      <c r="F10" s="38">
        <f t="shared" si="2"/>
        <v>1.7751999999999999</v>
      </c>
      <c r="G10" s="38">
        <f t="shared" si="2"/>
        <v>1.7751999999999999</v>
      </c>
      <c r="H10" s="38">
        <f t="shared" si="2"/>
        <v>1.7751999999999999</v>
      </c>
      <c r="I10" s="38">
        <f t="shared" si="2"/>
        <v>1.7751999999999999</v>
      </c>
      <c r="J10" s="38">
        <f t="shared" si="2"/>
        <v>1.7751999999999999</v>
      </c>
      <c r="K10" s="38">
        <f t="shared" si="2"/>
        <v>1.7751999999999999</v>
      </c>
      <c r="L10" s="38">
        <f t="shared" si="2"/>
        <v>1.7751999999999999</v>
      </c>
      <c r="M10" s="38">
        <f t="shared" si="2"/>
        <v>1.7751999999999999</v>
      </c>
      <c r="N10" s="38">
        <f t="shared" si="3"/>
        <v>1.7751999999999999</v>
      </c>
      <c r="O10" s="38">
        <f t="shared" si="3"/>
        <v>1.7751999999999999</v>
      </c>
      <c r="P10" s="38">
        <f t="shared" si="3"/>
        <v>1.7751999999999999</v>
      </c>
      <c r="Q10" s="38">
        <f t="shared" si="3"/>
        <v>1.7751999999999999</v>
      </c>
      <c r="R10" s="38">
        <f t="shared" si="3"/>
        <v>1.7751999999999999</v>
      </c>
      <c r="S10" s="39">
        <f t="shared" si="3"/>
        <v>1.7751999999999999</v>
      </c>
      <c r="T10" s="38">
        <f t="shared" si="3"/>
        <v>1.7751999999999999</v>
      </c>
      <c r="U10" s="38">
        <f t="shared" si="3"/>
        <v>1.7751999999999999</v>
      </c>
      <c r="V10" s="38">
        <f t="shared" si="3"/>
        <v>1.7751999999999999</v>
      </c>
      <c r="W10" s="38">
        <f t="shared" si="3"/>
        <v>1.7751999999999999</v>
      </c>
      <c r="X10" s="38">
        <f t="shared" si="4"/>
        <v>1.7751999999999999</v>
      </c>
      <c r="Y10" s="38">
        <f t="shared" si="4"/>
        <v>1.7751999999999999</v>
      </c>
      <c r="Z10" s="38">
        <f t="shared" si="4"/>
        <v>1.7751999999999999</v>
      </c>
      <c r="AA10" s="38">
        <f t="shared" si="4"/>
        <v>1.7751999999999999</v>
      </c>
      <c r="AB10" s="38">
        <f t="shared" si="4"/>
        <v>1.7751999999999999</v>
      </c>
      <c r="AC10" s="38">
        <f t="shared" si="4"/>
        <v>1.7751999999999999</v>
      </c>
      <c r="AD10" s="38">
        <f t="shared" si="4"/>
        <v>1.7751999999999999</v>
      </c>
      <c r="AE10" s="38">
        <f t="shared" si="4"/>
        <v>1.7751999999999999</v>
      </c>
      <c r="AF10" s="38">
        <f t="shared" si="4"/>
        <v>1.7751999999999999</v>
      </c>
      <c r="AG10" s="38">
        <f t="shared" si="4"/>
        <v>1.7751999999999999</v>
      </c>
      <c r="AH10" s="38">
        <f t="shared" si="4"/>
        <v>1.7751999999999999</v>
      </c>
      <c r="AI10" s="39">
        <f t="shared" si="4"/>
        <v>1.7751999999999999</v>
      </c>
    </row>
    <row r="11" spans="1:35" s="29" customFormat="1" x14ac:dyDescent="0.25">
      <c r="A11" s="365">
        <f t="shared" ref="A11:A30" si="5">A10+1</f>
        <v>3</v>
      </c>
      <c r="B11" s="34">
        <v>1000</v>
      </c>
      <c r="C11" s="365">
        <f t="shared" ref="C11:C54" si="6">C10+1</f>
        <v>3</v>
      </c>
      <c r="D11" s="38">
        <f t="shared" si="2"/>
        <v>2.3234000000000004</v>
      </c>
      <c r="E11" s="38">
        <f t="shared" si="2"/>
        <v>2.3178000000000001</v>
      </c>
      <c r="F11" s="38">
        <f t="shared" si="2"/>
        <v>2.3035000000000001</v>
      </c>
      <c r="G11" s="38">
        <f t="shared" si="2"/>
        <v>2.3035000000000001</v>
      </c>
      <c r="H11" s="38">
        <f t="shared" si="2"/>
        <v>2.3035000000000001</v>
      </c>
      <c r="I11" s="38">
        <f t="shared" si="2"/>
        <v>2.3035000000000001</v>
      </c>
      <c r="J11" s="38">
        <f t="shared" si="2"/>
        <v>2.3035000000000001</v>
      </c>
      <c r="K11" s="38">
        <f t="shared" si="2"/>
        <v>2.3035000000000001</v>
      </c>
      <c r="L11" s="38">
        <f t="shared" si="2"/>
        <v>2.3035000000000001</v>
      </c>
      <c r="M11" s="38">
        <f t="shared" si="2"/>
        <v>2.3035000000000001</v>
      </c>
      <c r="N11" s="38">
        <f t="shared" si="3"/>
        <v>2.3035000000000001</v>
      </c>
      <c r="O11" s="38">
        <f t="shared" si="3"/>
        <v>2.3035000000000001</v>
      </c>
      <c r="P11" s="38">
        <f t="shared" si="3"/>
        <v>2.3035000000000001</v>
      </c>
      <c r="Q11" s="38">
        <f t="shared" si="3"/>
        <v>2.3035000000000001</v>
      </c>
      <c r="R11" s="38">
        <f t="shared" si="3"/>
        <v>2.3035000000000001</v>
      </c>
      <c r="S11" s="39">
        <f t="shared" si="3"/>
        <v>2.3035000000000001</v>
      </c>
      <c r="T11" s="38">
        <f t="shared" si="3"/>
        <v>2.3035000000000001</v>
      </c>
      <c r="U11" s="38">
        <f t="shared" si="3"/>
        <v>2.3035000000000001</v>
      </c>
      <c r="V11" s="38">
        <f t="shared" si="3"/>
        <v>2.3035000000000001</v>
      </c>
      <c r="W11" s="38">
        <f t="shared" si="3"/>
        <v>2.3035000000000001</v>
      </c>
      <c r="X11" s="38">
        <f t="shared" si="4"/>
        <v>2.3035000000000001</v>
      </c>
      <c r="Y11" s="38">
        <f t="shared" si="4"/>
        <v>2.3035000000000001</v>
      </c>
      <c r="Z11" s="38">
        <f t="shared" si="4"/>
        <v>2.3035000000000001</v>
      </c>
      <c r="AA11" s="38">
        <f t="shared" si="4"/>
        <v>2.3035000000000001</v>
      </c>
      <c r="AB11" s="38">
        <f t="shared" si="4"/>
        <v>2.3035000000000001</v>
      </c>
      <c r="AC11" s="38">
        <f t="shared" si="4"/>
        <v>2.3035000000000001</v>
      </c>
      <c r="AD11" s="38">
        <f t="shared" si="4"/>
        <v>2.3035000000000001</v>
      </c>
      <c r="AE11" s="38">
        <f t="shared" si="4"/>
        <v>2.3035000000000001</v>
      </c>
      <c r="AF11" s="38">
        <f t="shared" si="4"/>
        <v>2.3035000000000001</v>
      </c>
      <c r="AG11" s="38">
        <f t="shared" si="4"/>
        <v>2.3035000000000001</v>
      </c>
      <c r="AH11" s="38">
        <f t="shared" si="4"/>
        <v>2.3035000000000001</v>
      </c>
      <c r="AI11" s="39">
        <f t="shared" si="4"/>
        <v>2.3035000000000001</v>
      </c>
    </row>
    <row r="12" spans="1:35" s="29" customFormat="1" x14ac:dyDescent="0.25">
      <c r="A12" s="365">
        <f t="shared" si="5"/>
        <v>4</v>
      </c>
      <c r="B12" s="34">
        <v>2000</v>
      </c>
      <c r="C12" s="365">
        <f t="shared" si="6"/>
        <v>4</v>
      </c>
      <c r="D12" s="38">
        <f t="shared" si="2"/>
        <v>2.9813999999999998</v>
      </c>
      <c r="E12" s="38">
        <f t="shared" si="2"/>
        <v>2.9750000000000001</v>
      </c>
      <c r="F12" s="38">
        <f t="shared" si="2"/>
        <v>2.96</v>
      </c>
      <c r="G12" s="38">
        <f t="shared" si="2"/>
        <v>2.96</v>
      </c>
      <c r="H12" s="38">
        <f t="shared" si="2"/>
        <v>2.96</v>
      </c>
      <c r="I12" s="38">
        <f t="shared" si="2"/>
        <v>2.96</v>
      </c>
      <c r="J12" s="38">
        <f t="shared" si="2"/>
        <v>2.96</v>
      </c>
      <c r="K12" s="38">
        <f t="shared" si="2"/>
        <v>2.96</v>
      </c>
      <c r="L12" s="38">
        <f t="shared" si="2"/>
        <v>2.96</v>
      </c>
      <c r="M12" s="38">
        <f t="shared" si="2"/>
        <v>2.96</v>
      </c>
      <c r="N12" s="38">
        <f t="shared" si="3"/>
        <v>2.96</v>
      </c>
      <c r="O12" s="38">
        <f t="shared" si="3"/>
        <v>2.96</v>
      </c>
      <c r="P12" s="38">
        <f t="shared" si="3"/>
        <v>2.96</v>
      </c>
      <c r="Q12" s="38">
        <f t="shared" si="3"/>
        <v>2.96</v>
      </c>
      <c r="R12" s="38">
        <f t="shared" si="3"/>
        <v>2.96</v>
      </c>
      <c r="S12" s="39">
        <f t="shared" si="3"/>
        <v>2.96</v>
      </c>
      <c r="T12" s="38">
        <f t="shared" si="3"/>
        <v>2.96</v>
      </c>
      <c r="U12" s="38">
        <f t="shared" si="3"/>
        <v>2.96</v>
      </c>
      <c r="V12" s="38">
        <f t="shared" si="3"/>
        <v>2.96</v>
      </c>
      <c r="W12" s="38">
        <f t="shared" si="3"/>
        <v>2.96</v>
      </c>
      <c r="X12" s="38">
        <f t="shared" si="4"/>
        <v>2.96</v>
      </c>
      <c r="Y12" s="38">
        <f t="shared" si="4"/>
        <v>2.96</v>
      </c>
      <c r="Z12" s="38">
        <f t="shared" si="4"/>
        <v>2.96</v>
      </c>
      <c r="AA12" s="38">
        <f t="shared" si="4"/>
        <v>2.96</v>
      </c>
      <c r="AB12" s="38">
        <f t="shared" si="4"/>
        <v>2.96</v>
      </c>
      <c r="AC12" s="38">
        <f t="shared" si="4"/>
        <v>2.96</v>
      </c>
      <c r="AD12" s="38">
        <f t="shared" si="4"/>
        <v>2.96</v>
      </c>
      <c r="AE12" s="38">
        <f t="shared" si="4"/>
        <v>2.96</v>
      </c>
      <c r="AF12" s="38">
        <f t="shared" si="4"/>
        <v>2.96</v>
      </c>
      <c r="AG12" s="38">
        <f t="shared" si="4"/>
        <v>2.96</v>
      </c>
      <c r="AH12" s="38">
        <f t="shared" si="4"/>
        <v>2.96</v>
      </c>
      <c r="AI12" s="39">
        <f t="shared" si="4"/>
        <v>2.96</v>
      </c>
    </row>
    <row r="13" spans="1:35" s="29" customFormat="1" x14ac:dyDescent="0.25">
      <c r="A13" s="365">
        <f t="shared" si="5"/>
        <v>5</v>
      </c>
      <c r="B13" s="34">
        <v>3000</v>
      </c>
      <c r="C13" s="365">
        <f t="shared" si="6"/>
        <v>5</v>
      </c>
      <c r="D13" s="38">
        <f t="shared" si="2"/>
        <v>3.7675999999999998</v>
      </c>
      <c r="E13" s="38">
        <f t="shared" si="2"/>
        <v>3.7602000000000002</v>
      </c>
      <c r="F13" s="38">
        <f t="shared" si="2"/>
        <v>3.7446999999999999</v>
      </c>
      <c r="G13" s="38">
        <f t="shared" si="2"/>
        <v>3.7446999999999999</v>
      </c>
      <c r="H13" s="38">
        <f t="shared" si="2"/>
        <v>3.7446999999999999</v>
      </c>
      <c r="I13" s="38">
        <f t="shared" si="2"/>
        <v>3.7446999999999999</v>
      </c>
      <c r="J13" s="38">
        <f t="shared" si="2"/>
        <v>3.7446999999999999</v>
      </c>
      <c r="K13" s="38">
        <f t="shared" si="2"/>
        <v>3.7446999999999999</v>
      </c>
      <c r="L13" s="38">
        <f t="shared" si="2"/>
        <v>3.7446999999999999</v>
      </c>
      <c r="M13" s="38">
        <f t="shared" si="2"/>
        <v>3.7446999999999999</v>
      </c>
      <c r="N13" s="38">
        <f t="shared" si="3"/>
        <v>3.7446999999999999</v>
      </c>
      <c r="O13" s="38">
        <f t="shared" si="3"/>
        <v>3.7446999999999999</v>
      </c>
      <c r="P13" s="38">
        <f t="shared" si="3"/>
        <v>3.7446999999999999</v>
      </c>
      <c r="Q13" s="38">
        <f t="shared" si="3"/>
        <v>3.7446999999999999</v>
      </c>
      <c r="R13" s="38">
        <f t="shared" si="3"/>
        <v>3.7446999999999999</v>
      </c>
      <c r="S13" s="39">
        <f t="shared" si="3"/>
        <v>3.7446999999999999</v>
      </c>
      <c r="T13" s="38">
        <f t="shared" si="3"/>
        <v>3.7446999999999999</v>
      </c>
      <c r="U13" s="38">
        <f t="shared" si="3"/>
        <v>3.7446999999999999</v>
      </c>
      <c r="V13" s="38">
        <f t="shared" si="3"/>
        <v>3.7446999999999999</v>
      </c>
      <c r="W13" s="38">
        <f t="shared" si="3"/>
        <v>3.7446999999999999</v>
      </c>
      <c r="X13" s="38">
        <f t="shared" si="4"/>
        <v>3.7446999999999999</v>
      </c>
      <c r="Y13" s="38">
        <f t="shared" si="4"/>
        <v>3.7446999999999999</v>
      </c>
      <c r="Z13" s="38">
        <f t="shared" si="4"/>
        <v>3.7446999999999999</v>
      </c>
      <c r="AA13" s="38">
        <f t="shared" si="4"/>
        <v>3.7446999999999999</v>
      </c>
      <c r="AB13" s="38">
        <f t="shared" si="4"/>
        <v>3.7446999999999999</v>
      </c>
      <c r="AC13" s="38">
        <f t="shared" si="4"/>
        <v>3.7446999999999999</v>
      </c>
      <c r="AD13" s="38">
        <f t="shared" si="4"/>
        <v>3.7446999999999999</v>
      </c>
      <c r="AE13" s="38">
        <f t="shared" si="4"/>
        <v>3.7446999999999999</v>
      </c>
      <c r="AF13" s="38">
        <f t="shared" si="4"/>
        <v>3.7446999999999999</v>
      </c>
      <c r="AG13" s="38">
        <f t="shared" si="4"/>
        <v>3.7446999999999999</v>
      </c>
      <c r="AH13" s="38">
        <f t="shared" si="4"/>
        <v>3.7446999999999999</v>
      </c>
      <c r="AI13" s="39">
        <f t="shared" si="4"/>
        <v>3.7446999999999999</v>
      </c>
    </row>
    <row r="14" spans="1:35" s="29" customFormat="1" x14ac:dyDescent="0.25">
      <c r="A14" s="365">
        <f t="shared" si="5"/>
        <v>6</v>
      </c>
      <c r="B14" s="34">
        <v>4000</v>
      </c>
      <c r="C14" s="365">
        <f t="shared" si="6"/>
        <v>6</v>
      </c>
      <c r="D14" s="38">
        <f t="shared" si="2"/>
        <v>4.6820000000000004</v>
      </c>
      <c r="E14" s="38">
        <f t="shared" si="2"/>
        <v>4.6734</v>
      </c>
      <c r="F14" s="38">
        <f t="shared" si="2"/>
        <v>4.6576000000000004</v>
      </c>
      <c r="G14" s="38">
        <f t="shared" si="2"/>
        <v>4.6576000000000004</v>
      </c>
      <c r="H14" s="38">
        <f t="shared" si="2"/>
        <v>4.6576000000000004</v>
      </c>
      <c r="I14" s="38">
        <f t="shared" si="2"/>
        <v>4.6576000000000004</v>
      </c>
      <c r="J14" s="38">
        <f t="shared" si="2"/>
        <v>4.6576000000000004</v>
      </c>
      <c r="K14" s="38">
        <f t="shared" si="2"/>
        <v>4.6576000000000004</v>
      </c>
      <c r="L14" s="38">
        <f t="shared" si="2"/>
        <v>4.6576000000000004</v>
      </c>
      <c r="M14" s="38">
        <f t="shared" si="2"/>
        <v>4.6576000000000004</v>
      </c>
      <c r="N14" s="38">
        <f t="shared" si="3"/>
        <v>4.6576000000000004</v>
      </c>
      <c r="O14" s="38">
        <f t="shared" si="3"/>
        <v>4.6576000000000004</v>
      </c>
      <c r="P14" s="38">
        <f t="shared" si="3"/>
        <v>4.6576000000000004</v>
      </c>
      <c r="Q14" s="38">
        <f t="shared" si="3"/>
        <v>4.6576000000000004</v>
      </c>
      <c r="R14" s="38">
        <f t="shared" si="3"/>
        <v>4.6576000000000004</v>
      </c>
      <c r="S14" s="39">
        <f t="shared" si="3"/>
        <v>4.6576000000000004</v>
      </c>
      <c r="T14" s="38">
        <f t="shared" si="3"/>
        <v>4.6576000000000004</v>
      </c>
      <c r="U14" s="38">
        <f t="shared" si="3"/>
        <v>4.6576000000000004</v>
      </c>
      <c r="V14" s="38">
        <f t="shared" si="3"/>
        <v>4.6576000000000004</v>
      </c>
      <c r="W14" s="38">
        <f t="shared" si="3"/>
        <v>4.6576000000000004</v>
      </c>
      <c r="X14" s="38">
        <f t="shared" si="4"/>
        <v>4.6576000000000004</v>
      </c>
      <c r="Y14" s="38">
        <f t="shared" si="4"/>
        <v>4.6576000000000004</v>
      </c>
      <c r="Z14" s="38">
        <f t="shared" si="4"/>
        <v>4.6576000000000004</v>
      </c>
      <c r="AA14" s="38">
        <f t="shared" si="4"/>
        <v>4.6576000000000004</v>
      </c>
      <c r="AB14" s="38">
        <f t="shared" si="4"/>
        <v>4.6576000000000004</v>
      </c>
      <c r="AC14" s="38">
        <f t="shared" si="4"/>
        <v>4.6576000000000004</v>
      </c>
      <c r="AD14" s="38">
        <f t="shared" si="4"/>
        <v>4.6576000000000004</v>
      </c>
      <c r="AE14" s="38">
        <f t="shared" si="4"/>
        <v>4.6576000000000004</v>
      </c>
      <c r="AF14" s="38">
        <f t="shared" si="4"/>
        <v>4.6576000000000004</v>
      </c>
      <c r="AG14" s="38">
        <f t="shared" si="4"/>
        <v>4.6576000000000004</v>
      </c>
      <c r="AH14" s="38">
        <f t="shared" si="4"/>
        <v>4.6576000000000004</v>
      </c>
      <c r="AI14" s="39">
        <f t="shared" si="4"/>
        <v>4.6576000000000004</v>
      </c>
    </row>
    <row r="15" spans="1:35" s="29" customFormat="1" x14ac:dyDescent="0.25">
      <c r="A15" s="365">
        <f t="shared" si="5"/>
        <v>7</v>
      </c>
      <c r="B15" s="34">
        <v>5000</v>
      </c>
      <c r="C15" s="365">
        <f t="shared" si="6"/>
        <v>7</v>
      </c>
      <c r="D15" s="38">
        <f t="shared" si="2"/>
        <v>5.7245999999999997</v>
      </c>
      <c r="E15" s="38">
        <f t="shared" si="2"/>
        <v>5.7146000000000008</v>
      </c>
      <c r="F15" s="38">
        <f t="shared" si="2"/>
        <v>5.6987000000000005</v>
      </c>
      <c r="G15" s="38">
        <f t="shared" si="2"/>
        <v>5.6987000000000005</v>
      </c>
      <c r="H15" s="38">
        <f t="shared" si="2"/>
        <v>5.6987000000000005</v>
      </c>
      <c r="I15" s="38">
        <f t="shared" si="2"/>
        <v>5.6987000000000005</v>
      </c>
      <c r="J15" s="38">
        <f t="shared" si="2"/>
        <v>5.6987000000000005</v>
      </c>
      <c r="K15" s="38">
        <f t="shared" si="2"/>
        <v>5.6987000000000005</v>
      </c>
      <c r="L15" s="38">
        <f t="shared" si="2"/>
        <v>5.6987000000000005</v>
      </c>
      <c r="M15" s="38">
        <f t="shared" si="2"/>
        <v>5.6987000000000005</v>
      </c>
      <c r="N15" s="38">
        <f t="shared" si="3"/>
        <v>5.6987000000000005</v>
      </c>
      <c r="O15" s="38">
        <f t="shared" si="3"/>
        <v>5.6987000000000005</v>
      </c>
      <c r="P15" s="38">
        <f t="shared" si="3"/>
        <v>5.6987000000000005</v>
      </c>
      <c r="Q15" s="38">
        <f t="shared" si="3"/>
        <v>5.6987000000000005</v>
      </c>
      <c r="R15" s="38">
        <f t="shared" si="3"/>
        <v>5.6987000000000005</v>
      </c>
      <c r="S15" s="39">
        <f t="shared" si="3"/>
        <v>5.6987000000000005</v>
      </c>
      <c r="T15" s="38">
        <f t="shared" si="3"/>
        <v>5.6987000000000005</v>
      </c>
      <c r="U15" s="38">
        <f t="shared" si="3"/>
        <v>5.6987000000000005</v>
      </c>
      <c r="V15" s="38">
        <f t="shared" si="3"/>
        <v>5.6987000000000005</v>
      </c>
      <c r="W15" s="38">
        <f t="shared" si="3"/>
        <v>5.6987000000000005</v>
      </c>
      <c r="X15" s="38">
        <f t="shared" si="4"/>
        <v>5.6987000000000005</v>
      </c>
      <c r="Y15" s="38">
        <f t="shared" si="4"/>
        <v>5.6987000000000005</v>
      </c>
      <c r="Z15" s="38">
        <f t="shared" si="4"/>
        <v>5.6987000000000005</v>
      </c>
      <c r="AA15" s="38">
        <f t="shared" si="4"/>
        <v>5.6987000000000005</v>
      </c>
      <c r="AB15" s="38">
        <f t="shared" si="4"/>
        <v>5.6987000000000005</v>
      </c>
      <c r="AC15" s="38">
        <f t="shared" si="4"/>
        <v>5.6987000000000005</v>
      </c>
      <c r="AD15" s="38">
        <f t="shared" si="4"/>
        <v>5.6987000000000005</v>
      </c>
      <c r="AE15" s="38">
        <f t="shared" si="4"/>
        <v>5.6987000000000005</v>
      </c>
      <c r="AF15" s="38">
        <f t="shared" si="4"/>
        <v>5.6987000000000005</v>
      </c>
      <c r="AG15" s="38">
        <f t="shared" si="4"/>
        <v>5.6987000000000005</v>
      </c>
      <c r="AH15" s="38">
        <f t="shared" si="4"/>
        <v>5.6987000000000005</v>
      </c>
      <c r="AI15" s="39">
        <f t="shared" si="4"/>
        <v>5.6987000000000005</v>
      </c>
    </row>
    <row r="16" spans="1:35" s="29" customFormat="1" x14ac:dyDescent="0.25">
      <c r="A16" s="365">
        <f t="shared" si="5"/>
        <v>8</v>
      </c>
      <c r="B16" s="34">
        <v>6000</v>
      </c>
      <c r="C16" s="365">
        <f t="shared" si="6"/>
        <v>8</v>
      </c>
      <c r="D16" s="38">
        <f t="shared" si="2"/>
        <v>6.8954000000000004</v>
      </c>
      <c r="E16" s="38">
        <f t="shared" si="2"/>
        <v>6.8838000000000008</v>
      </c>
      <c r="F16" s="38">
        <f t="shared" si="2"/>
        <v>6.8680000000000003</v>
      </c>
      <c r="G16" s="38">
        <f t="shared" si="2"/>
        <v>6.8680000000000003</v>
      </c>
      <c r="H16" s="38">
        <f t="shared" si="2"/>
        <v>6.8680000000000003</v>
      </c>
      <c r="I16" s="38">
        <f t="shared" si="2"/>
        <v>6.8680000000000003</v>
      </c>
      <c r="J16" s="38">
        <f t="shared" si="2"/>
        <v>6.8680000000000003</v>
      </c>
      <c r="K16" s="38">
        <f t="shared" si="2"/>
        <v>6.8680000000000003</v>
      </c>
      <c r="L16" s="38">
        <f t="shared" si="2"/>
        <v>6.8680000000000003</v>
      </c>
      <c r="M16" s="38">
        <f t="shared" si="2"/>
        <v>6.8680000000000003</v>
      </c>
      <c r="N16" s="38">
        <f t="shared" si="3"/>
        <v>6.8680000000000003</v>
      </c>
      <c r="O16" s="38">
        <f t="shared" si="3"/>
        <v>6.8680000000000003</v>
      </c>
      <c r="P16" s="38">
        <f t="shared" si="3"/>
        <v>6.8680000000000003</v>
      </c>
      <c r="Q16" s="38">
        <f t="shared" si="3"/>
        <v>6.8680000000000003</v>
      </c>
      <c r="R16" s="38">
        <f t="shared" si="3"/>
        <v>6.8680000000000003</v>
      </c>
      <c r="S16" s="39">
        <f t="shared" si="3"/>
        <v>6.8680000000000003</v>
      </c>
      <c r="T16" s="38">
        <f t="shared" si="3"/>
        <v>6.8680000000000003</v>
      </c>
      <c r="U16" s="38">
        <f t="shared" si="3"/>
        <v>6.8680000000000003</v>
      </c>
      <c r="V16" s="38">
        <f t="shared" si="3"/>
        <v>6.8680000000000003</v>
      </c>
      <c r="W16" s="38">
        <f t="shared" si="3"/>
        <v>6.8680000000000003</v>
      </c>
      <c r="X16" s="38">
        <f t="shared" si="4"/>
        <v>6.8680000000000003</v>
      </c>
      <c r="Y16" s="38">
        <f t="shared" si="4"/>
        <v>6.8680000000000003</v>
      </c>
      <c r="Z16" s="38">
        <f t="shared" si="4"/>
        <v>6.8680000000000003</v>
      </c>
      <c r="AA16" s="38">
        <f t="shared" si="4"/>
        <v>6.8680000000000003</v>
      </c>
      <c r="AB16" s="38">
        <f t="shared" si="4"/>
        <v>6.8680000000000003</v>
      </c>
      <c r="AC16" s="38">
        <f t="shared" si="4"/>
        <v>6.8680000000000003</v>
      </c>
      <c r="AD16" s="38">
        <f t="shared" si="4"/>
        <v>6.8680000000000003</v>
      </c>
      <c r="AE16" s="38">
        <f t="shared" si="4"/>
        <v>6.8680000000000003</v>
      </c>
      <c r="AF16" s="38">
        <f t="shared" si="4"/>
        <v>6.8680000000000003</v>
      </c>
      <c r="AG16" s="38">
        <f t="shared" si="4"/>
        <v>6.8680000000000003</v>
      </c>
      <c r="AH16" s="38">
        <f t="shared" si="4"/>
        <v>6.8680000000000003</v>
      </c>
      <c r="AI16" s="39">
        <f t="shared" si="4"/>
        <v>6.8680000000000003</v>
      </c>
    </row>
    <row r="17" spans="1:35" s="29" customFormat="1" x14ac:dyDescent="0.25">
      <c r="A17" s="365">
        <f t="shared" si="5"/>
        <v>9</v>
      </c>
      <c r="B17" s="34">
        <v>7000</v>
      </c>
      <c r="C17" s="365">
        <f t="shared" si="6"/>
        <v>9</v>
      </c>
      <c r="D17" s="38">
        <f t="shared" si="2"/>
        <v>8.1943999999999999</v>
      </c>
      <c r="E17" s="38">
        <f t="shared" si="2"/>
        <v>8.1810000000000009</v>
      </c>
      <c r="F17" s="38">
        <f t="shared" si="2"/>
        <v>8.1654999999999998</v>
      </c>
      <c r="G17" s="38">
        <f t="shared" si="2"/>
        <v>8.1654999999999998</v>
      </c>
      <c r="H17" s="38">
        <f t="shared" si="2"/>
        <v>8.1654999999999998</v>
      </c>
      <c r="I17" s="38">
        <f t="shared" si="2"/>
        <v>8.1654999999999998</v>
      </c>
      <c r="J17" s="38">
        <f t="shared" si="2"/>
        <v>8.1654999999999998</v>
      </c>
      <c r="K17" s="38">
        <f t="shared" si="2"/>
        <v>8.1654999999999998</v>
      </c>
      <c r="L17" s="38">
        <f t="shared" si="2"/>
        <v>8.1654999999999998</v>
      </c>
      <c r="M17" s="38">
        <f t="shared" si="2"/>
        <v>8.1654999999999998</v>
      </c>
      <c r="N17" s="38">
        <f t="shared" si="3"/>
        <v>8.1654999999999998</v>
      </c>
      <c r="O17" s="38">
        <f t="shared" si="3"/>
        <v>8.1654999999999998</v>
      </c>
      <c r="P17" s="38">
        <f t="shared" si="3"/>
        <v>8.1654999999999998</v>
      </c>
      <c r="Q17" s="38">
        <f t="shared" si="3"/>
        <v>8.1654999999999998</v>
      </c>
      <c r="R17" s="38">
        <f t="shared" si="3"/>
        <v>8.1654999999999998</v>
      </c>
      <c r="S17" s="39">
        <f t="shared" si="3"/>
        <v>8.1654999999999998</v>
      </c>
      <c r="T17" s="38">
        <f t="shared" si="3"/>
        <v>8.1654999999999998</v>
      </c>
      <c r="U17" s="38">
        <f t="shared" si="3"/>
        <v>8.1654999999999998</v>
      </c>
      <c r="V17" s="38">
        <f t="shared" si="3"/>
        <v>8.1654999999999998</v>
      </c>
      <c r="W17" s="38">
        <f t="shared" si="3"/>
        <v>8.1654999999999998</v>
      </c>
      <c r="X17" s="38">
        <f t="shared" si="4"/>
        <v>8.1654999999999998</v>
      </c>
      <c r="Y17" s="38">
        <f t="shared" si="4"/>
        <v>8.1654999999999998</v>
      </c>
      <c r="Z17" s="38">
        <f t="shared" si="4"/>
        <v>8.1654999999999998</v>
      </c>
      <c r="AA17" s="38">
        <f t="shared" si="4"/>
        <v>8.1654999999999998</v>
      </c>
      <c r="AB17" s="38">
        <f t="shared" si="4"/>
        <v>8.1654999999999998</v>
      </c>
      <c r="AC17" s="38">
        <f t="shared" si="4"/>
        <v>8.1654999999999998</v>
      </c>
      <c r="AD17" s="38">
        <f t="shared" si="4"/>
        <v>8.1654999999999998</v>
      </c>
      <c r="AE17" s="38">
        <f t="shared" si="4"/>
        <v>8.1654999999999998</v>
      </c>
      <c r="AF17" s="38">
        <f t="shared" si="4"/>
        <v>8.1654999999999998</v>
      </c>
      <c r="AG17" s="38">
        <f t="shared" si="4"/>
        <v>8.1654999999999998</v>
      </c>
      <c r="AH17" s="38">
        <f t="shared" si="4"/>
        <v>8.1654999999999998</v>
      </c>
      <c r="AI17" s="39">
        <f t="shared" si="4"/>
        <v>8.1654999999999998</v>
      </c>
    </row>
    <row r="18" spans="1:35" s="29" customFormat="1" x14ac:dyDescent="0.25">
      <c r="A18" s="365">
        <f t="shared" si="5"/>
        <v>10</v>
      </c>
      <c r="B18" s="34">
        <v>8000</v>
      </c>
      <c r="C18" s="365">
        <f t="shared" si="6"/>
        <v>10</v>
      </c>
      <c r="D18" s="38">
        <f t="shared" si="2"/>
        <v>9.6216000000000008</v>
      </c>
      <c r="E18" s="38">
        <f t="shared" si="2"/>
        <v>9.6062000000000012</v>
      </c>
      <c r="F18" s="38">
        <f t="shared" si="2"/>
        <v>9.5911999999999988</v>
      </c>
      <c r="G18" s="38">
        <f t="shared" si="2"/>
        <v>9.5911999999999988</v>
      </c>
      <c r="H18" s="38">
        <f t="shared" si="2"/>
        <v>9.5911999999999988</v>
      </c>
      <c r="I18" s="38">
        <f t="shared" si="2"/>
        <v>9.5911999999999988</v>
      </c>
      <c r="J18" s="38">
        <f t="shared" si="2"/>
        <v>9.5911999999999988</v>
      </c>
      <c r="K18" s="38">
        <f t="shared" si="2"/>
        <v>9.5911999999999988</v>
      </c>
      <c r="L18" s="38">
        <f t="shared" si="2"/>
        <v>9.5911999999999988</v>
      </c>
      <c r="M18" s="38">
        <f t="shared" si="2"/>
        <v>9.5911999999999988</v>
      </c>
      <c r="N18" s="38">
        <f t="shared" si="3"/>
        <v>9.5911999999999988</v>
      </c>
      <c r="O18" s="38">
        <f t="shared" si="3"/>
        <v>9.5911999999999988</v>
      </c>
      <c r="P18" s="38">
        <f t="shared" si="3"/>
        <v>9.5911999999999988</v>
      </c>
      <c r="Q18" s="38">
        <f t="shared" si="3"/>
        <v>9.5911999999999988</v>
      </c>
      <c r="R18" s="38">
        <f t="shared" si="3"/>
        <v>9.5911999999999988</v>
      </c>
      <c r="S18" s="39">
        <f t="shared" si="3"/>
        <v>9.5911999999999988</v>
      </c>
      <c r="T18" s="38">
        <f t="shared" si="3"/>
        <v>9.5911999999999988</v>
      </c>
      <c r="U18" s="38">
        <f t="shared" si="3"/>
        <v>9.5911999999999988</v>
      </c>
      <c r="V18" s="38">
        <f t="shared" si="3"/>
        <v>9.5911999999999988</v>
      </c>
      <c r="W18" s="38">
        <f t="shared" si="3"/>
        <v>9.5911999999999988</v>
      </c>
      <c r="X18" s="38">
        <f t="shared" si="4"/>
        <v>9.5911999999999988</v>
      </c>
      <c r="Y18" s="38">
        <f t="shared" si="4"/>
        <v>9.5911999999999988</v>
      </c>
      <c r="Z18" s="38">
        <f t="shared" si="4"/>
        <v>9.5911999999999988</v>
      </c>
      <c r="AA18" s="38">
        <f t="shared" si="4"/>
        <v>9.5911999999999988</v>
      </c>
      <c r="AB18" s="38">
        <f t="shared" si="4"/>
        <v>9.5911999999999988</v>
      </c>
      <c r="AC18" s="38">
        <f t="shared" si="4"/>
        <v>9.5911999999999988</v>
      </c>
      <c r="AD18" s="38">
        <f t="shared" si="4"/>
        <v>9.5911999999999988</v>
      </c>
      <c r="AE18" s="38">
        <f t="shared" si="4"/>
        <v>9.5911999999999988</v>
      </c>
      <c r="AF18" s="38">
        <f t="shared" si="4"/>
        <v>9.5911999999999988</v>
      </c>
      <c r="AG18" s="38">
        <f t="shared" si="4"/>
        <v>9.5911999999999988</v>
      </c>
      <c r="AH18" s="38">
        <f t="shared" si="4"/>
        <v>9.5911999999999988</v>
      </c>
      <c r="AI18" s="39">
        <f t="shared" si="4"/>
        <v>9.5911999999999988</v>
      </c>
    </row>
    <row r="19" spans="1:35" s="29" customFormat="1" x14ac:dyDescent="0.25">
      <c r="A19" s="365">
        <f t="shared" si="5"/>
        <v>11</v>
      </c>
      <c r="B19" s="34">
        <v>9000</v>
      </c>
      <c r="C19" s="365">
        <f t="shared" si="6"/>
        <v>11</v>
      </c>
      <c r="D19" s="38">
        <f t="shared" ref="D19:M28" si="7">$A19^2*D$58+$A19*D$57+D$56</f>
        <v>11.177000000000001</v>
      </c>
      <c r="E19" s="38">
        <f t="shared" si="7"/>
        <v>11.1594</v>
      </c>
      <c r="F19" s="38">
        <f t="shared" si="7"/>
        <v>11.145100000000001</v>
      </c>
      <c r="G19" s="38">
        <f t="shared" si="7"/>
        <v>11.145100000000001</v>
      </c>
      <c r="H19" s="38">
        <f t="shared" si="7"/>
        <v>11.145100000000001</v>
      </c>
      <c r="I19" s="38">
        <f t="shared" si="7"/>
        <v>11.145100000000001</v>
      </c>
      <c r="J19" s="38">
        <f t="shared" si="7"/>
        <v>11.145100000000001</v>
      </c>
      <c r="K19" s="38">
        <f t="shared" si="7"/>
        <v>11.145100000000001</v>
      </c>
      <c r="L19" s="38">
        <f t="shared" si="7"/>
        <v>11.145100000000001</v>
      </c>
      <c r="M19" s="38">
        <f t="shared" si="7"/>
        <v>11.145100000000001</v>
      </c>
      <c r="N19" s="38">
        <f t="shared" ref="N19:W28" si="8">$A19^2*N$58+$A19*N$57+N$56</f>
        <v>11.145100000000001</v>
      </c>
      <c r="O19" s="38">
        <f t="shared" si="8"/>
        <v>11.145100000000001</v>
      </c>
      <c r="P19" s="38">
        <f t="shared" si="8"/>
        <v>11.145100000000001</v>
      </c>
      <c r="Q19" s="38">
        <f t="shared" si="8"/>
        <v>11.145100000000001</v>
      </c>
      <c r="R19" s="38">
        <f t="shared" si="8"/>
        <v>11.145100000000001</v>
      </c>
      <c r="S19" s="39">
        <f t="shared" si="8"/>
        <v>11.145100000000001</v>
      </c>
      <c r="T19" s="38">
        <f t="shared" si="8"/>
        <v>11.145100000000001</v>
      </c>
      <c r="U19" s="38">
        <f t="shared" si="8"/>
        <v>11.145100000000001</v>
      </c>
      <c r="V19" s="38">
        <f t="shared" si="8"/>
        <v>11.145100000000001</v>
      </c>
      <c r="W19" s="38">
        <f t="shared" si="8"/>
        <v>11.145100000000001</v>
      </c>
      <c r="X19" s="38">
        <f t="shared" ref="X19:AI28" si="9">$A19^2*X$58+$A19*X$57+X$56</f>
        <v>11.145100000000001</v>
      </c>
      <c r="Y19" s="38">
        <f t="shared" si="9"/>
        <v>11.145100000000001</v>
      </c>
      <c r="Z19" s="38">
        <f t="shared" si="9"/>
        <v>11.145100000000001</v>
      </c>
      <c r="AA19" s="38">
        <f t="shared" si="9"/>
        <v>11.145100000000001</v>
      </c>
      <c r="AB19" s="38">
        <f t="shared" si="9"/>
        <v>11.145100000000001</v>
      </c>
      <c r="AC19" s="38">
        <f t="shared" si="9"/>
        <v>11.145100000000001</v>
      </c>
      <c r="AD19" s="38">
        <f t="shared" si="9"/>
        <v>11.145100000000001</v>
      </c>
      <c r="AE19" s="38">
        <f t="shared" si="9"/>
        <v>11.145100000000001</v>
      </c>
      <c r="AF19" s="38">
        <f t="shared" si="9"/>
        <v>11.145100000000001</v>
      </c>
      <c r="AG19" s="38">
        <f t="shared" si="9"/>
        <v>11.145100000000001</v>
      </c>
      <c r="AH19" s="38">
        <f t="shared" si="9"/>
        <v>11.145100000000001</v>
      </c>
      <c r="AI19" s="39">
        <f t="shared" si="9"/>
        <v>11.145100000000001</v>
      </c>
    </row>
    <row r="20" spans="1:35" s="29" customFormat="1" x14ac:dyDescent="0.25">
      <c r="A20" s="365">
        <f t="shared" si="5"/>
        <v>12</v>
      </c>
      <c r="B20" s="34">
        <v>10000</v>
      </c>
      <c r="C20" s="365">
        <f t="shared" si="6"/>
        <v>12</v>
      </c>
      <c r="D20" s="38">
        <f t="shared" si="7"/>
        <v>12.860600000000002</v>
      </c>
      <c r="E20" s="38">
        <f t="shared" si="7"/>
        <v>12.840600000000002</v>
      </c>
      <c r="F20" s="38">
        <f t="shared" si="7"/>
        <v>12.827200000000001</v>
      </c>
      <c r="G20" s="38">
        <f t="shared" si="7"/>
        <v>12.827200000000001</v>
      </c>
      <c r="H20" s="38">
        <f t="shared" si="7"/>
        <v>12.827200000000001</v>
      </c>
      <c r="I20" s="38">
        <f t="shared" si="7"/>
        <v>12.827200000000001</v>
      </c>
      <c r="J20" s="38">
        <f t="shared" si="7"/>
        <v>12.827200000000001</v>
      </c>
      <c r="K20" s="38">
        <f t="shared" si="7"/>
        <v>12.827200000000001</v>
      </c>
      <c r="L20" s="38">
        <f t="shared" si="7"/>
        <v>12.827200000000001</v>
      </c>
      <c r="M20" s="38">
        <f t="shared" si="7"/>
        <v>12.827200000000001</v>
      </c>
      <c r="N20" s="38">
        <f t="shared" si="8"/>
        <v>12.827200000000001</v>
      </c>
      <c r="O20" s="38">
        <f t="shared" si="8"/>
        <v>12.827200000000001</v>
      </c>
      <c r="P20" s="38">
        <f t="shared" si="8"/>
        <v>12.827200000000001</v>
      </c>
      <c r="Q20" s="38">
        <f t="shared" si="8"/>
        <v>12.827200000000001</v>
      </c>
      <c r="R20" s="38">
        <f t="shared" si="8"/>
        <v>12.827200000000001</v>
      </c>
      <c r="S20" s="39">
        <f t="shared" si="8"/>
        <v>12.827200000000001</v>
      </c>
      <c r="T20" s="38">
        <f t="shared" si="8"/>
        <v>12.827200000000001</v>
      </c>
      <c r="U20" s="38">
        <f t="shared" si="8"/>
        <v>12.827200000000001</v>
      </c>
      <c r="V20" s="38">
        <f t="shared" si="8"/>
        <v>12.827200000000001</v>
      </c>
      <c r="W20" s="38">
        <f t="shared" si="8"/>
        <v>12.827200000000001</v>
      </c>
      <c r="X20" s="38">
        <f t="shared" si="9"/>
        <v>12.827200000000001</v>
      </c>
      <c r="Y20" s="38">
        <f t="shared" si="9"/>
        <v>12.827200000000001</v>
      </c>
      <c r="Z20" s="38">
        <f t="shared" si="9"/>
        <v>12.827200000000001</v>
      </c>
      <c r="AA20" s="38">
        <f t="shared" si="9"/>
        <v>12.827200000000001</v>
      </c>
      <c r="AB20" s="38">
        <f t="shared" si="9"/>
        <v>12.827200000000001</v>
      </c>
      <c r="AC20" s="38">
        <f t="shared" si="9"/>
        <v>12.827200000000001</v>
      </c>
      <c r="AD20" s="38">
        <f t="shared" si="9"/>
        <v>12.827200000000001</v>
      </c>
      <c r="AE20" s="38">
        <f t="shared" si="9"/>
        <v>12.827200000000001</v>
      </c>
      <c r="AF20" s="38">
        <f t="shared" si="9"/>
        <v>12.827200000000001</v>
      </c>
      <c r="AG20" s="38">
        <f t="shared" si="9"/>
        <v>12.827200000000001</v>
      </c>
      <c r="AH20" s="38">
        <f t="shared" si="9"/>
        <v>12.827200000000001</v>
      </c>
      <c r="AI20" s="39">
        <f t="shared" si="9"/>
        <v>12.827200000000001</v>
      </c>
    </row>
    <row r="21" spans="1:35" s="29" customFormat="1" x14ac:dyDescent="0.25">
      <c r="A21" s="365">
        <f t="shared" si="5"/>
        <v>13</v>
      </c>
      <c r="B21" s="34">
        <v>15000</v>
      </c>
      <c r="C21" s="365">
        <f t="shared" si="6"/>
        <v>13</v>
      </c>
      <c r="D21" s="38">
        <f t="shared" si="7"/>
        <v>14.672400000000001</v>
      </c>
      <c r="E21" s="38">
        <f t="shared" si="7"/>
        <v>14.649800000000001</v>
      </c>
      <c r="F21" s="38">
        <f t="shared" si="7"/>
        <v>14.637499999999999</v>
      </c>
      <c r="G21" s="38">
        <f t="shared" si="7"/>
        <v>14.637499999999999</v>
      </c>
      <c r="H21" s="38">
        <f t="shared" si="7"/>
        <v>14.637499999999999</v>
      </c>
      <c r="I21" s="38">
        <f t="shared" si="7"/>
        <v>14.637499999999999</v>
      </c>
      <c r="J21" s="38">
        <f t="shared" si="7"/>
        <v>14.637499999999999</v>
      </c>
      <c r="K21" s="38">
        <f t="shared" si="7"/>
        <v>14.637499999999999</v>
      </c>
      <c r="L21" s="38">
        <f t="shared" si="7"/>
        <v>14.637499999999999</v>
      </c>
      <c r="M21" s="38">
        <f t="shared" si="7"/>
        <v>14.637499999999999</v>
      </c>
      <c r="N21" s="38">
        <f t="shared" si="8"/>
        <v>14.637499999999999</v>
      </c>
      <c r="O21" s="38">
        <f t="shared" si="8"/>
        <v>14.637499999999999</v>
      </c>
      <c r="P21" s="38">
        <f t="shared" si="8"/>
        <v>14.637499999999999</v>
      </c>
      <c r="Q21" s="38">
        <f t="shared" si="8"/>
        <v>14.637499999999999</v>
      </c>
      <c r="R21" s="38">
        <f t="shared" si="8"/>
        <v>14.637499999999999</v>
      </c>
      <c r="S21" s="39">
        <f t="shared" si="8"/>
        <v>14.637499999999999</v>
      </c>
      <c r="T21" s="38">
        <f t="shared" si="8"/>
        <v>14.637499999999999</v>
      </c>
      <c r="U21" s="38">
        <f t="shared" si="8"/>
        <v>14.637499999999999</v>
      </c>
      <c r="V21" s="38">
        <f t="shared" si="8"/>
        <v>14.637499999999999</v>
      </c>
      <c r="W21" s="38">
        <f t="shared" si="8"/>
        <v>14.637499999999999</v>
      </c>
      <c r="X21" s="38">
        <f t="shared" si="9"/>
        <v>14.637499999999999</v>
      </c>
      <c r="Y21" s="38">
        <f t="shared" si="9"/>
        <v>14.637499999999999</v>
      </c>
      <c r="Z21" s="38">
        <f t="shared" si="9"/>
        <v>14.637499999999999</v>
      </c>
      <c r="AA21" s="38">
        <f t="shared" si="9"/>
        <v>14.637499999999999</v>
      </c>
      <c r="AB21" s="38">
        <f t="shared" si="9"/>
        <v>14.637499999999999</v>
      </c>
      <c r="AC21" s="38">
        <f t="shared" si="9"/>
        <v>14.637499999999999</v>
      </c>
      <c r="AD21" s="38">
        <f t="shared" si="9"/>
        <v>14.637499999999999</v>
      </c>
      <c r="AE21" s="38">
        <f t="shared" si="9"/>
        <v>14.637499999999999</v>
      </c>
      <c r="AF21" s="38">
        <f t="shared" si="9"/>
        <v>14.637499999999999</v>
      </c>
      <c r="AG21" s="38">
        <f t="shared" si="9"/>
        <v>14.637499999999999</v>
      </c>
      <c r="AH21" s="38">
        <f t="shared" si="9"/>
        <v>14.637499999999999</v>
      </c>
      <c r="AI21" s="39">
        <f t="shared" si="9"/>
        <v>14.637499999999999</v>
      </c>
    </row>
    <row r="22" spans="1:35" s="29" customFormat="1" x14ac:dyDescent="0.25">
      <c r="A22" s="365">
        <f t="shared" si="5"/>
        <v>14</v>
      </c>
      <c r="B22" s="34">
        <v>20000</v>
      </c>
      <c r="C22" s="365">
        <f t="shared" si="6"/>
        <v>14</v>
      </c>
      <c r="D22" s="38">
        <f t="shared" si="7"/>
        <v>16.612400000000001</v>
      </c>
      <c r="E22" s="38">
        <f t="shared" si="7"/>
        <v>16.587</v>
      </c>
      <c r="F22" s="38">
        <f t="shared" si="7"/>
        <v>16.576000000000001</v>
      </c>
      <c r="G22" s="38">
        <f t="shared" si="7"/>
        <v>16.576000000000001</v>
      </c>
      <c r="H22" s="38">
        <f t="shared" si="7"/>
        <v>16.576000000000001</v>
      </c>
      <c r="I22" s="38">
        <f t="shared" si="7"/>
        <v>16.576000000000001</v>
      </c>
      <c r="J22" s="38">
        <f t="shared" si="7"/>
        <v>16.576000000000001</v>
      </c>
      <c r="K22" s="38">
        <f t="shared" si="7"/>
        <v>16.576000000000001</v>
      </c>
      <c r="L22" s="38">
        <f t="shared" si="7"/>
        <v>16.576000000000001</v>
      </c>
      <c r="M22" s="38">
        <f t="shared" si="7"/>
        <v>16.576000000000001</v>
      </c>
      <c r="N22" s="38">
        <f t="shared" si="8"/>
        <v>16.576000000000001</v>
      </c>
      <c r="O22" s="38">
        <f t="shared" si="8"/>
        <v>16.576000000000001</v>
      </c>
      <c r="P22" s="38">
        <f t="shared" si="8"/>
        <v>16.576000000000001</v>
      </c>
      <c r="Q22" s="38">
        <f t="shared" si="8"/>
        <v>16.576000000000001</v>
      </c>
      <c r="R22" s="38">
        <f t="shared" si="8"/>
        <v>16.576000000000001</v>
      </c>
      <c r="S22" s="39">
        <f t="shared" si="8"/>
        <v>16.576000000000001</v>
      </c>
      <c r="T22" s="38">
        <f t="shared" si="8"/>
        <v>16.576000000000001</v>
      </c>
      <c r="U22" s="38">
        <f t="shared" si="8"/>
        <v>16.576000000000001</v>
      </c>
      <c r="V22" s="38">
        <f t="shared" si="8"/>
        <v>16.576000000000001</v>
      </c>
      <c r="W22" s="38">
        <f t="shared" si="8"/>
        <v>16.576000000000001</v>
      </c>
      <c r="X22" s="38">
        <f t="shared" si="9"/>
        <v>16.576000000000001</v>
      </c>
      <c r="Y22" s="38">
        <f t="shared" si="9"/>
        <v>16.576000000000001</v>
      </c>
      <c r="Z22" s="38">
        <f t="shared" si="9"/>
        <v>16.576000000000001</v>
      </c>
      <c r="AA22" s="38">
        <f t="shared" si="9"/>
        <v>16.576000000000001</v>
      </c>
      <c r="AB22" s="38">
        <f t="shared" si="9"/>
        <v>16.576000000000001</v>
      </c>
      <c r="AC22" s="38">
        <f t="shared" si="9"/>
        <v>16.576000000000001</v>
      </c>
      <c r="AD22" s="38">
        <f t="shared" si="9"/>
        <v>16.576000000000001</v>
      </c>
      <c r="AE22" s="38">
        <f t="shared" si="9"/>
        <v>16.576000000000001</v>
      </c>
      <c r="AF22" s="38">
        <f t="shared" si="9"/>
        <v>16.576000000000001</v>
      </c>
      <c r="AG22" s="38">
        <f t="shared" si="9"/>
        <v>16.576000000000001</v>
      </c>
      <c r="AH22" s="38">
        <f t="shared" si="9"/>
        <v>16.576000000000001</v>
      </c>
      <c r="AI22" s="39">
        <f t="shared" si="9"/>
        <v>16.576000000000001</v>
      </c>
    </row>
    <row r="23" spans="1:35" s="29" customFormat="1" x14ac:dyDescent="0.25">
      <c r="A23" s="365">
        <f t="shared" si="5"/>
        <v>15</v>
      </c>
      <c r="B23" s="34">
        <v>25000</v>
      </c>
      <c r="C23" s="365">
        <f t="shared" si="6"/>
        <v>15</v>
      </c>
      <c r="D23" s="38">
        <f t="shared" si="7"/>
        <v>18.680600000000002</v>
      </c>
      <c r="E23" s="38">
        <f t="shared" si="7"/>
        <v>18.652200000000001</v>
      </c>
      <c r="F23" s="38">
        <f t="shared" si="7"/>
        <v>18.642700000000001</v>
      </c>
      <c r="G23" s="38">
        <f t="shared" si="7"/>
        <v>18.642700000000001</v>
      </c>
      <c r="H23" s="38">
        <f t="shared" si="7"/>
        <v>18.642700000000001</v>
      </c>
      <c r="I23" s="38">
        <f t="shared" si="7"/>
        <v>18.642700000000001</v>
      </c>
      <c r="J23" s="38">
        <f t="shared" si="7"/>
        <v>18.642700000000001</v>
      </c>
      <c r="K23" s="38">
        <f t="shared" si="7"/>
        <v>18.642700000000001</v>
      </c>
      <c r="L23" s="38">
        <f t="shared" si="7"/>
        <v>18.642700000000001</v>
      </c>
      <c r="M23" s="38">
        <f t="shared" si="7"/>
        <v>18.642700000000001</v>
      </c>
      <c r="N23" s="38">
        <f t="shared" si="8"/>
        <v>18.642700000000001</v>
      </c>
      <c r="O23" s="38">
        <f t="shared" si="8"/>
        <v>18.642700000000001</v>
      </c>
      <c r="P23" s="38">
        <f t="shared" si="8"/>
        <v>18.642700000000001</v>
      </c>
      <c r="Q23" s="38">
        <f t="shared" si="8"/>
        <v>18.642700000000001</v>
      </c>
      <c r="R23" s="38">
        <f t="shared" si="8"/>
        <v>18.642700000000001</v>
      </c>
      <c r="S23" s="39">
        <f t="shared" si="8"/>
        <v>18.642700000000001</v>
      </c>
      <c r="T23" s="38">
        <f t="shared" si="8"/>
        <v>18.642700000000001</v>
      </c>
      <c r="U23" s="38">
        <f t="shared" si="8"/>
        <v>18.642700000000001</v>
      </c>
      <c r="V23" s="38">
        <f t="shared" si="8"/>
        <v>18.642700000000001</v>
      </c>
      <c r="W23" s="38">
        <f t="shared" si="8"/>
        <v>18.642700000000001</v>
      </c>
      <c r="X23" s="38">
        <f t="shared" si="9"/>
        <v>18.642700000000001</v>
      </c>
      <c r="Y23" s="38">
        <f t="shared" si="9"/>
        <v>18.642700000000001</v>
      </c>
      <c r="Z23" s="38">
        <f t="shared" si="9"/>
        <v>18.642700000000001</v>
      </c>
      <c r="AA23" s="38">
        <f t="shared" si="9"/>
        <v>18.642700000000001</v>
      </c>
      <c r="AB23" s="38">
        <f t="shared" si="9"/>
        <v>18.642700000000001</v>
      </c>
      <c r="AC23" s="38">
        <f t="shared" si="9"/>
        <v>18.642700000000001</v>
      </c>
      <c r="AD23" s="38">
        <f t="shared" si="9"/>
        <v>18.642700000000001</v>
      </c>
      <c r="AE23" s="38">
        <f t="shared" si="9"/>
        <v>18.642700000000001</v>
      </c>
      <c r="AF23" s="38">
        <f t="shared" si="9"/>
        <v>18.642700000000001</v>
      </c>
      <c r="AG23" s="38">
        <f t="shared" si="9"/>
        <v>18.642700000000001</v>
      </c>
      <c r="AH23" s="38">
        <f t="shared" si="9"/>
        <v>18.642700000000001</v>
      </c>
      <c r="AI23" s="39">
        <f t="shared" si="9"/>
        <v>18.642700000000001</v>
      </c>
    </row>
    <row r="24" spans="1:35" s="29" customFormat="1" x14ac:dyDescent="0.25">
      <c r="A24" s="365">
        <f t="shared" si="5"/>
        <v>16</v>
      </c>
      <c r="B24" s="34">
        <v>30000</v>
      </c>
      <c r="C24" s="365">
        <f t="shared" si="6"/>
        <v>16</v>
      </c>
      <c r="D24" s="38">
        <f t="shared" si="7"/>
        <v>20.877000000000002</v>
      </c>
      <c r="E24" s="38">
        <f t="shared" si="7"/>
        <v>20.845400000000001</v>
      </c>
      <c r="F24" s="38">
        <f t="shared" si="7"/>
        <v>20.837600000000002</v>
      </c>
      <c r="G24" s="38">
        <f t="shared" si="7"/>
        <v>20.837600000000002</v>
      </c>
      <c r="H24" s="38">
        <f t="shared" si="7"/>
        <v>20.837600000000002</v>
      </c>
      <c r="I24" s="38">
        <f t="shared" si="7"/>
        <v>20.837600000000002</v>
      </c>
      <c r="J24" s="38">
        <f t="shared" si="7"/>
        <v>20.837600000000002</v>
      </c>
      <c r="K24" s="38">
        <f t="shared" si="7"/>
        <v>20.837600000000002</v>
      </c>
      <c r="L24" s="38">
        <f t="shared" si="7"/>
        <v>20.837600000000002</v>
      </c>
      <c r="M24" s="38">
        <f t="shared" si="7"/>
        <v>20.837600000000002</v>
      </c>
      <c r="N24" s="38">
        <f t="shared" si="8"/>
        <v>20.837600000000002</v>
      </c>
      <c r="O24" s="38">
        <f t="shared" si="8"/>
        <v>20.837600000000002</v>
      </c>
      <c r="P24" s="38">
        <f t="shared" si="8"/>
        <v>20.837600000000002</v>
      </c>
      <c r="Q24" s="38">
        <f t="shared" si="8"/>
        <v>20.837600000000002</v>
      </c>
      <c r="R24" s="38">
        <f t="shared" si="8"/>
        <v>20.837600000000002</v>
      </c>
      <c r="S24" s="39">
        <f t="shared" si="8"/>
        <v>20.837600000000002</v>
      </c>
      <c r="T24" s="38">
        <f t="shared" si="8"/>
        <v>20.837600000000002</v>
      </c>
      <c r="U24" s="38">
        <f t="shared" si="8"/>
        <v>20.837600000000002</v>
      </c>
      <c r="V24" s="38">
        <f t="shared" si="8"/>
        <v>20.837600000000002</v>
      </c>
      <c r="W24" s="38">
        <f t="shared" si="8"/>
        <v>20.837600000000002</v>
      </c>
      <c r="X24" s="38">
        <f t="shared" si="9"/>
        <v>20.837600000000002</v>
      </c>
      <c r="Y24" s="38">
        <f t="shared" si="9"/>
        <v>20.837600000000002</v>
      </c>
      <c r="Z24" s="38">
        <f t="shared" si="9"/>
        <v>20.837600000000002</v>
      </c>
      <c r="AA24" s="38">
        <f t="shared" si="9"/>
        <v>20.837600000000002</v>
      </c>
      <c r="AB24" s="38">
        <f t="shared" si="9"/>
        <v>20.837600000000002</v>
      </c>
      <c r="AC24" s="38">
        <f t="shared" si="9"/>
        <v>20.837600000000002</v>
      </c>
      <c r="AD24" s="38">
        <f t="shared" si="9"/>
        <v>20.837600000000002</v>
      </c>
      <c r="AE24" s="38">
        <f t="shared" si="9"/>
        <v>20.837600000000002</v>
      </c>
      <c r="AF24" s="38">
        <f t="shared" si="9"/>
        <v>20.837600000000002</v>
      </c>
      <c r="AG24" s="38">
        <f t="shared" si="9"/>
        <v>20.837600000000002</v>
      </c>
      <c r="AH24" s="38">
        <f t="shared" si="9"/>
        <v>20.837600000000002</v>
      </c>
      <c r="AI24" s="39">
        <f t="shared" si="9"/>
        <v>20.837600000000002</v>
      </c>
    </row>
    <row r="25" spans="1:35" s="29" customFormat="1" x14ac:dyDescent="0.25">
      <c r="A25" s="365">
        <f t="shared" si="5"/>
        <v>17</v>
      </c>
      <c r="B25" s="34">
        <v>35000</v>
      </c>
      <c r="C25" s="365">
        <f t="shared" si="6"/>
        <v>17</v>
      </c>
      <c r="D25" s="38">
        <f t="shared" si="7"/>
        <v>23.201600000000003</v>
      </c>
      <c r="E25" s="38">
        <f t="shared" si="7"/>
        <v>23.166599999999999</v>
      </c>
      <c r="F25" s="38">
        <f t="shared" si="7"/>
        <v>23.160700000000006</v>
      </c>
      <c r="G25" s="38">
        <f t="shared" si="7"/>
        <v>23.160700000000006</v>
      </c>
      <c r="H25" s="38">
        <f t="shared" si="7"/>
        <v>23.160700000000006</v>
      </c>
      <c r="I25" s="38">
        <f t="shared" si="7"/>
        <v>23.160700000000006</v>
      </c>
      <c r="J25" s="38">
        <f t="shared" si="7"/>
        <v>23.160700000000006</v>
      </c>
      <c r="K25" s="38">
        <f t="shared" si="7"/>
        <v>23.160700000000006</v>
      </c>
      <c r="L25" s="38">
        <f t="shared" si="7"/>
        <v>23.160700000000006</v>
      </c>
      <c r="M25" s="38">
        <f t="shared" si="7"/>
        <v>23.160700000000006</v>
      </c>
      <c r="N25" s="38">
        <f t="shared" si="8"/>
        <v>23.160700000000006</v>
      </c>
      <c r="O25" s="38">
        <f t="shared" si="8"/>
        <v>23.160700000000006</v>
      </c>
      <c r="P25" s="38">
        <f t="shared" si="8"/>
        <v>23.160700000000006</v>
      </c>
      <c r="Q25" s="38">
        <f t="shared" si="8"/>
        <v>23.160700000000006</v>
      </c>
      <c r="R25" s="38">
        <f t="shared" si="8"/>
        <v>23.160700000000006</v>
      </c>
      <c r="S25" s="39">
        <f t="shared" si="8"/>
        <v>23.160700000000006</v>
      </c>
      <c r="T25" s="38">
        <f t="shared" si="8"/>
        <v>23.160700000000006</v>
      </c>
      <c r="U25" s="38">
        <f t="shared" si="8"/>
        <v>23.160700000000006</v>
      </c>
      <c r="V25" s="38">
        <f t="shared" si="8"/>
        <v>23.160700000000006</v>
      </c>
      <c r="W25" s="38">
        <f t="shared" si="8"/>
        <v>23.160700000000006</v>
      </c>
      <c r="X25" s="38">
        <f t="shared" si="9"/>
        <v>23.160700000000006</v>
      </c>
      <c r="Y25" s="38">
        <f t="shared" si="9"/>
        <v>23.160700000000006</v>
      </c>
      <c r="Z25" s="38">
        <f t="shared" si="9"/>
        <v>23.160700000000006</v>
      </c>
      <c r="AA25" s="38">
        <f t="shared" si="9"/>
        <v>23.160700000000006</v>
      </c>
      <c r="AB25" s="38">
        <f t="shared" si="9"/>
        <v>23.160700000000006</v>
      </c>
      <c r="AC25" s="38">
        <f t="shared" si="9"/>
        <v>23.160700000000006</v>
      </c>
      <c r="AD25" s="38">
        <f t="shared" si="9"/>
        <v>23.160700000000006</v>
      </c>
      <c r="AE25" s="38">
        <f t="shared" si="9"/>
        <v>23.160700000000006</v>
      </c>
      <c r="AF25" s="38">
        <f t="shared" si="9"/>
        <v>23.160700000000006</v>
      </c>
      <c r="AG25" s="38">
        <f t="shared" si="9"/>
        <v>23.160700000000006</v>
      </c>
      <c r="AH25" s="38">
        <f t="shared" si="9"/>
        <v>23.160700000000006</v>
      </c>
      <c r="AI25" s="39">
        <f t="shared" si="9"/>
        <v>23.160700000000006</v>
      </c>
    </row>
    <row r="26" spans="1:35" s="29" customFormat="1" x14ac:dyDescent="0.25">
      <c r="A26" s="365">
        <f t="shared" si="5"/>
        <v>18</v>
      </c>
      <c r="B26" s="34">
        <v>40000</v>
      </c>
      <c r="C26" s="365">
        <f t="shared" si="6"/>
        <v>18</v>
      </c>
      <c r="D26" s="38">
        <f t="shared" si="7"/>
        <v>25.654400000000003</v>
      </c>
      <c r="E26" s="38">
        <f t="shared" si="7"/>
        <v>25.6158</v>
      </c>
      <c r="F26" s="38">
        <f t="shared" si="7"/>
        <v>25.612000000000002</v>
      </c>
      <c r="G26" s="38">
        <f t="shared" si="7"/>
        <v>25.612000000000002</v>
      </c>
      <c r="H26" s="38">
        <f t="shared" si="7"/>
        <v>25.612000000000002</v>
      </c>
      <c r="I26" s="38">
        <f t="shared" si="7"/>
        <v>25.612000000000002</v>
      </c>
      <c r="J26" s="38">
        <f t="shared" si="7"/>
        <v>25.612000000000002</v>
      </c>
      <c r="K26" s="38">
        <f t="shared" si="7"/>
        <v>25.612000000000002</v>
      </c>
      <c r="L26" s="38">
        <f t="shared" si="7"/>
        <v>25.612000000000002</v>
      </c>
      <c r="M26" s="38">
        <f t="shared" si="7"/>
        <v>25.612000000000002</v>
      </c>
      <c r="N26" s="38">
        <f t="shared" si="8"/>
        <v>25.612000000000002</v>
      </c>
      <c r="O26" s="38">
        <f t="shared" si="8"/>
        <v>25.612000000000002</v>
      </c>
      <c r="P26" s="38">
        <f t="shared" si="8"/>
        <v>25.612000000000002</v>
      </c>
      <c r="Q26" s="38">
        <f t="shared" si="8"/>
        <v>25.612000000000002</v>
      </c>
      <c r="R26" s="38">
        <f t="shared" si="8"/>
        <v>25.612000000000002</v>
      </c>
      <c r="S26" s="39">
        <f t="shared" si="8"/>
        <v>25.612000000000002</v>
      </c>
      <c r="T26" s="38">
        <f t="shared" si="8"/>
        <v>25.612000000000002</v>
      </c>
      <c r="U26" s="38">
        <f t="shared" si="8"/>
        <v>25.612000000000002</v>
      </c>
      <c r="V26" s="38">
        <f t="shared" si="8"/>
        <v>25.612000000000002</v>
      </c>
      <c r="W26" s="38">
        <f t="shared" si="8"/>
        <v>25.612000000000002</v>
      </c>
      <c r="X26" s="38">
        <f t="shared" si="9"/>
        <v>25.612000000000002</v>
      </c>
      <c r="Y26" s="38">
        <f t="shared" si="9"/>
        <v>25.612000000000002</v>
      </c>
      <c r="Z26" s="38">
        <f t="shared" si="9"/>
        <v>25.612000000000002</v>
      </c>
      <c r="AA26" s="38">
        <f t="shared" si="9"/>
        <v>25.612000000000002</v>
      </c>
      <c r="AB26" s="38">
        <f t="shared" si="9"/>
        <v>25.612000000000002</v>
      </c>
      <c r="AC26" s="38">
        <f t="shared" si="9"/>
        <v>25.612000000000002</v>
      </c>
      <c r="AD26" s="38">
        <f t="shared" si="9"/>
        <v>25.612000000000002</v>
      </c>
      <c r="AE26" s="38">
        <f t="shared" si="9"/>
        <v>25.612000000000002</v>
      </c>
      <c r="AF26" s="38">
        <f t="shared" si="9"/>
        <v>25.612000000000002</v>
      </c>
      <c r="AG26" s="38">
        <f t="shared" si="9"/>
        <v>25.612000000000002</v>
      </c>
      <c r="AH26" s="38">
        <f t="shared" si="9"/>
        <v>25.612000000000002</v>
      </c>
      <c r="AI26" s="39">
        <f t="shared" si="9"/>
        <v>25.612000000000002</v>
      </c>
    </row>
    <row r="27" spans="1:35" s="29" customFormat="1" x14ac:dyDescent="0.25">
      <c r="A27" s="365">
        <f t="shared" si="5"/>
        <v>19</v>
      </c>
      <c r="B27" s="34">
        <v>45000</v>
      </c>
      <c r="C27" s="365">
        <f t="shared" si="6"/>
        <v>19</v>
      </c>
      <c r="D27" s="38">
        <f t="shared" si="7"/>
        <v>28.235400000000002</v>
      </c>
      <c r="E27" s="38">
        <f t="shared" si="7"/>
        <v>28.193000000000001</v>
      </c>
      <c r="F27" s="38">
        <f t="shared" si="7"/>
        <v>28.191500000000001</v>
      </c>
      <c r="G27" s="38">
        <f t="shared" si="7"/>
        <v>28.191500000000001</v>
      </c>
      <c r="H27" s="38">
        <f t="shared" si="7"/>
        <v>28.191500000000001</v>
      </c>
      <c r="I27" s="38">
        <f t="shared" si="7"/>
        <v>28.191500000000001</v>
      </c>
      <c r="J27" s="38">
        <f t="shared" si="7"/>
        <v>28.191500000000001</v>
      </c>
      <c r="K27" s="38">
        <f t="shared" si="7"/>
        <v>28.191500000000001</v>
      </c>
      <c r="L27" s="38">
        <f t="shared" si="7"/>
        <v>28.191500000000001</v>
      </c>
      <c r="M27" s="38">
        <f t="shared" si="7"/>
        <v>28.191500000000001</v>
      </c>
      <c r="N27" s="38">
        <f t="shared" si="8"/>
        <v>28.191500000000001</v>
      </c>
      <c r="O27" s="38">
        <f t="shared" si="8"/>
        <v>28.191500000000001</v>
      </c>
      <c r="P27" s="38">
        <f t="shared" si="8"/>
        <v>28.191500000000001</v>
      </c>
      <c r="Q27" s="38">
        <f t="shared" si="8"/>
        <v>28.191500000000001</v>
      </c>
      <c r="R27" s="38">
        <f t="shared" si="8"/>
        <v>28.191500000000001</v>
      </c>
      <c r="S27" s="39">
        <f t="shared" si="8"/>
        <v>28.191500000000001</v>
      </c>
      <c r="T27" s="38">
        <f t="shared" si="8"/>
        <v>28.191500000000001</v>
      </c>
      <c r="U27" s="38">
        <f t="shared" si="8"/>
        <v>28.191500000000001</v>
      </c>
      <c r="V27" s="38">
        <f t="shared" si="8"/>
        <v>28.191500000000001</v>
      </c>
      <c r="W27" s="38">
        <f t="shared" si="8"/>
        <v>28.191500000000001</v>
      </c>
      <c r="X27" s="38">
        <f t="shared" si="9"/>
        <v>28.191500000000001</v>
      </c>
      <c r="Y27" s="38">
        <f t="shared" si="9"/>
        <v>28.191500000000001</v>
      </c>
      <c r="Z27" s="38">
        <f t="shared" si="9"/>
        <v>28.191500000000001</v>
      </c>
      <c r="AA27" s="38">
        <f t="shared" si="9"/>
        <v>28.191500000000001</v>
      </c>
      <c r="AB27" s="38">
        <f t="shared" si="9"/>
        <v>28.191500000000001</v>
      </c>
      <c r="AC27" s="38">
        <f t="shared" si="9"/>
        <v>28.191500000000001</v>
      </c>
      <c r="AD27" s="38">
        <f t="shared" si="9"/>
        <v>28.191500000000001</v>
      </c>
      <c r="AE27" s="38">
        <f t="shared" si="9"/>
        <v>28.191500000000001</v>
      </c>
      <c r="AF27" s="38">
        <f t="shared" si="9"/>
        <v>28.191500000000001</v>
      </c>
      <c r="AG27" s="38">
        <f t="shared" si="9"/>
        <v>28.191500000000001</v>
      </c>
      <c r="AH27" s="38">
        <f t="shared" si="9"/>
        <v>28.191500000000001</v>
      </c>
      <c r="AI27" s="39">
        <f t="shared" si="9"/>
        <v>28.191500000000001</v>
      </c>
    </row>
    <row r="28" spans="1:35" s="29" customFormat="1" x14ac:dyDescent="0.25">
      <c r="A28" s="365">
        <f t="shared" si="5"/>
        <v>20</v>
      </c>
      <c r="B28" s="34">
        <v>50000</v>
      </c>
      <c r="C28" s="365">
        <f t="shared" si="6"/>
        <v>20</v>
      </c>
      <c r="D28" s="38">
        <f t="shared" si="7"/>
        <v>30.944600000000001</v>
      </c>
      <c r="E28" s="38">
        <f t="shared" si="7"/>
        <v>30.898200000000003</v>
      </c>
      <c r="F28" s="38">
        <f t="shared" si="7"/>
        <v>30.8992</v>
      </c>
      <c r="G28" s="38">
        <f t="shared" si="7"/>
        <v>30.8992</v>
      </c>
      <c r="H28" s="38">
        <f t="shared" si="7"/>
        <v>30.8992</v>
      </c>
      <c r="I28" s="38">
        <f t="shared" si="7"/>
        <v>30.8992</v>
      </c>
      <c r="J28" s="38">
        <f t="shared" si="7"/>
        <v>30.8992</v>
      </c>
      <c r="K28" s="38">
        <f t="shared" si="7"/>
        <v>30.8992</v>
      </c>
      <c r="L28" s="38">
        <f t="shared" si="7"/>
        <v>30.8992</v>
      </c>
      <c r="M28" s="38">
        <f t="shared" si="7"/>
        <v>30.8992</v>
      </c>
      <c r="N28" s="38">
        <f t="shared" si="8"/>
        <v>30.8992</v>
      </c>
      <c r="O28" s="38">
        <f t="shared" si="8"/>
        <v>30.8992</v>
      </c>
      <c r="P28" s="38">
        <f t="shared" si="8"/>
        <v>30.8992</v>
      </c>
      <c r="Q28" s="38">
        <f t="shared" si="8"/>
        <v>30.8992</v>
      </c>
      <c r="R28" s="38">
        <f t="shared" si="8"/>
        <v>30.8992</v>
      </c>
      <c r="S28" s="39">
        <f t="shared" si="8"/>
        <v>30.8992</v>
      </c>
      <c r="T28" s="38">
        <f t="shared" si="8"/>
        <v>30.8992</v>
      </c>
      <c r="U28" s="38">
        <f t="shared" si="8"/>
        <v>30.8992</v>
      </c>
      <c r="V28" s="38">
        <f t="shared" si="8"/>
        <v>30.8992</v>
      </c>
      <c r="W28" s="38">
        <f t="shared" si="8"/>
        <v>30.8992</v>
      </c>
      <c r="X28" s="38">
        <f t="shared" si="9"/>
        <v>30.8992</v>
      </c>
      <c r="Y28" s="38">
        <f t="shared" si="9"/>
        <v>30.8992</v>
      </c>
      <c r="Z28" s="38">
        <f t="shared" si="9"/>
        <v>30.8992</v>
      </c>
      <c r="AA28" s="38">
        <f t="shared" si="9"/>
        <v>30.8992</v>
      </c>
      <c r="AB28" s="38">
        <f t="shared" si="9"/>
        <v>30.8992</v>
      </c>
      <c r="AC28" s="38">
        <f t="shared" si="9"/>
        <v>30.8992</v>
      </c>
      <c r="AD28" s="38">
        <f t="shared" si="9"/>
        <v>30.8992</v>
      </c>
      <c r="AE28" s="38">
        <f t="shared" si="9"/>
        <v>30.8992</v>
      </c>
      <c r="AF28" s="38">
        <f t="shared" si="9"/>
        <v>30.8992</v>
      </c>
      <c r="AG28" s="38">
        <f t="shared" si="9"/>
        <v>30.8992</v>
      </c>
      <c r="AH28" s="38">
        <f t="shared" si="9"/>
        <v>30.8992</v>
      </c>
      <c r="AI28" s="39">
        <f t="shared" si="9"/>
        <v>30.8992</v>
      </c>
    </row>
    <row r="29" spans="1:35" s="29" customFormat="1" x14ac:dyDescent="0.25">
      <c r="A29" s="365">
        <f t="shared" si="5"/>
        <v>21</v>
      </c>
      <c r="B29" s="34">
        <v>75000</v>
      </c>
      <c r="C29" s="365">
        <f t="shared" si="6"/>
        <v>21</v>
      </c>
      <c r="D29" s="38">
        <f t="shared" ref="D29:M38" si="10">$A29^2*D$58+$A29*D$57+D$56</f>
        <v>33.782000000000004</v>
      </c>
      <c r="E29" s="38">
        <f t="shared" si="10"/>
        <v>33.731399999999994</v>
      </c>
      <c r="F29" s="38">
        <f t="shared" si="10"/>
        <v>33.735100000000003</v>
      </c>
      <c r="G29" s="38">
        <f t="shared" si="10"/>
        <v>33.735100000000003</v>
      </c>
      <c r="H29" s="38">
        <f t="shared" si="10"/>
        <v>33.735100000000003</v>
      </c>
      <c r="I29" s="38">
        <f t="shared" si="10"/>
        <v>33.735100000000003</v>
      </c>
      <c r="J29" s="38">
        <f t="shared" si="10"/>
        <v>33.735100000000003</v>
      </c>
      <c r="K29" s="38">
        <f t="shared" si="10"/>
        <v>33.735100000000003</v>
      </c>
      <c r="L29" s="38">
        <f t="shared" si="10"/>
        <v>33.735100000000003</v>
      </c>
      <c r="M29" s="38">
        <f t="shared" si="10"/>
        <v>33.735100000000003</v>
      </c>
      <c r="N29" s="38">
        <f t="shared" ref="N29:W38" si="11">$A29^2*N$58+$A29*N$57+N$56</f>
        <v>33.735100000000003</v>
      </c>
      <c r="O29" s="38">
        <f t="shared" si="11"/>
        <v>33.735100000000003</v>
      </c>
      <c r="P29" s="38">
        <f t="shared" si="11"/>
        <v>33.735100000000003</v>
      </c>
      <c r="Q29" s="38">
        <f t="shared" si="11"/>
        <v>33.735100000000003</v>
      </c>
      <c r="R29" s="38">
        <f t="shared" si="11"/>
        <v>33.735100000000003</v>
      </c>
      <c r="S29" s="39">
        <f t="shared" si="11"/>
        <v>33.735100000000003</v>
      </c>
      <c r="T29" s="38">
        <f t="shared" si="11"/>
        <v>33.735100000000003</v>
      </c>
      <c r="U29" s="38">
        <f t="shared" si="11"/>
        <v>33.735100000000003</v>
      </c>
      <c r="V29" s="38">
        <f t="shared" si="11"/>
        <v>33.735100000000003</v>
      </c>
      <c r="W29" s="38">
        <f t="shared" si="11"/>
        <v>33.735100000000003</v>
      </c>
      <c r="X29" s="38">
        <f t="shared" ref="X29:AI38" si="12">$A29^2*X$58+$A29*X$57+X$56</f>
        <v>33.735100000000003</v>
      </c>
      <c r="Y29" s="38">
        <f t="shared" si="12"/>
        <v>33.735100000000003</v>
      </c>
      <c r="Z29" s="38">
        <f t="shared" si="12"/>
        <v>33.735100000000003</v>
      </c>
      <c r="AA29" s="38">
        <f t="shared" si="12"/>
        <v>33.735100000000003</v>
      </c>
      <c r="AB29" s="38">
        <f t="shared" si="12"/>
        <v>33.735100000000003</v>
      </c>
      <c r="AC29" s="38">
        <f t="shared" si="12"/>
        <v>33.735100000000003</v>
      </c>
      <c r="AD29" s="38">
        <f t="shared" si="12"/>
        <v>33.735100000000003</v>
      </c>
      <c r="AE29" s="38">
        <f t="shared" si="12"/>
        <v>33.735100000000003</v>
      </c>
      <c r="AF29" s="38">
        <f t="shared" si="12"/>
        <v>33.735100000000003</v>
      </c>
      <c r="AG29" s="38">
        <f t="shared" si="12"/>
        <v>33.735100000000003</v>
      </c>
      <c r="AH29" s="38">
        <f t="shared" si="12"/>
        <v>33.735100000000003</v>
      </c>
      <c r="AI29" s="39">
        <f t="shared" si="12"/>
        <v>33.735100000000003</v>
      </c>
    </row>
    <row r="30" spans="1:35" s="29" customFormat="1" x14ac:dyDescent="0.25">
      <c r="A30" s="365">
        <f t="shared" si="5"/>
        <v>22</v>
      </c>
      <c r="B30" s="35">
        <v>100000</v>
      </c>
      <c r="C30" s="383">
        <f t="shared" si="6"/>
        <v>22</v>
      </c>
      <c r="D30" s="42">
        <f t="shared" si="10"/>
        <v>36.747600000000006</v>
      </c>
      <c r="E30" s="42">
        <f t="shared" si="10"/>
        <v>36.692599999999999</v>
      </c>
      <c r="F30" s="42">
        <f t="shared" si="10"/>
        <v>36.699200000000005</v>
      </c>
      <c r="G30" s="42">
        <f t="shared" si="10"/>
        <v>36.699200000000005</v>
      </c>
      <c r="H30" s="42">
        <f t="shared" si="10"/>
        <v>36.699200000000005</v>
      </c>
      <c r="I30" s="42">
        <f t="shared" si="10"/>
        <v>36.699200000000005</v>
      </c>
      <c r="J30" s="42">
        <f t="shared" si="10"/>
        <v>36.699200000000005</v>
      </c>
      <c r="K30" s="42">
        <f t="shared" si="10"/>
        <v>36.699200000000005</v>
      </c>
      <c r="L30" s="42">
        <f t="shared" si="10"/>
        <v>36.699200000000005</v>
      </c>
      <c r="M30" s="42">
        <f t="shared" si="10"/>
        <v>36.699200000000005</v>
      </c>
      <c r="N30" s="42">
        <f t="shared" si="11"/>
        <v>36.699200000000005</v>
      </c>
      <c r="O30" s="42">
        <f t="shared" si="11"/>
        <v>36.699200000000005</v>
      </c>
      <c r="P30" s="42">
        <f t="shared" si="11"/>
        <v>36.699200000000005</v>
      </c>
      <c r="Q30" s="42">
        <f t="shared" si="11"/>
        <v>36.699200000000005</v>
      </c>
      <c r="R30" s="42">
        <f t="shared" si="11"/>
        <v>36.699200000000005</v>
      </c>
      <c r="S30" s="408">
        <f t="shared" si="11"/>
        <v>36.699200000000005</v>
      </c>
      <c r="T30" s="42">
        <f t="shared" si="11"/>
        <v>36.699200000000005</v>
      </c>
      <c r="U30" s="42">
        <f t="shared" si="11"/>
        <v>36.699200000000005</v>
      </c>
      <c r="V30" s="42">
        <f t="shared" si="11"/>
        <v>36.699200000000005</v>
      </c>
      <c r="W30" s="42">
        <f t="shared" si="11"/>
        <v>36.699200000000005</v>
      </c>
      <c r="X30" s="42">
        <f t="shared" si="12"/>
        <v>36.699200000000005</v>
      </c>
      <c r="Y30" s="42">
        <f t="shared" si="12"/>
        <v>36.699200000000005</v>
      </c>
      <c r="Z30" s="42">
        <f t="shared" si="12"/>
        <v>36.699200000000005</v>
      </c>
      <c r="AA30" s="42">
        <f t="shared" si="12"/>
        <v>36.699200000000005</v>
      </c>
      <c r="AB30" s="42">
        <f t="shared" si="12"/>
        <v>36.699200000000005</v>
      </c>
      <c r="AC30" s="42">
        <f t="shared" si="12"/>
        <v>36.699200000000005</v>
      </c>
      <c r="AD30" s="42">
        <f t="shared" si="12"/>
        <v>36.699200000000005</v>
      </c>
      <c r="AE30" s="42">
        <f t="shared" si="12"/>
        <v>36.699200000000005</v>
      </c>
      <c r="AF30" s="42">
        <f t="shared" si="12"/>
        <v>36.699200000000005</v>
      </c>
      <c r="AG30" s="42">
        <f t="shared" si="12"/>
        <v>36.699200000000005</v>
      </c>
      <c r="AH30" s="42">
        <f t="shared" si="12"/>
        <v>36.699200000000005</v>
      </c>
      <c r="AI30" s="408">
        <f t="shared" si="12"/>
        <v>36.699200000000005</v>
      </c>
    </row>
    <row r="31" spans="1:35" s="29" customFormat="1" x14ac:dyDescent="0.25">
      <c r="A31" s="365">
        <f t="shared" ref="A31:A54" si="13">C31</f>
        <v>23</v>
      </c>
      <c r="B31" s="386">
        <f>+B30+25000</f>
        <v>125000</v>
      </c>
      <c r="C31" s="387">
        <f t="shared" si="6"/>
        <v>23</v>
      </c>
      <c r="D31" s="391">
        <f t="shared" si="10"/>
        <v>39.841400000000007</v>
      </c>
      <c r="E31" s="391">
        <f t="shared" si="10"/>
        <v>39.781799999999997</v>
      </c>
      <c r="F31" s="391">
        <f t="shared" si="10"/>
        <v>39.791500000000006</v>
      </c>
      <c r="G31" s="391">
        <f t="shared" si="10"/>
        <v>39.791500000000006</v>
      </c>
      <c r="H31" s="391">
        <f t="shared" si="10"/>
        <v>39.791500000000006</v>
      </c>
      <c r="I31" s="391">
        <f t="shared" si="10"/>
        <v>39.791500000000006</v>
      </c>
      <c r="J31" s="391">
        <f t="shared" si="10"/>
        <v>39.791500000000006</v>
      </c>
      <c r="K31" s="391">
        <f t="shared" si="10"/>
        <v>39.791500000000006</v>
      </c>
      <c r="L31" s="391">
        <f t="shared" si="10"/>
        <v>39.791500000000006</v>
      </c>
      <c r="M31" s="391">
        <f t="shared" si="10"/>
        <v>39.791500000000006</v>
      </c>
      <c r="N31" s="391">
        <f t="shared" si="11"/>
        <v>39.791500000000006</v>
      </c>
      <c r="O31" s="391">
        <f t="shared" si="11"/>
        <v>39.791500000000006</v>
      </c>
      <c r="P31" s="391">
        <f t="shared" si="11"/>
        <v>39.791500000000006</v>
      </c>
      <c r="Q31" s="391">
        <f t="shared" si="11"/>
        <v>39.791500000000006</v>
      </c>
      <c r="R31" s="391">
        <f t="shared" si="11"/>
        <v>39.791500000000006</v>
      </c>
      <c r="S31" s="406">
        <f t="shared" si="11"/>
        <v>39.791500000000006</v>
      </c>
      <c r="T31" s="391">
        <f t="shared" si="11"/>
        <v>39.791500000000006</v>
      </c>
      <c r="U31" s="391">
        <f t="shared" si="11"/>
        <v>39.791500000000006</v>
      </c>
      <c r="V31" s="391">
        <f t="shared" si="11"/>
        <v>39.791500000000006</v>
      </c>
      <c r="W31" s="391">
        <f t="shared" si="11"/>
        <v>39.791500000000006</v>
      </c>
      <c r="X31" s="391">
        <f t="shared" si="12"/>
        <v>39.791500000000006</v>
      </c>
      <c r="Y31" s="391">
        <f t="shared" si="12"/>
        <v>39.791500000000006</v>
      </c>
      <c r="Z31" s="391">
        <f t="shared" si="12"/>
        <v>39.791500000000006</v>
      </c>
      <c r="AA31" s="391">
        <f t="shared" si="12"/>
        <v>39.791500000000006</v>
      </c>
      <c r="AB31" s="391">
        <f t="shared" si="12"/>
        <v>39.791500000000006</v>
      </c>
      <c r="AC31" s="391">
        <f t="shared" si="12"/>
        <v>39.791500000000006</v>
      </c>
      <c r="AD31" s="391">
        <f t="shared" si="12"/>
        <v>39.791500000000006</v>
      </c>
      <c r="AE31" s="391">
        <f t="shared" si="12"/>
        <v>39.791500000000006</v>
      </c>
      <c r="AF31" s="391">
        <f t="shared" si="12"/>
        <v>39.791500000000006</v>
      </c>
      <c r="AG31" s="391">
        <f t="shared" si="12"/>
        <v>39.791500000000006</v>
      </c>
      <c r="AH31" s="391">
        <f t="shared" si="12"/>
        <v>39.791500000000006</v>
      </c>
      <c r="AI31" s="406">
        <f t="shared" si="12"/>
        <v>39.791500000000006</v>
      </c>
    </row>
    <row r="32" spans="1:35" s="29" customFormat="1" x14ac:dyDescent="0.25">
      <c r="A32" s="365">
        <f t="shared" si="13"/>
        <v>24</v>
      </c>
      <c r="B32" s="389">
        <f t="shared" ref="B32:B54" si="14">+B31+25000</f>
        <v>150000</v>
      </c>
      <c r="C32" s="390">
        <f t="shared" si="6"/>
        <v>24</v>
      </c>
      <c r="D32" s="391">
        <f t="shared" si="10"/>
        <v>43.063400000000009</v>
      </c>
      <c r="E32" s="391">
        <f t="shared" si="10"/>
        <v>42.999000000000002</v>
      </c>
      <c r="F32" s="391">
        <f t="shared" si="10"/>
        <v>43.012000000000008</v>
      </c>
      <c r="G32" s="391">
        <f t="shared" si="10"/>
        <v>43.012000000000008</v>
      </c>
      <c r="H32" s="391">
        <f t="shared" si="10"/>
        <v>43.012000000000008</v>
      </c>
      <c r="I32" s="391">
        <f t="shared" si="10"/>
        <v>43.012000000000008</v>
      </c>
      <c r="J32" s="391">
        <f t="shared" si="10"/>
        <v>43.012000000000008</v>
      </c>
      <c r="K32" s="391">
        <f t="shared" si="10"/>
        <v>43.012000000000008</v>
      </c>
      <c r="L32" s="391">
        <f t="shared" si="10"/>
        <v>43.012000000000008</v>
      </c>
      <c r="M32" s="391">
        <f t="shared" si="10"/>
        <v>43.012000000000008</v>
      </c>
      <c r="N32" s="391">
        <f t="shared" si="11"/>
        <v>43.012000000000008</v>
      </c>
      <c r="O32" s="391">
        <f t="shared" si="11"/>
        <v>43.012000000000008</v>
      </c>
      <c r="P32" s="391">
        <f t="shared" si="11"/>
        <v>43.012000000000008</v>
      </c>
      <c r="Q32" s="391">
        <f t="shared" si="11"/>
        <v>43.012000000000008</v>
      </c>
      <c r="R32" s="391">
        <f t="shared" si="11"/>
        <v>43.012000000000008</v>
      </c>
      <c r="S32" s="406">
        <f t="shared" si="11"/>
        <v>43.012000000000008</v>
      </c>
      <c r="T32" s="391">
        <f t="shared" si="11"/>
        <v>43.012000000000008</v>
      </c>
      <c r="U32" s="391">
        <f t="shared" si="11"/>
        <v>43.012000000000008</v>
      </c>
      <c r="V32" s="391">
        <f t="shared" si="11"/>
        <v>43.012000000000008</v>
      </c>
      <c r="W32" s="391">
        <f t="shared" si="11"/>
        <v>43.012000000000008</v>
      </c>
      <c r="X32" s="391">
        <f t="shared" si="12"/>
        <v>43.012000000000008</v>
      </c>
      <c r="Y32" s="391">
        <f t="shared" si="12"/>
        <v>43.012000000000008</v>
      </c>
      <c r="Z32" s="391">
        <f t="shared" si="12"/>
        <v>43.012000000000008</v>
      </c>
      <c r="AA32" s="391">
        <f t="shared" si="12"/>
        <v>43.012000000000008</v>
      </c>
      <c r="AB32" s="391">
        <f t="shared" si="12"/>
        <v>43.012000000000008</v>
      </c>
      <c r="AC32" s="391">
        <f t="shared" si="12"/>
        <v>43.012000000000008</v>
      </c>
      <c r="AD32" s="391">
        <f t="shared" si="12"/>
        <v>43.012000000000008</v>
      </c>
      <c r="AE32" s="391">
        <f t="shared" si="12"/>
        <v>43.012000000000008</v>
      </c>
      <c r="AF32" s="391">
        <f t="shared" si="12"/>
        <v>43.012000000000008</v>
      </c>
      <c r="AG32" s="391">
        <f t="shared" si="12"/>
        <v>43.012000000000008</v>
      </c>
      <c r="AH32" s="391">
        <f t="shared" si="12"/>
        <v>43.012000000000008</v>
      </c>
      <c r="AI32" s="406">
        <f t="shared" si="12"/>
        <v>43.012000000000008</v>
      </c>
    </row>
    <row r="33" spans="1:35" s="29" customFormat="1" x14ac:dyDescent="0.25">
      <c r="A33" s="365">
        <f t="shared" si="13"/>
        <v>25</v>
      </c>
      <c r="B33" s="389">
        <f t="shared" si="14"/>
        <v>175000</v>
      </c>
      <c r="C33" s="390">
        <f t="shared" si="6"/>
        <v>25</v>
      </c>
      <c r="D33" s="391">
        <f t="shared" si="10"/>
        <v>46.413600000000002</v>
      </c>
      <c r="E33" s="391">
        <f t="shared" si="10"/>
        <v>46.344199999999994</v>
      </c>
      <c r="F33" s="391">
        <f t="shared" si="10"/>
        <v>46.360700000000001</v>
      </c>
      <c r="G33" s="391">
        <f t="shared" si="10"/>
        <v>46.360700000000001</v>
      </c>
      <c r="H33" s="391">
        <f t="shared" si="10"/>
        <v>46.360700000000001</v>
      </c>
      <c r="I33" s="391">
        <f t="shared" si="10"/>
        <v>46.360700000000001</v>
      </c>
      <c r="J33" s="391">
        <f t="shared" si="10"/>
        <v>46.360700000000001</v>
      </c>
      <c r="K33" s="391">
        <f t="shared" si="10"/>
        <v>46.360700000000001</v>
      </c>
      <c r="L33" s="391">
        <f t="shared" si="10"/>
        <v>46.360700000000001</v>
      </c>
      <c r="M33" s="391">
        <f t="shared" si="10"/>
        <v>46.360700000000001</v>
      </c>
      <c r="N33" s="391">
        <f t="shared" si="11"/>
        <v>46.360700000000001</v>
      </c>
      <c r="O33" s="391">
        <f t="shared" si="11"/>
        <v>46.360700000000001</v>
      </c>
      <c r="P33" s="391">
        <f t="shared" si="11"/>
        <v>46.360700000000001</v>
      </c>
      <c r="Q33" s="391">
        <f t="shared" si="11"/>
        <v>46.360700000000001</v>
      </c>
      <c r="R33" s="391">
        <f t="shared" si="11"/>
        <v>46.360700000000001</v>
      </c>
      <c r="S33" s="406">
        <f t="shared" si="11"/>
        <v>46.360700000000001</v>
      </c>
      <c r="T33" s="391">
        <f t="shared" si="11"/>
        <v>46.360700000000001</v>
      </c>
      <c r="U33" s="391">
        <f t="shared" si="11"/>
        <v>46.360700000000001</v>
      </c>
      <c r="V33" s="391">
        <f t="shared" si="11"/>
        <v>46.360700000000001</v>
      </c>
      <c r="W33" s="391">
        <f t="shared" si="11"/>
        <v>46.360700000000001</v>
      </c>
      <c r="X33" s="391">
        <f t="shared" si="12"/>
        <v>46.360700000000001</v>
      </c>
      <c r="Y33" s="391">
        <f t="shared" si="12"/>
        <v>46.360700000000001</v>
      </c>
      <c r="Z33" s="391">
        <f t="shared" si="12"/>
        <v>46.360700000000001</v>
      </c>
      <c r="AA33" s="391">
        <f t="shared" si="12"/>
        <v>46.360700000000001</v>
      </c>
      <c r="AB33" s="391">
        <f t="shared" si="12"/>
        <v>46.360700000000001</v>
      </c>
      <c r="AC33" s="391">
        <f t="shared" si="12"/>
        <v>46.360700000000001</v>
      </c>
      <c r="AD33" s="391">
        <f t="shared" si="12"/>
        <v>46.360700000000001</v>
      </c>
      <c r="AE33" s="391">
        <f t="shared" si="12"/>
        <v>46.360700000000001</v>
      </c>
      <c r="AF33" s="391">
        <f t="shared" si="12"/>
        <v>46.360700000000001</v>
      </c>
      <c r="AG33" s="391">
        <f t="shared" si="12"/>
        <v>46.360700000000001</v>
      </c>
      <c r="AH33" s="391">
        <f t="shared" si="12"/>
        <v>46.360700000000001</v>
      </c>
      <c r="AI33" s="406">
        <f t="shared" si="12"/>
        <v>46.360700000000001</v>
      </c>
    </row>
    <row r="34" spans="1:35" s="29" customFormat="1" x14ac:dyDescent="0.25">
      <c r="A34" s="365">
        <f t="shared" si="13"/>
        <v>26</v>
      </c>
      <c r="B34" s="389">
        <f t="shared" si="14"/>
        <v>200000</v>
      </c>
      <c r="C34" s="390">
        <f t="shared" si="6"/>
        <v>26</v>
      </c>
      <c r="D34" s="391">
        <f t="shared" si="10"/>
        <v>49.892000000000003</v>
      </c>
      <c r="E34" s="391">
        <f t="shared" si="10"/>
        <v>49.817399999999999</v>
      </c>
      <c r="F34" s="391">
        <f t="shared" si="10"/>
        <v>49.837600000000002</v>
      </c>
      <c r="G34" s="391">
        <f t="shared" si="10"/>
        <v>49.837600000000002</v>
      </c>
      <c r="H34" s="391">
        <f t="shared" si="10"/>
        <v>49.837600000000002</v>
      </c>
      <c r="I34" s="391">
        <f t="shared" si="10"/>
        <v>49.837600000000002</v>
      </c>
      <c r="J34" s="391">
        <f t="shared" si="10"/>
        <v>49.837600000000002</v>
      </c>
      <c r="K34" s="391">
        <f t="shared" si="10"/>
        <v>49.837600000000002</v>
      </c>
      <c r="L34" s="391">
        <f t="shared" si="10"/>
        <v>49.837600000000002</v>
      </c>
      <c r="M34" s="391">
        <f t="shared" si="10"/>
        <v>49.837600000000002</v>
      </c>
      <c r="N34" s="391">
        <f t="shared" si="11"/>
        <v>49.837600000000002</v>
      </c>
      <c r="O34" s="391">
        <f t="shared" si="11"/>
        <v>49.837600000000002</v>
      </c>
      <c r="P34" s="391">
        <f t="shared" si="11"/>
        <v>49.837600000000002</v>
      </c>
      <c r="Q34" s="391">
        <f t="shared" si="11"/>
        <v>49.837600000000002</v>
      </c>
      <c r="R34" s="391">
        <f t="shared" si="11"/>
        <v>49.837600000000002</v>
      </c>
      <c r="S34" s="406">
        <f t="shared" si="11"/>
        <v>49.837600000000002</v>
      </c>
      <c r="T34" s="391">
        <f t="shared" si="11"/>
        <v>49.837600000000002</v>
      </c>
      <c r="U34" s="391">
        <f t="shared" si="11"/>
        <v>49.837600000000002</v>
      </c>
      <c r="V34" s="391">
        <f t="shared" si="11"/>
        <v>49.837600000000002</v>
      </c>
      <c r="W34" s="391">
        <f t="shared" si="11"/>
        <v>49.837600000000002</v>
      </c>
      <c r="X34" s="391">
        <f t="shared" si="12"/>
        <v>49.837600000000002</v>
      </c>
      <c r="Y34" s="391">
        <f t="shared" si="12"/>
        <v>49.837600000000002</v>
      </c>
      <c r="Z34" s="391">
        <f t="shared" si="12"/>
        <v>49.837600000000002</v>
      </c>
      <c r="AA34" s="391">
        <f t="shared" si="12"/>
        <v>49.837600000000002</v>
      </c>
      <c r="AB34" s="391">
        <f t="shared" si="12"/>
        <v>49.837600000000002</v>
      </c>
      <c r="AC34" s="391">
        <f t="shared" si="12"/>
        <v>49.837600000000002</v>
      </c>
      <c r="AD34" s="391">
        <f t="shared" si="12"/>
        <v>49.837600000000002</v>
      </c>
      <c r="AE34" s="391">
        <f t="shared" si="12"/>
        <v>49.837600000000002</v>
      </c>
      <c r="AF34" s="391">
        <f t="shared" si="12"/>
        <v>49.837600000000002</v>
      </c>
      <c r="AG34" s="391">
        <f t="shared" si="12"/>
        <v>49.837600000000002</v>
      </c>
      <c r="AH34" s="391">
        <f t="shared" si="12"/>
        <v>49.837600000000002</v>
      </c>
      <c r="AI34" s="406">
        <f t="shared" si="12"/>
        <v>49.837600000000002</v>
      </c>
    </row>
    <row r="35" spans="1:35" s="29" customFormat="1" x14ac:dyDescent="0.25">
      <c r="A35" s="365">
        <f t="shared" si="13"/>
        <v>27</v>
      </c>
      <c r="B35" s="389">
        <f t="shared" si="14"/>
        <v>225000</v>
      </c>
      <c r="C35" s="390">
        <f t="shared" si="6"/>
        <v>27</v>
      </c>
      <c r="D35" s="391">
        <f t="shared" si="10"/>
        <v>53.498600000000003</v>
      </c>
      <c r="E35" s="391">
        <f t="shared" si="10"/>
        <v>53.418599999999998</v>
      </c>
      <c r="F35" s="391">
        <f t="shared" si="10"/>
        <v>53.442700000000002</v>
      </c>
      <c r="G35" s="391">
        <f t="shared" si="10"/>
        <v>53.442700000000002</v>
      </c>
      <c r="H35" s="391">
        <f t="shared" si="10"/>
        <v>53.442700000000002</v>
      </c>
      <c r="I35" s="391">
        <f t="shared" si="10"/>
        <v>53.442700000000002</v>
      </c>
      <c r="J35" s="391">
        <f t="shared" si="10"/>
        <v>53.442700000000002</v>
      </c>
      <c r="K35" s="391">
        <f t="shared" si="10"/>
        <v>53.442700000000002</v>
      </c>
      <c r="L35" s="391">
        <f t="shared" si="10"/>
        <v>53.442700000000002</v>
      </c>
      <c r="M35" s="391">
        <f t="shared" si="10"/>
        <v>53.442700000000002</v>
      </c>
      <c r="N35" s="391">
        <f t="shared" si="11"/>
        <v>53.442700000000002</v>
      </c>
      <c r="O35" s="391">
        <f t="shared" si="11"/>
        <v>53.442700000000002</v>
      </c>
      <c r="P35" s="391">
        <f t="shared" si="11"/>
        <v>53.442700000000002</v>
      </c>
      <c r="Q35" s="391">
        <f t="shared" si="11"/>
        <v>53.442700000000002</v>
      </c>
      <c r="R35" s="391">
        <f t="shared" si="11"/>
        <v>53.442700000000002</v>
      </c>
      <c r="S35" s="406">
        <f t="shared" si="11"/>
        <v>53.442700000000002</v>
      </c>
      <c r="T35" s="391">
        <f t="shared" si="11"/>
        <v>53.442700000000002</v>
      </c>
      <c r="U35" s="391">
        <f t="shared" si="11"/>
        <v>53.442700000000002</v>
      </c>
      <c r="V35" s="391">
        <f t="shared" si="11"/>
        <v>53.442700000000002</v>
      </c>
      <c r="W35" s="391">
        <f t="shared" si="11"/>
        <v>53.442700000000002</v>
      </c>
      <c r="X35" s="391">
        <f t="shared" si="12"/>
        <v>53.442700000000002</v>
      </c>
      <c r="Y35" s="391">
        <f t="shared" si="12"/>
        <v>53.442700000000002</v>
      </c>
      <c r="Z35" s="391">
        <f t="shared" si="12"/>
        <v>53.442700000000002</v>
      </c>
      <c r="AA35" s="391">
        <f t="shared" si="12"/>
        <v>53.442700000000002</v>
      </c>
      <c r="AB35" s="391">
        <f t="shared" si="12"/>
        <v>53.442700000000002</v>
      </c>
      <c r="AC35" s="391">
        <f t="shared" si="12"/>
        <v>53.442700000000002</v>
      </c>
      <c r="AD35" s="391">
        <f t="shared" si="12"/>
        <v>53.442700000000002</v>
      </c>
      <c r="AE35" s="391">
        <f t="shared" si="12"/>
        <v>53.442700000000002</v>
      </c>
      <c r="AF35" s="391">
        <f t="shared" si="12"/>
        <v>53.442700000000002</v>
      </c>
      <c r="AG35" s="391">
        <f t="shared" si="12"/>
        <v>53.442700000000002</v>
      </c>
      <c r="AH35" s="391">
        <f t="shared" si="12"/>
        <v>53.442700000000002</v>
      </c>
      <c r="AI35" s="406">
        <f t="shared" si="12"/>
        <v>53.442700000000002</v>
      </c>
    </row>
    <row r="36" spans="1:35" s="29" customFormat="1" x14ac:dyDescent="0.25">
      <c r="A36" s="365">
        <f t="shared" si="13"/>
        <v>28</v>
      </c>
      <c r="B36" s="389">
        <f t="shared" si="14"/>
        <v>250000</v>
      </c>
      <c r="C36" s="390">
        <f t="shared" si="6"/>
        <v>28</v>
      </c>
      <c r="D36" s="391">
        <f t="shared" si="10"/>
        <v>57.233400000000003</v>
      </c>
      <c r="E36" s="391">
        <f t="shared" si="10"/>
        <v>57.147799999999997</v>
      </c>
      <c r="F36" s="391">
        <f t="shared" si="10"/>
        <v>57.176000000000002</v>
      </c>
      <c r="G36" s="391">
        <f t="shared" si="10"/>
        <v>57.176000000000002</v>
      </c>
      <c r="H36" s="391">
        <f t="shared" si="10"/>
        <v>57.176000000000002</v>
      </c>
      <c r="I36" s="391">
        <f t="shared" si="10"/>
        <v>57.176000000000002</v>
      </c>
      <c r="J36" s="391">
        <f t="shared" si="10"/>
        <v>57.176000000000002</v>
      </c>
      <c r="K36" s="391">
        <f t="shared" si="10"/>
        <v>57.176000000000002</v>
      </c>
      <c r="L36" s="391">
        <f t="shared" si="10"/>
        <v>57.176000000000002</v>
      </c>
      <c r="M36" s="391">
        <f t="shared" si="10"/>
        <v>57.176000000000002</v>
      </c>
      <c r="N36" s="391">
        <f t="shared" si="11"/>
        <v>57.176000000000002</v>
      </c>
      <c r="O36" s="391">
        <f t="shared" si="11"/>
        <v>57.176000000000002</v>
      </c>
      <c r="P36" s="391">
        <f t="shared" si="11"/>
        <v>57.176000000000002</v>
      </c>
      <c r="Q36" s="391">
        <f t="shared" si="11"/>
        <v>57.176000000000002</v>
      </c>
      <c r="R36" s="391">
        <f t="shared" si="11"/>
        <v>57.176000000000002</v>
      </c>
      <c r="S36" s="406">
        <f t="shared" si="11"/>
        <v>57.176000000000002</v>
      </c>
      <c r="T36" s="391">
        <f t="shared" si="11"/>
        <v>57.176000000000002</v>
      </c>
      <c r="U36" s="391">
        <f t="shared" si="11"/>
        <v>57.176000000000002</v>
      </c>
      <c r="V36" s="391">
        <f t="shared" si="11"/>
        <v>57.176000000000002</v>
      </c>
      <c r="W36" s="391">
        <f t="shared" si="11"/>
        <v>57.176000000000002</v>
      </c>
      <c r="X36" s="391">
        <f t="shared" si="12"/>
        <v>57.176000000000002</v>
      </c>
      <c r="Y36" s="391">
        <f t="shared" si="12"/>
        <v>57.176000000000002</v>
      </c>
      <c r="Z36" s="391">
        <f t="shared" si="12"/>
        <v>57.176000000000002</v>
      </c>
      <c r="AA36" s="391">
        <f t="shared" si="12"/>
        <v>57.176000000000002</v>
      </c>
      <c r="AB36" s="391">
        <f t="shared" si="12"/>
        <v>57.176000000000002</v>
      </c>
      <c r="AC36" s="391">
        <f t="shared" si="12"/>
        <v>57.176000000000002</v>
      </c>
      <c r="AD36" s="391">
        <f t="shared" si="12"/>
        <v>57.176000000000002</v>
      </c>
      <c r="AE36" s="391">
        <f t="shared" si="12"/>
        <v>57.176000000000002</v>
      </c>
      <c r="AF36" s="391">
        <f t="shared" si="12"/>
        <v>57.176000000000002</v>
      </c>
      <c r="AG36" s="391">
        <f t="shared" si="12"/>
        <v>57.176000000000002</v>
      </c>
      <c r="AH36" s="391">
        <f t="shared" si="12"/>
        <v>57.176000000000002</v>
      </c>
      <c r="AI36" s="406">
        <f t="shared" si="12"/>
        <v>57.176000000000002</v>
      </c>
    </row>
    <row r="37" spans="1:35" s="29" customFormat="1" x14ac:dyDescent="0.25">
      <c r="A37" s="365">
        <f t="shared" si="13"/>
        <v>29</v>
      </c>
      <c r="B37" s="389">
        <f t="shared" si="14"/>
        <v>275000</v>
      </c>
      <c r="C37" s="390">
        <f t="shared" si="6"/>
        <v>29</v>
      </c>
      <c r="D37" s="391">
        <f t="shared" si="10"/>
        <v>61.096400000000003</v>
      </c>
      <c r="E37" s="391">
        <f t="shared" si="10"/>
        <v>61.004999999999995</v>
      </c>
      <c r="F37" s="391">
        <f t="shared" si="10"/>
        <v>61.037500000000009</v>
      </c>
      <c r="G37" s="391">
        <f t="shared" si="10"/>
        <v>61.037500000000009</v>
      </c>
      <c r="H37" s="391">
        <f t="shared" si="10"/>
        <v>61.037500000000009</v>
      </c>
      <c r="I37" s="391">
        <f t="shared" si="10"/>
        <v>61.037500000000009</v>
      </c>
      <c r="J37" s="391">
        <f t="shared" si="10"/>
        <v>61.037500000000009</v>
      </c>
      <c r="K37" s="391">
        <f t="shared" si="10"/>
        <v>61.037500000000009</v>
      </c>
      <c r="L37" s="391">
        <f t="shared" si="10"/>
        <v>61.037500000000009</v>
      </c>
      <c r="M37" s="391">
        <f t="shared" si="10"/>
        <v>61.037500000000009</v>
      </c>
      <c r="N37" s="391">
        <f t="shared" si="11"/>
        <v>61.037500000000009</v>
      </c>
      <c r="O37" s="391">
        <f t="shared" si="11"/>
        <v>61.037500000000009</v>
      </c>
      <c r="P37" s="391">
        <f t="shared" si="11"/>
        <v>61.037500000000009</v>
      </c>
      <c r="Q37" s="391">
        <f t="shared" si="11"/>
        <v>61.037500000000009</v>
      </c>
      <c r="R37" s="391">
        <f t="shared" si="11"/>
        <v>61.037500000000009</v>
      </c>
      <c r="S37" s="406">
        <f t="shared" si="11"/>
        <v>61.037500000000009</v>
      </c>
      <c r="T37" s="391">
        <f t="shared" si="11"/>
        <v>61.037500000000009</v>
      </c>
      <c r="U37" s="391">
        <f t="shared" si="11"/>
        <v>61.037500000000009</v>
      </c>
      <c r="V37" s="391">
        <f t="shared" si="11"/>
        <v>61.037500000000009</v>
      </c>
      <c r="W37" s="391">
        <f t="shared" si="11"/>
        <v>61.037500000000009</v>
      </c>
      <c r="X37" s="391">
        <f t="shared" si="12"/>
        <v>61.037500000000009</v>
      </c>
      <c r="Y37" s="391">
        <f t="shared" si="12"/>
        <v>61.037500000000009</v>
      </c>
      <c r="Z37" s="391">
        <f t="shared" si="12"/>
        <v>61.037500000000009</v>
      </c>
      <c r="AA37" s="391">
        <f t="shared" si="12"/>
        <v>61.037500000000009</v>
      </c>
      <c r="AB37" s="391">
        <f t="shared" si="12"/>
        <v>61.037500000000009</v>
      </c>
      <c r="AC37" s="391">
        <f t="shared" si="12"/>
        <v>61.037500000000009</v>
      </c>
      <c r="AD37" s="391">
        <f t="shared" si="12"/>
        <v>61.037500000000009</v>
      </c>
      <c r="AE37" s="391">
        <f t="shared" si="12"/>
        <v>61.037500000000009</v>
      </c>
      <c r="AF37" s="391">
        <f t="shared" si="12"/>
        <v>61.037500000000009</v>
      </c>
      <c r="AG37" s="391">
        <f t="shared" si="12"/>
        <v>61.037500000000009</v>
      </c>
      <c r="AH37" s="391">
        <f t="shared" si="12"/>
        <v>61.037500000000009</v>
      </c>
      <c r="AI37" s="406">
        <f t="shared" si="12"/>
        <v>61.037500000000009</v>
      </c>
    </row>
    <row r="38" spans="1:35" s="29" customFormat="1" x14ac:dyDescent="0.25">
      <c r="A38" s="365">
        <f t="shared" si="13"/>
        <v>30</v>
      </c>
      <c r="B38" s="389">
        <f t="shared" si="14"/>
        <v>300000</v>
      </c>
      <c r="C38" s="390">
        <f t="shared" si="6"/>
        <v>30</v>
      </c>
      <c r="D38" s="391">
        <f t="shared" si="10"/>
        <v>65.087600000000009</v>
      </c>
      <c r="E38" s="391">
        <f t="shared" si="10"/>
        <v>64.990200000000002</v>
      </c>
      <c r="F38" s="391">
        <f t="shared" si="10"/>
        <v>65.027200000000008</v>
      </c>
      <c r="G38" s="391">
        <f t="shared" si="10"/>
        <v>65.027200000000008</v>
      </c>
      <c r="H38" s="391">
        <f t="shared" si="10"/>
        <v>65.027200000000008</v>
      </c>
      <c r="I38" s="391">
        <f t="shared" si="10"/>
        <v>65.027200000000008</v>
      </c>
      <c r="J38" s="391">
        <f t="shared" si="10"/>
        <v>65.027200000000008</v>
      </c>
      <c r="K38" s="391">
        <f t="shared" si="10"/>
        <v>65.027200000000008</v>
      </c>
      <c r="L38" s="391">
        <f t="shared" si="10"/>
        <v>65.027200000000008</v>
      </c>
      <c r="M38" s="391">
        <f t="shared" si="10"/>
        <v>65.027200000000008</v>
      </c>
      <c r="N38" s="391">
        <f t="shared" si="11"/>
        <v>65.027200000000008</v>
      </c>
      <c r="O38" s="391">
        <f t="shared" si="11"/>
        <v>65.027200000000008</v>
      </c>
      <c r="P38" s="391">
        <f t="shared" si="11"/>
        <v>65.027200000000008</v>
      </c>
      <c r="Q38" s="391">
        <f t="shared" si="11"/>
        <v>65.027200000000008</v>
      </c>
      <c r="R38" s="391">
        <f t="shared" si="11"/>
        <v>65.027200000000008</v>
      </c>
      <c r="S38" s="406">
        <f t="shared" si="11"/>
        <v>65.027200000000008</v>
      </c>
      <c r="T38" s="391">
        <f t="shared" si="11"/>
        <v>65.027200000000008</v>
      </c>
      <c r="U38" s="391">
        <f t="shared" si="11"/>
        <v>65.027200000000008</v>
      </c>
      <c r="V38" s="391">
        <f t="shared" si="11"/>
        <v>65.027200000000008</v>
      </c>
      <c r="W38" s="391">
        <f t="shared" si="11"/>
        <v>65.027200000000008</v>
      </c>
      <c r="X38" s="391">
        <f t="shared" si="12"/>
        <v>65.027200000000008</v>
      </c>
      <c r="Y38" s="391">
        <f t="shared" si="12"/>
        <v>65.027200000000008</v>
      </c>
      <c r="Z38" s="391">
        <f t="shared" si="12"/>
        <v>65.027200000000008</v>
      </c>
      <c r="AA38" s="391">
        <f t="shared" si="12"/>
        <v>65.027200000000008</v>
      </c>
      <c r="AB38" s="391">
        <f t="shared" si="12"/>
        <v>65.027200000000008</v>
      </c>
      <c r="AC38" s="391">
        <f t="shared" si="12"/>
        <v>65.027200000000008</v>
      </c>
      <c r="AD38" s="391">
        <f t="shared" si="12"/>
        <v>65.027200000000008</v>
      </c>
      <c r="AE38" s="391">
        <f t="shared" si="12"/>
        <v>65.027200000000008</v>
      </c>
      <c r="AF38" s="391">
        <f t="shared" si="12"/>
        <v>65.027200000000008</v>
      </c>
      <c r="AG38" s="391">
        <f t="shared" si="12"/>
        <v>65.027200000000008</v>
      </c>
      <c r="AH38" s="391">
        <f t="shared" si="12"/>
        <v>65.027200000000008</v>
      </c>
      <c r="AI38" s="406">
        <f t="shared" si="12"/>
        <v>65.027200000000008</v>
      </c>
    </row>
    <row r="39" spans="1:35" s="29" customFormat="1" x14ac:dyDescent="0.25">
      <c r="A39" s="365">
        <f t="shared" si="13"/>
        <v>31</v>
      </c>
      <c r="B39" s="389">
        <f t="shared" si="14"/>
        <v>325000</v>
      </c>
      <c r="C39" s="390">
        <f t="shared" si="6"/>
        <v>31</v>
      </c>
      <c r="D39" s="391">
        <f t="shared" ref="D39:M45" si="15">$A39^2*D$58+$A39*D$57+D$56</f>
        <v>69.207000000000008</v>
      </c>
      <c r="E39" s="391">
        <f t="shared" si="15"/>
        <v>69.103399999999993</v>
      </c>
      <c r="F39" s="391">
        <f t="shared" si="15"/>
        <v>69.145099999999999</v>
      </c>
      <c r="G39" s="391">
        <f t="shared" si="15"/>
        <v>69.145099999999999</v>
      </c>
      <c r="H39" s="391">
        <f t="shared" si="15"/>
        <v>69.145099999999999</v>
      </c>
      <c r="I39" s="391">
        <f t="shared" si="15"/>
        <v>69.145099999999999</v>
      </c>
      <c r="J39" s="391">
        <f t="shared" si="15"/>
        <v>69.145099999999999</v>
      </c>
      <c r="K39" s="391">
        <f t="shared" si="15"/>
        <v>69.145099999999999</v>
      </c>
      <c r="L39" s="391">
        <f t="shared" si="15"/>
        <v>69.145099999999999</v>
      </c>
      <c r="M39" s="391">
        <f t="shared" si="15"/>
        <v>69.145099999999999</v>
      </c>
      <c r="N39" s="391">
        <f t="shared" ref="N39:W45" si="16">$A39^2*N$58+$A39*N$57+N$56</f>
        <v>69.145099999999999</v>
      </c>
      <c r="O39" s="391">
        <f t="shared" si="16"/>
        <v>69.145099999999999</v>
      </c>
      <c r="P39" s="391">
        <f t="shared" si="16"/>
        <v>69.145099999999999</v>
      </c>
      <c r="Q39" s="391">
        <f t="shared" si="16"/>
        <v>69.145099999999999</v>
      </c>
      <c r="R39" s="391">
        <f t="shared" si="16"/>
        <v>69.145099999999999</v>
      </c>
      <c r="S39" s="406">
        <f t="shared" si="16"/>
        <v>69.145099999999999</v>
      </c>
      <c r="T39" s="391">
        <f t="shared" si="16"/>
        <v>69.145099999999999</v>
      </c>
      <c r="U39" s="391">
        <f t="shared" si="16"/>
        <v>69.145099999999999</v>
      </c>
      <c r="V39" s="391">
        <f t="shared" si="16"/>
        <v>69.145099999999999</v>
      </c>
      <c r="W39" s="391">
        <f t="shared" si="16"/>
        <v>69.145099999999999</v>
      </c>
      <c r="X39" s="391">
        <f t="shared" ref="X39:AI45" si="17">$A39^2*X$58+$A39*X$57+X$56</f>
        <v>69.145099999999999</v>
      </c>
      <c r="Y39" s="391">
        <f t="shared" si="17"/>
        <v>69.145099999999999</v>
      </c>
      <c r="Z39" s="391">
        <f t="shared" si="17"/>
        <v>69.145099999999999</v>
      </c>
      <c r="AA39" s="391">
        <f t="shared" si="17"/>
        <v>69.145099999999999</v>
      </c>
      <c r="AB39" s="391">
        <f t="shared" si="17"/>
        <v>69.145099999999999</v>
      </c>
      <c r="AC39" s="391">
        <f t="shared" si="17"/>
        <v>69.145099999999999</v>
      </c>
      <c r="AD39" s="391">
        <f t="shared" si="17"/>
        <v>69.145099999999999</v>
      </c>
      <c r="AE39" s="391">
        <f t="shared" si="17"/>
        <v>69.145099999999999</v>
      </c>
      <c r="AF39" s="391">
        <f t="shared" si="17"/>
        <v>69.145099999999999</v>
      </c>
      <c r="AG39" s="391">
        <f t="shared" si="17"/>
        <v>69.145099999999999</v>
      </c>
      <c r="AH39" s="391">
        <f t="shared" si="17"/>
        <v>69.145099999999999</v>
      </c>
      <c r="AI39" s="406">
        <f t="shared" si="17"/>
        <v>69.145099999999999</v>
      </c>
    </row>
    <row r="40" spans="1:35" s="29" customFormat="1" x14ac:dyDescent="0.25">
      <c r="A40" s="365">
        <f t="shared" si="13"/>
        <v>32</v>
      </c>
      <c r="B40" s="389">
        <f t="shared" si="14"/>
        <v>350000</v>
      </c>
      <c r="C40" s="390">
        <f t="shared" si="6"/>
        <v>32</v>
      </c>
      <c r="D40" s="391">
        <f t="shared" si="15"/>
        <v>73.454599999999999</v>
      </c>
      <c r="E40" s="391">
        <f t="shared" si="15"/>
        <v>73.3446</v>
      </c>
      <c r="F40" s="391">
        <f t="shared" si="15"/>
        <v>73.391200000000012</v>
      </c>
      <c r="G40" s="391">
        <f t="shared" si="15"/>
        <v>73.391200000000012</v>
      </c>
      <c r="H40" s="391">
        <f t="shared" si="15"/>
        <v>73.391200000000012</v>
      </c>
      <c r="I40" s="391">
        <f t="shared" si="15"/>
        <v>73.391200000000012</v>
      </c>
      <c r="J40" s="391">
        <f t="shared" si="15"/>
        <v>73.391200000000012</v>
      </c>
      <c r="K40" s="391">
        <f t="shared" si="15"/>
        <v>73.391200000000012</v>
      </c>
      <c r="L40" s="391">
        <f t="shared" si="15"/>
        <v>73.391200000000012</v>
      </c>
      <c r="M40" s="391">
        <f t="shared" si="15"/>
        <v>73.391200000000012</v>
      </c>
      <c r="N40" s="391">
        <f t="shared" si="16"/>
        <v>73.391200000000012</v>
      </c>
      <c r="O40" s="391">
        <f t="shared" si="16"/>
        <v>73.391200000000012</v>
      </c>
      <c r="P40" s="391">
        <f t="shared" si="16"/>
        <v>73.391200000000012</v>
      </c>
      <c r="Q40" s="391">
        <f t="shared" si="16"/>
        <v>73.391200000000012</v>
      </c>
      <c r="R40" s="391">
        <f t="shared" si="16"/>
        <v>73.391200000000012</v>
      </c>
      <c r="S40" s="406">
        <f t="shared" si="16"/>
        <v>73.391200000000012</v>
      </c>
      <c r="T40" s="391">
        <f t="shared" si="16"/>
        <v>73.391200000000012</v>
      </c>
      <c r="U40" s="391">
        <f t="shared" si="16"/>
        <v>73.391200000000012</v>
      </c>
      <c r="V40" s="391">
        <f t="shared" si="16"/>
        <v>73.391200000000012</v>
      </c>
      <c r="W40" s="391">
        <f t="shared" si="16"/>
        <v>73.391200000000012</v>
      </c>
      <c r="X40" s="391">
        <f t="shared" si="17"/>
        <v>73.391200000000012</v>
      </c>
      <c r="Y40" s="391">
        <f t="shared" si="17"/>
        <v>73.391200000000012</v>
      </c>
      <c r="Z40" s="391">
        <f t="shared" si="17"/>
        <v>73.391200000000012</v>
      </c>
      <c r="AA40" s="391">
        <f t="shared" si="17"/>
        <v>73.391200000000012</v>
      </c>
      <c r="AB40" s="391">
        <f t="shared" si="17"/>
        <v>73.391200000000012</v>
      </c>
      <c r="AC40" s="391">
        <f t="shared" si="17"/>
        <v>73.391200000000012</v>
      </c>
      <c r="AD40" s="391">
        <f t="shared" si="17"/>
        <v>73.391200000000012</v>
      </c>
      <c r="AE40" s="391">
        <f t="shared" si="17"/>
        <v>73.391200000000012</v>
      </c>
      <c r="AF40" s="391">
        <f t="shared" si="17"/>
        <v>73.391200000000012</v>
      </c>
      <c r="AG40" s="391">
        <f t="shared" si="17"/>
        <v>73.391200000000012</v>
      </c>
      <c r="AH40" s="391">
        <f t="shared" si="17"/>
        <v>73.391200000000012</v>
      </c>
      <c r="AI40" s="406">
        <f t="shared" si="17"/>
        <v>73.391200000000012</v>
      </c>
    </row>
    <row r="41" spans="1:35" s="29" customFormat="1" x14ac:dyDescent="0.25">
      <c r="A41" s="365">
        <f t="shared" si="13"/>
        <v>33</v>
      </c>
      <c r="B41" s="389">
        <f t="shared" si="14"/>
        <v>375000</v>
      </c>
      <c r="C41" s="390">
        <f t="shared" si="6"/>
        <v>33</v>
      </c>
      <c r="D41" s="391">
        <f t="shared" si="15"/>
        <v>77.830400000000012</v>
      </c>
      <c r="E41" s="391">
        <f t="shared" si="15"/>
        <v>77.713799999999992</v>
      </c>
      <c r="F41" s="391">
        <f t="shared" si="15"/>
        <v>77.765500000000003</v>
      </c>
      <c r="G41" s="391">
        <f t="shared" si="15"/>
        <v>77.765500000000003</v>
      </c>
      <c r="H41" s="391">
        <f t="shared" si="15"/>
        <v>77.765500000000003</v>
      </c>
      <c r="I41" s="391">
        <f t="shared" si="15"/>
        <v>77.765500000000003</v>
      </c>
      <c r="J41" s="391">
        <f t="shared" si="15"/>
        <v>77.765500000000003</v>
      </c>
      <c r="K41" s="391">
        <f t="shared" si="15"/>
        <v>77.765500000000003</v>
      </c>
      <c r="L41" s="391">
        <f t="shared" si="15"/>
        <v>77.765500000000003</v>
      </c>
      <c r="M41" s="391">
        <f t="shared" si="15"/>
        <v>77.765500000000003</v>
      </c>
      <c r="N41" s="391">
        <f t="shared" si="16"/>
        <v>77.765500000000003</v>
      </c>
      <c r="O41" s="391">
        <f t="shared" si="16"/>
        <v>77.765500000000003</v>
      </c>
      <c r="P41" s="391">
        <f t="shared" si="16"/>
        <v>77.765500000000003</v>
      </c>
      <c r="Q41" s="391">
        <f t="shared" si="16"/>
        <v>77.765500000000003</v>
      </c>
      <c r="R41" s="391">
        <f t="shared" si="16"/>
        <v>77.765500000000003</v>
      </c>
      <c r="S41" s="406">
        <f t="shared" si="16"/>
        <v>77.765500000000003</v>
      </c>
      <c r="T41" s="391">
        <f t="shared" si="16"/>
        <v>77.765500000000003</v>
      </c>
      <c r="U41" s="391">
        <f t="shared" si="16"/>
        <v>77.765500000000003</v>
      </c>
      <c r="V41" s="391">
        <f t="shared" si="16"/>
        <v>77.765500000000003</v>
      </c>
      <c r="W41" s="391">
        <f t="shared" si="16"/>
        <v>77.765500000000003</v>
      </c>
      <c r="X41" s="391">
        <f t="shared" si="17"/>
        <v>77.765500000000003</v>
      </c>
      <c r="Y41" s="391">
        <f t="shared" si="17"/>
        <v>77.765500000000003</v>
      </c>
      <c r="Z41" s="391">
        <f t="shared" si="17"/>
        <v>77.765500000000003</v>
      </c>
      <c r="AA41" s="391">
        <f t="shared" si="17"/>
        <v>77.765500000000003</v>
      </c>
      <c r="AB41" s="391">
        <f t="shared" si="17"/>
        <v>77.765500000000003</v>
      </c>
      <c r="AC41" s="391">
        <f t="shared" si="17"/>
        <v>77.765500000000003</v>
      </c>
      <c r="AD41" s="391">
        <f t="shared" si="17"/>
        <v>77.765500000000003</v>
      </c>
      <c r="AE41" s="391">
        <f t="shared" si="17"/>
        <v>77.765500000000003</v>
      </c>
      <c r="AF41" s="391">
        <f t="shared" si="17"/>
        <v>77.765500000000003</v>
      </c>
      <c r="AG41" s="391">
        <f t="shared" si="17"/>
        <v>77.765500000000003</v>
      </c>
      <c r="AH41" s="391">
        <f t="shared" si="17"/>
        <v>77.765500000000003</v>
      </c>
      <c r="AI41" s="406">
        <f t="shared" si="17"/>
        <v>77.765500000000003</v>
      </c>
    </row>
    <row r="42" spans="1:35" s="29" customFormat="1" x14ac:dyDescent="0.25">
      <c r="A42" s="365">
        <f t="shared" si="13"/>
        <v>34</v>
      </c>
      <c r="B42" s="389">
        <f t="shared" si="14"/>
        <v>400000</v>
      </c>
      <c r="C42" s="390">
        <f t="shared" si="6"/>
        <v>34</v>
      </c>
      <c r="D42" s="391">
        <f t="shared" si="15"/>
        <v>82.334400000000016</v>
      </c>
      <c r="E42" s="391">
        <f t="shared" si="15"/>
        <v>82.210999999999999</v>
      </c>
      <c r="F42" s="391">
        <f t="shared" si="15"/>
        <v>82.268000000000015</v>
      </c>
      <c r="G42" s="391">
        <f t="shared" si="15"/>
        <v>82.268000000000015</v>
      </c>
      <c r="H42" s="391">
        <f t="shared" si="15"/>
        <v>82.268000000000015</v>
      </c>
      <c r="I42" s="391">
        <f t="shared" si="15"/>
        <v>82.268000000000015</v>
      </c>
      <c r="J42" s="391">
        <f t="shared" si="15"/>
        <v>82.268000000000015</v>
      </c>
      <c r="K42" s="391">
        <f t="shared" si="15"/>
        <v>82.268000000000015</v>
      </c>
      <c r="L42" s="391">
        <f t="shared" si="15"/>
        <v>82.268000000000015</v>
      </c>
      <c r="M42" s="391">
        <f t="shared" si="15"/>
        <v>82.268000000000015</v>
      </c>
      <c r="N42" s="391">
        <f t="shared" si="16"/>
        <v>82.268000000000015</v>
      </c>
      <c r="O42" s="391">
        <f t="shared" si="16"/>
        <v>82.268000000000015</v>
      </c>
      <c r="P42" s="391">
        <f t="shared" si="16"/>
        <v>82.268000000000015</v>
      </c>
      <c r="Q42" s="391">
        <f t="shared" si="16"/>
        <v>82.268000000000015</v>
      </c>
      <c r="R42" s="391">
        <f t="shared" si="16"/>
        <v>82.268000000000015</v>
      </c>
      <c r="S42" s="406">
        <f t="shared" si="16"/>
        <v>82.268000000000015</v>
      </c>
      <c r="T42" s="391">
        <f t="shared" si="16"/>
        <v>82.268000000000015</v>
      </c>
      <c r="U42" s="391">
        <f t="shared" si="16"/>
        <v>82.268000000000015</v>
      </c>
      <c r="V42" s="391">
        <f t="shared" si="16"/>
        <v>82.268000000000015</v>
      </c>
      <c r="W42" s="391">
        <f t="shared" si="16"/>
        <v>82.268000000000015</v>
      </c>
      <c r="X42" s="391">
        <f t="shared" si="17"/>
        <v>82.268000000000015</v>
      </c>
      <c r="Y42" s="391">
        <f t="shared" si="17"/>
        <v>82.268000000000015</v>
      </c>
      <c r="Z42" s="391">
        <f t="shared" si="17"/>
        <v>82.268000000000015</v>
      </c>
      <c r="AA42" s="391">
        <f t="shared" si="17"/>
        <v>82.268000000000015</v>
      </c>
      <c r="AB42" s="391">
        <f t="shared" si="17"/>
        <v>82.268000000000015</v>
      </c>
      <c r="AC42" s="391">
        <f t="shared" si="17"/>
        <v>82.268000000000015</v>
      </c>
      <c r="AD42" s="391">
        <f t="shared" si="17"/>
        <v>82.268000000000015</v>
      </c>
      <c r="AE42" s="391">
        <f t="shared" si="17"/>
        <v>82.268000000000015</v>
      </c>
      <c r="AF42" s="391">
        <f t="shared" si="17"/>
        <v>82.268000000000015</v>
      </c>
      <c r="AG42" s="391">
        <f t="shared" si="17"/>
        <v>82.268000000000015</v>
      </c>
      <c r="AH42" s="391">
        <f t="shared" si="17"/>
        <v>82.268000000000015</v>
      </c>
      <c r="AI42" s="406">
        <f t="shared" si="17"/>
        <v>82.268000000000015</v>
      </c>
    </row>
    <row r="43" spans="1:35" s="29" customFormat="1" x14ac:dyDescent="0.25">
      <c r="A43" s="365">
        <f t="shared" si="13"/>
        <v>35</v>
      </c>
      <c r="B43" s="389">
        <f t="shared" si="14"/>
        <v>425000</v>
      </c>
      <c r="C43" s="390">
        <f t="shared" si="6"/>
        <v>35</v>
      </c>
      <c r="D43" s="391">
        <f t="shared" si="15"/>
        <v>86.966600000000014</v>
      </c>
      <c r="E43" s="391">
        <f t="shared" si="15"/>
        <v>86.836200000000005</v>
      </c>
      <c r="F43" s="391">
        <f t="shared" si="15"/>
        <v>86.898700000000005</v>
      </c>
      <c r="G43" s="391">
        <f t="shared" si="15"/>
        <v>86.898700000000005</v>
      </c>
      <c r="H43" s="391">
        <f t="shared" si="15"/>
        <v>86.898700000000005</v>
      </c>
      <c r="I43" s="391">
        <f t="shared" si="15"/>
        <v>86.898700000000005</v>
      </c>
      <c r="J43" s="391">
        <f t="shared" si="15"/>
        <v>86.898700000000005</v>
      </c>
      <c r="K43" s="391">
        <f t="shared" si="15"/>
        <v>86.898700000000005</v>
      </c>
      <c r="L43" s="391">
        <f t="shared" si="15"/>
        <v>86.898700000000005</v>
      </c>
      <c r="M43" s="391">
        <f t="shared" si="15"/>
        <v>86.898700000000005</v>
      </c>
      <c r="N43" s="391">
        <f t="shared" si="16"/>
        <v>86.898700000000005</v>
      </c>
      <c r="O43" s="391">
        <f t="shared" si="16"/>
        <v>86.898700000000005</v>
      </c>
      <c r="P43" s="391">
        <f t="shared" si="16"/>
        <v>86.898700000000005</v>
      </c>
      <c r="Q43" s="391">
        <f t="shared" si="16"/>
        <v>86.898700000000005</v>
      </c>
      <c r="R43" s="391">
        <f t="shared" si="16"/>
        <v>86.898700000000005</v>
      </c>
      <c r="S43" s="406">
        <f t="shared" si="16"/>
        <v>86.898700000000005</v>
      </c>
      <c r="T43" s="391">
        <f t="shared" si="16"/>
        <v>86.898700000000005</v>
      </c>
      <c r="U43" s="391">
        <f t="shared" si="16"/>
        <v>86.898700000000005</v>
      </c>
      <c r="V43" s="391">
        <f t="shared" si="16"/>
        <v>86.898700000000005</v>
      </c>
      <c r="W43" s="391">
        <f t="shared" si="16"/>
        <v>86.898700000000005</v>
      </c>
      <c r="X43" s="391">
        <f t="shared" si="17"/>
        <v>86.898700000000005</v>
      </c>
      <c r="Y43" s="391">
        <f t="shared" si="17"/>
        <v>86.898700000000005</v>
      </c>
      <c r="Z43" s="391">
        <f t="shared" si="17"/>
        <v>86.898700000000005</v>
      </c>
      <c r="AA43" s="391">
        <f t="shared" si="17"/>
        <v>86.898700000000005</v>
      </c>
      <c r="AB43" s="391">
        <f t="shared" si="17"/>
        <v>86.898700000000005</v>
      </c>
      <c r="AC43" s="391">
        <f t="shared" si="17"/>
        <v>86.898700000000005</v>
      </c>
      <c r="AD43" s="391">
        <f t="shared" si="17"/>
        <v>86.898700000000005</v>
      </c>
      <c r="AE43" s="391">
        <f t="shared" si="17"/>
        <v>86.898700000000005</v>
      </c>
      <c r="AF43" s="391">
        <f t="shared" si="17"/>
        <v>86.898700000000005</v>
      </c>
      <c r="AG43" s="391">
        <f t="shared" si="17"/>
        <v>86.898700000000005</v>
      </c>
      <c r="AH43" s="391">
        <f t="shared" si="17"/>
        <v>86.898700000000005</v>
      </c>
      <c r="AI43" s="406">
        <f t="shared" si="17"/>
        <v>86.898700000000005</v>
      </c>
    </row>
    <row r="44" spans="1:35" s="29" customFormat="1" x14ac:dyDescent="0.25">
      <c r="A44" s="365">
        <f t="shared" si="13"/>
        <v>36</v>
      </c>
      <c r="B44" s="389">
        <f t="shared" si="14"/>
        <v>450000</v>
      </c>
      <c r="C44" s="390">
        <f t="shared" si="6"/>
        <v>36</v>
      </c>
      <c r="D44" s="391">
        <f t="shared" si="15"/>
        <v>91.727000000000004</v>
      </c>
      <c r="E44" s="391">
        <f t="shared" si="15"/>
        <v>91.589399999999998</v>
      </c>
      <c r="F44" s="391">
        <f t="shared" si="15"/>
        <v>91.657600000000002</v>
      </c>
      <c r="G44" s="391">
        <f t="shared" si="15"/>
        <v>91.657600000000002</v>
      </c>
      <c r="H44" s="391">
        <f t="shared" si="15"/>
        <v>91.657600000000002</v>
      </c>
      <c r="I44" s="391">
        <f t="shared" si="15"/>
        <v>91.657600000000002</v>
      </c>
      <c r="J44" s="391">
        <f t="shared" si="15"/>
        <v>91.657600000000002</v>
      </c>
      <c r="K44" s="391">
        <f t="shared" si="15"/>
        <v>91.657600000000002</v>
      </c>
      <c r="L44" s="391">
        <f t="shared" si="15"/>
        <v>91.657600000000002</v>
      </c>
      <c r="M44" s="391">
        <f t="shared" si="15"/>
        <v>91.657600000000002</v>
      </c>
      <c r="N44" s="391">
        <f t="shared" si="16"/>
        <v>91.657600000000002</v>
      </c>
      <c r="O44" s="391">
        <f t="shared" si="16"/>
        <v>91.657600000000002</v>
      </c>
      <c r="P44" s="391">
        <f t="shared" si="16"/>
        <v>91.657600000000002</v>
      </c>
      <c r="Q44" s="391">
        <f t="shared" si="16"/>
        <v>91.657600000000002</v>
      </c>
      <c r="R44" s="391">
        <f t="shared" si="16"/>
        <v>91.657600000000002</v>
      </c>
      <c r="S44" s="406">
        <f t="shared" si="16"/>
        <v>91.657600000000002</v>
      </c>
      <c r="T44" s="391">
        <f t="shared" si="16"/>
        <v>91.657600000000002</v>
      </c>
      <c r="U44" s="391">
        <f t="shared" si="16"/>
        <v>91.657600000000002</v>
      </c>
      <c r="V44" s="391">
        <f t="shared" si="16"/>
        <v>91.657600000000002</v>
      </c>
      <c r="W44" s="391">
        <f t="shared" si="16"/>
        <v>91.657600000000002</v>
      </c>
      <c r="X44" s="391">
        <f t="shared" si="17"/>
        <v>91.657600000000002</v>
      </c>
      <c r="Y44" s="391">
        <f t="shared" si="17"/>
        <v>91.657600000000002</v>
      </c>
      <c r="Z44" s="391">
        <f t="shared" si="17"/>
        <v>91.657600000000002</v>
      </c>
      <c r="AA44" s="391">
        <f t="shared" si="17"/>
        <v>91.657600000000002</v>
      </c>
      <c r="AB44" s="391">
        <f t="shared" si="17"/>
        <v>91.657600000000002</v>
      </c>
      <c r="AC44" s="391">
        <f t="shared" si="17"/>
        <v>91.657600000000002</v>
      </c>
      <c r="AD44" s="391">
        <f t="shared" si="17"/>
        <v>91.657600000000002</v>
      </c>
      <c r="AE44" s="391">
        <f t="shared" si="17"/>
        <v>91.657600000000002</v>
      </c>
      <c r="AF44" s="391">
        <f t="shared" si="17"/>
        <v>91.657600000000002</v>
      </c>
      <c r="AG44" s="391">
        <f t="shared" si="17"/>
        <v>91.657600000000002</v>
      </c>
      <c r="AH44" s="391">
        <f t="shared" si="17"/>
        <v>91.657600000000002</v>
      </c>
      <c r="AI44" s="406">
        <f t="shared" si="17"/>
        <v>91.657600000000002</v>
      </c>
    </row>
    <row r="45" spans="1:35" s="29" customFormat="1" x14ac:dyDescent="0.25">
      <c r="A45" s="365">
        <f t="shared" si="13"/>
        <v>37</v>
      </c>
      <c r="B45" s="389">
        <f t="shared" si="14"/>
        <v>475000</v>
      </c>
      <c r="C45" s="390">
        <f t="shared" si="6"/>
        <v>37</v>
      </c>
      <c r="D45" s="391">
        <f t="shared" si="15"/>
        <v>96.615600000000015</v>
      </c>
      <c r="E45" s="391">
        <f t="shared" si="15"/>
        <v>96.47059999999999</v>
      </c>
      <c r="F45" s="391">
        <f t="shared" si="15"/>
        <v>96.544700000000006</v>
      </c>
      <c r="G45" s="391">
        <f t="shared" si="15"/>
        <v>96.544700000000006</v>
      </c>
      <c r="H45" s="391">
        <f t="shared" si="15"/>
        <v>96.544700000000006</v>
      </c>
      <c r="I45" s="391">
        <f t="shared" si="15"/>
        <v>96.544700000000006</v>
      </c>
      <c r="J45" s="391">
        <f t="shared" si="15"/>
        <v>96.544700000000006</v>
      </c>
      <c r="K45" s="391">
        <f t="shared" si="15"/>
        <v>96.544700000000006</v>
      </c>
      <c r="L45" s="391">
        <f t="shared" si="15"/>
        <v>96.544700000000006</v>
      </c>
      <c r="M45" s="391">
        <f t="shared" si="15"/>
        <v>96.544700000000006</v>
      </c>
      <c r="N45" s="391">
        <f t="shared" si="16"/>
        <v>96.544700000000006</v>
      </c>
      <c r="O45" s="391">
        <f t="shared" si="16"/>
        <v>96.544700000000006</v>
      </c>
      <c r="P45" s="391">
        <f t="shared" si="16"/>
        <v>96.544700000000006</v>
      </c>
      <c r="Q45" s="391">
        <f t="shared" si="16"/>
        <v>96.544700000000006</v>
      </c>
      <c r="R45" s="391">
        <f t="shared" si="16"/>
        <v>96.544700000000006</v>
      </c>
      <c r="S45" s="406">
        <f t="shared" si="16"/>
        <v>96.544700000000006</v>
      </c>
      <c r="T45" s="391">
        <f t="shared" si="16"/>
        <v>96.544700000000006</v>
      </c>
      <c r="U45" s="391">
        <f t="shared" si="16"/>
        <v>96.544700000000006</v>
      </c>
      <c r="V45" s="391">
        <f t="shared" si="16"/>
        <v>96.544700000000006</v>
      </c>
      <c r="W45" s="391">
        <f t="shared" si="16"/>
        <v>96.544700000000006</v>
      </c>
      <c r="X45" s="391">
        <f t="shared" si="17"/>
        <v>96.544700000000006</v>
      </c>
      <c r="Y45" s="391">
        <f t="shared" si="17"/>
        <v>96.544700000000006</v>
      </c>
      <c r="Z45" s="391">
        <f t="shared" si="17"/>
        <v>96.544700000000006</v>
      </c>
      <c r="AA45" s="391">
        <f t="shared" si="17"/>
        <v>96.544700000000006</v>
      </c>
      <c r="AB45" s="391">
        <f t="shared" si="17"/>
        <v>96.544700000000006</v>
      </c>
      <c r="AC45" s="391">
        <f t="shared" si="17"/>
        <v>96.544700000000006</v>
      </c>
      <c r="AD45" s="391">
        <f t="shared" si="17"/>
        <v>96.544700000000006</v>
      </c>
      <c r="AE45" s="391">
        <f t="shared" si="17"/>
        <v>96.544700000000006</v>
      </c>
      <c r="AF45" s="391">
        <f t="shared" si="17"/>
        <v>96.544700000000006</v>
      </c>
      <c r="AG45" s="391">
        <f t="shared" si="17"/>
        <v>96.544700000000006</v>
      </c>
      <c r="AH45" s="391">
        <f t="shared" si="17"/>
        <v>96.544700000000006</v>
      </c>
      <c r="AI45" s="406">
        <f t="shared" si="17"/>
        <v>96.544700000000006</v>
      </c>
    </row>
    <row r="46" spans="1:35" s="29" customFormat="1" x14ac:dyDescent="0.25">
      <c r="A46" s="365">
        <f t="shared" si="13"/>
        <v>38</v>
      </c>
      <c r="B46" s="389">
        <f t="shared" si="14"/>
        <v>500000</v>
      </c>
      <c r="C46" s="390">
        <f t="shared" si="6"/>
        <v>38</v>
      </c>
      <c r="D46" s="391">
        <f t="shared" ref="D46:S54" si="18">$A46^2*D$58+$A46*D$57+D$56</f>
        <v>101.6324</v>
      </c>
      <c r="E46" s="391">
        <f t="shared" si="18"/>
        <v>101.4798</v>
      </c>
      <c r="F46" s="391">
        <f t="shared" si="18"/>
        <v>101.56</v>
      </c>
      <c r="G46" s="391">
        <f t="shared" si="18"/>
        <v>101.56</v>
      </c>
      <c r="H46" s="391">
        <f t="shared" si="18"/>
        <v>101.56</v>
      </c>
      <c r="I46" s="391">
        <f t="shared" si="18"/>
        <v>101.56</v>
      </c>
      <c r="J46" s="391">
        <f t="shared" si="18"/>
        <v>101.56</v>
      </c>
      <c r="K46" s="391">
        <f t="shared" si="18"/>
        <v>101.56</v>
      </c>
      <c r="L46" s="391">
        <f t="shared" si="18"/>
        <v>101.56</v>
      </c>
      <c r="M46" s="391">
        <f t="shared" si="18"/>
        <v>101.56</v>
      </c>
      <c r="N46" s="391">
        <f t="shared" si="18"/>
        <v>101.56</v>
      </c>
      <c r="O46" s="391">
        <f t="shared" si="18"/>
        <v>101.56</v>
      </c>
      <c r="P46" s="391">
        <f t="shared" si="18"/>
        <v>101.56</v>
      </c>
      <c r="Q46" s="391">
        <f t="shared" si="18"/>
        <v>101.56</v>
      </c>
      <c r="R46" s="391">
        <f t="shared" si="18"/>
        <v>101.56</v>
      </c>
      <c r="S46" s="406">
        <f t="shared" si="18"/>
        <v>101.56</v>
      </c>
      <c r="T46" s="391">
        <f t="shared" ref="T46:AI54" si="19">$A46^2*T$58+$A46*T$57+T$56</f>
        <v>101.56</v>
      </c>
      <c r="U46" s="391">
        <f t="shared" si="19"/>
        <v>101.56</v>
      </c>
      <c r="V46" s="391">
        <f t="shared" si="19"/>
        <v>101.56</v>
      </c>
      <c r="W46" s="391">
        <f t="shared" si="19"/>
        <v>101.56</v>
      </c>
      <c r="X46" s="391">
        <f t="shared" si="19"/>
        <v>101.56</v>
      </c>
      <c r="Y46" s="391">
        <f t="shared" si="19"/>
        <v>101.56</v>
      </c>
      <c r="Z46" s="391">
        <f t="shared" si="19"/>
        <v>101.56</v>
      </c>
      <c r="AA46" s="391">
        <f t="shared" si="19"/>
        <v>101.56</v>
      </c>
      <c r="AB46" s="391">
        <f t="shared" si="19"/>
        <v>101.56</v>
      </c>
      <c r="AC46" s="391">
        <f t="shared" si="19"/>
        <v>101.56</v>
      </c>
      <c r="AD46" s="391">
        <f t="shared" si="19"/>
        <v>101.56</v>
      </c>
      <c r="AE46" s="391">
        <f t="shared" si="19"/>
        <v>101.56</v>
      </c>
      <c r="AF46" s="391">
        <f t="shared" si="19"/>
        <v>101.56</v>
      </c>
      <c r="AG46" s="391">
        <f t="shared" si="19"/>
        <v>101.56</v>
      </c>
      <c r="AH46" s="391">
        <f t="shared" si="19"/>
        <v>101.56</v>
      </c>
      <c r="AI46" s="406">
        <f t="shared" si="19"/>
        <v>101.56</v>
      </c>
    </row>
    <row r="47" spans="1:35" s="29" customFormat="1" x14ac:dyDescent="0.25">
      <c r="A47" s="365">
        <f t="shared" si="13"/>
        <v>39</v>
      </c>
      <c r="B47" s="389">
        <f t="shared" si="14"/>
        <v>525000</v>
      </c>
      <c r="C47" s="390">
        <f t="shared" si="6"/>
        <v>39</v>
      </c>
      <c r="D47" s="391">
        <f t="shared" si="18"/>
        <v>106.77740000000001</v>
      </c>
      <c r="E47" s="391">
        <f t="shared" si="18"/>
        <v>106.617</v>
      </c>
      <c r="F47" s="391">
        <f t="shared" si="18"/>
        <v>106.70350000000002</v>
      </c>
      <c r="G47" s="391">
        <f t="shared" si="18"/>
        <v>106.70350000000002</v>
      </c>
      <c r="H47" s="391">
        <f t="shared" si="18"/>
        <v>106.70350000000002</v>
      </c>
      <c r="I47" s="391">
        <f t="shared" si="18"/>
        <v>106.70350000000002</v>
      </c>
      <c r="J47" s="391">
        <f t="shared" si="18"/>
        <v>106.70350000000002</v>
      </c>
      <c r="K47" s="391">
        <f t="shared" si="18"/>
        <v>106.70350000000002</v>
      </c>
      <c r="L47" s="391">
        <f t="shared" si="18"/>
        <v>106.70350000000002</v>
      </c>
      <c r="M47" s="391">
        <f t="shared" si="18"/>
        <v>106.70350000000002</v>
      </c>
      <c r="N47" s="391">
        <f t="shared" si="18"/>
        <v>106.70350000000002</v>
      </c>
      <c r="O47" s="391">
        <f t="shared" si="18"/>
        <v>106.70350000000002</v>
      </c>
      <c r="P47" s="391">
        <f t="shared" si="18"/>
        <v>106.70350000000002</v>
      </c>
      <c r="Q47" s="391">
        <f t="shared" si="18"/>
        <v>106.70350000000002</v>
      </c>
      <c r="R47" s="391">
        <f t="shared" si="18"/>
        <v>106.70350000000002</v>
      </c>
      <c r="S47" s="406">
        <f t="shared" si="18"/>
        <v>106.70350000000002</v>
      </c>
      <c r="T47" s="391">
        <f t="shared" si="19"/>
        <v>106.70350000000002</v>
      </c>
      <c r="U47" s="391">
        <f t="shared" si="19"/>
        <v>106.70350000000002</v>
      </c>
      <c r="V47" s="391">
        <f t="shared" si="19"/>
        <v>106.70350000000002</v>
      </c>
      <c r="W47" s="391">
        <f t="shared" si="19"/>
        <v>106.70350000000002</v>
      </c>
      <c r="X47" s="391">
        <f t="shared" si="19"/>
        <v>106.70350000000002</v>
      </c>
      <c r="Y47" s="391">
        <f t="shared" si="19"/>
        <v>106.70350000000002</v>
      </c>
      <c r="Z47" s="391">
        <f t="shared" si="19"/>
        <v>106.70350000000002</v>
      </c>
      <c r="AA47" s="391">
        <f t="shared" si="19"/>
        <v>106.70350000000002</v>
      </c>
      <c r="AB47" s="391">
        <f t="shared" si="19"/>
        <v>106.70350000000002</v>
      </c>
      <c r="AC47" s="391">
        <f t="shared" si="19"/>
        <v>106.70350000000002</v>
      </c>
      <c r="AD47" s="391">
        <f t="shared" si="19"/>
        <v>106.70350000000002</v>
      </c>
      <c r="AE47" s="391">
        <f t="shared" si="19"/>
        <v>106.70350000000002</v>
      </c>
      <c r="AF47" s="391">
        <f t="shared" si="19"/>
        <v>106.70350000000002</v>
      </c>
      <c r="AG47" s="391">
        <f t="shared" si="19"/>
        <v>106.70350000000002</v>
      </c>
      <c r="AH47" s="391">
        <f t="shared" si="19"/>
        <v>106.70350000000002</v>
      </c>
      <c r="AI47" s="406">
        <f t="shared" si="19"/>
        <v>106.70350000000002</v>
      </c>
    </row>
    <row r="48" spans="1:35" s="29" customFormat="1" x14ac:dyDescent="0.25">
      <c r="A48" s="365">
        <f t="shared" si="13"/>
        <v>40</v>
      </c>
      <c r="B48" s="389">
        <f t="shared" si="14"/>
        <v>550000</v>
      </c>
      <c r="C48" s="390">
        <f t="shared" si="6"/>
        <v>40</v>
      </c>
      <c r="D48" s="391">
        <f t="shared" si="18"/>
        <v>112.0506</v>
      </c>
      <c r="E48" s="391">
        <f t="shared" si="18"/>
        <v>111.8822</v>
      </c>
      <c r="F48" s="391">
        <f t="shared" si="18"/>
        <v>111.9752</v>
      </c>
      <c r="G48" s="391">
        <f t="shared" si="18"/>
        <v>111.9752</v>
      </c>
      <c r="H48" s="391">
        <f t="shared" si="18"/>
        <v>111.9752</v>
      </c>
      <c r="I48" s="391">
        <f t="shared" si="18"/>
        <v>111.9752</v>
      </c>
      <c r="J48" s="391">
        <f t="shared" si="18"/>
        <v>111.9752</v>
      </c>
      <c r="K48" s="391">
        <f t="shared" si="18"/>
        <v>111.9752</v>
      </c>
      <c r="L48" s="391">
        <f t="shared" si="18"/>
        <v>111.9752</v>
      </c>
      <c r="M48" s="391">
        <f t="shared" si="18"/>
        <v>111.9752</v>
      </c>
      <c r="N48" s="391">
        <f t="shared" si="18"/>
        <v>111.9752</v>
      </c>
      <c r="O48" s="391">
        <f t="shared" si="18"/>
        <v>111.9752</v>
      </c>
      <c r="P48" s="391">
        <f t="shared" si="18"/>
        <v>111.9752</v>
      </c>
      <c r="Q48" s="391">
        <f t="shared" si="18"/>
        <v>111.9752</v>
      </c>
      <c r="R48" s="391">
        <f t="shared" si="18"/>
        <v>111.9752</v>
      </c>
      <c r="S48" s="406">
        <f t="shared" si="18"/>
        <v>111.9752</v>
      </c>
      <c r="T48" s="391">
        <f t="shared" si="19"/>
        <v>111.9752</v>
      </c>
      <c r="U48" s="391">
        <f t="shared" si="19"/>
        <v>111.9752</v>
      </c>
      <c r="V48" s="391">
        <f t="shared" si="19"/>
        <v>111.9752</v>
      </c>
      <c r="W48" s="391">
        <f t="shared" si="19"/>
        <v>111.9752</v>
      </c>
      <c r="X48" s="391">
        <f t="shared" si="19"/>
        <v>111.9752</v>
      </c>
      <c r="Y48" s="391">
        <f t="shared" si="19"/>
        <v>111.9752</v>
      </c>
      <c r="Z48" s="391">
        <f t="shared" si="19"/>
        <v>111.9752</v>
      </c>
      <c r="AA48" s="391">
        <f t="shared" si="19"/>
        <v>111.9752</v>
      </c>
      <c r="AB48" s="391">
        <f t="shared" si="19"/>
        <v>111.9752</v>
      </c>
      <c r="AC48" s="391">
        <f t="shared" si="19"/>
        <v>111.9752</v>
      </c>
      <c r="AD48" s="391">
        <f t="shared" si="19"/>
        <v>111.9752</v>
      </c>
      <c r="AE48" s="391">
        <f t="shared" si="19"/>
        <v>111.9752</v>
      </c>
      <c r="AF48" s="391">
        <f t="shared" si="19"/>
        <v>111.9752</v>
      </c>
      <c r="AG48" s="391">
        <f t="shared" si="19"/>
        <v>111.9752</v>
      </c>
      <c r="AH48" s="391">
        <f t="shared" si="19"/>
        <v>111.9752</v>
      </c>
      <c r="AI48" s="406">
        <f t="shared" si="19"/>
        <v>111.9752</v>
      </c>
    </row>
    <row r="49" spans="1:35" s="29" customFormat="1" x14ac:dyDescent="0.25">
      <c r="A49" s="365">
        <f t="shared" si="13"/>
        <v>41</v>
      </c>
      <c r="B49" s="389">
        <f t="shared" si="14"/>
        <v>575000</v>
      </c>
      <c r="C49" s="390">
        <f t="shared" si="6"/>
        <v>41</v>
      </c>
      <c r="D49" s="391">
        <f t="shared" si="18"/>
        <v>117.45200000000001</v>
      </c>
      <c r="E49" s="391">
        <f t="shared" si="18"/>
        <v>117.2754</v>
      </c>
      <c r="F49" s="391">
        <f t="shared" si="18"/>
        <v>117.37510000000002</v>
      </c>
      <c r="G49" s="391">
        <f t="shared" si="18"/>
        <v>117.37510000000002</v>
      </c>
      <c r="H49" s="391">
        <f t="shared" si="18"/>
        <v>117.37510000000002</v>
      </c>
      <c r="I49" s="391">
        <f t="shared" si="18"/>
        <v>117.37510000000002</v>
      </c>
      <c r="J49" s="391">
        <f t="shared" si="18"/>
        <v>117.37510000000002</v>
      </c>
      <c r="K49" s="391">
        <f t="shared" si="18"/>
        <v>117.37510000000002</v>
      </c>
      <c r="L49" s="391">
        <f t="shared" si="18"/>
        <v>117.37510000000002</v>
      </c>
      <c r="M49" s="391">
        <f t="shared" si="18"/>
        <v>117.37510000000002</v>
      </c>
      <c r="N49" s="391">
        <f t="shared" si="18"/>
        <v>117.37510000000002</v>
      </c>
      <c r="O49" s="391">
        <f t="shared" si="18"/>
        <v>117.37510000000002</v>
      </c>
      <c r="P49" s="391">
        <f t="shared" si="18"/>
        <v>117.37510000000002</v>
      </c>
      <c r="Q49" s="391">
        <f t="shared" si="18"/>
        <v>117.37510000000002</v>
      </c>
      <c r="R49" s="391">
        <f t="shared" si="18"/>
        <v>117.37510000000002</v>
      </c>
      <c r="S49" s="406">
        <f t="shared" si="18"/>
        <v>117.37510000000002</v>
      </c>
      <c r="T49" s="391">
        <f t="shared" si="19"/>
        <v>117.37510000000002</v>
      </c>
      <c r="U49" s="391">
        <f t="shared" si="19"/>
        <v>117.37510000000002</v>
      </c>
      <c r="V49" s="391">
        <f t="shared" si="19"/>
        <v>117.37510000000002</v>
      </c>
      <c r="W49" s="391">
        <f t="shared" si="19"/>
        <v>117.37510000000002</v>
      </c>
      <c r="X49" s="391">
        <f t="shared" si="19"/>
        <v>117.37510000000002</v>
      </c>
      <c r="Y49" s="391">
        <f t="shared" si="19"/>
        <v>117.37510000000002</v>
      </c>
      <c r="Z49" s="391">
        <f t="shared" si="19"/>
        <v>117.37510000000002</v>
      </c>
      <c r="AA49" s="391">
        <f t="shared" si="19"/>
        <v>117.37510000000002</v>
      </c>
      <c r="AB49" s="391">
        <f t="shared" si="19"/>
        <v>117.37510000000002</v>
      </c>
      <c r="AC49" s="391">
        <f t="shared" si="19"/>
        <v>117.37510000000002</v>
      </c>
      <c r="AD49" s="391">
        <f t="shared" si="19"/>
        <v>117.37510000000002</v>
      </c>
      <c r="AE49" s="391">
        <f t="shared" si="19"/>
        <v>117.37510000000002</v>
      </c>
      <c r="AF49" s="391">
        <f t="shared" si="19"/>
        <v>117.37510000000002</v>
      </c>
      <c r="AG49" s="391">
        <f t="shared" si="19"/>
        <v>117.37510000000002</v>
      </c>
      <c r="AH49" s="391">
        <f t="shared" si="19"/>
        <v>117.37510000000002</v>
      </c>
      <c r="AI49" s="406">
        <f t="shared" si="19"/>
        <v>117.37510000000002</v>
      </c>
    </row>
    <row r="50" spans="1:35" s="29" customFormat="1" x14ac:dyDescent="0.25">
      <c r="A50" s="365">
        <f t="shared" si="13"/>
        <v>42</v>
      </c>
      <c r="B50" s="389">
        <f t="shared" si="14"/>
        <v>600000</v>
      </c>
      <c r="C50" s="390">
        <f t="shared" si="6"/>
        <v>42</v>
      </c>
      <c r="D50" s="391">
        <f t="shared" si="18"/>
        <v>122.9816</v>
      </c>
      <c r="E50" s="391">
        <f t="shared" si="18"/>
        <v>122.7966</v>
      </c>
      <c r="F50" s="391">
        <f t="shared" si="18"/>
        <v>122.9032</v>
      </c>
      <c r="G50" s="391">
        <f t="shared" si="18"/>
        <v>122.9032</v>
      </c>
      <c r="H50" s="391">
        <f t="shared" si="18"/>
        <v>122.9032</v>
      </c>
      <c r="I50" s="391">
        <f t="shared" si="18"/>
        <v>122.9032</v>
      </c>
      <c r="J50" s="391">
        <f t="shared" si="18"/>
        <v>122.9032</v>
      </c>
      <c r="K50" s="391">
        <f t="shared" si="18"/>
        <v>122.9032</v>
      </c>
      <c r="L50" s="391">
        <f t="shared" si="18"/>
        <v>122.9032</v>
      </c>
      <c r="M50" s="391">
        <f t="shared" si="18"/>
        <v>122.9032</v>
      </c>
      <c r="N50" s="391">
        <f t="shared" si="18"/>
        <v>122.9032</v>
      </c>
      <c r="O50" s="391">
        <f t="shared" si="18"/>
        <v>122.9032</v>
      </c>
      <c r="P50" s="391">
        <f t="shared" si="18"/>
        <v>122.9032</v>
      </c>
      <c r="Q50" s="391">
        <f t="shared" si="18"/>
        <v>122.9032</v>
      </c>
      <c r="R50" s="391">
        <f t="shared" si="18"/>
        <v>122.9032</v>
      </c>
      <c r="S50" s="406">
        <f t="shared" si="18"/>
        <v>122.9032</v>
      </c>
      <c r="T50" s="391">
        <f t="shared" si="19"/>
        <v>122.9032</v>
      </c>
      <c r="U50" s="391">
        <f t="shared" si="19"/>
        <v>122.9032</v>
      </c>
      <c r="V50" s="391">
        <f t="shared" si="19"/>
        <v>122.9032</v>
      </c>
      <c r="W50" s="391">
        <f t="shared" si="19"/>
        <v>122.9032</v>
      </c>
      <c r="X50" s="391">
        <f t="shared" si="19"/>
        <v>122.9032</v>
      </c>
      <c r="Y50" s="391">
        <f t="shared" si="19"/>
        <v>122.9032</v>
      </c>
      <c r="Z50" s="391">
        <f t="shared" si="19"/>
        <v>122.9032</v>
      </c>
      <c r="AA50" s="391">
        <f t="shared" si="19"/>
        <v>122.9032</v>
      </c>
      <c r="AB50" s="391">
        <f t="shared" si="19"/>
        <v>122.9032</v>
      </c>
      <c r="AC50" s="391">
        <f t="shared" si="19"/>
        <v>122.9032</v>
      </c>
      <c r="AD50" s="391">
        <f t="shared" si="19"/>
        <v>122.9032</v>
      </c>
      <c r="AE50" s="391">
        <f t="shared" si="19"/>
        <v>122.9032</v>
      </c>
      <c r="AF50" s="391">
        <f t="shared" si="19"/>
        <v>122.9032</v>
      </c>
      <c r="AG50" s="391">
        <f t="shared" si="19"/>
        <v>122.9032</v>
      </c>
      <c r="AH50" s="391">
        <f t="shared" si="19"/>
        <v>122.9032</v>
      </c>
      <c r="AI50" s="406">
        <f t="shared" si="19"/>
        <v>122.9032</v>
      </c>
    </row>
    <row r="51" spans="1:35" s="29" customFormat="1" x14ac:dyDescent="0.25">
      <c r="A51" s="365">
        <f t="shared" si="13"/>
        <v>43</v>
      </c>
      <c r="B51" s="389">
        <f t="shared" si="14"/>
        <v>625000</v>
      </c>
      <c r="C51" s="390">
        <f t="shared" si="6"/>
        <v>43</v>
      </c>
      <c r="D51" s="391">
        <f t="shared" si="18"/>
        <v>128.63939999999999</v>
      </c>
      <c r="E51" s="391">
        <f t="shared" si="18"/>
        <v>128.44579999999999</v>
      </c>
      <c r="F51" s="391">
        <f t="shared" si="18"/>
        <v>128.55950000000001</v>
      </c>
      <c r="G51" s="391">
        <f t="shared" si="18"/>
        <v>128.55950000000001</v>
      </c>
      <c r="H51" s="391">
        <f t="shared" si="18"/>
        <v>128.55950000000001</v>
      </c>
      <c r="I51" s="391">
        <f t="shared" si="18"/>
        <v>128.55950000000001</v>
      </c>
      <c r="J51" s="391">
        <f t="shared" si="18"/>
        <v>128.55950000000001</v>
      </c>
      <c r="K51" s="391">
        <f t="shared" si="18"/>
        <v>128.55950000000001</v>
      </c>
      <c r="L51" s="391">
        <f t="shared" si="18"/>
        <v>128.55950000000001</v>
      </c>
      <c r="M51" s="391">
        <f t="shared" si="18"/>
        <v>128.55950000000001</v>
      </c>
      <c r="N51" s="391">
        <f t="shared" si="18"/>
        <v>128.55950000000001</v>
      </c>
      <c r="O51" s="391">
        <f t="shared" si="18"/>
        <v>128.55950000000001</v>
      </c>
      <c r="P51" s="391">
        <f t="shared" si="18"/>
        <v>128.55950000000001</v>
      </c>
      <c r="Q51" s="391">
        <f t="shared" si="18"/>
        <v>128.55950000000001</v>
      </c>
      <c r="R51" s="391">
        <f t="shared" si="18"/>
        <v>128.55950000000001</v>
      </c>
      <c r="S51" s="406">
        <f t="shared" si="18"/>
        <v>128.55950000000001</v>
      </c>
      <c r="T51" s="391">
        <f t="shared" si="19"/>
        <v>128.55950000000001</v>
      </c>
      <c r="U51" s="391">
        <f t="shared" si="19"/>
        <v>128.55950000000001</v>
      </c>
      <c r="V51" s="391">
        <f t="shared" si="19"/>
        <v>128.55950000000001</v>
      </c>
      <c r="W51" s="391">
        <f t="shared" si="19"/>
        <v>128.55950000000001</v>
      </c>
      <c r="X51" s="391">
        <f t="shared" si="19"/>
        <v>128.55950000000001</v>
      </c>
      <c r="Y51" s="391">
        <f t="shared" si="19"/>
        <v>128.55950000000001</v>
      </c>
      <c r="Z51" s="391">
        <f t="shared" si="19"/>
        <v>128.55950000000001</v>
      </c>
      <c r="AA51" s="391">
        <f t="shared" si="19"/>
        <v>128.55950000000001</v>
      </c>
      <c r="AB51" s="391">
        <f t="shared" si="19"/>
        <v>128.55950000000001</v>
      </c>
      <c r="AC51" s="391">
        <f t="shared" si="19"/>
        <v>128.55950000000001</v>
      </c>
      <c r="AD51" s="391">
        <f t="shared" si="19"/>
        <v>128.55950000000001</v>
      </c>
      <c r="AE51" s="391">
        <f t="shared" si="19"/>
        <v>128.55950000000001</v>
      </c>
      <c r="AF51" s="391">
        <f t="shared" si="19"/>
        <v>128.55950000000001</v>
      </c>
      <c r="AG51" s="391">
        <f t="shared" si="19"/>
        <v>128.55950000000001</v>
      </c>
      <c r="AH51" s="391">
        <f t="shared" si="19"/>
        <v>128.55950000000001</v>
      </c>
      <c r="AI51" s="406">
        <f t="shared" si="19"/>
        <v>128.55950000000001</v>
      </c>
    </row>
    <row r="52" spans="1:35" s="29" customFormat="1" x14ac:dyDescent="0.25">
      <c r="A52" s="365">
        <f t="shared" si="13"/>
        <v>44</v>
      </c>
      <c r="B52" s="389">
        <f t="shared" si="14"/>
        <v>650000</v>
      </c>
      <c r="C52" s="390">
        <f t="shared" si="6"/>
        <v>44</v>
      </c>
      <c r="D52" s="391">
        <f t="shared" si="18"/>
        <v>134.4254</v>
      </c>
      <c r="E52" s="391">
        <f t="shared" si="18"/>
        <v>134.22300000000001</v>
      </c>
      <c r="F52" s="391">
        <f t="shared" si="18"/>
        <v>134.34399999999999</v>
      </c>
      <c r="G52" s="391">
        <f t="shared" si="18"/>
        <v>134.34399999999999</v>
      </c>
      <c r="H52" s="391">
        <f t="shared" si="18"/>
        <v>134.34399999999999</v>
      </c>
      <c r="I52" s="391">
        <f t="shared" si="18"/>
        <v>134.34399999999999</v>
      </c>
      <c r="J52" s="391">
        <f t="shared" si="18"/>
        <v>134.34399999999999</v>
      </c>
      <c r="K52" s="391">
        <f t="shared" si="18"/>
        <v>134.34399999999999</v>
      </c>
      <c r="L52" s="391">
        <f t="shared" si="18"/>
        <v>134.34399999999999</v>
      </c>
      <c r="M52" s="391">
        <f t="shared" si="18"/>
        <v>134.34399999999999</v>
      </c>
      <c r="N52" s="391">
        <f t="shared" si="18"/>
        <v>134.34399999999999</v>
      </c>
      <c r="O52" s="391">
        <f t="shared" si="18"/>
        <v>134.34399999999999</v>
      </c>
      <c r="P52" s="391">
        <f t="shared" si="18"/>
        <v>134.34399999999999</v>
      </c>
      <c r="Q52" s="391">
        <f t="shared" si="18"/>
        <v>134.34399999999999</v>
      </c>
      <c r="R52" s="391">
        <f t="shared" si="18"/>
        <v>134.34399999999999</v>
      </c>
      <c r="S52" s="406">
        <f t="shared" si="18"/>
        <v>134.34399999999999</v>
      </c>
      <c r="T52" s="391">
        <f t="shared" si="19"/>
        <v>134.34399999999999</v>
      </c>
      <c r="U52" s="391">
        <f t="shared" si="19"/>
        <v>134.34399999999999</v>
      </c>
      <c r="V52" s="391">
        <f t="shared" si="19"/>
        <v>134.34399999999999</v>
      </c>
      <c r="W52" s="391">
        <f t="shared" si="19"/>
        <v>134.34399999999999</v>
      </c>
      <c r="X52" s="391">
        <f t="shared" si="19"/>
        <v>134.34399999999999</v>
      </c>
      <c r="Y52" s="391">
        <f t="shared" si="19"/>
        <v>134.34399999999999</v>
      </c>
      <c r="Z52" s="391">
        <f t="shared" si="19"/>
        <v>134.34399999999999</v>
      </c>
      <c r="AA52" s="391">
        <f t="shared" si="19"/>
        <v>134.34399999999999</v>
      </c>
      <c r="AB52" s="391">
        <f t="shared" si="19"/>
        <v>134.34399999999999</v>
      </c>
      <c r="AC52" s="391">
        <f t="shared" si="19"/>
        <v>134.34399999999999</v>
      </c>
      <c r="AD52" s="391">
        <f t="shared" si="19"/>
        <v>134.34399999999999</v>
      </c>
      <c r="AE52" s="391">
        <f t="shared" si="19"/>
        <v>134.34399999999999</v>
      </c>
      <c r="AF52" s="391">
        <f t="shared" si="19"/>
        <v>134.34399999999999</v>
      </c>
      <c r="AG52" s="391">
        <f t="shared" si="19"/>
        <v>134.34399999999999</v>
      </c>
      <c r="AH52" s="391">
        <f t="shared" si="19"/>
        <v>134.34399999999999</v>
      </c>
      <c r="AI52" s="406">
        <f t="shared" si="19"/>
        <v>134.34399999999999</v>
      </c>
    </row>
    <row r="53" spans="1:35" s="29" customFormat="1" x14ac:dyDescent="0.25">
      <c r="A53" s="365">
        <f t="shared" si="13"/>
        <v>45</v>
      </c>
      <c r="B53" s="389">
        <f t="shared" si="14"/>
        <v>675000</v>
      </c>
      <c r="C53" s="390">
        <f t="shared" si="6"/>
        <v>45</v>
      </c>
      <c r="D53" s="391">
        <f t="shared" si="18"/>
        <v>140.33959999999999</v>
      </c>
      <c r="E53" s="391">
        <f t="shared" si="18"/>
        <v>140.12819999999999</v>
      </c>
      <c r="F53" s="391">
        <f t="shared" si="18"/>
        <v>140.2567</v>
      </c>
      <c r="G53" s="391">
        <f t="shared" si="18"/>
        <v>140.2567</v>
      </c>
      <c r="H53" s="391">
        <f t="shared" si="18"/>
        <v>140.2567</v>
      </c>
      <c r="I53" s="391">
        <f t="shared" si="18"/>
        <v>140.2567</v>
      </c>
      <c r="J53" s="391">
        <f t="shared" si="18"/>
        <v>140.2567</v>
      </c>
      <c r="K53" s="391">
        <f t="shared" si="18"/>
        <v>140.2567</v>
      </c>
      <c r="L53" s="391">
        <f t="shared" si="18"/>
        <v>140.2567</v>
      </c>
      <c r="M53" s="391">
        <f t="shared" si="18"/>
        <v>140.2567</v>
      </c>
      <c r="N53" s="391">
        <f t="shared" si="18"/>
        <v>140.2567</v>
      </c>
      <c r="O53" s="391">
        <f t="shared" si="18"/>
        <v>140.2567</v>
      </c>
      <c r="P53" s="391">
        <f t="shared" si="18"/>
        <v>140.2567</v>
      </c>
      <c r="Q53" s="391">
        <f t="shared" si="18"/>
        <v>140.2567</v>
      </c>
      <c r="R53" s="391">
        <f t="shared" si="18"/>
        <v>140.2567</v>
      </c>
      <c r="S53" s="406">
        <f t="shared" si="18"/>
        <v>140.2567</v>
      </c>
      <c r="T53" s="391">
        <f t="shared" si="19"/>
        <v>140.2567</v>
      </c>
      <c r="U53" s="391">
        <f t="shared" si="19"/>
        <v>140.2567</v>
      </c>
      <c r="V53" s="391">
        <f t="shared" si="19"/>
        <v>140.2567</v>
      </c>
      <c r="W53" s="391">
        <f t="shared" si="19"/>
        <v>140.2567</v>
      </c>
      <c r="X53" s="391">
        <f t="shared" si="19"/>
        <v>140.2567</v>
      </c>
      <c r="Y53" s="391">
        <f t="shared" si="19"/>
        <v>140.2567</v>
      </c>
      <c r="Z53" s="391">
        <f t="shared" si="19"/>
        <v>140.2567</v>
      </c>
      <c r="AA53" s="391">
        <f t="shared" si="19"/>
        <v>140.2567</v>
      </c>
      <c r="AB53" s="391">
        <f t="shared" si="19"/>
        <v>140.2567</v>
      </c>
      <c r="AC53" s="391">
        <f t="shared" si="19"/>
        <v>140.2567</v>
      </c>
      <c r="AD53" s="391">
        <f t="shared" si="19"/>
        <v>140.2567</v>
      </c>
      <c r="AE53" s="391">
        <f t="shared" si="19"/>
        <v>140.2567</v>
      </c>
      <c r="AF53" s="391">
        <f t="shared" si="19"/>
        <v>140.2567</v>
      </c>
      <c r="AG53" s="391">
        <f t="shared" si="19"/>
        <v>140.2567</v>
      </c>
      <c r="AH53" s="391">
        <f t="shared" si="19"/>
        <v>140.2567</v>
      </c>
      <c r="AI53" s="406">
        <f t="shared" si="19"/>
        <v>140.2567</v>
      </c>
    </row>
    <row r="54" spans="1:35" s="29" customFormat="1" x14ac:dyDescent="0.25">
      <c r="A54" s="365">
        <f t="shared" si="13"/>
        <v>46</v>
      </c>
      <c r="B54" s="392">
        <f t="shared" si="14"/>
        <v>700000</v>
      </c>
      <c r="C54" s="393">
        <f t="shared" si="6"/>
        <v>46</v>
      </c>
      <c r="D54" s="394">
        <f t="shared" si="18"/>
        <v>146.38200000000001</v>
      </c>
      <c r="E54" s="394">
        <f t="shared" si="18"/>
        <v>146.16140000000001</v>
      </c>
      <c r="F54" s="394">
        <f t="shared" si="18"/>
        <v>146.29759999999999</v>
      </c>
      <c r="G54" s="394">
        <f t="shared" si="18"/>
        <v>146.29759999999999</v>
      </c>
      <c r="H54" s="394">
        <f t="shared" si="18"/>
        <v>146.29759999999999</v>
      </c>
      <c r="I54" s="394">
        <f t="shared" si="18"/>
        <v>146.29759999999999</v>
      </c>
      <c r="J54" s="394">
        <f t="shared" si="18"/>
        <v>146.29759999999999</v>
      </c>
      <c r="K54" s="394">
        <f t="shared" si="18"/>
        <v>146.29759999999999</v>
      </c>
      <c r="L54" s="394">
        <f t="shared" si="18"/>
        <v>146.29759999999999</v>
      </c>
      <c r="M54" s="394">
        <f t="shared" si="18"/>
        <v>146.29759999999999</v>
      </c>
      <c r="N54" s="394">
        <f t="shared" si="18"/>
        <v>146.29759999999999</v>
      </c>
      <c r="O54" s="394">
        <f t="shared" si="18"/>
        <v>146.29759999999999</v>
      </c>
      <c r="P54" s="394">
        <f t="shared" si="18"/>
        <v>146.29759999999999</v>
      </c>
      <c r="Q54" s="394">
        <f t="shared" si="18"/>
        <v>146.29759999999999</v>
      </c>
      <c r="R54" s="394">
        <f t="shared" si="18"/>
        <v>146.29759999999999</v>
      </c>
      <c r="S54" s="407">
        <f t="shared" si="18"/>
        <v>146.29759999999999</v>
      </c>
      <c r="T54" s="394">
        <f t="shared" si="19"/>
        <v>146.29759999999999</v>
      </c>
      <c r="U54" s="394">
        <f t="shared" si="19"/>
        <v>146.29759999999999</v>
      </c>
      <c r="V54" s="394">
        <f t="shared" si="19"/>
        <v>146.29759999999999</v>
      </c>
      <c r="W54" s="394">
        <f t="shared" si="19"/>
        <v>146.29759999999999</v>
      </c>
      <c r="X54" s="394">
        <f t="shared" si="19"/>
        <v>146.29759999999999</v>
      </c>
      <c r="Y54" s="394">
        <f t="shared" si="19"/>
        <v>146.29759999999999</v>
      </c>
      <c r="Z54" s="394">
        <f t="shared" si="19"/>
        <v>146.29759999999999</v>
      </c>
      <c r="AA54" s="394">
        <f t="shared" si="19"/>
        <v>146.29759999999999</v>
      </c>
      <c r="AB54" s="394">
        <f t="shared" si="19"/>
        <v>146.29759999999999</v>
      </c>
      <c r="AC54" s="394">
        <f t="shared" si="19"/>
        <v>146.29759999999999</v>
      </c>
      <c r="AD54" s="394">
        <f t="shared" si="19"/>
        <v>146.29759999999999</v>
      </c>
      <c r="AE54" s="394">
        <f t="shared" si="19"/>
        <v>146.29759999999999</v>
      </c>
      <c r="AF54" s="394">
        <f t="shared" si="19"/>
        <v>146.29759999999999</v>
      </c>
      <c r="AG54" s="394">
        <f t="shared" si="19"/>
        <v>146.29759999999999</v>
      </c>
      <c r="AH54" s="394">
        <f t="shared" si="19"/>
        <v>146.29759999999999</v>
      </c>
      <c r="AI54" s="407">
        <f t="shared" si="19"/>
        <v>146.29759999999999</v>
      </c>
    </row>
    <row r="56" spans="1:35" x14ac:dyDescent="0.25">
      <c r="D56" s="23">
        <v>1.1186</v>
      </c>
      <c r="E56" s="23">
        <v>1.1142000000000001</v>
      </c>
      <c r="F56" s="23">
        <v>1.1032</v>
      </c>
      <c r="G56" s="23">
        <v>1.1032</v>
      </c>
      <c r="H56" s="23">
        <v>1.1032</v>
      </c>
      <c r="I56" s="23">
        <v>1.1032</v>
      </c>
      <c r="J56" s="23">
        <v>1.1032</v>
      </c>
      <c r="K56" s="23">
        <v>1.1032</v>
      </c>
      <c r="L56" s="23">
        <v>1.1032</v>
      </c>
      <c r="M56" s="23">
        <v>1.1032</v>
      </c>
      <c r="N56" s="23">
        <v>1.1032</v>
      </c>
      <c r="O56" s="23">
        <v>1.1032</v>
      </c>
      <c r="P56" s="23">
        <v>1.1032</v>
      </c>
      <c r="Q56" s="23">
        <v>1.1032</v>
      </c>
      <c r="R56" s="23">
        <v>1.1032</v>
      </c>
      <c r="S56" s="23">
        <v>1.1032</v>
      </c>
      <c r="T56" s="23">
        <v>1.1032</v>
      </c>
      <c r="U56" s="23">
        <v>1.1032</v>
      </c>
      <c r="V56" s="23">
        <v>1.1032</v>
      </c>
      <c r="W56" s="23">
        <v>1.1032</v>
      </c>
      <c r="X56" s="23">
        <v>1.1032</v>
      </c>
      <c r="Y56" s="23">
        <v>1.1032</v>
      </c>
      <c r="Z56" s="23">
        <v>1.1032</v>
      </c>
      <c r="AA56" s="23">
        <v>1.1032</v>
      </c>
      <c r="AB56" s="23">
        <v>1.1032</v>
      </c>
      <c r="AC56" s="23">
        <v>1.1032</v>
      </c>
      <c r="AD56" s="23">
        <v>1.1032</v>
      </c>
      <c r="AE56" s="23">
        <v>1.1032</v>
      </c>
      <c r="AF56" s="23">
        <v>1.1032</v>
      </c>
      <c r="AG56" s="23">
        <v>1.1032</v>
      </c>
      <c r="AH56" s="23">
        <v>1.1032</v>
      </c>
      <c r="AI56" s="23">
        <v>1.1032</v>
      </c>
    </row>
    <row r="57" spans="1:35" x14ac:dyDescent="0.25">
      <c r="B57" s="23" t="s">
        <v>692</v>
      </c>
      <c r="D57" s="23">
        <v>0.20930000000000001</v>
      </c>
      <c r="E57" s="23">
        <v>0.2092</v>
      </c>
      <c r="F57" s="23">
        <v>0.20780000000000001</v>
      </c>
      <c r="G57" s="23">
        <v>0.20780000000000001</v>
      </c>
      <c r="H57" s="23">
        <v>0.20780000000000001</v>
      </c>
      <c r="I57" s="23">
        <v>0.20780000000000001</v>
      </c>
      <c r="J57" s="23">
        <v>0.20780000000000001</v>
      </c>
      <c r="K57" s="23">
        <v>0.20780000000000001</v>
      </c>
      <c r="L57" s="23">
        <v>0.20780000000000001</v>
      </c>
      <c r="M57" s="23">
        <v>0.20780000000000001</v>
      </c>
      <c r="N57" s="23">
        <v>0.20780000000000001</v>
      </c>
      <c r="O57" s="23">
        <v>0.20780000000000001</v>
      </c>
      <c r="P57" s="23">
        <v>0.20780000000000001</v>
      </c>
      <c r="Q57" s="23">
        <v>0.20780000000000001</v>
      </c>
      <c r="R57" s="23">
        <v>0.20780000000000001</v>
      </c>
      <c r="S57" s="23">
        <v>0.20780000000000001</v>
      </c>
      <c r="T57" s="23">
        <v>0.20780000000000001</v>
      </c>
      <c r="U57" s="23">
        <v>0.20780000000000001</v>
      </c>
      <c r="V57" s="23">
        <v>0.20780000000000001</v>
      </c>
      <c r="W57" s="23">
        <v>0.20780000000000001</v>
      </c>
      <c r="X57" s="23">
        <v>0.20780000000000001</v>
      </c>
      <c r="Y57" s="23">
        <v>0.20780000000000001</v>
      </c>
      <c r="Z57" s="23">
        <v>0.20780000000000001</v>
      </c>
      <c r="AA57" s="23">
        <v>0.20780000000000001</v>
      </c>
      <c r="AB57" s="23">
        <v>0.20780000000000001</v>
      </c>
      <c r="AC57" s="23">
        <v>0.20780000000000001</v>
      </c>
      <c r="AD57" s="23">
        <v>0.20780000000000001</v>
      </c>
      <c r="AE57" s="23">
        <v>0.20780000000000001</v>
      </c>
      <c r="AF57" s="23">
        <v>0.20780000000000001</v>
      </c>
      <c r="AG57" s="23">
        <v>0.20780000000000001</v>
      </c>
      <c r="AH57" s="23">
        <v>0.20780000000000001</v>
      </c>
      <c r="AI57" s="23">
        <v>0.20780000000000001</v>
      </c>
    </row>
    <row r="58" spans="1:35" ht="18" x14ac:dyDescent="0.25">
      <c r="B58" s="23" t="s">
        <v>693</v>
      </c>
      <c r="D58" s="23">
        <v>6.4100000000000004E-2</v>
      </c>
      <c r="E58" s="23">
        <v>6.4000000000000001E-2</v>
      </c>
      <c r="F58" s="23">
        <v>6.4100000000000004E-2</v>
      </c>
      <c r="G58" s="23">
        <v>6.4100000000000004E-2</v>
      </c>
      <c r="H58" s="23">
        <v>6.4100000000000004E-2</v>
      </c>
      <c r="I58" s="23">
        <v>6.4100000000000004E-2</v>
      </c>
      <c r="J58" s="23">
        <v>6.4100000000000004E-2</v>
      </c>
      <c r="K58" s="23">
        <v>6.4100000000000004E-2</v>
      </c>
      <c r="L58" s="23">
        <v>6.4100000000000004E-2</v>
      </c>
      <c r="M58" s="23">
        <v>6.4100000000000004E-2</v>
      </c>
      <c r="N58" s="23">
        <v>6.4100000000000004E-2</v>
      </c>
      <c r="O58" s="23">
        <v>6.4100000000000004E-2</v>
      </c>
      <c r="P58" s="23">
        <v>6.4100000000000004E-2</v>
      </c>
      <c r="Q58" s="23">
        <v>6.4100000000000004E-2</v>
      </c>
      <c r="R58" s="23">
        <v>6.4100000000000004E-2</v>
      </c>
      <c r="S58" s="23">
        <v>6.4100000000000004E-2</v>
      </c>
      <c r="T58" s="23">
        <v>6.4100000000000004E-2</v>
      </c>
      <c r="U58" s="23">
        <v>6.4100000000000004E-2</v>
      </c>
      <c r="V58" s="23">
        <v>6.4100000000000004E-2</v>
      </c>
      <c r="W58" s="23">
        <v>6.4100000000000004E-2</v>
      </c>
      <c r="X58" s="23">
        <v>6.4100000000000004E-2</v>
      </c>
      <c r="Y58" s="23">
        <v>6.4100000000000004E-2</v>
      </c>
      <c r="Z58" s="23">
        <v>6.4100000000000004E-2</v>
      </c>
      <c r="AA58" s="23">
        <v>6.4100000000000004E-2</v>
      </c>
      <c r="AB58" s="23">
        <v>6.4100000000000004E-2</v>
      </c>
      <c r="AC58" s="23">
        <v>6.4100000000000004E-2</v>
      </c>
      <c r="AD58" s="23">
        <v>6.4100000000000004E-2</v>
      </c>
      <c r="AE58" s="23">
        <v>6.4100000000000004E-2</v>
      </c>
      <c r="AF58" s="23">
        <v>6.4100000000000004E-2</v>
      </c>
      <c r="AG58" s="23">
        <v>6.4100000000000004E-2</v>
      </c>
      <c r="AH58" s="23">
        <v>6.4100000000000004E-2</v>
      </c>
      <c r="AI58" s="23">
        <v>6.4100000000000004E-2</v>
      </c>
    </row>
    <row r="60" spans="1:35" x14ac:dyDescent="0.25">
      <c r="D60" s="404">
        <f>+A54^2*D58+A54*D57+D56-D54</f>
        <v>0</v>
      </c>
    </row>
    <row r="61" spans="1:35" x14ac:dyDescent="0.25">
      <c r="G61" s="409" t="s">
        <v>695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47"/>
    <col min="2" max="2" width="15.875" style="47" customWidth="1"/>
    <col min="3" max="16384" width="10.875" style="47"/>
  </cols>
  <sheetData>
    <row r="1" spans="1:17" x14ac:dyDescent="0.25">
      <c r="A1" s="494"/>
      <c r="B1" s="494"/>
      <c r="C1" s="494"/>
      <c r="D1" s="494"/>
      <c r="E1" s="494"/>
      <c r="F1" s="46"/>
      <c r="G1" s="46"/>
      <c r="H1" s="46"/>
      <c r="I1" s="46"/>
      <c r="J1" s="46"/>
      <c r="K1" s="46"/>
      <c r="L1" s="46"/>
      <c r="M1" s="46"/>
      <c r="N1" s="46"/>
      <c r="O1" s="46"/>
      <c r="P1" s="46"/>
      <c r="Q1" s="46"/>
    </row>
    <row r="2" spans="1:17" x14ac:dyDescent="0.25">
      <c r="A2" s="494" t="s">
        <v>13</v>
      </c>
      <c r="B2" s="494"/>
      <c r="C2" s="494"/>
      <c r="D2" s="494"/>
      <c r="E2" s="494"/>
      <c r="F2" s="46"/>
      <c r="G2" s="46"/>
      <c r="H2" s="46"/>
      <c r="I2" s="46"/>
      <c r="J2" s="46"/>
      <c r="K2" s="46"/>
      <c r="L2" s="46"/>
      <c r="M2" s="46"/>
      <c r="N2" s="46"/>
      <c r="O2" s="46"/>
      <c r="P2" s="46"/>
      <c r="Q2" s="46"/>
    </row>
    <row r="3" spans="1:17" x14ac:dyDescent="0.25">
      <c r="A3" s="494" t="s">
        <v>14</v>
      </c>
      <c r="B3" s="494"/>
      <c r="C3" s="494"/>
      <c r="D3" s="494"/>
      <c r="E3" s="494"/>
      <c r="F3" s="46"/>
      <c r="G3" s="46"/>
      <c r="H3" s="46"/>
      <c r="I3" s="46"/>
      <c r="J3" s="46"/>
      <c r="K3" s="46"/>
      <c r="L3" s="46"/>
      <c r="M3" s="46"/>
      <c r="N3" s="46"/>
      <c r="O3" s="46"/>
      <c r="P3" s="46"/>
      <c r="Q3" s="46"/>
    </row>
    <row r="4" spans="1:17" ht="37.5" customHeight="1" x14ac:dyDescent="0.25">
      <c r="A4" s="494" t="s">
        <v>16</v>
      </c>
      <c r="B4" s="494"/>
      <c r="C4" s="494"/>
      <c r="D4" s="48"/>
      <c r="E4" s="48"/>
    </row>
    <row r="5" spans="1:17" ht="37.5" customHeight="1" x14ac:dyDescent="0.25">
      <c r="A5" s="494" t="s">
        <v>17</v>
      </c>
      <c r="B5" s="494"/>
      <c r="C5" s="494"/>
      <c r="D5" s="495" t="s">
        <v>18</v>
      </c>
      <c r="E5" s="495"/>
    </row>
    <row r="6" spans="1:17" ht="37.5" customHeight="1" x14ac:dyDescent="0.25">
      <c r="A6" s="496" t="s">
        <v>21</v>
      </c>
      <c r="B6" s="497"/>
      <c r="C6" s="497"/>
      <c r="D6" s="499" t="s">
        <v>19</v>
      </c>
      <c r="E6" s="500"/>
    </row>
    <row r="7" spans="1:17" ht="37.5" customHeight="1" x14ac:dyDescent="0.25">
      <c r="A7" s="494" t="s">
        <v>20</v>
      </c>
      <c r="B7" s="494"/>
      <c r="C7" s="494"/>
      <c r="D7" s="498"/>
      <c r="E7" s="498"/>
    </row>
    <row r="8" spans="1:17" ht="37.5" customHeight="1" x14ac:dyDescent="0.25">
      <c r="A8" s="496" t="s">
        <v>22</v>
      </c>
      <c r="B8" s="497"/>
      <c r="C8" s="497"/>
      <c r="D8" s="499" t="s">
        <v>23</v>
      </c>
      <c r="E8" s="500"/>
    </row>
    <row r="9" spans="1:17" ht="37.5" customHeight="1" x14ac:dyDescent="0.25">
      <c r="A9" s="494" t="s">
        <v>24</v>
      </c>
      <c r="B9" s="494"/>
      <c r="C9" s="494"/>
      <c r="D9" s="501"/>
      <c r="E9" s="501"/>
    </row>
    <row r="10" spans="1:17" ht="37.5" customHeight="1" x14ac:dyDescent="0.25">
      <c r="A10" s="502" t="s">
        <v>25</v>
      </c>
      <c r="B10" s="503"/>
      <c r="C10" s="503"/>
      <c r="D10" s="508" t="s">
        <v>28</v>
      </c>
      <c r="E10" s="509"/>
    </row>
    <row r="11" spans="1:17" ht="37.5" customHeight="1" x14ac:dyDescent="0.25">
      <c r="A11" s="504" t="s">
        <v>26</v>
      </c>
      <c r="B11" s="505"/>
      <c r="C11" s="505"/>
      <c r="D11" s="510" t="s">
        <v>29</v>
      </c>
      <c r="E11" s="511"/>
    </row>
    <row r="12" spans="1:17" ht="37.5" customHeight="1" x14ac:dyDescent="0.25">
      <c r="A12" s="506" t="s">
        <v>27</v>
      </c>
      <c r="B12" s="507"/>
      <c r="C12" s="507"/>
      <c r="D12" s="512" t="s">
        <v>30</v>
      </c>
      <c r="E12" s="513"/>
    </row>
    <row r="13" spans="1:17" ht="37.5" customHeight="1" x14ac:dyDescent="0.25">
      <c r="A13" s="494" t="s">
        <v>34</v>
      </c>
      <c r="B13" s="494"/>
      <c r="C13" s="494"/>
      <c r="D13" s="501"/>
      <c r="E13" s="501"/>
    </row>
    <row r="14" spans="1:17" ht="37.5" customHeight="1" x14ac:dyDescent="0.25">
      <c r="A14" s="514" t="s">
        <v>31</v>
      </c>
      <c r="B14" s="508"/>
      <c r="C14" s="508"/>
      <c r="D14" s="508" t="s">
        <v>35</v>
      </c>
      <c r="E14" s="509"/>
    </row>
    <row r="15" spans="1:17" ht="37.5" customHeight="1" x14ac:dyDescent="0.25">
      <c r="A15" s="515" t="s">
        <v>33</v>
      </c>
      <c r="B15" s="510"/>
      <c r="C15" s="510"/>
      <c r="D15" s="510" t="s">
        <v>37</v>
      </c>
      <c r="E15" s="511"/>
    </row>
    <row r="16" spans="1:17" ht="37.5" customHeight="1" x14ac:dyDescent="0.25">
      <c r="A16" s="516" t="s">
        <v>32</v>
      </c>
      <c r="B16" s="512"/>
      <c r="C16" s="512"/>
      <c r="D16" s="512" t="s">
        <v>36</v>
      </c>
      <c r="E16" s="513"/>
    </row>
    <row r="17" spans="1:5" ht="37.5" customHeight="1" x14ac:dyDescent="0.25">
      <c r="A17" s="494" t="s">
        <v>38</v>
      </c>
      <c r="B17" s="494"/>
      <c r="C17" s="494"/>
      <c r="D17" s="501"/>
      <c r="E17" s="501"/>
    </row>
    <row r="18" spans="1:5" ht="37.5" customHeight="1" x14ac:dyDescent="0.25">
      <c r="A18" s="514" t="s">
        <v>54</v>
      </c>
      <c r="B18" s="508"/>
      <c r="C18" s="508"/>
      <c r="D18" s="508" t="s">
        <v>57</v>
      </c>
      <c r="E18" s="509"/>
    </row>
    <row r="19" spans="1:5" ht="37.5" customHeight="1" x14ac:dyDescent="0.25">
      <c r="A19" s="516" t="s">
        <v>55</v>
      </c>
      <c r="B19" s="512"/>
      <c r="C19" s="512"/>
      <c r="D19" s="512" t="s">
        <v>56</v>
      </c>
      <c r="E19" s="513"/>
    </row>
    <row r="20" spans="1:5" ht="37.5" customHeight="1" x14ac:dyDescent="0.25">
      <c r="A20" s="494" t="s">
        <v>39</v>
      </c>
      <c r="B20" s="494"/>
      <c r="C20" s="494"/>
      <c r="D20" s="501"/>
      <c r="E20" s="501"/>
    </row>
    <row r="21" spans="1:5" ht="37.5" customHeight="1" x14ac:dyDescent="0.25">
      <c r="A21" s="514" t="s">
        <v>54</v>
      </c>
      <c r="B21" s="508"/>
      <c r="C21" s="508"/>
      <c r="D21" s="508" t="s">
        <v>60</v>
      </c>
      <c r="E21" s="509"/>
    </row>
    <row r="22" spans="1:5" ht="37.5" customHeight="1" x14ac:dyDescent="0.25">
      <c r="A22" s="515" t="s">
        <v>58</v>
      </c>
      <c r="B22" s="510"/>
      <c r="C22" s="510"/>
      <c r="D22" s="510" t="s">
        <v>61</v>
      </c>
      <c r="E22" s="511"/>
    </row>
    <row r="23" spans="1:5" ht="37.5" customHeight="1" x14ac:dyDescent="0.25">
      <c r="A23" s="516" t="s">
        <v>59</v>
      </c>
      <c r="B23" s="512"/>
      <c r="C23" s="512"/>
      <c r="D23" s="512" t="s">
        <v>62</v>
      </c>
      <c r="E23" s="513"/>
    </row>
    <row r="24" spans="1:5" ht="37.5" customHeight="1" x14ac:dyDescent="0.25">
      <c r="A24" s="494" t="s">
        <v>40</v>
      </c>
      <c r="B24" s="494"/>
      <c r="C24" s="494"/>
      <c r="D24" s="501"/>
      <c r="E24" s="501"/>
    </row>
    <row r="25" spans="1:5" ht="37.5" customHeight="1" x14ac:dyDescent="0.25">
      <c r="A25" s="514" t="s">
        <v>65</v>
      </c>
      <c r="B25" s="508"/>
      <c r="C25" s="508"/>
      <c r="D25" s="508" t="s">
        <v>37</v>
      </c>
      <c r="E25" s="509"/>
    </row>
    <row r="26" spans="1:5" ht="37.5" customHeight="1" x14ac:dyDescent="0.25">
      <c r="A26" s="515" t="s">
        <v>63</v>
      </c>
      <c r="B26" s="510"/>
      <c r="C26" s="510"/>
      <c r="D26" s="510" t="s">
        <v>66</v>
      </c>
      <c r="E26" s="511"/>
    </row>
    <row r="27" spans="1:5" ht="37.5" customHeight="1" x14ac:dyDescent="0.25">
      <c r="A27" s="516" t="s">
        <v>64</v>
      </c>
      <c r="B27" s="512"/>
      <c r="C27" s="512"/>
      <c r="D27" s="512" t="s">
        <v>62</v>
      </c>
      <c r="E27" s="513"/>
    </row>
    <row r="28" spans="1:5" ht="37.5" customHeight="1" x14ac:dyDescent="0.25">
      <c r="A28" s="494" t="s">
        <v>41</v>
      </c>
      <c r="B28" s="494"/>
      <c r="C28" s="494"/>
      <c r="D28" s="501"/>
      <c r="E28" s="501"/>
    </row>
    <row r="29" spans="1:5" ht="37.5" customHeight="1" x14ac:dyDescent="0.25">
      <c r="A29" s="519" t="s">
        <v>68</v>
      </c>
      <c r="B29" s="499"/>
      <c r="C29" s="499"/>
      <c r="D29" s="499" t="s">
        <v>67</v>
      </c>
      <c r="E29" s="500"/>
    </row>
    <row r="30" spans="1:5" ht="37.5" customHeight="1" x14ac:dyDescent="0.25">
      <c r="A30" s="494" t="s">
        <v>42</v>
      </c>
      <c r="B30" s="494"/>
      <c r="C30" s="494"/>
      <c r="D30" s="498"/>
      <c r="E30" s="498"/>
    </row>
    <row r="31" spans="1:5" ht="37.5" customHeight="1" x14ac:dyDescent="0.25">
      <c r="A31" s="526" t="s">
        <v>43</v>
      </c>
      <c r="B31" s="529">
        <v>0</v>
      </c>
      <c r="C31" s="529"/>
      <c r="D31" s="520">
        <v>1</v>
      </c>
      <c r="E31" s="521"/>
    </row>
    <row r="32" spans="1:5" ht="37.5" customHeight="1" x14ac:dyDescent="0.25">
      <c r="A32" s="527"/>
      <c r="B32" s="524">
        <v>0.05</v>
      </c>
      <c r="C32" s="524"/>
      <c r="D32" s="517" t="s">
        <v>44</v>
      </c>
      <c r="E32" s="518"/>
    </row>
    <row r="33" spans="1:5" ht="37.5" customHeight="1" x14ac:dyDescent="0.25">
      <c r="A33" s="527"/>
      <c r="B33" s="524">
        <v>0.1</v>
      </c>
      <c r="C33" s="524"/>
      <c r="D33" s="517" t="s">
        <v>45</v>
      </c>
      <c r="E33" s="518"/>
    </row>
    <row r="34" spans="1:5" ht="37.5" customHeight="1" x14ac:dyDescent="0.25">
      <c r="A34" s="527"/>
      <c r="B34" s="524">
        <v>0.15</v>
      </c>
      <c r="C34" s="524"/>
      <c r="D34" s="517" t="s">
        <v>46</v>
      </c>
      <c r="E34" s="518"/>
    </row>
    <row r="35" spans="1:5" ht="37.5" customHeight="1" x14ac:dyDescent="0.25">
      <c r="A35" s="527"/>
      <c r="B35" s="524">
        <v>0.2</v>
      </c>
      <c r="C35" s="524"/>
      <c r="D35" s="517" t="s">
        <v>47</v>
      </c>
      <c r="E35" s="518"/>
    </row>
    <row r="36" spans="1:5" ht="37.5" customHeight="1" x14ac:dyDescent="0.25">
      <c r="A36" s="527"/>
      <c r="B36" s="524">
        <v>0.25</v>
      </c>
      <c r="C36" s="524"/>
      <c r="D36" s="517" t="s">
        <v>48</v>
      </c>
      <c r="E36" s="518"/>
    </row>
    <row r="37" spans="1:5" ht="37.5" customHeight="1" x14ac:dyDescent="0.25">
      <c r="A37" s="527"/>
      <c r="B37" s="524">
        <v>0.3</v>
      </c>
      <c r="C37" s="524"/>
      <c r="D37" s="517" t="s">
        <v>49</v>
      </c>
      <c r="E37" s="518"/>
    </row>
    <row r="38" spans="1:5" ht="37.5" customHeight="1" x14ac:dyDescent="0.25">
      <c r="A38" s="527"/>
      <c r="B38" s="524">
        <v>0.35</v>
      </c>
      <c r="C38" s="524"/>
      <c r="D38" s="517" t="s">
        <v>50</v>
      </c>
      <c r="E38" s="518"/>
    </row>
    <row r="39" spans="1:5" ht="37.5" customHeight="1" x14ac:dyDescent="0.25">
      <c r="A39" s="527"/>
      <c r="B39" s="524">
        <v>0.4</v>
      </c>
      <c r="C39" s="524"/>
      <c r="D39" s="517" t="s">
        <v>51</v>
      </c>
      <c r="E39" s="518"/>
    </row>
    <row r="40" spans="1:5" ht="37.5" customHeight="1" x14ac:dyDescent="0.25">
      <c r="A40" s="527"/>
      <c r="B40" s="524">
        <v>0.45</v>
      </c>
      <c r="C40" s="524"/>
      <c r="D40" s="517" t="s">
        <v>52</v>
      </c>
      <c r="E40" s="518"/>
    </row>
    <row r="41" spans="1:5" ht="37.5" customHeight="1" x14ac:dyDescent="0.25">
      <c r="A41" s="528"/>
      <c r="B41" s="525">
        <v>0.5</v>
      </c>
      <c r="C41" s="525"/>
      <c r="D41" s="522" t="s">
        <v>53</v>
      </c>
      <c r="E41" s="523"/>
    </row>
    <row r="42" spans="1:5" x14ac:dyDescent="0.25">
      <c r="B42" s="49"/>
    </row>
    <row r="43" spans="1:5" x14ac:dyDescent="0.25">
      <c r="B43" s="49"/>
    </row>
  </sheetData>
  <mergeCells count="79">
    <mergeCell ref="B39:C39"/>
    <mergeCell ref="B40:C40"/>
    <mergeCell ref="B41:C41"/>
    <mergeCell ref="A31:A41"/>
    <mergeCell ref="B31:C31"/>
    <mergeCell ref="B32:C32"/>
    <mergeCell ref="B33:C33"/>
    <mergeCell ref="B34:C34"/>
    <mergeCell ref="B35:C35"/>
    <mergeCell ref="B36:C36"/>
    <mergeCell ref="B37:C37"/>
    <mergeCell ref="B38:C38"/>
    <mergeCell ref="D37:E37"/>
    <mergeCell ref="D38:E38"/>
    <mergeCell ref="D39:E39"/>
    <mergeCell ref="D40:E40"/>
    <mergeCell ref="D41:E41"/>
    <mergeCell ref="D36:E36"/>
    <mergeCell ref="A28:C28"/>
    <mergeCell ref="D28:E28"/>
    <mergeCell ref="A30:C30"/>
    <mergeCell ref="D30:E30"/>
    <mergeCell ref="A29:C29"/>
    <mergeCell ref="D29:E29"/>
    <mergeCell ref="D31:E31"/>
    <mergeCell ref="D32:E32"/>
    <mergeCell ref="D33:E33"/>
    <mergeCell ref="D34:E34"/>
    <mergeCell ref="D35:E35"/>
    <mergeCell ref="A25:C25"/>
    <mergeCell ref="D25:E25"/>
    <mergeCell ref="A26:C26"/>
    <mergeCell ref="D26:E26"/>
    <mergeCell ref="A27:C27"/>
    <mergeCell ref="D27:E27"/>
    <mergeCell ref="A22:C22"/>
    <mergeCell ref="D22:E22"/>
    <mergeCell ref="A23:C23"/>
    <mergeCell ref="D23:E23"/>
    <mergeCell ref="A24:C24"/>
    <mergeCell ref="D24:E24"/>
    <mergeCell ref="A20:C20"/>
    <mergeCell ref="D20:E20"/>
    <mergeCell ref="A21:C21"/>
    <mergeCell ref="D21:E21"/>
    <mergeCell ref="A17:C17"/>
    <mergeCell ref="D17:E17"/>
    <mergeCell ref="A18:C18"/>
    <mergeCell ref="D18:E18"/>
    <mergeCell ref="A19:C19"/>
    <mergeCell ref="D19:E19"/>
    <mergeCell ref="A13:C13"/>
    <mergeCell ref="D13:E13"/>
    <mergeCell ref="A14:C14"/>
    <mergeCell ref="A15:C15"/>
    <mergeCell ref="A16:C16"/>
    <mergeCell ref="D14:E14"/>
    <mergeCell ref="D15:E15"/>
    <mergeCell ref="D16:E16"/>
    <mergeCell ref="A9:C9"/>
    <mergeCell ref="D9:E9"/>
    <mergeCell ref="A10:C10"/>
    <mergeCell ref="A11:C11"/>
    <mergeCell ref="A12:C12"/>
    <mergeCell ref="D10:E10"/>
    <mergeCell ref="D11:E11"/>
    <mergeCell ref="D12:E12"/>
    <mergeCell ref="A6:C6"/>
    <mergeCell ref="A7:C7"/>
    <mergeCell ref="D7:E7"/>
    <mergeCell ref="D6:E6"/>
    <mergeCell ref="A8:C8"/>
    <mergeCell ref="D8:E8"/>
    <mergeCell ref="A4:C4"/>
    <mergeCell ref="A5:C5"/>
    <mergeCell ref="A3:E3"/>
    <mergeCell ref="A2:E2"/>
    <mergeCell ref="A1:E1"/>
    <mergeCell ref="D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537"/>
      <c r="B1" s="537"/>
      <c r="C1" s="537"/>
      <c r="D1" s="537"/>
    </row>
    <row r="2" spans="1:4" ht="24.75" customHeight="1" x14ac:dyDescent="0.25">
      <c r="A2" s="537" t="s">
        <v>13</v>
      </c>
      <c r="B2" s="537"/>
      <c r="C2" s="537"/>
      <c r="D2" s="537"/>
    </row>
    <row r="3" spans="1:4" ht="24.75" customHeight="1" x14ac:dyDescent="0.25">
      <c r="A3" s="537" t="s">
        <v>14</v>
      </c>
      <c r="B3" s="537"/>
      <c r="C3" s="537"/>
      <c r="D3" s="537"/>
    </row>
    <row r="4" spans="1:4" ht="24.75" customHeight="1" x14ac:dyDescent="0.25">
      <c r="A4" s="538" t="s">
        <v>16</v>
      </c>
      <c r="B4" s="538"/>
      <c r="C4" s="538"/>
      <c r="D4" s="538"/>
    </row>
    <row r="5" spans="1:4" ht="24.75" customHeight="1" x14ac:dyDescent="0.25">
      <c r="A5" s="530" t="s">
        <v>69</v>
      </c>
      <c r="B5" s="530"/>
      <c r="C5" s="539" t="s">
        <v>18</v>
      </c>
      <c r="D5" s="539"/>
    </row>
    <row r="6" spans="1:4" ht="24.75" customHeight="1" x14ac:dyDescent="0.25">
      <c r="A6" s="91" t="s">
        <v>70</v>
      </c>
      <c r="B6" s="81"/>
      <c r="C6" s="81" t="s">
        <v>77</v>
      </c>
      <c r="D6" s="82"/>
    </row>
    <row r="7" spans="1:4" ht="24.75" customHeight="1" x14ac:dyDescent="0.25">
      <c r="A7" s="88" t="s">
        <v>71</v>
      </c>
      <c r="B7" s="89"/>
      <c r="C7" s="80" t="s">
        <v>30</v>
      </c>
      <c r="D7" s="80"/>
    </row>
    <row r="8" spans="1:4" ht="24.75" customHeight="1" x14ac:dyDescent="0.25">
      <c r="A8" s="88" t="s">
        <v>72</v>
      </c>
      <c r="B8" s="89"/>
      <c r="C8" s="80">
        <v>1</v>
      </c>
      <c r="D8" s="80"/>
    </row>
    <row r="9" spans="1:4" ht="24.75" customHeight="1" x14ac:dyDescent="0.25">
      <c r="A9" s="88" t="s">
        <v>73</v>
      </c>
      <c r="B9" s="89"/>
      <c r="C9" s="80" t="s">
        <v>78</v>
      </c>
      <c r="D9" s="80"/>
    </row>
    <row r="10" spans="1:4" ht="24.75" customHeight="1" x14ac:dyDescent="0.25">
      <c r="A10" s="88" t="s">
        <v>74</v>
      </c>
      <c r="B10" s="89"/>
      <c r="C10" s="80" t="s">
        <v>79</v>
      </c>
      <c r="D10" s="80"/>
    </row>
    <row r="11" spans="1:4" ht="24.75" customHeight="1" x14ac:dyDescent="0.25">
      <c r="A11" s="88" t="s">
        <v>75</v>
      </c>
      <c r="B11" s="89"/>
      <c r="C11" s="80" t="s">
        <v>80</v>
      </c>
      <c r="D11" s="80"/>
    </row>
    <row r="12" spans="1:4" ht="24.75" customHeight="1" x14ac:dyDescent="0.25">
      <c r="A12" s="90" t="s">
        <v>76</v>
      </c>
      <c r="B12" s="78"/>
      <c r="C12" s="78" t="s">
        <v>81</v>
      </c>
      <c r="D12" s="79"/>
    </row>
    <row r="13" spans="1:4" ht="24.75" customHeight="1" x14ac:dyDescent="0.25">
      <c r="A13" s="530" t="s">
        <v>82</v>
      </c>
      <c r="B13" s="530"/>
      <c r="C13" s="541" t="s">
        <v>83</v>
      </c>
      <c r="D13" s="541"/>
    </row>
    <row r="14" spans="1:4" ht="24.75" customHeight="1" x14ac:dyDescent="0.25">
      <c r="A14" s="91" t="s">
        <v>84</v>
      </c>
      <c r="B14" s="81"/>
      <c r="C14" s="83">
        <v>1</v>
      </c>
      <c r="D14" s="84"/>
    </row>
    <row r="15" spans="1:4" ht="24.75" customHeight="1" x14ac:dyDescent="0.25">
      <c r="A15" s="88" t="s">
        <v>85</v>
      </c>
      <c r="B15" s="89"/>
      <c r="C15" s="85" t="s">
        <v>87</v>
      </c>
      <c r="D15" s="85"/>
    </row>
    <row r="16" spans="1:4" ht="24.75" customHeight="1" x14ac:dyDescent="0.25">
      <c r="A16" s="90" t="s">
        <v>86</v>
      </c>
      <c r="B16" s="78"/>
      <c r="C16" s="86" t="s">
        <v>88</v>
      </c>
      <c r="D16" s="87"/>
    </row>
    <row r="17" spans="1:4" ht="24.75" customHeight="1" x14ac:dyDescent="0.25">
      <c r="A17" s="530" t="s">
        <v>89</v>
      </c>
      <c r="B17" s="530"/>
      <c r="C17" s="541" t="s">
        <v>18</v>
      </c>
      <c r="D17" s="541"/>
    </row>
    <row r="18" spans="1:4" ht="24.75" customHeight="1" x14ac:dyDescent="0.25">
      <c r="A18" s="533" t="s">
        <v>90</v>
      </c>
      <c r="B18" s="534"/>
      <c r="C18" s="542" t="s">
        <v>112</v>
      </c>
      <c r="D18" s="543"/>
    </row>
    <row r="19" spans="1:4" ht="24.75" customHeight="1" x14ac:dyDescent="0.25">
      <c r="A19" s="531" t="s">
        <v>91</v>
      </c>
      <c r="B19" s="532"/>
      <c r="C19" s="540" t="s">
        <v>113</v>
      </c>
      <c r="D19" s="540"/>
    </row>
    <row r="20" spans="1:4" ht="24.75" customHeight="1" x14ac:dyDescent="0.25">
      <c r="A20" s="531" t="s">
        <v>92</v>
      </c>
      <c r="B20" s="532"/>
      <c r="C20" s="540" t="s">
        <v>114</v>
      </c>
      <c r="D20" s="540"/>
    </row>
    <row r="21" spans="1:4" ht="24.75" customHeight="1" x14ac:dyDescent="0.25">
      <c r="A21" s="531" t="s">
        <v>93</v>
      </c>
      <c r="B21" s="532"/>
      <c r="C21" s="540" t="s">
        <v>112</v>
      </c>
      <c r="D21" s="540"/>
    </row>
    <row r="22" spans="1:4" ht="24.75" customHeight="1" x14ac:dyDescent="0.25">
      <c r="A22" s="531" t="s">
        <v>94</v>
      </c>
      <c r="B22" s="532"/>
      <c r="C22" s="540" t="s">
        <v>112</v>
      </c>
      <c r="D22" s="540"/>
    </row>
    <row r="23" spans="1:4" ht="24.75" customHeight="1" x14ac:dyDescent="0.25">
      <c r="A23" s="531" t="s">
        <v>95</v>
      </c>
      <c r="B23" s="532"/>
      <c r="C23" s="540" t="s">
        <v>115</v>
      </c>
      <c r="D23" s="540"/>
    </row>
    <row r="24" spans="1:4" ht="24.75" customHeight="1" x14ac:dyDescent="0.25">
      <c r="A24" s="531" t="s">
        <v>96</v>
      </c>
      <c r="B24" s="532"/>
      <c r="C24" s="540" t="s">
        <v>61</v>
      </c>
      <c r="D24" s="540"/>
    </row>
    <row r="25" spans="1:4" ht="24.75" customHeight="1" x14ac:dyDescent="0.25">
      <c r="A25" s="531" t="s">
        <v>97</v>
      </c>
      <c r="B25" s="532"/>
      <c r="C25" s="540" t="s">
        <v>116</v>
      </c>
      <c r="D25" s="540"/>
    </row>
    <row r="26" spans="1:4" ht="24.75" customHeight="1" x14ac:dyDescent="0.25">
      <c r="A26" s="531" t="s">
        <v>98</v>
      </c>
      <c r="B26" s="532"/>
      <c r="C26" s="540" t="s">
        <v>112</v>
      </c>
      <c r="D26" s="540"/>
    </row>
    <row r="27" spans="1:4" ht="24.75" customHeight="1" x14ac:dyDescent="0.25">
      <c r="A27" s="535" t="s">
        <v>99</v>
      </c>
      <c r="B27" s="536"/>
      <c r="C27" s="544" t="s">
        <v>115</v>
      </c>
      <c r="D27" s="545"/>
    </row>
    <row r="28" spans="1:4" ht="24.75" customHeight="1" x14ac:dyDescent="0.25">
      <c r="A28" s="533" t="s">
        <v>100</v>
      </c>
      <c r="B28" s="534"/>
      <c r="C28" s="542" t="s">
        <v>112</v>
      </c>
      <c r="D28" s="543"/>
    </row>
    <row r="29" spans="1:4" ht="24.75" customHeight="1" x14ac:dyDescent="0.25">
      <c r="A29" s="531" t="s">
        <v>101</v>
      </c>
      <c r="B29" s="532"/>
      <c r="C29" s="540" t="s">
        <v>112</v>
      </c>
      <c r="D29" s="540"/>
    </row>
    <row r="30" spans="1:4" ht="24.75" customHeight="1" x14ac:dyDescent="0.25">
      <c r="A30" s="531" t="s">
        <v>111</v>
      </c>
      <c r="B30" s="532"/>
      <c r="C30" s="540" t="s">
        <v>117</v>
      </c>
      <c r="D30" s="540"/>
    </row>
    <row r="31" spans="1:4" ht="24.75" customHeight="1" x14ac:dyDescent="0.25">
      <c r="A31" s="531" t="s">
        <v>102</v>
      </c>
      <c r="B31" s="532"/>
      <c r="C31" s="540" t="s">
        <v>112</v>
      </c>
      <c r="D31" s="540"/>
    </row>
    <row r="32" spans="1:4" ht="24.75" customHeight="1" x14ac:dyDescent="0.25">
      <c r="A32" s="531" t="s">
        <v>103</v>
      </c>
      <c r="B32" s="532"/>
      <c r="C32" s="540" t="s">
        <v>112</v>
      </c>
      <c r="D32" s="540"/>
    </row>
    <row r="33" spans="1:4" ht="24.75" customHeight="1" x14ac:dyDescent="0.25">
      <c r="A33" s="531" t="s">
        <v>104</v>
      </c>
      <c r="B33" s="532"/>
      <c r="C33" s="540" t="s">
        <v>118</v>
      </c>
      <c r="D33" s="540"/>
    </row>
    <row r="34" spans="1:4" ht="24.75" customHeight="1" x14ac:dyDescent="0.25">
      <c r="A34" s="531" t="s">
        <v>105</v>
      </c>
      <c r="B34" s="532"/>
      <c r="C34" s="540" t="s">
        <v>112</v>
      </c>
      <c r="D34" s="540"/>
    </row>
    <row r="35" spans="1:4" ht="24.75" customHeight="1" x14ac:dyDescent="0.25">
      <c r="A35" s="531" t="s">
        <v>106</v>
      </c>
      <c r="B35" s="532"/>
      <c r="C35" s="540" t="s">
        <v>112</v>
      </c>
      <c r="D35" s="540"/>
    </row>
    <row r="36" spans="1:4" ht="24.75" customHeight="1" x14ac:dyDescent="0.25">
      <c r="A36" s="531" t="s">
        <v>107</v>
      </c>
      <c r="B36" s="532"/>
      <c r="C36" s="540" t="s">
        <v>115</v>
      </c>
      <c r="D36" s="540"/>
    </row>
    <row r="37" spans="1:4" ht="24.75" customHeight="1" x14ac:dyDescent="0.25">
      <c r="A37" s="531" t="s">
        <v>108</v>
      </c>
      <c r="B37" s="532"/>
      <c r="C37" s="540" t="s">
        <v>112</v>
      </c>
      <c r="D37" s="540"/>
    </row>
    <row r="38" spans="1:4" ht="24.75" customHeight="1" x14ac:dyDescent="0.25">
      <c r="A38" s="531" t="s">
        <v>109</v>
      </c>
      <c r="B38" s="532"/>
      <c r="C38" s="540" t="s">
        <v>119</v>
      </c>
      <c r="D38" s="540"/>
    </row>
    <row r="39" spans="1:4" ht="24.75" customHeight="1" x14ac:dyDescent="0.25">
      <c r="A39" s="535" t="s">
        <v>110</v>
      </c>
      <c r="B39" s="536"/>
      <c r="C39" s="544" t="s">
        <v>120</v>
      </c>
      <c r="D39" s="545"/>
    </row>
  </sheetData>
  <mergeCells count="54">
    <mergeCell ref="C39:D39"/>
    <mergeCell ref="C33:D33"/>
    <mergeCell ref="C34:D34"/>
    <mergeCell ref="C35:D35"/>
    <mergeCell ref="C36:D36"/>
    <mergeCell ref="C37:D37"/>
    <mergeCell ref="C38:D38"/>
    <mergeCell ref="C32:D32"/>
    <mergeCell ref="C21:D21"/>
    <mergeCell ref="C22:D22"/>
    <mergeCell ref="C23:D23"/>
    <mergeCell ref="C24:D24"/>
    <mergeCell ref="C25:D25"/>
    <mergeCell ref="C26:D26"/>
    <mergeCell ref="C27:D27"/>
    <mergeCell ref="C28:D28"/>
    <mergeCell ref="C29:D29"/>
    <mergeCell ref="C30:D30"/>
    <mergeCell ref="C31:D31"/>
    <mergeCell ref="C20:D20"/>
    <mergeCell ref="C13:D13"/>
    <mergeCell ref="C17:D17"/>
    <mergeCell ref="C18:D18"/>
    <mergeCell ref="C19:D19"/>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A31:B31"/>
    <mergeCell ref="A32:B32"/>
    <mergeCell ref="A21:B21"/>
    <mergeCell ref="A22:B22"/>
    <mergeCell ref="A23:B23"/>
    <mergeCell ref="A24:B24"/>
    <mergeCell ref="A25:B25"/>
    <mergeCell ref="A26:B26"/>
    <mergeCell ref="A5:B5"/>
    <mergeCell ref="A20:B20"/>
    <mergeCell ref="A13:B13"/>
    <mergeCell ref="A17:B17"/>
    <mergeCell ref="A18:B18"/>
    <mergeCell ref="A19:B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21"/>
    <col min="2" max="2" width="10.875" style="207"/>
    <col min="3" max="3" width="16.875" style="121" bestFit="1" customWidth="1"/>
    <col min="4" max="4" width="10.875" style="121"/>
    <col min="5" max="5" width="25" style="208" bestFit="1" customWidth="1"/>
    <col min="6" max="7" width="10.875" style="121"/>
    <col min="8" max="8" width="34.125" style="208" bestFit="1" customWidth="1"/>
    <col min="9" max="9" width="12.5" style="121" bestFit="1" customWidth="1"/>
    <col min="10" max="10" width="21.625" style="121" bestFit="1" customWidth="1"/>
    <col min="11" max="11" width="15" style="121" bestFit="1" customWidth="1"/>
    <col min="12" max="12" width="24.625" style="208" bestFit="1" customWidth="1"/>
    <col min="13" max="13" width="14.5" style="121" bestFit="1" customWidth="1"/>
    <col min="14" max="14" width="29.375" style="208" customWidth="1"/>
    <col min="15" max="15" width="10.875" style="121"/>
    <col min="16" max="16" width="12.5" style="121" bestFit="1" customWidth="1"/>
    <col min="17" max="16384" width="10.875" style="121"/>
  </cols>
  <sheetData>
    <row r="1" spans="1:17" s="124" customFormat="1" x14ac:dyDescent="0.2">
      <c r="A1" s="121"/>
      <c r="B1" s="121"/>
      <c r="C1" s="122"/>
      <c r="D1" s="122"/>
      <c r="E1" s="123"/>
      <c r="F1" s="122"/>
      <c r="G1" s="122"/>
      <c r="H1" s="123"/>
      <c r="J1" s="125"/>
      <c r="K1" s="122"/>
      <c r="L1" s="123"/>
      <c r="M1" s="122"/>
      <c r="N1" s="123"/>
      <c r="O1" s="122"/>
      <c r="P1" s="122"/>
      <c r="Q1" s="122"/>
    </row>
    <row r="2" spans="1:17" x14ac:dyDescent="0.2">
      <c r="B2" s="121" t="s">
        <v>175</v>
      </c>
      <c r="C2" s="126"/>
      <c r="D2" s="126"/>
      <c r="E2" s="127"/>
      <c r="F2" s="126"/>
      <c r="G2" s="126"/>
      <c r="H2" s="127"/>
      <c r="I2" s="126"/>
      <c r="K2" s="126"/>
      <c r="L2" s="127"/>
      <c r="M2" s="126"/>
      <c r="N2" s="127"/>
      <c r="O2" s="126"/>
      <c r="P2" s="126"/>
      <c r="Q2" s="126"/>
    </row>
    <row r="3" spans="1:17" ht="15.75" thickBot="1" x14ac:dyDescent="0.25">
      <c r="B3" s="121"/>
      <c r="C3" s="126"/>
      <c r="D3" s="126"/>
      <c r="E3" s="127"/>
      <c r="F3" s="126"/>
      <c r="G3" s="126"/>
      <c r="H3" s="127"/>
      <c r="J3" s="128"/>
      <c r="K3" s="126"/>
      <c r="L3" s="127"/>
      <c r="M3" s="126"/>
      <c r="N3" s="127"/>
      <c r="O3" s="126"/>
      <c r="P3" s="126"/>
      <c r="Q3" s="126"/>
    </row>
    <row r="4" spans="1:17" x14ac:dyDescent="0.2">
      <c r="B4" s="129"/>
      <c r="C4" s="130"/>
      <c r="D4" s="130"/>
      <c r="E4" s="131"/>
      <c r="F4" s="130"/>
      <c r="G4" s="130"/>
      <c r="H4" s="131"/>
      <c r="I4" s="130"/>
      <c r="J4" s="130"/>
      <c r="K4" s="130"/>
      <c r="L4" s="131"/>
      <c r="M4" s="130"/>
      <c r="N4" s="131"/>
      <c r="O4" s="130"/>
      <c r="P4" s="130"/>
      <c r="Q4" s="132"/>
    </row>
    <row r="5" spans="1:17" x14ac:dyDescent="0.2">
      <c r="B5" s="133"/>
      <c r="C5" s="134" t="s">
        <v>176</v>
      </c>
      <c r="D5" s="209" t="s">
        <v>128</v>
      </c>
      <c r="E5" s="134" t="s">
        <v>177</v>
      </c>
      <c r="F5" s="135"/>
      <c r="G5" s="210">
        <v>44743</v>
      </c>
      <c r="H5" s="134" t="s">
        <v>178</v>
      </c>
      <c r="I5" s="211" t="s">
        <v>179</v>
      </c>
      <c r="J5" s="136"/>
      <c r="K5" s="136"/>
      <c r="L5" s="134" t="s">
        <v>180</v>
      </c>
      <c r="M5" s="212">
        <v>0</v>
      </c>
      <c r="N5" s="134"/>
      <c r="O5" s="135" t="s">
        <v>181</v>
      </c>
      <c r="P5" s="137">
        <f>+'Step 1'!E104</f>
        <v>1.012121212121212</v>
      </c>
      <c r="Q5" s="138"/>
    </row>
    <row r="6" spans="1:17" x14ac:dyDescent="0.2">
      <c r="B6" s="133"/>
      <c r="C6" s="134"/>
      <c r="D6" s="209"/>
      <c r="E6" s="134"/>
      <c r="F6" s="135"/>
      <c r="G6" s="209"/>
      <c r="H6" s="134"/>
      <c r="I6" s="209"/>
      <c r="J6" s="136"/>
      <c r="K6" s="136"/>
      <c r="L6" s="134"/>
      <c r="M6" s="209"/>
      <c r="N6" s="134"/>
      <c r="O6" s="136"/>
      <c r="P6" s="136"/>
      <c r="Q6" s="138"/>
    </row>
    <row r="7" spans="1:17" x14ac:dyDescent="0.2">
      <c r="B7" s="133"/>
      <c r="C7" s="134" t="s">
        <v>182</v>
      </c>
      <c r="D7" s="209" t="s">
        <v>129</v>
      </c>
      <c r="E7" s="134" t="s">
        <v>183</v>
      </c>
      <c r="F7" s="135"/>
      <c r="G7" s="210">
        <v>45108</v>
      </c>
      <c r="H7" s="134" t="s">
        <v>184</v>
      </c>
      <c r="I7" s="211" t="s">
        <v>239</v>
      </c>
      <c r="J7" s="136"/>
      <c r="K7" s="136"/>
      <c r="L7" s="134" t="s">
        <v>185</v>
      </c>
      <c r="M7" s="211" t="s">
        <v>70</v>
      </c>
      <c r="N7" s="134"/>
      <c r="O7" s="136"/>
      <c r="P7" s="136"/>
      <c r="Q7" s="138"/>
    </row>
    <row r="8" spans="1:17" x14ac:dyDescent="0.2">
      <c r="B8" s="133"/>
      <c r="C8" s="134"/>
      <c r="D8" s="209"/>
      <c r="E8" s="134"/>
      <c r="F8" s="135"/>
      <c r="G8" s="209"/>
      <c r="H8" s="134"/>
      <c r="I8" s="209"/>
      <c r="J8" s="136"/>
      <c r="K8" s="136"/>
      <c r="L8" s="134"/>
      <c r="M8" s="209"/>
      <c r="N8" s="134"/>
      <c r="O8" s="136"/>
      <c r="P8" s="136"/>
      <c r="Q8" s="138"/>
    </row>
    <row r="9" spans="1:17" x14ac:dyDescent="0.2">
      <c r="B9" s="133"/>
      <c r="C9" s="134" t="s">
        <v>186</v>
      </c>
      <c r="D9" s="209" t="s">
        <v>187</v>
      </c>
      <c r="E9" s="134" t="s">
        <v>188</v>
      </c>
      <c r="F9" s="135"/>
      <c r="G9" s="209">
        <v>1</v>
      </c>
      <c r="H9" s="134" t="s">
        <v>189</v>
      </c>
      <c r="I9" s="211" t="s">
        <v>190</v>
      </c>
      <c r="J9" s="136"/>
      <c r="K9" s="136"/>
      <c r="L9" s="134" t="s">
        <v>191</v>
      </c>
      <c r="M9" s="211" t="s">
        <v>192</v>
      </c>
      <c r="N9" s="139" t="s">
        <v>193</v>
      </c>
      <c r="O9" s="140"/>
      <c r="P9" s="140"/>
      <c r="Q9" s="141"/>
    </row>
    <row r="10" spans="1:17" ht="15.75" thickBot="1" x14ac:dyDescent="0.25">
      <c r="B10" s="142"/>
      <c r="C10" s="143"/>
      <c r="D10" s="143"/>
      <c r="E10" s="144"/>
      <c r="F10" s="143"/>
      <c r="G10" s="143"/>
      <c r="H10" s="144"/>
      <c r="I10" s="143"/>
      <c r="J10" s="143"/>
      <c r="K10" s="143"/>
      <c r="L10" s="144"/>
      <c r="M10" s="143"/>
      <c r="N10" s="144"/>
      <c r="O10" s="143"/>
      <c r="P10" s="143"/>
      <c r="Q10" s="145"/>
    </row>
    <row r="11" spans="1:17" ht="16.5" thickBot="1" x14ac:dyDescent="0.3">
      <c r="B11" s="146" t="s">
        <v>194</v>
      </c>
      <c r="C11" s="147"/>
      <c r="D11" s="148" t="s">
        <v>195</v>
      </c>
      <c r="E11" s="149"/>
      <c r="F11" s="150"/>
      <c r="G11" s="151" t="s">
        <v>194</v>
      </c>
      <c r="H11" s="152" t="s">
        <v>196</v>
      </c>
      <c r="I11" s="153"/>
      <c r="J11" s="153"/>
      <c r="K11" s="154"/>
      <c r="L11" s="155" t="s">
        <v>197</v>
      </c>
      <c r="M11" s="156"/>
      <c r="N11" s="157" t="s">
        <v>198</v>
      </c>
      <c r="O11" s="158"/>
      <c r="P11" s="156"/>
      <c r="Q11" s="151" t="s">
        <v>199</v>
      </c>
    </row>
    <row r="12" spans="1:17" ht="15.75" x14ac:dyDescent="0.25">
      <c r="B12" s="159"/>
      <c r="C12" s="160" t="s">
        <v>200</v>
      </c>
      <c r="D12" s="160"/>
      <c r="E12" s="161" t="s">
        <v>201</v>
      </c>
      <c r="F12" s="162"/>
      <c r="G12" s="163"/>
      <c r="H12" s="164" t="s">
        <v>202</v>
      </c>
      <c r="I12" s="165"/>
      <c r="J12" s="165" t="s">
        <v>201</v>
      </c>
      <c r="K12" s="166"/>
      <c r="L12" s="167" t="s">
        <v>203</v>
      </c>
      <c r="M12" s="166"/>
      <c r="N12" s="167" t="s">
        <v>203</v>
      </c>
      <c r="O12" s="165"/>
      <c r="P12" s="166"/>
      <c r="Q12" s="168"/>
    </row>
    <row r="13" spans="1:17" ht="15.75" x14ac:dyDescent="0.25">
      <c r="B13" s="169"/>
      <c r="C13" s="170" t="s">
        <v>203</v>
      </c>
      <c r="D13" s="170"/>
      <c r="E13" s="171" t="s">
        <v>204</v>
      </c>
      <c r="F13" s="172"/>
      <c r="G13" s="173" t="s">
        <v>192</v>
      </c>
      <c r="H13" s="174" t="s">
        <v>203</v>
      </c>
      <c r="I13" s="175"/>
      <c r="J13" s="140" t="s">
        <v>205</v>
      </c>
      <c r="K13" s="176"/>
      <c r="L13" s="139" t="s">
        <v>206</v>
      </c>
      <c r="M13" s="176"/>
      <c r="N13" s="139" t="s">
        <v>206</v>
      </c>
      <c r="O13" s="140"/>
      <c r="P13" s="176"/>
      <c r="Q13" s="177"/>
    </row>
    <row r="14" spans="1:17" ht="16.5" thickBot="1" x14ac:dyDescent="0.3">
      <c r="B14" s="178"/>
      <c r="C14" s="179" t="s">
        <v>206</v>
      </c>
      <c r="D14" s="179"/>
      <c r="E14" s="180"/>
      <c r="F14" s="181"/>
      <c r="G14" s="182"/>
      <c r="H14" s="183" t="s">
        <v>207</v>
      </c>
      <c r="I14" s="184"/>
      <c r="J14" s="185"/>
      <c r="K14" s="186"/>
      <c r="L14" s="187"/>
      <c r="M14" s="188"/>
      <c r="N14" s="187"/>
      <c r="O14" s="185"/>
      <c r="P14" s="188"/>
      <c r="Q14" s="189"/>
    </row>
    <row r="15" spans="1:17" ht="15.75" x14ac:dyDescent="0.25">
      <c r="B15" s="159"/>
      <c r="C15" s="160" t="s">
        <v>208</v>
      </c>
      <c r="D15" s="160"/>
      <c r="E15" s="161" t="s">
        <v>201</v>
      </c>
      <c r="F15" s="162"/>
      <c r="G15" s="163"/>
      <c r="H15" s="190" t="s">
        <v>241</v>
      </c>
      <c r="I15" s="122" t="s">
        <v>242</v>
      </c>
      <c r="J15" s="122" t="s">
        <v>201</v>
      </c>
      <c r="K15" s="191"/>
      <c r="L15" s="131" t="s">
        <v>209</v>
      </c>
      <c r="M15" s="192"/>
      <c r="N15" s="131" t="s">
        <v>209</v>
      </c>
      <c r="O15" s="130"/>
      <c r="P15" s="192"/>
      <c r="Q15" s="168"/>
    </row>
    <row r="16" spans="1:17" ht="15.75" x14ac:dyDescent="0.25">
      <c r="B16" s="169"/>
      <c r="C16" s="170" t="s">
        <v>203</v>
      </c>
      <c r="D16" s="170"/>
      <c r="E16" s="171" t="s">
        <v>210</v>
      </c>
      <c r="F16" s="172"/>
      <c r="G16" s="173" t="s">
        <v>192</v>
      </c>
      <c r="H16" s="193" t="s">
        <v>203</v>
      </c>
      <c r="I16" s="194"/>
      <c r="J16" s="126" t="s">
        <v>210</v>
      </c>
      <c r="K16" s="195"/>
      <c r="L16" s="134" t="s">
        <v>206</v>
      </c>
      <c r="M16" s="196"/>
      <c r="N16" s="134" t="s">
        <v>206</v>
      </c>
      <c r="O16" s="136"/>
      <c r="P16" s="196"/>
      <c r="Q16" s="177"/>
    </row>
    <row r="17" spans="2:17" ht="16.5" thickBot="1" x14ac:dyDescent="0.3">
      <c r="B17" s="178"/>
      <c r="C17" s="179" t="s">
        <v>206</v>
      </c>
      <c r="D17" s="179"/>
      <c r="E17" s="180" t="s">
        <v>211</v>
      </c>
      <c r="F17" s="181"/>
      <c r="G17" s="182"/>
      <c r="H17" s="197" t="s">
        <v>207</v>
      </c>
      <c r="I17" s="198"/>
      <c r="J17" s="199" t="s">
        <v>212</v>
      </c>
      <c r="K17" s="200"/>
      <c r="L17" s="144"/>
      <c r="M17" s="201"/>
      <c r="N17" s="144"/>
      <c r="O17" s="143"/>
      <c r="P17" s="201"/>
      <c r="Q17" s="189"/>
    </row>
    <row r="18" spans="2:17" ht="15.75" x14ac:dyDescent="0.25">
      <c r="B18" s="159"/>
      <c r="C18" s="160" t="s">
        <v>213</v>
      </c>
      <c r="D18" s="160"/>
      <c r="E18" s="161" t="s">
        <v>201</v>
      </c>
      <c r="F18" s="162"/>
      <c r="G18" s="163"/>
      <c r="H18" s="190" t="s">
        <v>243</v>
      </c>
      <c r="I18" s="122" t="s">
        <v>148</v>
      </c>
      <c r="J18" s="122" t="s">
        <v>201</v>
      </c>
      <c r="K18" s="191"/>
      <c r="L18" s="131" t="s">
        <v>214</v>
      </c>
      <c r="M18" s="192"/>
      <c r="N18" s="131" t="s">
        <v>214</v>
      </c>
      <c r="O18" s="130"/>
      <c r="P18" s="192"/>
      <c r="Q18" s="168"/>
    </row>
    <row r="19" spans="2:17" ht="15.75" x14ac:dyDescent="0.25">
      <c r="B19" s="169"/>
      <c r="C19" s="170" t="s">
        <v>203</v>
      </c>
      <c r="D19" s="170"/>
      <c r="E19" s="171" t="s">
        <v>210</v>
      </c>
      <c r="F19" s="172"/>
      <c r="G19" s="173" t="s">
        <v>192</v>
      </c>
      <c r="H19" s="193" t="s">
        <v>203</v>
      </c>
      <c r="I19" s="194"/>
      <c r="J19" s="126" t="s">
        <v>210</v>
      </c>
      <c r="K19" s="195"/>
      <c r="L19" s="134" t="s">
        <v>206</v>
      </c>
      <c r="M19" s="196"/>
      <c r="N19" s="134" t="s">
        <v>206</v>
      </c>
      <c r="O19" s="136"/>
      <c r="P19" s="196"/>
      <c r="Q19" s="177"/>
    </row>
    <row r="20" spans="2:17" ht="16.5" thickBot="1" x14ac:dyDescent="0.3">
      <c r="B20" s="178"/>
      <c r="C20" s="179" t="s">
        <v>206</v>
      </c>
      <c r="D20" s="179"/>
      <c r="E20" s="180" t="s">
        <v>211</v>
      </c>
      <c r="F20" s="181"/>
      <c r="G20" s="182"/>
      <c r="H20" s="197" t="s">
        <v>207</v>
      </c>
      <c r="I20" s="194"/>
      <c r="J20" s="199" t="s">
        <v>212</v>
      </c>
      <c r="K20" s="202"/>
      <c r="L20" s="144"/>
      <c r="M20" s="201"/>
      <c r="N20" s="144"/>
      <c r="O20" s="143"/>
      <c r="P20" s="201"/>
      <c r="Q20" s="189"/>
    </row>
    <row r="21" spans="2:17" ht="15.75" x14ac:dyDescent="0.25">
      <c r="B21" s="159"/>
      <c r="C21" s="160" t="s">
        <v>215</v>
      </c>
      <c r="D21" s="160"/>
      <c r="E21" s="161" t="s">
        <v>201</v>
      </c>
      <c r="F21" s="162"/>
      <c r="G21" s="163"/>
      <c r="H21" s="190" t="s">
        <v>244</v>
      </c>
      <c r="I21" s="122" t="s">
        <v>245</v>
      </c>
      <c r="J21" s="122" t="s">
        <v>201</v>
      </c>
      <c r="K21" s="191"/>
      <c r="L21" s="131" t="s">
        <v>216</v>
      </c>
      <c r="M21" s="192"/>
      <c r="N21" s="131" t="s">
        <v>216</v>
      </c>
      <c r="O21" s="130"/>
      <c r="P21" s="192"/>
      <c r="Q21" s="168"/>
    </row>
    <row r="22" spans="2:17" ht="15.75" x14ac:dyDescent="0.25">
      <c r="B22" s="169"/>
      <c r="C22" s="170" t="s">
        <v>203</v>
      </c>
      <c r="D22" s="170"/>
      <c r="E22" s="171" t="s">
        <v>210</v>
      </c>
      <c r="F22" s="172"/>
      <c r="G22" s="173" t="s">
        <v>192</v>
      </c>
      <c r="H22" s="193" t="s">
        <v>203</v>
      </c>
      <c r="I22" s="194"/>
      <c r="J22" s="126" t="s">
        <v>210</v>
      </c>
      <c r="K22" s="195"/>
      <c r="L22" s="134" t="s">
        <v>206</v>
      </c>
      <c r="M22" s="196"/>
      <c r="N22" s="134" t="s">
        <v>206</v>
      </c>
      <c r="O22" s="136"/>
      <c r="P22" s="196"/>
      <c r="Q22" s="177"/>
    </row>
    <row r="23" spans="2:17" ht="16.5" thickBot="1" x14ac:dyDescent="0.3">
      <c r="B23" s="178"/>
      <c r="C23" s="179" t="s">
        <v>206</v>
      </c>
      <c r="D23" s="179"/>
      <c r="E23" s="180" t="s">
        <v>211</v>
      </c>
      <c r="F23" s="181"/>
      <c r="G23" s="182"/>
      <c r="H23" s="197" t="s">
        <v>207</v>
      </c>
      <c r="I23" s="198"/>
      <c r="J23" s="199" t="s">
        <v>212</v>
      </c>
      <c r="K23" s="200"/>
      <c r="L23" s="144"/>
      <c r="M23" s="201"/>
      <c r="N23" s="144"/>
      <c r="O23" s="143"/>
      <c r="P23" s="201"/>
      <c r="Q23" s="189"/>
    </row>
    <row r="24" spans="2:17" ht="15.75" x14ac:dyDescent="0.25">
      <c r="B24" s="159"/>
      <c r="C24" s="160" t="s">
        <v>217</v>
      </c>
      <c r="D24" s="160"/>
      <c r="E24" s="161" t="s">
        <v>201</v>
      </c>
      <c r="F24" s="162"/>
      <c r="G24" s="163"/>
      <c r="H24" s="190" t="s">
        <v>246</v>
      </c>
      <c r="I24" s="122" t="s">
        <v>247</v>
      </c>
      <c r="J24" s="122" t="s">
        <v>201</v>
      </c>
      <c r="K24" s="191"/>
      <c r="L24" s="131" t="s">
        <v>218</v>
      </c>
      <c r="M24" s="192"/>
      <c r="N24" s="131" t="s">
        <v>218</v>
      </c>
      <c r="O24" s="130"/>
      <c r="P24" s="196"/>
      <c r="Q24" s="168"/>
    </row>
    <row r="25" spans="2:17" ht="15.75" x14ac:dyDescent="0.25">
      <c r="B25" s="169"/>
      <c r="C25" s="170" t="s">
        <v>203</v>
      </c>
      <c r="D25" s="170"/>
      <c r="E25" s="171" t="s">
        <v>210</v>
      </c>
      <c r="F25" s="172"/>
      <c r="G25" s="173" t="s">
        <v>192</v>
      </c>
      <c r="H25" s="193" t="s">
        <v>203</v>
      </c>
      <c r="I25" s="194"/>
      <c r="J25" s="126" t="s">
        <v>210</v>
      </c>
      <c r="K25" s="195"/>
      <c r="L25" s="134" t="s">
        <v>206</v>
      </c>
      <c r="M25" s="196"/>
      <c r="N25" s="134" t="s">
        <v>206</v>
      </c>
      <c r="O25" s="136"/>
      <c r="P25" s="196"/>
      <c r="Q25" s="177"/>
    </row>
    <row r="26" spans="2:17" ht="16.5" thickBot="1" x14ac:dyDescent="0.3">
      <c r="B26" s="178"/>
      <c r="C26" s="179" t="s">
        <v>206</v>
      </c>
      <c r="D26" s="179"/>
      <c r="E26" s="180" t="s">
        <v>211</v>
      </c>
      <c r="F26" s="181"/>
      <c r="G26" s="182"/>
      <c r="H26" s="197" t="s">
        <v>207</v>
      </c>
      <c r="I26" s="198"/>
      <c r="J26" s="199" t="s">
        <v>212</v>
      </c>
      <c r="K26" s="200"/>
      <c r="L26" s="144"/>
      <c r="M26" s="201"/>
      <c r="N26" s="144"/>
      <c r="O26" s="143"/>
      <c r="P26" s="201"/>
      <c r="Q26" s="189"/>
    </row>
    <row r="27" spans="2:17" ht="15.75" x14ac:dyDescent="0.25">
      <c r="B27" s="159"/>
      <c r="C27" s="160" t="s">
        <v>219</v>
      </c>
      <c r="D27" s="160"/>
      <c r="E27" s="161" t="s">
        <v>201</v>
      </c>
      <c r="F27" s="162"/>
      <c r="G27" s="163"/>
      <c r="H27" s="190" t="s">
        <v>248</v>
      </c>
      <c r="I27" s="122" t="s">
        <v>150</v>
      </c>
      <c r="J27" s="122" t="s">
        <v>201</v>
      </c>
      <c r="K27" s="191"/>
      <c r="L27" s="131" t="s">
        <v>220</v>
      </c>
      <c r="M27" s="192"/>
      <c r="N27" s="131" t="s">
        <v>220</v>
      </c>
      <c r="O27" s="130"/>
      <c r="P27" s="192"/>
      <c r="Q27" s="168"/>
    </row>
    <row r="28" spans="2:17" ht="15.75" x14ac:dyDescent="0.25">
      <c r="B28" s="169"/>
      <c r="C28" s="170" t="s">
        <v>203</v>
      </c>
      <c r="D28" s="170"/>
      <c r="E28" s="171" t="s">
        <v>210</v>
      </c>
      <c r="F28" s="172"/>
      <c r="G28" s="173" t="s">
        <v>192</v>
      </c>
      <c r="H28" s="193" t="s">
        <v>203</v>
      </c>
      <c r="I28" s="194"/>
      <c r="J28" s="126" t="s">
        <v>210</v>
      </c>
      <c r="K28" s="195"/>
      <c r="L28" s="134" t="s">
        <v>206</v>
      </c>
      <c r="M28" s="196"/>
      <c r="N28" s="134" t="s">
        <v>206</v>
      </c>
      <c r="O28" s="136"/>
      <c r="P28" s="196"/>
      <c r="Q28" s="177"/>
    </row>
    <row r="29" spans="2:17" ht="16.5" thickBot="1" x14ac:dyDescent="0.3">
      <c r="B29" s="178"/>
      <c r="C29" s="179" t="s">
        <v>206</v>
      </c>
      <c r="D29" s="179"/>
      <c r="E29" s="180" t="s">
        <v>211</v>
      </c>
      <c r="F29" s="181"/>
      <c r="G29" s="182"/>
      <c r="H29" s="197" t="s">
        <v>207</v>
      </c>
      <c r="I29" s="198"/>
      <c r="J29" s="199" t="s">
        <v>212</v>
      </c>
      <c r="K29" s="200"/>
      <c r="L29" s="144"/>
      <c r="M29" s="145"/>
      <c r="N29" s="144"/>
      <c r="O29" s="143"/>
      <c r="P29" s="201"/>
      <c r="Q29" s="189"/>
    </row>
    <row r="30" spans="2:17" ht="15.75" hidden="1" outlineLevel="1" x14ac:dyDescent="0.25">
      <c r="B30" s="159"/>
      <c r="C30" s="160" t="s">
        <v>221</v>
      </c>
      <c r="D30" s="160"/>
      <c r="E30" s="161" t="s">
        <v>201</v>
      </c>
      <c r="F30" s="162"/>
      <c r="G30" s="163"/>
      <c r="H30" s="190" t="s">
        <v>221</v>
      </c>
      <c r="I30" s="122"/>
      <c r="J30" s="122" t="s">
        <v>201</v>
      </c>
      <c r="K30" s="203"/>
      <c r="L30" s="131" t="s">
        <v>222</v>
      </c>
      <c r="M30" s="132"/>
      <c r="N30" s="131" t="s">
        <v>222</v>
      </c>
      <c r="O30" s="130"/>
      <c r="P30" s="192"/>
      <c r="Q30" s="163"/>
    </row>
    <row r="31" spans="2:17" ht="15.75" hidden="1" outlineLevel="1" x14ac:dyDescent="0.25">
      <c r="B31" s="169"/>
      <c r="C31" s="170" t="s">
        <v>203</v>
      </c>
      <c r="D31" s="170"/>
      <c r="E31" s="171" t="s">
        <v>210</v>
      </c>
      <c r="F31" s="172"/>
      <c r="G31" s="204"/>
      <c r="H31" s="193" t="s">
        <v>203</v>
      </c>
      <c r="I31" s="126"/>
      <c r="J31" s="126" t="s">
        <v>210</v>
      </c>
      <c r="K31" s="205"/>
      <c r="L31" s="134" t="s">
        <v>206</v>
      </c>
      <c r="M31" s="138"/>
      <c r="N31" s="134" t="s">
        <v>206</v>
      </c>
      <c r="O31" s="136"/>
      <c r="P31" s="196"/>
      <c r="Q31" s="204"/>
    </row>
    <row r="32" spans="2:17" ht="16.5" hidden="1" outlineLevel="1" thickBot="1" x14ac:dyDescent="0.3">
      <c r="B32" s="178"/>
      <c r="C32" s="179" t="s">
        <v>206</v>
      </c>
      <c r="D32" s="179"/>
      <c r="E32" s="180" t="s">
        <v>211</v>
      </c>
      <c r="F32" s="181"/>
      <c r="G32" s="182"/>
      <c r="H32" s="197" t="s">
        <v>207</v>
      </c>
      <c r="I32" s="199"/>
      <c r="J32" s="199" t="s">
        <v>212</v>
      </c>
      <c r="K32" s="206"/>
      <c r="L32" s="144"/>
      <c r="M32" s="145"/>
      <c r="N32" s="144"/>
      <c r="O32" s="143"/>
      <c r="P32" s="201"/>
      <c r="Q32" s="182"/>
    </row>
    <row r="33" spans="2:17" ht="15.75" hidden="1" outlineLevel="1" x14ac:dyDescent="0.25">
      <c r="B33" s="159"/>
      <c r="C33" s="170" t="s">
        <v>223</v>
      </c>
      <c r="D33" s="170"/>
      <c r="E33" s="171" t="s">
        <v>201</v>
      </c>
      <c r="F33" s="172"/>
      <c r="G33" s="163"/>
      <c r="H33" s="190" t="s">
        <v>223</v>
      </c>
      <c r="I33" s="122"/>
      <c r="J33" s="122" t="s">
        <v>201</v>
      </c>
      <c r="K33" s="203"/>
      <c r="L33" s="131" t="s">
        <v>224</v>
      </c>
      <c r="M33" s="132"/>
      <c r="N33" s="131" t="s">
        <v>224</v>
      </c>
      <c r="O33" s="130"/>
      <c r="P33" s="192"/>
      <c r="Q33" s="163"/>
    </row>
    <row r="34" spans="2:17" ht="15.75" hidden="1" outlineLevel="1" x14ac:dyDescent="0.25">
      <c r="B34" s="169"/>
      <c r="C34" s="170" t="s">
        <v>203</v>
      </c>
      <c r="D34" s="170"/>
      <c r="E34" s="171" t="s">
        <v>210</v>
      </c>
      <c r="F34" s="172"/>
      <c r="G34" s="204"/>
      <c r="H34" s="193" t="s">
        <v>203</v>
      </c>
      <c r="I34" s="126"/>
      <c r="J34" s="126" t="s">
        <v>210</v>
      </c>
      <c r="K34" s="205"/>
      <c r="L34" s="134" t="s">
        <v>206</v>
      </c>
      <c r="M34" s="138"/>
      <c r="N34" s="134" t="s">
        <v>206</v>
      </c>
      <c r="O34" s="136"/>
      <c r="P34" s="196"/>
      <c r="Q34" s="204"/>
    </row>
    <row r="35" spans="2:17" ht="16.5" hidden="1" outlineLevel="1" thickBot="1" x14ac:dyDescent="0.3">
      <c r="B35" s="178"/>
      <c r="C35" s="170" t="s">
        <v>206</v>
      </c>
      <c r="D35" s="170"/>
      <c r="E35" s="171" t="s">
        <v>211</v>
      </c>
      <c r="F35" s="172"/>
      <c r="G35" s="182"/>
      <c r="H35" s="197" t="s">
        <v>207</v>
      </c>
      <c r="I35" s="199"/>
      <c r="J35" s="199" t="s">
        <v>212</v>
      </c>
      <c r="K35" s="206"/>
      <c r="L35" s="144"/>
      <c r="M35" s="145"/>
      <c r="N35" s="144"/>
      <c r="O35" s="143"/>
      <c r="P35" s="201"/>
      <c r="Q35" s="182"/>
    </row>
    <row r="36" spans="2:17" ht="15.75" hidden="1" outlineLevel="1" x14ac:dyDescent="0.25">
      <c r="B36" s="159"/>
      <c r="C36" s="160" t="s">
        <v>225</v>
      </c>
      <c r="D36" s="160"/>
      <c r="E36" s="161" t="s">
        <v>201</v>
      </c>
      <c r="F36" s="162"/>
      <c r="G36" s="163"/>
      <c r="H36" s="190" t="s">
        <v>225</v>
      </c>
      <c r="I36" s="122"/>
      <c r="J36" s="122" t="s">
        <v>201</v>
      </c>
      <c r="K36" s="203"/>
      <c r="L36" s="131" t="s">
        <v>226</v>
      </c>
      <c r="M36" s="132"/>
      <c r="N36" s="131" t="s">
        <v>226</v>
      </c>
      <c r="O36" s="130"/>
      <c r="P36" s="192"/>
      <c r="Q36" s="163"/>
    </row>
    <row r="37" spans="2:17" ht="15.75" hidden="1" outlineLevel="1" x14ac:dyDescent="0.25">
      <c r="B37" s="169"/>
      <c r="C37" s="170" t="s">
        <v>203</v>
      </c>
      <c r="D37" s="170"/>
      <c r="E37" s="171" t="s">
        <v>210</v>
      </c>
      <c r="F37" s="172"/>
      <c r="G37" s="204"/>
      <c r="H37" s="193" t="s">
        <v>203</v>
      </c>
      <c r="I37" s="126"/>
      <c r="J37" s="126" t="s">
        <v>210</v>
      </c>
      <c r="K37" s="205"/>
      <c r="L37" s="134" t="s">
        <v>206</v>
      </c>
      <c r="M37" s="138"/>
      <c r="N37" s="134" t="s">
        <v>206</v>
      </c>
      <c r="O37" s="136"/>
      <c r="P37" s="196"/>
      <c r="Q37" s="204"/>
    </row>
    <row r="38" spans="2:17" ht="16.5" hidden="1" outlineLevel="1" thickBot="1" x14ac:dyDescent="0.3">
      <c r="B38" s="178"/>
      <c r="C38" s="179" t="s">
        <v>206</v>
      </c>
      <c r="D38" s="179"/>
      <c r="E38" s="180" t="s">
        <v>211</v>
      </c>
      <c r="F38" s="181"/>
      <c r="G38" s="182"/>
      <c r="H38" s="197" t="s">
        <v>207</v>
      </c>
      <c r="I38" s="199"/>
      <c r="J38" s="199" t="s">
        <v>212</v>
      </c>
      <c r="K38" s="206"/>
      <c r="L38" s="144"/>
      <c r="M38" s="145"/>
      <c r="N38" s="144"/>
      <c r="O38" s="143"/>
      <c r="P38" s="201"/>
      <c r="Q38" s="182"/>
    </row>
    <row r="39" spans="2:17" ht="15.75" hidden="1" outlineLevel="1" x14ac:dyDescent="0.25">
      <c r="B39" s="159"/>
      <c r="C39" s="170" t="s">
        <v>227</v>
      </c>
      <c r="D39" s="170"/>
      <c r="E39" s="171" t="s">
        <v>201</v>
      </c>
      <c r="F39" s="172"/>
      <c r="G39" s="163"/>
      <c r="H39" s="190" t="s">
        <v>227</v>
      </c>
      <c r="I39" s="122"/>
      <c r="J39" s="122" t="s">
        <v>201</v>
      </c>
      <c r="K39" s="203"/>
      <c r="L39" s="131" t="s">
        <v>228</v>
      </c>
      <c r="M39" s="132"/>
      <c r="N39" s="131" t="s">
        <v>228</v>
      </c>
      <c r="O39" s="130"/>
      <c r="P39" s="192"/>
      <c r="Q39" s="163"/>
    </row>
    <row r="40" spans="2:17" ht="15.75" hidden="1" outlineLevel="1" x14ac:dyDescent="0.25">
      <c r="B40" s="169"/>
      <c r="C40" s="170" t="s">
        <v>203</v>
      </c>
      <c r="D40" s="170"/>
      <c r="E40" s="171" t="s">
        <v>210</v>
      </c>
      <c r="F40" s="172"/>
      <c r="G40" s="204"/>
      <c r="H40" s="193" t="s">
        <v>203</v>
      </c>
      <c r="I40" s="126"/>
      <c r="J40" s="126" t="s">
        <v>210</v>
      </c>
      <c r="K40" s="205"/>
      <c r="L40" s="134" t="s">
        <v>206</v>
      </c>
      <c r="M40" s="138"/>
      <c r="N40" s="134" t="s">
        <v>206</v>
      </c>
      <c r="O40" s="136"/>
      <c r="P40" s="196"/>
      <c r="Q40" s="204"/>
    </row>
    <row r="41" spans="2:17" ht="16.5" hidden="1" outlineLevel="1" thickBot="1" x14ac:dyDescent="0.3">
      <c r="B41" s="178"/>
      <c r="C41" s="179" t="s">
        <v>206</v>
      </c>
      <c r="D41" s="179"/>
      <c r="E41" s="180" t="s">
        <v>211</v>
      </c>
      <c r="F41" s="181"/>
      <c r="G41" s="182"/>
      <c r="H41" s="197" t="s">
        <v>207</v>
      </c>
      <c r="I41" s="199"/>
      <c r="J41" s="199" t="s">
        <v>212</v>
      </c>
      <c r="K41" s="206"/>
      <c r="L41" s="144"/>
      <c r="M41" s="145"/>
      <c r="N41" s="144"/>
      <c r="O41" s="143"/>
      <c r="P41" s="201"/>
      <c r="Q41" s="182"/>
    </row>
    <row r="42" spans="2:17" ht="15.75" hidden="1" outlineLevel="1" x14ac:dyDescent="0.25">
      <c r="B42" s="159"/>
      <c r="C42" s="160" t="s">
        <v>229</v>
      </c>
      <c r="D42" s="160"/>
      <c r="E42" s="161" t="s">
        <v>201</v>
      </c>
      <c r="F42" s="162"/>
      <c r="G42" s="163"/>
      <c r="H42" s="190" t="s">
        <v>229</v>
      </c>
      <c r="I42" s="122"/>
      <c r="J42" s="122" t="s">
        <v>201</v>
      </c>
      <c r="K42" s="203"/>
      <c r="L42" s="131" t="s">
        <v>230</v>
      </c>
      <c r="M42" s="132"/>
      <c r="N42" s="131" t="s">
        <v>230</v>
      </c>
      <c r="O42" s="130"/>
      <c r="P42" s="192"/>
      <c r="Q42" s="163"/>
    </row>
    <row r="43" spans="2:17" ht="15.75" hidden="1" outlineLevel="1" x14ac:dyDescent="0.25">
      <c r="B43" s="169"/>
      <c r="C43" s="170" t="s">
        <v>203</v>
      </c>
      <c r="D43" s="170"/>
      <c r="E43" s="171" t="s">
        <v>210</v>
      </c>
      <c r="F43" s="172"/>
      <c r="G43" s="204"/>
      <c r="H43" s="193" t="s">
        <v>203</v>
      </c>
      <c r="I43" s="126"/>
      <c r="J43" s="126" t="s">
        <v>210</v>
      </c>
      <c r="K43" s="205"/>
      <c r="L43" s="134" t="s">
        <v>206</v>
      </c>
      <c r="M43" s="138"/>
      <c r="N43" s="134" t="s">
        <v>206</v>
      </c>
      <c r="O43" s="136"/>
      <c r="P43" s="196"/>
      <c r="Q43" s="204"/>
    </row>
    <row r="44" spans="2:17" ht="16.5" hidden="1" outlineLevel="1" thickBot="1" x14ac:dyDescent="0.3">
      <c r="B44" s="178"/>
      <c r="C44" s="179" t="s">
        <v>206</v>
      </c>
      <c r="D44" s="179"/>
      <c r="E44" s="180" t="s">
        <v>211</v>
      </c>
      <c r="F44" s="181"/>
      <c r="G44" s="182"/>
      <c r="H44" s="197" t="s">
        <v>207</v>
      </c>
      <c r="I44" s="199"/>
      <c r="J44" s="199" t="s">
        <v>212</v>
      </c>
      <c r="K44" s="206"/>
      <c r="L44" s="144"/>
      <c r="M44" s="145"/>
      <c r="N44" s="144"/>
      <c r="O44" s="143"/>
      <c r="P44" s="201"/>
      <c r="Q44" s="182"/>
    </row>
    <row r="45" spans="2:17" ht="15.75" hidden="1" outlineLevel="1" x14ac:dyDescent="0.25">
      <c r="B45" s="159"/>
      <c r="C45" s="160" t="s">
        <v>231</v>
      </c>
      <c r="D45" s="160"/>
      <c r="E45" s="161" t="s">
        <v>201</v>
      </c>
      <c r="F45" s="162"/>
      <c r="G45" s="163"/>
      <c r="H45" s="190" t="s">
        <v>231</v>
      </c>
      <c r="I45" s="122"/>
      <c r="J45" s="122" t="s">
        <v>201</v>
      </c>
      <c r="K45" s="203"/>
      <c r="L45" s="131" t="s">
        <v>232</v>
      </c>
      <c r="M45" s="132"/>
      <c r="N45" s="131" t="s">
        <v>232</v>
      </c>
      <c r="O45" s="130"/>
      <c r="P45" s="192"/>
      <c r="Q45" s="163"/>
    </row>
    <row r="46" spans="2:17" ht="15.75" hidden="1" outlineLevel="1" x14ac:dyDescent="0.25">
      <c r="B46" s="169"/>
      <c r="C46" s="170" t="s">
        <v>203</v>
      </c>
      <c r="D46" s="170"/>
      <c r="E46" s="171" t="s">
        <v>210</v>
      </c>
      <c r="F46" s="172"/>
      <c r="G46" s="204"/>
      <c r="H46" s="193" t="s">
        <v>203</v>
      </c>
      <c r="I46" s="126"/>
      <c r="J46" s="126" t="s">
        <v>210</v>
      </c>
      <c r="K46" s="205"/>
      <c r="L46" s="134" t="s">
        <v>206</v>
      </c>
      <c r="M46" s="138"/>
      <c r="N46" s="134" t="s">
        <v>206</v>
      </c>
      <c r="O46" s="136"/>
      <c r="P46" s="196"/>
      <c r="Q46" s="204"/>
    </row>
    <row r="47" spans="2:17" ht="16.5" hidden="1" outlineLevel="1" thickBot="1" x14ac:dyDescent="0.3">
      <c r="B47" s="178"/>
      <c r="C47" s="179" t="s">
        <v>206</v>
      </c>
      <c r="D47" s="179"/>
      <c r="E47" s="180" t="s">
        <v>211</v>
      </c>
      <c r="F47" s="181"/>
      <c r="G47" s="182"/>
      <c r="H47" s="197" t="s">
        <v>207</v>
      </c>
      <c r="I47" s="199"/>
      <c r="J47" s="199" t="s">
        <v>212</v>
      </c>
      <c r="K47" s="206"/>
      <c r="L47" s="144"/>
      <c r="M47" s="145"/>
      <c r="N47" s="144"/>
      <c r="O47" s="143"/>
      <c r="P47" s="201"/>
      <c r="Q47" s="182"/>
    </row>
    <row r="48" spans="2:17" ht="15.75" hidden="1" outlineLevel="1" x14ac:dyDescent="0.25">
      <c r="B48" s="159"/>
      <c r="C48" s="160" t="s">
        <v>233</v>
      </c>
      <c r="D48" s="160"/>
      <c r="E48" s="161" t="s">
        <v>201</v>
      </c>
      <c r="F48" s="162"/>
      <c r="G48" s="163"/>
      <c r="H48" s="190" t="s">
        <v>233</v>
      </c>
      <c r="I48" s="122"/>
      <c r="J48" s="122" t="s">
        <v>201</v>
      </c>
      <c r="K48" s="203"/>
      <c r="L48" s="131" t="s">
        <v>234</v>
      </c>
      <c r="M48" s="132"/>
      <c r="N48" s="131" t="s">
        <v>234</v>
      </c>
      <c r="O48" s="130"/>
      <c r="P48" s="192"/>
      <c r="Q48" s="163"/>
    </row>
    <row r="49" spans="2:17" ht="15.75" hidden="1" outlineLevel="1" x14ac:dyDescent="0.25">
      <c r="B49" s="169"/>
      <c r="C49" s="170" t="s">
        <v>203</v>
      </c>
      <c r="D49" s="170"/>
      <c r="E49" s="171" t="s">
        <v>210</v>
      </c>
      <c r="F49" s="172"/>
      <c r="G49" s="204"/>
      <c r="H49" s="193" t="s">
        <v>203</v>
      </c>
      <c r="I49" s="126"/>
      <c r="J49" s="126" t="s">
        <v>210</v>
      </c>
      <c r="K49" s="205"/>
      <c r="L49" s="134" t="s">
        <v>206</v>
      </c>
      <c r="M49" s="138"/>
      <c r="N49" s="134" t="s">
        <v>206</v>
      </c>
      <c r="O49" s="136"/>
      <c r="P49" s="196"/>
      <c r="Q49" s="204"/>
    </row>
    <row r="50" spans="2:17" ht="16.5" hidden="1" outlineLevel="1" thickBot="1" x14ac:dyDescent="0.3">
      <c r="B50" s="178"/>
      <c r="C50" s="179" t="s">
        <v>206</v>
      </c>
      <c r="D50" s="179"/>
      <c r="E50" s="180" t="s">
        <v>211</v>
      </c>
      <c r="F50" s="181"/>
      <c r="G50" s="182"/>
      <c r="H50" s="197" t="s">
        <v>207</v>
      </c>
      <c r="I50" s="199"/>
      <c r="J50" s="199" t="s">
        <v>212</v>
      </c>
      <c r="K50" s="206"/>
      <c r="L50" s="144"/>
      <c r="M50" s="145"/>
      <c r="N50" s="144"/>
      <c r="O50" s="143"/>
      <c r="P50" s="201"/>
      <c r="Q50" s="182"/>
    </row>
    <row r="51" spans="2:17" ht="15.75" hidden="1" outlineLevel="1" x14ac:dyDescent="0.25">
      <c r="B51" s="159"/>
      <c r="C51" s="160" t="s">
        <v>235</v>
      </c>
      <c r="D51" s="160"/>
      <c r="E51" s="161" t="s">
        <v>201</v>
      </c>
      <c r="F51" s="162"/>
      <c r="G51" s="163"/>
      <c r="H51" s="190" t="s">
        <v>235</v>
      </c>
      <c r="I51" s="122"/>
      <c r="J51" s="122" t="s">
        <v>201</v>
      </c>
      <c r="K51" s="203"/>
      <c r="L51" s="131" t="s">
        <v>236</v>
      </c>
      <c r="M51" s="132"/>
      <c r="N51" s="131" t="s">
        <v>236</v>
      </c>
      <c r="O51" s="130"/>
      <c r="P51" s="192"/>
      <c r="Q51" s="163"/>
    </row>
    <row r="52" spans="2:17" ht="15.75" hidden="1" outlineLevel="1" x14ac:dyDescent="0.25">
      <c r="B52" s="169"/>
      <c r="C52" s="170" t="s">
        <v>203</v>
      </c>
      <c r="D52" s="170"/>
      <c r="E52" s="171" t="s">
        <v>210</v>
      </c>
      <c r="F52" s="172"/>
      <c r="G52" s="204"/>
      <c r="H52" s="193" t="s">
        <v>203</v>
      </c>
      <c r="I52" s="126"/>
      <c r="J52" s="126" t="s">
        <v>210</v>
      </c>
      <c r="K52" s="205"/>
      <c r="L52" s="134" t="s">
        <v>206</v>
      </c>
      <c r="M52" s="138"/>
      <c r="N52" s="134" t="s">
        <v>206</v>
      </c>
      <c r="O52" s="136"/>
      <c r="P52" s="196"/>
      <c r="Q52" s="204"/>
    </row>
    <row r="53" spans="2:17" ht="16.5" hidden="1" outlineLevel="1" thickBot="1" x14ac:dyDescent="0.3">
      <c r="B53" s="178"/>
      <c r="C53" s="179" t="s">
        <v>206</v>
      </c>
      <c r="D53" s="179"/>
      <c r="E53" s="180" t="s">
        <v>211</v>
      </c>
      <c r="F53" s="181"/>
      <c r="G53" s="182"/>
      <c r="H53" s="197" t="s">
        <v>207</v>
      </c>
      <c r="I53" s="199"/>
      <c r="J53" s="199" t="s">
        <v>212</v>
      </c>
      <c r="K53" s="206"/>
      <c r="L53" s="144"/>
      <c r="M53" s="145"/>
      <c r="N53" s="144"/>
      <c r="O53" s="143"/>
      <c r="P53" s="201"/>
      <c r="Q53" s="182"/>
    </row>
    <row r="54" spans="2:17" ht="15.75" hidden="1" outlineLevel="1" x14ac:dyDescent="0.25">
      <c r="B54" s="159"/>
      <c r="C54" s="160" t="s">
        <v>237</v>
      </c>
      <c r="D54" s="160"/>
      <c r="E54" s="161" t="s">
        <v>201</v>
      </c>
      <c r="F54" s="162"/>
      <c r="G54" s="163"/>
      <c r="H54" s="190" t="s">
        <v>237</v>
      </c>
      <c r="I54" s="122"/>
      <c r="J54" s="122" t="s">
        <v>201</v>
      </c>
      <c r="K54" s="203"/>
      <c r="L54" s="131" t="s">
        <v>238</v>
      </c>
      <c r="M54" s="132"/>
      <c r="N54" s="131" t="s">
        <v>238</v>
      </c>
      <c r="O54" s="130"/>
      <c r="P54" s="192"/>
      <c r="Q54" s="163"/>
    </row>
    <row r="55" spans="2:17" ht="15.75" hidden="1" outlineLevel="1" x14ac:dyDescent="0.25">
      <c r="B55" s="169"/>
      <c r="C55" s="170" t="s">
        <v>203</v>
      </c>
      <c r="D55" s="170"/>
      <c r="E55" s="171" t="s">
        <v>210</v>
      </c>
      <c r="F55" s="172"/>
      <c r="G55" s="204"/>
      <c r="H55" s="193" t="s">
        <v>203</v>
      </c>
      <c r="I55" s="126"/>
      <c r="J55" s="126" t="s">
        <v>210</v>
      </c>
      <c r="K55" s="205"/>
      <c r="L55" s="134" t="s">
        <v>206</v>
      </c>
      <c r="M55" s="138"/>
      <c r="N55" s="134" t="s">
        <v>206</v>
      </c>
      <c r="O55" s="136"/>
      <c r="P55" s="196"/>
      <c r="Q55" s="204"/>
    </row>
    <row r="56" spans="2:17" ht="16.5" hidden="1" outlineLevel="1" thickBot="1" x14ac:dyDescent="0.3">
      <c r="B56" s="178"/>
      <c r="C56" s="179" t="s">
        <v>206</v>
      </c>
      <c r="D56" s="179"/>
      <c r="E56" s="180" t="s">
        <v>211</v>
      </c>
      <c r="F56" s="181"/>
      <c r="G56" s="182"/>
      <c r="H56" s="197" t="s">
        <v>207</v>
      </c>
      <c r="I56" s="199"/>
      <c r="J56" s="199" t="s">
        <v>212</v>
      </c>
      <c r="K56" s="206"/>
      <c r="L56" s="144"/>
      <c r="M56" s="145"/>
      <c r="N56" s="144"/>
      <c r="O56" s="143"/>
      <c r="P56" s="201"/>
      <c r="Q56" s="182"/>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7F2B9-E427-4754-A0F1-D50F6BFB708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D85AD7EE-3303-46EF-8251-175D7319F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Poe</dc:creator>
  <cp:lastModifiedBy>Niraja Alluri</cp:lastModifiedBy>
  <cp:lastPrinted>2021-07-28T17:15:19Z</cp:lastPrinted>
  <dcterms:created xsi:type="dcterms:W3CDTF">2021-07-06T14:28:42Z</dcterms:created>
  <dcterms:modified xsi:type="dcterms:W3CDTF">2022-03-15T21:58:29Z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