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akhani_nir_northeastern_edu/Documents/Financial Modeling/1) TVM &amp; Bonds/Project 1/"/>
    </mc:Choice>
  </mc:AlternateContent>
  <xr:revisionPtr revIDLastSave="2447" documentId="13_ncr:1_{C08727F2-0229-8D44-95CD-E9525791AEF2}" xr6:coauthVersionLast="47" xr6:coauthVersionMax="47" xr10:uidLastSave="{E07F90F7-48AD-FF4E-A873-23A120161736}"/>
  <bookViews>
    <workbookView xWindow="0" yWindow="780" windowWidth="34200" windowHeight="19320" xr2:uid="{D0374FAD-B5EB-6749-A7A7-E6DC7B4CEE23}"/>
  </bookViews>
  <sheets>
    <sheet name="Part 1" sheetId="1" r:id="rId1"/>
    <sheet name="Part 2" sheetId="2" r:id="rId2"/>
  </sheets>
  <definedNames>
    <definedName name="_xlnm._FilterDatabase" localSheetId="0" hidden="1">'Part 1'!$B$4:$C$9</definedName>
    <definedName name="Bond_Rating">'Part 1'!$C$9</definedName>
    <definedName name="Coupon_Period">'Part 1'!$C$6</definedName>
    <definedName name="Coupon_Rate">'Part 1'!$C$5</definedName>
    <definedName name="Credit_Spread">'Part 1'!$F$13</definedName>
    <definedName name="DV01_">'Part 1'!$C$19</definedName>
    <definedName name="Face_Value">'Part 1'!$C$8</definedName>
    <definedName name="Macaulay_Duration">'Part 1'!$C$17</definedName>
    <definedName name="Maturity_Date">'Part 1'!$C$7</definedName>
    <definedName name="Modified_Duration">'Part 1'!$C$18</definedName>
    <definedName name="New_Duration">'Part 1'!$F$17</definedName>
    <definedName name="New_DV01">'Part 1'!$F$19</definedName>
    <definedName name="New_Price_after_Yield_Change">'Part 1'!$C$15</definedName>
    <definedName name="New_price_from_Duration">'Part 1'!$F$18</definedName>
    <definedName name="New_price_from_DV01">'Part 1'!$F$20</definedName>
    <definedName name="No._of_Years">'Part 1'!$F$11</definedName>
    <definedName name="Period_per_Year">'Part 1'!$F$10</definedName>
    <definedName name="Price">'Part 1'!$C$14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'Part 1'!$F$10</definedName>
    <definedName name="solver_typ" localSheetId="0" hidden="1">1</definedName>
    <definedName name="solver_val" localSheetId="0" hidden="1">0</definedName>
    <definedName name="solver_ver" localSheetId="0" hidden="1">2</definedName>
    <definedName name="Treasury_Yield">'Part 1'!$F$12</definedName>
    <definedName name="Yield_Change">'Part 1'!$F$14</definedName>
    <definedName name="YTM">'Part 1'!$C$13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G5" i="2" s="1"/>
  <c r="E6" i="2"/>
  <c r="E7" i="2" s="1"/>
  <c r="E8" i="2" s="1"/>
  <c r="E9" i="2" s="1"/>
  <c r="E10" i="2" s="1"/>
  <c r="E11" i="2" s="1"/>
  <c r="E12" i="2" s="1"/>
  <c r="E13" i="2" s="1"/>
  <c r="E14" i="2" s="1"/>
  <c r="F14" i="2" s="1"/>
  <c r="G14" i="2" s="1"/>
  <c r="C14" i="2"/>
  <c r="C2" i="1"/>
  <c r="F11" i="1" s="1"/>
  <c r="J15" i="1" s="1"/>
  <c r="H5" i="2"/>
  <c r="H6" i="2" s="1"/>
  <c r="H7" i="2" s="1"/>
  <c r="H8" i="2" s="1"/>
  <c r="H9" i="2" s="1"/>
  <c r="H10" i="2" s="1"/>
  <c r="H11" i="2" s="1"/>
  <c r="H12" i="2" s="1"/>
  <c r="H13" i="2" s="1"/>
  <c r="H14" i="2" s="1"/>
  <c r="F10" i="1"/>
  <c r="F13" i="1"/>
  <c r="F6" i="2" l="1"/>
  <c r="G6" i="2" s="1"/>
  <c r="F13" i="2"/>
  <c r="G13" i="2" s="1"/>
  <c r="F12" i="2"/>
  <c r="G12" i="2" s="1"/>
  <c r="F11" i="2"/>
  <c r="G11" i="2" s="1"/>
  <c r="F8" i="2"/>
  <c r="G8" i="2" s="1"/>
  <c r="F10" i="2"/>
  <c r="G10" i="2" s="1"/>
  <c r="F7" i="2"/>
  <c r="G7" i="2" s="1"/>
  <c r="F9" i="2"/>
  <c r="G9" i="2" s="1"/>
  <c r="J16" i="1"/>
  <c r="K16" i="1" s="1"/>
  <c r="J17" i="1" a="1"/>
  <c r="J17" i="1" s="1"/>
  <c r="K17" i="1" s="1"/>
  <c r="N16" i="1" l="1"/>
  <c r="N15" i="1"/>
  <c r="G15" i="2" l="1"/>
  <c r="C16" i="2" s="1"/>
  <c r="K15" i="1"/>
  <c r="F12" i="1" s="1"/>
  <c r="C13" i="1" s="1"/>
  <c r="C14" i="1" s="1"/>
  <c r="F18" i="1" s="1"/>
  <c r="C17" i="1" l="1"/>
  <c r="C15" i="1"/>
  <c r="C16" i="1" s="1"/>
  <c r="C18" i="1"/>
  <c r="C19" i="1" s="1"/>
  <c r="F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<sst xmlns="http://schemas.openxmlformats.org/spreadsheetml/2006/main" count="64" uniqueCount="58">
  <si>
    <t>Coupon Rate</t>
  </si>
  <si>
    <t>Coupon Period</t>
  </si>
  <si>
    <t>Maturity Date</t>
  </si>
  <si>
    <t>Face Value</t>
  </si>
  <si>
    <t>Today's Date</t>
  </si>
  <si>
    <t>Annual</t>
  </si>
  <si>
    <t>Semi-annual</t>
  </si>
  <si>
    <t>Bond Rating</t>
  </si>
  <si>
    <t>BBB</t>
  </si>
  <si>
    <t>Price</t>
  </si>
  <si>
    <t>Period per Year</t>
  </si>
  <si>
    <t>No. of Years</t>
  </si>
  <si>
    <t>Modified Duration</t>
  </si>
  <si>
    <t>DV01</t>
  </si>
  <si>
    <t>Bond Information</t>
  </si>
  <si>
    <t>Treasury Yield Curve</t>
  </si>
  <si>
    <t>YTM</t>
  </si>
  <si>
    <t>Macaulay Duration</t>
  </si>
  <si>
    <t>AAA</t>
  </si>
  <si>
    <t>BB</t>
  </si>
  <si>
    <t>B</t>
  </si>
  <si>
    <t>AA</t>
  </si>
  <si>
    <t>A</t>
  </si>
  <si>
    <t>Maturity Before</t>
  </si>
  <si>
    <t>Maturity After</t>
  </si>
  <si>
    <t>Treasury Yield</t>
  </si>
  <si>
    <t>Credit Spread</t>
  </si>
  <si>
    <t>Term of the Bond</t>
  </si>
  <si>
    <t>Years</t>
  </si>
  <si>
    <t>Yield</t>
  </si>
  <si>
    <t>Credit Spreads (in basis points)</t>
  </si>
  <si>
    <t>Yield Change</t>
  </si>
  <si>
    <t>Quarterly</t>
  </si>
  <si>
    <t>Weight of Time</t>
  </si>
  <si>
    <t>Difference of Before &amp; After</t>
  </si>
  <si>
    <t>Calculation</t>
  </si>
  <si>
    <t>Return on Coupons</t>
  </si>
  <si>
    <t>Holding Period</t>
  </si>
  <si>
    <t>YTM at Exit</t>
  </si>
  <si>
    <t>Purchase Price</t>
  </si>
  <si>
    <t>Price at Exit</t>
  </si>
  <si>
    <t>Year to Maturity</t>
  </si>
  <si>
    <t>Periods Held</t>
  </si>
  <si>
    <t>New Price after Yield Change</t>
  </si>
  <si>
    <t>Bond Inputs</t>
  </si>
  <si>
    <t>Bond Outputs</t>
  </si>
  <si>
    <t>New price from DV01</t>
  </si>
  <si>
    <t>Annual Coupon Payment</t>
  </si>
  <si>
    <t>Years to Maturity</t>
  </si>
  <si>
    <t>New DV01</t>
  </si>
  <si>
    <t>Calculation for Treasury Yield</t>
  </si>
  <si>
    <t>Reference for VLOOKUP</t>
  </si>
  <si>
    <t>Find new price from Duration and DV01</t>
  </si>
  <si>
    <t>New Duration</t>
  </si>
  <si>
    <t>New price from Duration</t>
  </si>
  <si>
    <t>CAGR</t>
  </si>
  <si>
    <t>Coupons</t>
  </si>
  <si>
    <t>Coupons plus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</si>
</sst>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rgb="FF00B0F0"/>
      <name val="Aptos Narrow"/>
      <scheme val="minor"/>
    </font>
    <font>
      <u/>
      <sz val="12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hair">
        <color rgb="FF00B0F0"/>
      </top>
      <bottom style="hair">
        <color rgb="FF00B0F0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hair">
        <color rgb="FF00B0F0"/>
      </top>
      <bottom style="hair">
        <color rgb="FF00B0F0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hair">
        <color rgb="FF00B0F0"/>
      </bottom>
      <diagonal/>
    </border>
    <border>
      <left/>
      <right style="thick">
        <color theme="1"/>
      </right>
      <top/>
      <bottom style="hair">
        <color rgb="FF00B0F0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 style="hair">
        <color rgb="FF00B0F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hair">
        <color rgb="FF00B0F0"/>
      </bottom>
      <diagonal/>
    </border>
    <border>
      <left style="thick">
        <color theme="1"/>
      </left>
      <right/>
      <top style="hair">
        <color rgb="FF00B0F0"/>
      </top>
      <bottom style="hair">
        <color rgb="FF00B0F0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hair">
        <color rgb="FF00B0F0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hair">
        <color rgb="FF00B0F0"/>
      </top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thick">
        <color theme="1"/>
      </top>
      <bottom style="hair">
        <color rgb="FF00B0F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hair">
        <color rgb="FF00B0F0"/>
      </top>
      <bottom/>
      <diagonal/>
    </border>
    <border>
      <left/>
      <right style="thick">
        <color theme="1"/>
      </right>
      <top style="hair">
        <color rgb="FF00B0F0"/>
      </top>
      <bottom/>
      <diagonal/>
    </border>
    <border>
      <left/>
      <right/>
      <top style="thick">
        <color theme="1"/>
      </top>
      <bottom style="double">
        <color theme="1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9">
    <xf numFmtId="0" fontId="0" fillId="0" borderId="0" xfId="0"/>
    <xf numFmtId="0" fontId="1" fillId="3" borderId="1" xfId="0" applyFont="1" applyFill="1" applyBorder="1"/>
    <xf numFmtId="14" fontId="0" fillId="3" borderId="0" xfId="0" applyNumberFormat="1" applyFill="1"/>
    <xf numFmtId="44" fontId="0" fillId="0" borderId="0" xfId="0" applyNumberFormat="1"/>
    <xf numFmtId="0" fontId="4" fillId="0" borderId="0" xfId="0" applyFont="1" applyAlignment="1">
      <alignment vertical="center" textRotation="180"/>
    </xf>
    <xf numFmtId="0" fontId="0" fillId="2" borderId="0" xfId="0" applyFill="1"/>
    <xf numFmtId="8" fontId="0" fillId="2" borderId="0" xfId="0" applyNumberFormat="1" applyFill="1"/>
    <xf numFmtId="10" fontId="0" fillId="2" borderId="0" xfId="0" applyNumberFormat="1" applyFill="1"/>
    <xf numFmtId="0" fontId="0" fillId="0" borderId="0" xfId="0" applyBorder="1"/>
    <xf numFmtId="0" fontId="5" fillId="0" borderId="3" xfId="0" applyFont="1" applyBorder="1" applyAlignment="1">
      <alignment horizontal="right"/>
    </xf>
    <xf numFmtId="14" fontId="0" fillId="0" borderId="3" xfId="0" applyNumberFormat="1" applyBorder="1"/>
    <xf numFmtId="164" fontId="0" fillId="0" borderId="3" xfId="1" applyNumberFormat="1" applyFont="1" applyBorder="1"/>
    <xf numFmtId="0" fontId="5" fillId="0" borderId="4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0" fontId="0" fillId="0" borderId="3" xfId="0" applyNumberFormat="1" applyBorder="1"/>
    <xf numFmtId="10" fontId="0" fillId="0" borderId="19" xfId="0" applyNumberFormat="1" applyBorder="1"/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/>
    <xf numFmtId="0" fontId="4" fillId="0" borderId="12" xfId="0" applyFont="1" applyBorder="1" applyAlignment="1">
      <alignment horizontal="center"/>
    </xf>
    <xf numFmtId="9" fontId="0" fillId="0" borderId="20" xfId="0" applyNumberFormat="1" applyBorder="1"/>
    <xf numFmtId="10" fontId="0" fillId="0" borderId="20" xfId="0" applyNumberFormat="1" applyBorder="1"/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10" fontId="0" fillId="0" borderId="3" xfId="2" applyNumberFormat="1" applyFont="1" applyBorder="1" applyAlignment="1">
      <alignment horizontal="center"/>
    </xf>
    <xf numFmtId="10" fontId="0" fillId="0" borderId="4" xfId="2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1" fontId="0" fillId="0" borderId="8" xfId="0" applyNumberFormat="1" applyBorder="1" applyAlignment="1">
      <alignment horizontal="center"/>
    </xf>
    <xf numFmtId="10" fontId="0" fillId="0" borderId="8" xfId="2" applyNumberFormat="1" applyFont="1" applyBorder="1" applyAlignment="1">
      <alignment horizontal="center"/>
    </xf>
    <xf numFmtId="0" fontId="4" fillId="0" borderId="11" xfId="0" applyFont="1" applyBorder="1"/>
    <xf numFmtId="0" fontId="0" fillId="0" borderId="12" xfId="0" applyBorder="1"/>
    <xf numFmtId="0" fontId="0" fillId="0" borderId="1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" fontId="0" fillId="0" borderId="3" xfId="0" applyNumberFormat="1" applyBorder="1"/>
    <xf numFmtId="0" fontId="0" fillId="0" borderId="3" xfId="0" applyBorder="1"/>
    <xf numFmtId="10" fontId="0" fillId="0" borderId="3" xfId="2" applyNumberFormat="1" applyFont="1" applyBorder="1"/>
    <xf numFmtId="10" fontId="3" fillId="0" borderId="4" xfId="2" applyNumberFormat="1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2" fontId="3" fillId="0" borderId="8" xfId="1" applyNumberFormat="1" applyFont="1" applyBorder="1"/>
    <xf numFmtId="44" fontId="0" fillId="0" borderId="19" xfId="1" applyFont="1" applyBorder="1"/>
    <xf numFmtId="44" fontId="0" fillId="0" borderId="17" xfId="0" applyNumberFormat="1" applyBorder="1"/>
    <xf numFmtId="2" fontId="3" fillId="0" borderId="8" xfId="2" applyNumberFormat="1" applyFont="1" applyBorder="1"/>
    <xf numFmtId="164" fontId="0" fillId="0" borderId="3" xfId="0" applyNumberFormat="1" applyBorder="1"/>
    <xf numFmtId="2" fontId="0" fillId="0" borderId="3" xfId="0" applyNumberFormat="1" applyBorder="1"/>
    <xf numFmtId="44" fontId="0" fillId="0" borderId="4" xfId="1" applyFont="1" applyBorder="1" applyAlignment="1"/>
    <xf numFmtId="44" fontId="0" fillId="0" borderId="25" xfId="0" applyNumberFormat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0" fontId="0" fillId="0" borderId="2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0" fontId="0" fillId="0" borderId="8" xfId="0" applyNumberForma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44" fontId="0" fillId="0" borderId="20" xfId="1" applyFont="1" applyBorder="1"/>
    <xf numFmtId="9" fontId="0" fillId="0" borderId="4" xfId="0" applyNumberFormat="1" applyBorder="1"/>
    <xf numFmtId="0" fontId="0" fillId="0" borderId="4" xfId="0" applyBorder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8" fontId="0" fillId="0" borderId="26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A2A2-5E0B-D043-AC0C-D69E32DC9E70}">
  <dimension ref="A1:N24"/>
  <sheetViews>
    <sheetView showGridLines="0" tabSelected="1" zoomScale="162" workbookViewId="0">
      <selection activeCell="N6" sqref="N6"/>
    </sheetView>
  </sheetViews>
  <sheetFormatPr baseColWidth="10" defaultColWidth="10.83203125" defaultRowHeight="18" customHeight="1" x14ac:dyDescent="0.2"/>
  <cols>
    <col min="1" max="1" width="2.1640625" customWidth="1"/>
    <col min="2" max="2" width="19.33203125" bestFit="1" customWidth="1"/>
    <col min="3" max="3" width="15.6640625" customWidth="1"/>
    <col min="4" max="4" width="6.6640625" customWidth="1"/>
    <col min="5" max="5" width="21" bestFit="1" customWidth="1"/>
    <col min="6" max="6" width="15.6640625" customWidth="1"/>
    <col min="7" max="7" width="7.83203125" customWidth="1"/>
    <col min="8" max="8" width="10.5" bestFit="1" customWidth="1"/>
    <col min="9" max="9" width="8.83203125" customWidth="1"/>
    <col min="10" max="10" width="7.83203125" customWidth="1"/>
    <col min="11" max="11" width="14.6640625" bestFit="1" customWidth="1"/>
    <col min="12" max="12" width="13" customWidth="1"/>
    <col min="13" max="13" width="12.83203125" bestFit="1" customWidth="1"/>
    <col min="14" max="14" width="12.1640625" bestFit="1" customWidth="1"/>
    <col min="15" max="15" width="17.6640625" bestFit="1" customWidth="1"/>
    <col min="19" max="19" width="12.83203125" bestFit="1" customWidth="1"/>
  </cols>
  <sheetData>
    <row r="1" spans="1:14" ht="7" customHeight="1" x14ac:dyDescent="0.2"/>
    <row r="2" spans="1:14" ht="18" customHeight="1" x14ac:dyDescent="0.2">
      <c r="B2" s="1" t="s">
        <v>4</v>
      </c>
      <c r="C2" s="2">
        <f ca="1">TODAY()</f>
        <v>45804</v>
      </c>
    </row>
    <row r="3" spans="1:14" ht="18" customHeight="1" thickBot="1" x14ac:dyDescent="0.25">
      <c r="B3" s="8"/>
      <c r="C3" s="8"/>
      <c r="E3" s="8"/>
      <c r="F3" s="8"/>
      <c r="H3" s="8"/>
      <c r="I3" s="8"/>
      <c r="J3" s="8"/>
      <c r="K3" s="8"/>
      <c r="L3" s="8"/>
    </row>
    <row r="4" spans="1:14" ht="18" customHeight="1" thickTop="1" thickBot="1" x14ac:dyDescent="0.25">
      <c r="A4" s="8"/>
      <c r="B4" s="72" t="s">
        <v>44</v>
      </c>
      <c r="C4" s="73"/>
      <c r="D4" s="8"/>
      <c r="E4" s="76" t="s">
        <v>1</v>
      </c>
      <c r="F4" s="77"/>
      <c r="G4" s="8"/>
      <c r="H4" s="80" t="s">
        <v>51</v>
      </c>
      <c r="I4" s="81"/>
      <c r="J4" s="81"/>
      <c r="K4" s="81"/>
      <c r="L4" s="82"/>
    </row>
    <row r="5" spans="1:14" ht="18" customHeight="1" thickTop="1" thickBot="1" x14ac:dyDescent="0.25">
      <c r="A5" s="8"/>
      <c r="B5" s="15" t="s">
        <v>0</v>
      </c>
      <c r="C5" s="16">
        <v>0.1</v>
      </c>
      <c r="D5" s="8"/>
      <c r="E5" s="17" t="s">
        <v>5</v>
      </c>
      <c r="F5" s="18">
        <v>1</v>
      </c>
      <c r="G5" s="27"/>
      <c r="H5" s="78" t="s">
        <v>15</v>
      </c>
      <c r="I5" s="73"/>
      <c r="J5" s="28"/>
      <c r="K5" s="72" t="s">
        <v>30</v>
      </c>
      <c r="L5" s="73"/>
    </row>
    <row r="6" spans="1:14" ht="18" customHeight="1" thickTop="1" x14ac:dyDescent="0.2">
      <c r="A6" s="8"/>
      <c r="B6" s="13" t="s">
        <v>1</v>
      </c>
      <c r="C6" s="9" t="s">
        <v>5</v>
      </c>
      <c r="D6" s="8"/>
      <c r="E6" s="19" t="s">
        <v>6</v>
      </c>
      <c r="F6" s="13">
        <v>2</v>
      </c>
      <c r="G6" s="27"/>
      <c r="H6" s="24">
        <v>1</v>
      </c>
      <c r="I6" s="16">
        <v>0.04</v>
      </c>
      <c r="J6" s="29"/>
      <c r="K6" s="15" t="s">
        <v>18</v>
      </c>
      <c r="L6" s="18">
        <v>43</v>
      </c>
    </row>
    <row r="7" spans="1:14" ht="18" customHeight="1" thickBot="1" x14ac:dyDescent="0.25">
      <c r="A7" s="8"/>
      <c r="B7" s="13" t="s">
        <v>2</v>
      </c>
      <c r="C7" s="10">
        <v>49438</v>
      </c>
      <c r="D7" s="8"/>
      <c r="E7" s="20" t="s">
        <v>32</v>
      </c>
      <c r="F7" s="21">
        <v>4</v>
      </c>
      <c r="G7" s="27"/>
      <c r="H7" s="25">
        <v>2</v>
      </c>
      <c r="I7" s="22">
        <v>3.78E-2</v>
      </c>
      <c r="J7" s="30"/>
      <c r="K7" s="13" t="s">
        <v>21</v>
      </c>
      <c r="L7" s="13">
        <v>58</v>
      </c>
    </row>
    <row r="8" spans="1:14" ht="18" customHeight="1" thickTop="1" thickBot="1" x14ac:dyDescent="0.25">
      <c r="A8" s="8"/>
      <c r="B8" s="13" t="s">
        <v>3</v>
      </c>
      <c r="C8" s="11">
        <v>1000</v>
      </c>
      <c r="E8" s="8"/>
      <c r="F8" s="8"/>
      <c r="G8" s="27"/>
      <c r="H8" s="25">
        <v>5</v>
      </c>
      <c r="I8" s="22">
        <v>3.8699999999999998E-2</v>
      </c>
      <c r="J8" s="30"/>
      <c r="K8" s="13" t="s">
        <v>22</v>
      </c>
      <c r="L8" s="13">
        <v>87</v>
      </c>
    </row>
    <row r="9" spans="1:14" ht="18" customHeight="1" thickTop="1" thickBot="1" x14ac:dyDescent="0.25">
      <c r="A9" s="8"/>
      <c r="B9" s="14" t="s">
        <v>7</v>
      </c>
      <c r="C9" s="12" t="s">
        <v>8</v>
      </c>
      <c r="D9" s="8"/>
      <c r="E9" s="72" t="s">
        <v>14</v>
      </c>
      <c r="F9" s="73"/>
      <c r="G9" s="27"/>
      <c r="H9" s="25">
        <v>10</v>
      </c>
      <c r="I9" s="22">
        <v>4.2599999999999999E-2</v>
      </c>
      <c r="J9" s="30"/>
      <c r="K9" s="13" t="s">
        <v>8</v>
      </c>
      <c r="L9" s="13">
        <v>138</v>
      </c>
    </row>
    <row r="10" spans="1:14" ht="18" customHeight="1" thickTop="1" thickBot="1" x14ac:dyDescent="0.25">
      <c r="D10" s="8"/>
      <c r="E10" s="58" t="s">
        <v>10</v>
      </c>
      <c r="F10" s="59">
        <f>VLOOKUP(C6,E5:F7,2,FALSE)</f>
        <v>1</v>
      </c>
      <c r="G10" s="27"/>
      <c r="H10" s="26">
        <v>30</v>
      </c>
      <c r="I10" s="23">
        <v>4.7699999999999999E-2</v>
      </c>
      <c r="J10" s="30"/>
      <c r="K10" s="13" t="s">
        <v>19</v>
      </c>
      <c r="L10" s="13">
        <v>254</v>
      </c>
    </row>
    <row r="11" spans="1:14" ht="18" customHeight="1" thickTop="1" thickBot="1" x14ac:dyDescent="0.25">
      <c r="B11" s="8"/>
      <c r="C11" s="8"/>
      <c r="D11" s="8"/>
      <c r="E11" s="57" t="s">
        <v>11</v>
      </c>
      <c r="F11" s="53">
        <f ca="1">YEARFRAC(C2,C7)</f>
        <v>9.9499999999999993</v>
      </c>
      <c r="H11" s="8"/>
      <c r="J11" s="27"/>
      <c r="K11" s="21" t="s">
        <v>20</v>
      </c>
      <c r="L11" s="21">
        <v>377</v>
      </c>
    </row>
    <row r="12" spans="1:14" ht="18" customHeight="1" thickTop="1" thickBot="1" x14ac:dyDescent="0.25">
      <c r="A12" s="8"/>
      <c r="B12" s="74" t="s">
        <v>45</v>
      </c>
      <c r="C12" s="75"/>
      <c r="D12" s="8"/>
      <c r="E12" s="13" t="s">
        <v>25</v>
      </c>
      <c r="F12" s="55">
        <f ca="1">K15</f>
        <v>4.2561000000000002E-2</v>
      </c>
      <c r="G12" s="8"/>
      <c r="H12" s="8"/>
      <c r="I12" s="8"/>
      <c r="J12" s="8"/>
      <c r="L12" s="8"/>
    </row>
    <row r="13" spans="1:14" ht="18" customHeight="1" thickTop="1" thickBot="1" x14ac:dyDescent="0.25">
      <c r="A13" s="8"/>
      <c r="B13" s="58" t="s">
        <v>16</v>
      </c>
      <c r="C13" s="71">
        <f ca="1">F12+F13/10000</f>
        <v>5.6361000000000001E-2</v>
      </c>
      <c r="D13" s="8"/>
      <c r="E13" s="13" t="s">
        <v>26</v>
      </c>
      <c r="F13" s="54">
        <f>VLOOKUP(C9,K6:L11,2,FALSE)</f>
        <v>138</v>
      </c>
      <c r="G13" s="8"/>
      <c r="H13" s="80" t="s">
        <v>50</v>
      </c>
      <c r="I13" s="81"/>
      <c r="J13" s="81"/>
      <c r="K13" s="81"/>
      <c r="L13" s="81"/>
      <c r="M13" s="81"/>
      <c r="N13" s="82"/>
    </row>
    <row r="14" spans="1:14" ht="18" customHeight="1" thickTop="1" thickBot="1" x14ac:dyDescent="0.25">
      <c r="A14" s="8"/>
      <c r="B14" s="13" t="s">
        <v>9</v>
      </c>
      <c r="C14" s="64">
        <f ca="1">-PV(C13/F10,F11*F10,C8*(C5/F10),C8)</f>
        <v>1325.5692464606695</v>
      </c>
      <c r="D14" s="8"/>
      <c r="E14" s="14" t="s">
        <v>31</v>
      </c>
      <c r="F14" s="56">
        <v>0.01</v>
      </c>
      <c r="G14" s="8"/>
      <c r="H14" s="41"/>
      <c r="I14" s="42"/>
      <c r="J14" s="79" t="s">
        <v>28</v>
      </c>
      <c r="K14" s="79" t="s">
        <v>29</v>
      </c>
      <c r="L14" s="46"/>
      <c r="M14" s="72" t="s">
        <v>35</v>
      </c>
      <c r="N14" s="73"/>
    </row>
    <row r="15" spans="1:14" ht="18" customHeight="1" thickTop="1" thickBot="1" x14ac:dyDescent="0.25">
      <c r="A15" s="8"/>
      <c r="B15" s="69" t="s">
        <v>43</v>
      </c>
      <c r="C15" s="67">
        <f ca="1">-PV((C13+F14)/F10,F11*F10,C8*(C5/F10),C8)</f>
        <v>1239.4344009227464</v>
      </c>
      <c r="E15" s="8"/>
      <c r="F15" s="8"/>
      <c r="G15" s="8"/>
      <c r="H15" s="43" t="s">
        <v>27</v>
      </c>
      <c r="I15" s="44"/>
      <c r="J15" s="39">
        <f ca="1">F11</f>
        <v>9.9499999999999993</v>
      </c>
      <c r="K15" s="40">
        <f ca="1">K16+(N15*N16)</f>
        <v>4.2561000000000002E-2</v>
      </c>
      <c r="L15" s="47"/>
      <c r="M15" s="45" t="s">
        <v>33</v>
      </c>
      <c r="N15" s="52">
        <f ca="1">(J15-J16)/(J17-J16)</f>
        <v>0.98999999999999988</v>
      </c>
    </row>
    <row r="16" spans="1:14" ht="18" customHeight="1" thickTop="1" thickBot="1" x14ac:dyDescent="0.25">
      <c r="A16" s="8"/>
      <c r="B16" s="70"/>
      <c r="C16" s="68">
        <f ca="1">-PV(C15/F12,F13*F12,C10*(C7/F12),C10)</f>
        <v>0</v>
      </c>
      <c r="D16" s="8"/>
      <c r="E16" s="72" t="s">
        <v>52</v>
      </c>
      <c r="F16" s="73"/>
      <c r="G16" s="8"/>
      <c r="H16" s="31" t="s">
        <v>23</v>
      </c>
      <c r="I16" s="37"/>
      <c r="J16" s="35">
        <f ca="1">INDEX($H$6:$H$10,MATCH($J$15,$H$6:$H$10,1))</f>
        <v>5</v>
      </c>
      <c r="K16" s="33">
        <f ca="1">VLOOKUP($J$16,$H$6:$I$10,2)</f>
        <v>3.8699999999999998E-2</v>
      </c>
      <c r="L16" s="47"/>
      <c r="M16" s="48" t="s">
        <v>34</v>
      </c>
      <c r="N16" s="50">
        <f ca="1">K17-K16</f>
        <v>3.9000000000000007E-3</v>
      </c>
    </row>
    <row r="17" spans="1:14" ht="18" customHeight="1" thickTop="1" thickBot="1" x14ac:dyDescent="0.25">
      <c r="A17" s="8"/>
      <c r="B17" s="13" t="s">
        <v>17</v>
      </c>
      <c r="C17" s="65">
        <f ca="1">DURATION(C2,C7,C5,C13,F10)</f>
        <v>7.156097702796683</v>
      </c>
      <c r="D17" s="8"/>
      <c r="E17" s="15" t="s">
        <v>53</v>
      </c>
      <c r="F17" s="63">
        <v>6.81</v>
      </c>
      <c r="H17" s="32" t="s">
        <v>24</v>
      </c>
      <c r="I17" s="38"/>
      <c r="J17" s="36" cm="1">
        <f t="array" aca="1" ref="J17" ca="1">INDEX($H$6:$H$10,MATCH($J$15,$H$6:$H$10,1)+1)</f>
        <v>10</v>
      </c>
      <c r="K17" s="34">
        <f ca="1">VLOOKUP($J$17,$H$6:$I$10,2)</f>
        <v>4.2599999999999999E-2</v>
      </c>
      <c r="L17" s="47"/>
      <c r="M17" s="49"/>
      <c r="N17" s="51"/>
    </row>
    <row r="18" spans="1:14" ht="18" customHeight="1" thickTop="1" thickBot="1" x14ac:dyDescent="0.25">
      <c r="A18" s="8"/>
      <c r="B18" s="13" t="s">
        <v>12</v>
      </c>
      <c r="C18" s="65">
        <f ca="1">MDURATION(C2,C7,C5,C13,F10)</f>
        <v>6.77429184038097</v>
      </c>
      <c r="D18" s="8"/>
      <c r="E18" s="21" t="s">
        <v>54</v>
      </c>
      <c r="F18" s="61">
        <f ca="1">Price*(1+(-New_Duration*Yield_Change))</f>
        <v>1235.2979807766978</v>
      </c>
      <c r="N18" s="4"/>
    </row>
    <row r="19" spans="1:14" ht="18" customHeight="1" thickTop="1" thickBot="1" x14ac:dyDescent="0.25">
      <c r="A19" s="8"/>
      <c r="B19" s="14" t="s">
        <v>13</v>
      </c>
      <c r="C19" s="66">
        <f ca="1">(C18/10000)*C14</f>
        <v>0.89797929301584645</v>
      </c>
      <c r="D19" s="8"/>
      <c r="E19" s="15" t="s">
        <v>49</v>
      </c>
      <c r="F19" s="60">
        <v>0.9</v>
      </c>
      <c r="N19" s="4"/>
    </row>
    <row r="20" spans="1:14" ht="18" customHeight="1" thickTop="1" thickBot="1" x14ac:dyDescent="0.25">
      <c r="D20" s="8"/>
      <c r="E20" s="20" t="s">
        <v>46</v>
      </c>
      <c r="F20" s="62">
        <f ca="1">Price+(New_DV01*(-Yield_Change*10000))</f>
        <v>1235.5692464606695</v>
      </c>
      <c r="N20" s="4"/>
    </row>
    <row r="21" spans="1:14" ht="18" customHeight="1" thickTop="1" x14ac:dyDescent="0.2">
      <c r="N21" s="4"/>
    </row>
    <row r="22" spans="1:14" ht="18" customHeight="1" x14ac:dyDescent="0.2">
      <c r="N22" s="4"/>
    </row>
    <row r="24" spans="1:14" ht="18" customHeight="1" x14ac:dyDescent="0.2">
      <c r="F24" s="3"/>
    </row>
  </sheetData>
  <mergeCells count="17">
    <mergeCell ref="M14:N14"/>
    <mergeCell ref="H13:N13"/>
    <mergeCell ref="H15:I15"/>
    <mergeCell ref="H17:I17"/>
    <mergeCell ref="M16:M17"/>
    <mergeCell ref="N16:N17"/>
    <mergeCell ref="K5:L5"/>
    <mergeCell ref="H5:I5"/>
    <mergeCell ref="H4:L4"/>
    <mergeCell ref="E16:F16"/>
    <mergeCell ref="H16:I16"/>
    <mergeCell ref="E4:F4"/>
    <mergeCell ref="B4:C4"/>
    <mergeCell ref="B12:C12"/>
    <mergeCell ref="E9:F9"/>
    <mergeCell ref="B15:B16"/>
    <mergeCell ref="C15:C16"/>
  </mergeCells>
  <dataValidations disablePrompts="1" count="2">
    <dataValidation type="list" allowBlank="1" showInputMessage="1" showErrorMessage="1" sqref="C6" xr:uid="{CE053F4A-D350-8A4F-915A-FA9C27C5956C}">
      <formula1>$E$5:$E$7</formula1>
    </dataValidation>
    <dataValidation type="list" allowBlank="1" showInputMessage="1" showErrorMessage="1" sqref="C9" xr:uid="{3F19B0B7-DBCA-7641-AE09-95E4F14833A7}">
      <formula1>$K$6:$K$11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8C04-ACE4-5743-8F4D-8EA31B8185C0}">
  <dimension ref="A2:H16"/>
  <sheetViews>
    <sheetView showGridLines="0" zoomScale="228" workbookViewId="0">
      <selection activeCell="J5" sqref="J5"/>
    </sheetView>
  </sheetViews>
  <sheetFormatPr baseColWidth="10" defaultColWidth="10.83203125" defaultRowHeight="16" x14ac:dyDescent="0.2"/>
  <cols>
    <col min="1" max="1" width="2.83203125" customWidth="1"/>
    <col min="2" max="2" width="16.6640625" bestFit="1" customWidth="1"/>
    <col min="5" max="5" width="11.33203125" bestFit="1" customWidth="1"/>
    <col min="6" max="6" width="11.33203125" customWidth="1"/>
    <col min="7" max="7" width="18.83203125" bestFit="1" customWidth="1"/>
    <col min="8" max="8" width="14" bestFit="1" customWidth="1"/>
  </cols>
  <sheetData>
    <row r="2" spans="1:8" x14ac:dyDescent="0.2">
      <c r="B2" t="s">
        <v>47</v>
      </c>
    </row>
    <row r="3" spans="1:8" ht="17" thickBot="1" x14ac:dyDescent="0.25">
      <c r="B3" s="8"/>
      <c r="C3" s="8"/>
    </row>
    <row r="4" spans="1:8" ht="18" thickTop="1" thickBot="1" x14ac:dyDescent="0.25">
      <c r="A4" s="8"/>
      <c r="B4" s="72" t="s">
        <v>14</v>
      </c>
      <c r="C4" s="73"/>
      <c r="E4" s="87" t="s">
        <v>42</v>
      </c>
      <c r="F4" s="87" t="s">
        <v>56</v>
      </c>
      <c r="G4" s="86" t="s">
        <v>57</v>
      </c>
      <c r="H4" s="86" t="s">
        <v>41</v>
      </c>
    </row>
    <row r="5" spans="1:8" ht="17" thickTop="1" x14ac:dyDescent="0.2">
      <c r="A5" s="8"/>
      <c r="B5" s="47" t="s">
        <v>3</v>
      </c>
      <c r="C5" s="83">
        <v>1000</v>
      </c>
      <c r="D5" s="8"/>
      <c r="E5" s="47">
        <v>1</v>
      </c>
      <c r="F5" s="47">
        <f t="shared" ref="F5:F14" si="0">IF(ISNUMBER(E5),$C$8*$C$5,"NIL")</f>
        <v>10</v>
      </c>
      <c r="G5" s="27">
        <f t="shared" ref="G5:G13" si="1">IF(ISNUMBER(F5),F5*(1+$C$9)^($C$10-E5),"NIL")</f>
        <v>10.4060401</v>
      </c>
      <c r="H5" s="27">
        <f>C7-1</f>
        <v>9</v>
      </c>
    </row>
    <row r="6" spans="1:8" x14ac:dyDescent="0.2">
      <c r="A6" s="8"/>
      <c r="B6" s="47" t="s">
        <v>39</v>
      </c>
      <c r="C6" s="83">
        <v>1000</v>
      </c>
      <c r="D6" s="8"/>
      <c r="E6" s="47">
        <f t="shared" ref="E6:E14" si="2">IFERROR(IF(E5=$C$10,"Bond Sold",E5+1),"Bond Sold")</f>
        <v>2</v>
      </c>
      <c r="F6" s="47">
        <f t="shared" si="0"/>
        <v>10</v>
      </c>
      <c r="G6" s="27">
        <f t="shared" si="1"/>
        <v>10.303009999999999</v>
      </c>
      <c r="H6" s="27">
        <f>H5-1</f>
        <v>8</v>
      </c>
    </row>
    <row r="7" spans="1:8" x14ac:dyDescent="0.2">
      <c r="A7" s="8"/>
      <c r="B7" s="47" t="s">
        <v>48</v>
      </c>
      <c r="C7" s="27">
        <v>10</v>
      </c>
      <c r="D7" s="8"/>
      <c r="E7" s="47">
        <f t="shared" si="2"/>
        <v>3</v>
      </c>
      <c r="F7" s="47">
        <f t="shared" si="0"/>
        <v>10</v>
      </c>
      <c r="G7" s="27">
        <f t="shared" si="1"/>
        <v>10.201000000000001</v>
      </c>
      <c r="H7" s="27">
        <f t="shared" ref="H7:H14" si="3">H6-1</f>
        <v>7</v>
      </c>
    </row>
    <row r="8" spans="1:8" x14ac:dyDescent="0.2">
      <c r="A8" s="8"/>
      <c r="B8" s="47" t="s">
        <v>0</v>
      </c>
      <c r="C8" s="29">
        <v>0.01</v>
      </c>
      <c r="D8" s="8"/>
      <c r="E8" s="47">
        <f t="shared" si="2"/>
        <v>4</v>
      </c>
      <c r="F8" s="47">
        <f>IF(ISNUMBER(E8),$C$8*$C$5,"NIL")</f>
        <v>10</v>
      </c>
      <c r="G8" s="27">
        <f t="shared" si="1"/>
        <v>10.1</v>
      </c>
      <c r="H8" s="27">
        <f t="shared" si="3"/>
        <v>6</v>
      </c>
    </row>
    <row r="9" spans="1:8" x14ac:dyDescent="0.2">
      <c r="A9" s="8"/>
      <c r="B9" s="47" t="s">
        <v>36</v>
      </c>
      <c r="C9" s="29">
        <v>0.01</v>
      </c>
      <c r="D9" s="8"/>
      <c r="E9" s="47">
        <f>IFERROR(IF(E8=$C$10,"Bond Sold",E8+1),"Bond Sold")</f>
        <v>5</v>
      </c>
      <c r="F9" s="47">
        <f t="shared" si="0"/>
        <v>10</v>
      </c>
      <c r="G9" s="27">
        <f>IF(ISNUMBER(F9),F9*(1+$C$9)^($C$10-E9),"NIL")</f>
        <v>10</v>
      </c>
      <c r="H9" s="27">
        <f t="shared" si="3"/>
        <v>5</v>
      </c>
    </row>
    <row r="10" spans="1:8" x14ac:dyDescent="0.2">
      <c r="A10" s="8"/>
      <c r="B10" s="47" t="s">
        <v>37</v>
      </c>
      <c r="C10" s="27">
        <v>5</v>
      </c>
      <c r="D10" s="8"/>
      <c r="E10" s="47" t="str">
        <f t="shared" si="2"/>
        <v>Bond Sold</v>
      </c>
      <c r="F10" s="47" t="str">
        <f t="shared" si="0"/>
        <v>NIL</v>
      </c>
      <c r="G10" s="27" t="str">
        <f t="shared" si="1"/>
        <v>NIL</v>
      </c>
      <c r="H10" s="27">
        <f t="shared" si="3"/>
        <v>4</v>
      </c>
    </row>
    <row r="11" spans="1:8" ht="17" thickBot="1" x14ac:dyDescent="0.25">
      <c r="A11" s="8"/>
      <c r="B11" s="14" t="s">
        <v>38</v>
      </c>
      <c r="C11" s="84">
        <v>0.06</v>
      </c>
      <c r="D11" s="8"/>
      <c r="E11" s="47" t="str">
        <f t="shared" si="2"/>
        <v>Bond Sold</v>
      </c>
      <c r="F11" s="47" t="str">
        <f t="shared" si="0"/>
        <v>NIL</v>
      </c>
      <c r="G11" s="27" t="str">
        <f t="shared" si="1"/>
        <v>NIL</v>
      </c>
      <c r="H11" s="27">
        <f t="shared" si="3"/>
        <v>3</v>
      </c>
    </row>
    <row r="12" spans="1:8" ht="17" thickTop="1" x14ac:dyDescent="0.2">
      <c r="D12" s="8"/>
      <c r="E12" s="47" t="str">
        <f t="shared" si="2"/>
        <v>Bond Sold</v>
      </c>
      <c r="F12" s="47" t="str">
        <f t="shared" si="0"/>
        <v>NIL</v>
      </c>
      <c r="G12" s="27" t="str">
        <f t="shared" si="1"/>
        <v>NIL</v>
      </c>
      <c r="H12" s="27">
        <f t="shared" si="3"/>
        <v>2</v>
      </c>
    </row>
    <row r="13" spans="1:8" x14ac:dyDescent="0.2">
      <c r="D13" s="8"/>
      <c r="E13" s="47" t="str">
        <f t="shared" si="2"/>
        <v>Bond Sold</v>
      </c>
      <c r="F13" s="47" t="str">
        <f t="shared" si="0"/>
        <v>NIL</v>
      </c>
      <c r="G13" s="27" t="str">
        <f t="shared" si="1"/>
        <v>NIL</v>
      </c>
      <c r="H13" s="27">
        <f t="shared" si="3"/>
        <v>1</v>
      </c>
    </row>
    <row r="14" spans="1:8" ht="17" thickBot="1" x14ac:dyDescent="0.25">
      <c r="B14" s="5" t="s">
        <v>40</v>
      </c>
      <c r="C14" s="6">
        <f>-PV(C11,C7-C10,C8*C5,C5)</f>
        <v>789.38181072171415</v>
      </c>
      <c r="D14" s="8"/>
      <c r="E14" s="14" t="str">
        <f t="shared" si="2"/>
        <v>Bond Sold</v>
      </c>
      <c r="F14" s="14" t="str">
        <f t="shared" si="0"/>
        <v>NIL</v>
      </c>
      <c r="G14" s="85" t="str">
        <f>IF(ISNUMBER(F14),F14*(1+$C$9)^($C$10-E14),"NIL")</f>
        <v>NIL</v>
      </c>
      <c r="H14" s="85">
        <f t="shared" si="3"/>
        <v>0</v>
      </c>
    </row>
    <row r="15" spans="1:8" ht="18" thickTop="1" thickBot="1" x14ac:dyDescent="0.25">
      <c r="E15" s="8"/>
      <c r="G15" s="88">
        <f>SUM(G5:G14) + C14</f>
        <v>840.39186082171409</v>
      </c>
    </row>
    <row r="16" spans="1:8" ht="17" thickTop="1" x14ac:dyDescent="0.2">
      <c r="B16" s="5" t="s">
        <v>55</v>
      </c>
      <c r="C16" s="7">
        <f>RATE(C10,0,-C6,G15)</f>
        <v>-3.4179615075121378E-2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Part 1</vt:lpstr>
      <vt:lpstr>Part 2</vt:lpstr>
      <vt:lpstr>Bond_Rating</vt:lpstr>
      <vt:lpstr>Coupon_Period</vt:lpstr>
      <vt:lpstr>Coupon_Rate</vt:lpstr>
      <vt:lpstr>Credit_Spread</vt:lpstr>
      <vt:lpstr>DV01_</vt:lpstr>
      <vt:lpstr>Face_Value</vt:lpstr>
      <vt:lpstr>Macaulay_Duration</vt:lpstr>
      <vt:lpstr>Maturity_Date</vt:lpstr>
      <vt:lpstr>Modified_Duration</vt:lpstr>
      <vt:lpstr>New_Duration</vt:lpstr>
      <vt:lpstr>New_DV01</vt:lpstr>
      <vt:lpstr>New_Price_after_Yield_Change</vt:lpstr>
      <vt:lpstr>New_price_from_Duration</vt:lpstr>
      <vt:lpstr>New_price_from_DV01</vt:lpstr>
      <vt:lpstr>No._of_Years</vt:lpstr>
      <vt:lpstr>Period_per_Year</vt:lpstr>
      <vt:lpstr>Price</vt:lpstr>
      <vt:lpstr>Treasury_Yield</vt:lpstr>
      <vt:lpstr>Yield_Change</vt:lpstr>
      <vt:lpstr>YTM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Niramay Prashant Lakhani</dc:creator>
  <cp:lastModifiedBy>Niramay Prashant Lakhani</cp:lastModifiedBy>
  <dcterms:created xsi:type="dcterms:W3CDTF">2025-05-06T22:53:56Z</dcterms:created>
  <dcterms:modified xsi:type="dcterms:W3CDTF">2025-05-27T07:30:01Z</dcterms:modified>
</cp:coreProperties>
</file>