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Resouce" sheetId="3" r:id="rId6"/>
    <sheet state="visible" name="Sheet2" sheetId="4" r:id="rId7"/>
    <sheet state="visible" name="Sheet3" sheetId="5" r:id="rId8"/>
  </sheets>
  <definedNames/>
  <calcPr/>
</workbook>
</file>

<file path=xl/sharedStrings.xml><?xml version="1.0" encoding="utf-8"?>
<sst xmlns="http://schemas.openxmlformats.org/spreadsheetml/2006/main" count="1066" uniqueCount="825">
  <si>
    <t>Shallow_20 Performance Metrics</t>
  </si>
  <si>
    <t>Deep_20 Performance Metrics</t>
  </si>
  <si>
    <t>shadeep_hyb_WgtAv_20 Performance Metrics</t>
  </si>
  <si>
    <t>shadeep_hyb_Concat_20 Performance Metrics</t>
  </si>
  <si>
    <t>shadeep_hyb_Minimum_20 Performance Metrics</t>
  </si>
  <si>
    <t>shadeep_hyb_Maximum_20 Performance Metrics</t>
  </si>
  <si>
    <t>shadeep_hyb_Multiply_20 Performance Metrics</t>
  </si>
  <si>
    <t>shadeep_hyb_Subtract_20 Performance Metrics</t>
  </si>
  <si>
    <t>shadeep_hyb_WgtAv_40 Performance Metrics</t>
  </si>
  <si>
    <t>shadeep_hyb_Concat_40 Performance Metrics</t>
  </si>
  <si>
    <t>shadeep_hyb_Minimum_40 Performance Metrics</t>
  </si>
  <si>
    <t>shadeep_hyb_Maximum_40 Performance Metrics</t>
  </si>
  <si>
    <t>shadeep_hyb_Multiply_40 Performance Metrics</t>
  </si>
  <si>
    <t>shadeep_hyb_Subtract_40 Performance Metrics</t>
  </si>
  <si>
    <t>Epochs to run:200</t>
  </si>
  <si>
    <t>Epochs to run:500</t>
  </si>
  <si>
    <t>Last epoch early :200</t>
  </si>
  <si>
    <t>Last epoch early :500</t>
  </si>
  <si>
    <t>Early stop epoch early :65</t>
  </si>
  <si>
    <t>Early stop epoch early :179</t>
  </si>
  <si>
    <t>Early stop epoch early :268</t>
  </si>
  <si>
    <t>Early stop epoch early :164</t>
  </si>
  <si>
    <t>Early stop epoch early :193</t>
  </si>
  <si>
    <t>Early stop epoch early :241</t>
  </si>
  <si>
    <t>Early stop epoch early :216</t>
  </si>
  <si>
    <t>Early stop epoch early :225</t>
  </si>
  <si>
    <t>Early stop epoch early :141</t>
  </si>
  <si>
    <t>Early stop epoch early :101</t>
  </si>
  <si>
    <t>Early stop epoch early :132</t>
  </si>
  <si>
    <t>Early stop epoch early :125</t>
  </si>
  <si>
    <t>Early stop epoch early :182</t>
  </si>
  <si>
    <t>Early stop epoch early :192</t>
  </si>
  <si>
    <t>Training_time:436.5677649974823</t>
  </si>
  <si>
    <t>Training_time:1772.1824853420258</t>
  </si>
  <si>
    <t>Training_time:4453.840896368027</t>
  </si>
  <si>
    <t>Training_time:2453.208993434906</t>
  </si>
  <si>
    <t>Training_time:3605.1928226947784</t>
  </si>
  <si>
    <t>Training_time:2922.341645717621</t>
  </si>
  <si>
    <t>Training_time:2921.6384823322296</t>
  </si>
  <si>
    <t>Training_time:4313.614229679108</t>
  </si>
  <si>
    <t>Training_time:1731.700556755066</t>
  </si>
  <si>
    <t>Training_time:1134.4631209373474</t>
  </si>
  <si>
    <t>Training_time:1492.9186961650848</t>
  </si>
  <si>
    <t>Training_time:2295.4174399375916</t>
  </si>
  <si>
    <t>Training_time:3468.3020021915436</t>
  </si>
  <si>
    <t>Training_time:4210.962260484695</t>
  </si>
  <si>
    <t>Training Loss: [0.20440199971199036, 0.18214936554431915, 0.17577627301216125, 0.17208407819271088, 0.16932469606399536, 0.1671115905046463, 0.16578371822834015, 0.16510511934757233, 0.16380295157432556, 0.1628948152065277, 0.16206057369709015, 0.16056181490421295, 0.1608116179704666, 0.1599465012550354, 0.15996944904327393, 0.15940141677856445, 0.15939660370349884, 0.15871348977088928, 0.1592334359884262, 0.15871454775333405, 0.15916457772254944, 0.15805457532405853, 0.15809346735477448, 0.15864989161491394, 0.159182608127594, 0.1586601287126541, 0.1588563472032547, 0.15853548049926758, 0.15908530354499817, 0.15846669673919678, 0.15866155922412872, 0.15975160896778107, 0.1601875275373459, 0.1601114720106125, 0.15979088842868805, 0.16042053699493408, 0.16041478514671326, 0.15994900465011597, 0.16045355796813965, 0.16108566522598267, 0.1608453243970871, 0.16044725477695465, 0.16100965440273285, 0.1605379283428192, 0.16161514818668365, 0.16315513849258423, 0.16259483993053436, 0.16315172612667084, 0.1626042127609253, 0.1624288409948349, 0.16203764081001282, 0.16345492005348206, 0.16295970976352692, 0.16268587112426758, 0.16285361349582672, 0.16321301460266113, 0.16371499001979828, 0.1629886031150818, 0.1633274108171463, 0.16358418762683868, 0.16449086368083954, 0.16619789600372314, 0.16383405029773712, 0.16381794214248657, 0.16331908106803894]</t>
  </si>
  <si>
    <t>Training Loss: [0.18566186726093292, 0.16242894530296326, 0.15596605837345123, 0.15107043087482452, 0.1482950896024704, 0.14638230204582214, 0.1447451412677765, 0.14284971356391907, 0.14214953780174255, 0.14116056263446808, 0.14032241702079773, 0.13934652507305145, 0.13843901455402374, 0.13756580650806427, 0.13737010955810547, 0.13620881736278534, 0.13612216711044312, 0.13492681086063385, 0.13462194800376892, 0.13410522043704987, 0.13326168060302734, 0.13265596330165863, 0.13222965598106384, 0.13196663558483124, 0.1310027837753296, 0.13074950873851776, 0.1301504224538803, 0.1299513876438141, 0.12942646443843842, 0.12865027785301208, 0.12831173837184906, 0.1282961070537567, 0.12788479030132294, 0.1273173987865448, 0.12666384875774384, 0.12650933861732483, 0.12602099776268005, 0.1257004588842392, 0.12629887461662292, 0.12515155971050262, 0.1253000795841217, 0.1241106390953064, 0.12434904277324677, 0.12352976948022842, 0.12298434972763062, 0.12312865257263184, 0.12304747849702835, 0.12238840013742447, 0.12192177772521973, 0.12225194275379181, 0.12190636247396469, 0.12109927088022232, 0.12007343769073486, 0.1208469495177269, 0.1200801208615303, 0.1197037547826767, 0.12111286073923111, 0.1194535419344902, 0.1197231113910675, 0.11834316700696945, 0.11907599866390228, 0.11834877729415894, 0.11821557581424713, 0.11836959421634674, 0.11765988171100616, 0.11718789488077164, 0.11674201488494873, 0.11664482206106186, 0.11607726663351059, 0.1165071651339531, 0.11634445935487747, 0.11583815515041351, 0.11498518288135529, 0.11552070826292038, 0.11556606739759445, 0.11492461711168289, 0.11448820680379868, 0.11468957364559174, 0.11361517012119293, 0.11287843436002731, 0.11348539590835571, 0.11342135071754456, 0.1132102757692337, 0.11291903257369995, 0.1128683015704155, 0.11282170563936234, 0.11183178424835205, 0.11181675642728806, 0.11214040964841843, 0.11198795586824417, 0.11195535212755203, 0.11108602583408356, 0.11100701242685318, 0.11086975783109665, 0.11017023772001266, 0.11049304157495499, 0.11049007624387741, 0.11093873530626297, 0.10968655347824097, 0.11009310930967331, 0.10935238748788834, 0.10916274785995483, 0.10972201079130173, 0.10831465572118759, 0.1079215332865715, 0.10773517936468124, 0.1079443171620369, 0.10819793492555618, 0.1086060106754303, 0.1076829582452774, 0.1071959137916565, 0.1070813238620758, 0.10665350407361984, 0.10706659406423569, 0.1061796024441719, 0.10634427517652512, 0.10638134926557541, 0.10591738671064377, 0.10647203028202057, 0.10595320165157318, 0.10581650584936142, 0.10553354024887085, 0.10505978018045425, 0.10497526824474335, 0.1056053638458252, 0.10437103360891342, 0.10395703464746475, 0.1039246991276741, 0.1040780171751976, 0.10429257154464722, 0.10336759686470032, 0.1030471920967102, 0.10355794429779053, 0.10362830013036728, 0.102977454662323, 0.10290563106536865, 0.10395333170890808, 0.10264799743890762, 0.10277776420116425, 0.10247722268104553, 0.10124286264181137, 0.10231231898069382, 0.10132546722888947, 0.10141272842884064, 0.10133226960897446, 0.10079631209373474, 0.10043307393789291, 0.10156010836362839, 0.10069006681442261, 0.10095782577991486, 0.10054377466440201, 0.10080208629369736, 0.10004088282585144, 0.10042581707239151, 0.10031893849372864, 0.10105451196432114, 0.09949549287557602, 0.09888018667697906, 0.09994333982467651, 0.09949298202991486, 0.09912997484207153, 0.09917793422937393, 0.09835470467805862, 0.09888060390949249, 0.09871048480272293, 0.09685773402452469, 0.09731744229793549, 0.09785973280668259, 0.09692995250225067, 0.09740705788135529, 0.09638474136590958, 0.09693308174610138, 0.09723320603370667, 0.096128910779953, 0.09793807566165924, 0.09630116820335388, 0.09526695311069489, 0.09548082947731018, 0.09565018862485886]</t>
  </si>
  <si>
    <t>Training Loss: [0.48912519216537476, 0.30447274446487427, 0.23207809031009674, 0.2050524801015854, 0.17547422647476196, 0.16450448334217072, 0.15917523205280304, 0.1557689905166626, 0.15281277894973755, 0.1521940380334854, 0.1497688591480255, 0.1486225128173828, 0.14792780578136444, 0.14677047729492188, 0.14555402100086212, 0.14438854157924652, 0.14343535900115967, 0.142593115568161, 0.1420479267835617, 0.14319489896297455, 0.14202174544334412, 0.14024722576141357, 0.13988105952739716, 0.13883864879608154, 0.1382444053888321, 0.13802418112754822, 0.1384507268667221, 0.14033368229866028, 0.1363425999879837, 0.13511699438095093, 0.13796119391918182, 0.13615016639232635, 0.13414999842643738, 0.134184330701828, 0.13364176452159882, 0.13440926373004913, 0.13383376598358154, 0.13401834666728973, 0.1319837123155594, 0.1320067197084427, 0.1316687911748886, 0.1312868446111679, 0.13051150739192963, 0.13062448799610138, 0.13011233508586884, 0.12950392067432404, 0.13009068369865417, 0.12885189056396484, 0.12942475080490112, 0.12861016392707825, 0.12835605442523956, 0.12787283957004547, 0.1280246078968048, 0.128329336643219, 0.12685313820838928, 0.13221105933189392, 0.12681497633457184, 0.12869778275489807, 0.13111701607704163, 0.1263955533504486, 0.1267940104007721, 0.12585577368736267, 0.1251898854970932, 0.1287451684474945, 0.12778662145137787, 0.12659116089344025, 0.12513534724712372, 0.1248181164264679, 0.12546414136886597, 0.12442181259393692, 0.1245201900601387, 0.12447619438171387, 0.12330035120248795, 0.12371143698692322, 0.1225389912724495, 0.12222244590520859, 0.12209855765104294, 0.12255405634641647, 0.12238696962594986, 0.12190233916044235, 0.12146807461977005, 0.12132346630096436, 0.12108910828828812, 0.12082990258932114, 0.12040741741657257, 0.12000048905611038, 0.1207423135638237, 0.11975058913230896, 0.1194569543004036, 0.11945716291666031, 0.11834505945444107, 0.11944585293531418, 0.11824804544448853, 0.12273957580327988, 0.11869441717863083, 0.11773146688938141, 0.11846445500850677, 0.11857711523771286, 0.11772535741329193, 0.1175522729754448, 0.11764167994260788, 0.11669810861349106, 0.11777439713478088, 0.11682793498039246, 0.12382388859987259, 0.12258945405483246, 0.11656514555215836, 0.11765962094068527, 0.11722433567047119, 0.11566206812858582, 0.11548531800508499, 0.11545051634311676, 0.11554895341396332, 0.11529669165611267, 0.11350321024656296, 0.11380123347043991, 0.11414530128240585, 0.11408516019582748, 0.1146622896194458, 0.11393596976995468, 0.11360613256692886, 0.11391647160053253, 0.1128094419836998, 0.11314768344163895, 0.1123979315161705, 0.11259128898382187, 0.1124919131398201, 0.11125978082418442, 0.11244870722293854, 0.11193729192018509, 0.11178839206695557, 0.1123519167304039, 0.11296304315328598, 0.11256484687328339, 0.11234616488218307, 0.11278153210878372, 0.11147381365299225, 0.11215285956859589, 0.11261242628097534, 0.1110607460141182, 0.11184532940387726, 0.11248087882995605, 0.11165598034858704, 0.1107461228966713, 0.11079156398773193, 0.11094013601541519, 0.10986777395009995, 0.11037716269493103, 0.10929456353187561, 0.10974095016717911, 0.10984552651643753, 0.10941358655691147, 0.11072547733783722, 0.10976165533065796, 0.10756879299879074, 0.11331360042095184, 0.11150810867547989, 0.1073993667960167, 0.10764788091182709, 0.10916478931903839, 0.10790269821882248, 0.10750006139278412, 0.10687525570392609, 0.10728466510772705, 0.10695666819810867, 0.10672981292009354, 0.106159508228302, 0.10618088394403458, 0.10640398412942886, 0.10615458339452744, 0.10579873621463776, 0.1063317283987999, 0.1060100793838501, 0.10516335815191269, 0.10619299113750458, 0.10387362539768219, 0.10497084259986877, 0.10718462616205215, 0.10386842489242554, 0.1036457046866417, 0.10524789988994598, 0.10458755493164062, 0.10407228767871857, 0.10421434789896011, 0.10504672676324844, 0.10418231040239334, 0.10256719589233398, 0.10433537513017654, 0.10361640900373459, 0.10384517163038254, 0.10295507311820984, 0.10344112664461136, 0.10387502610683441, 0.1024431437253952, 0.10280442982912064, 0.10233540832996368, 0.1019933745265007, 0.10251908749341965, 0.1028582826256752, 0.10243551433086395, 0.10155106335878372, 0.10219934582710266, 0.10196015238761902, 0.1024484783411026, 0.10192278027534485, 0.1020221933722496, 0.10157730430364609, 0.10195522755384445, 0.10082855075597763, 0.10183560103178024, 0.10053073614835739, 0.09996460378170013, 0.09980560839176178, 0.10025756061077118, 0.10067066550254822, 0.09957034885883331, 0.10015618801116943, 0.10029708594083786, 0.09982043504714966, 0.0997210443019867, 0.0989152118563652, 0.09955930709838867, 0.1001955196261406, 0.09939885884523392, 0.09935951977968216, 0.09941546618938446, 0.09984422475099564, 0.0993429496884346, 0.09939491748809814, 0.09903246909379959, 0.09858830273151398, 0.09773736447095871, 0.09814401715993881, 0.09900441020727158, 0.09897352755069733, 0.09786413609981537, 0.09711950272321701, 0.09849554300308228, 0.09817904233932495, 0.09817830473184586, 0.0973799005150795, 0.09740972518920898, 0.09742224216461182, 0.097138412296772, 0.09757772088050842, 0.09809860587120056, 0.09810682386159897, 0.09663575142621994, 0.0981878787279129, 0.09727217257022858, 0.09633494168519974, 0.09788909554481506, 0.09622266888618469, 0.09631593525409698, 0.09764978289604187, 0.09650953114032745, 0.09601110965013504, 0.09540868550539017, 0.09800088405609131, 0.09599325060844421, 0.09644544124603271, 0.09610311686992645, 0.09687259048223495, 0.09563811868429184, 0.09657519310712814, 0.09566206485033035, 0.0969274565577507, 0.09679553657770157]</t>
  </si>
  <si>
    <t>Training Loss: [0.33444729447364807, 0.21849751472473145, 0.19153158366680145, 0.17571008205413818, 0.15908530354499817, 0.15559346973896027, 0.1511845588684082, 0.14925667643547058, 0.14739744365215302, 0.14558528363704681, 0.14422331750392914, 0.1434587985277176, 0.14198218286037445, 0.14122477173805237, 0.14101269841194153, 0.14079435169696808, 0.13952964544296265, 0.1391953080892563, 0.13827884197235107, 0.1372917890548706, 0.13725581765174866, 0.13733066618442535, 0.13750308752059937, 0.13628098368644714, 0.13548579812049866, 0.13699403405189514, 0.1396797001361847, 0.13434045016765594, 0.13762442767620087, 0.13684067130088806, 0.1352212131023407, 0.1358031928539276, 0.1333712786436081, 0.13364920020103455, 0.13162937760353088, 0.13133977353572845, 0.13101701438426971, 0.13107146322727203, 0.13005146384239197, 0.13037504255771637, 0.1292032152414322, 0.12873178720474243, 0.12845729291439056, 0.12822158634662628, 0.12757451832294464, 0.12725494801998138, 0.1278565376996994, 0.1274637132883072, 0.12798310816287994, 0.12525074183940887, 0.12611719965934753, 0.12511645257472992, 0.12511050701141357, 0.1243080273270607, 0.1249387338757515, 0.12453581392765045, 0.12481386959552765, 0.12372998893260956, 0.12380995601415634, 0.12310422211885452, 0.12262976169586182, 0.1230979934334755, 0.12169136852025986, 0.12227984517812729, 0.12132079899311066, 0.12153179198503494, 0.1205454021692276, 0.12066639959812164, 0.12122925370931625, 0.12086836993694305, 0.12059196084737778, 0.1203591600060463, 0.12017523497343063, 0.12015532702207565, 0.11933402717113495, 0.11917799711227417, 0.11971015483140945, 0.1197560727596283, 0.120365209877491, 0.12190597504377365, 0.1198674663901329, 0.11948515474796295, 0.11863521486520767, 0.1196562871336937, 0.11763005703687668, 0.11800289154052734, 0.11785446852445602, 0.11736880242824554, 0.11711007356643677, 0.11740075796842575, 0.1182689443230629, 0.11735756695270538, 0.11732087284326553, 0.11740542203187943, 0.11696562170982361, 0.115381620824337, 0.11572982370853424, 0.11609207838773727, 0.11656011641025543, 0.11510396748781204, 0.11497679352760315, 0.11473392695188522, 0.11529601365327835, 0.11566048860549927, 0.11442536860704422, 0.11438910663127899, 0.11533720791339874, 0.11417023837566376, 0.11453339457511902, 0.11387841403484344, 0.1135702133178711, 0.11323521286249161, 0.11272423714399338, 0.11347267776727676, 0.11294588446617126, 0.1128256693482399, 0.11360273510217667, 0.11292696744203568, 0.11301062256097794, 0.11228527128696442, 0.11072763800621033, 0.11129598319530487, 0.1108936294913292, 0.11183489114046097, 0.1112046167254448, 0.11091741174459457, 0.11107532680034637, 0.1104043573141098, 0.11041732877492905, 0.10974276810884476, 0.10935590416193008, 0.10830612480640411, 0.10816764086484909, 0.10911069810390472, 0.10833851248025894, 0.10955376923084259, 0.10848071426153183, 0.10819756984710693, 0.10788581520318985, 0.10738229006528854, 0.10683540999889374, 0.10752151161432266, 0.1080285906791687, 0.10794837027788162, 0.10708226263523102, 0.10748802125453949, 0.10589312762022018, 0.10661626607179642, 0.10727245360612869, 0.10687896609306335, 0.1069488525390625, 0.10713295638561249, 0.10688184946775436, 0.10513979941606522, 0.10729705542325974, 0.10665110498666763, 0.10674801468849182, 0.1062953844666481, 0.10536950826644897, 0.10511290282011032, 0.10539238899946213, 0.10468559712171555, 0.10462082177400589, 0.10441768169403076]</t>
  </si>
  <si>
    <t>Training Loss: [0.36372607946395874, 0.21088971197605133, 0.1806405633687973, 0.17002178728580475, 0.16377635300159454, 0.1601128727197647, 0.1569836288690567, 0.1540507823228836, 0.15167000889778137, 0.15083350241184235, 0.1490716189146042, 0.14788538217544556, 0.14755193889141083, 0.14600752294063568, 0.14495842158794403, 0.144263356924057, 0.14338357746601105, 0.14233802258968353, 0.1419956237077713, 0.1411258429288864, 0.1406647115945816, 0.14043834805488586, 0.13988223671913147, 0.1386832594871521, 0.13841985166072845, 0.13844722509384155, 0.13844992220401764, 0.13738003373146057, 0.13717125356197357, 0.13763108849525452, 0.13767549395561218, 0.13632047176361084, 0.13539813458919525, 0.13562597334384918, 0.13542479276657104, 0.135323628783226, 0.13472817838191986, 0.13466210663318634, 0.13460613787174225, 0.13421949744224548, 0.13410241901874542, 0.13361254334449768, 0.1330062747001648, 0.13275554776191711, 0.13255120813846588, 0.13172292709350586, 0.13157887756824493, 0.13135254383087158, 0.13118131458759308, 0.13031283020973206, 0.13038699328899384, 0.13022345304489136, 0.13056805729866028, 0.12986057996749878, 0.12945815920829773, 0.1292034238576889, 0.12874484062194824, 0.12849439680576324, 0.12869898974895477, 0.12819914519786835, 0.12758475542068481, 0.12783420085906982, 0.1266055703163147, 0.12650486826896667, 0.12694987654685974, 0.12658116221427917, 0.1261899769306183, 0.12667615711688995, 0.12638135254383087, 0.1258888989686966, 0.12502002716064453, 0.12481559813022614, 0.12459874898195267, 0.12421382963657379, 0.12397375702857971, 0.12436454743146896, 0.12433277815580368, 0.12395969033241272, 0.12271782010793686, 0.12391621619462967, 0.12303804606199265, 0.12356875836849213, 0.12305839359760284, 0.12229441851377487, 0.12314202636480331, 0.12187767028808594, 0.12236848473548889, 0.12219509482383728, 0.121364526450634, 0.12119763344526291, 0.12160921841859818, 0.12066683918237686, 0.12073280662298203, 0.12069448083639145, 0.12049054354429245, 0.11968471109867096, 0.1205783560872078, 0.12072549015283585, 0.11930768191814423, 0.11895455420017242, 0.11873777210712433, 0.11905372887849808, 0.11859847605228424, 0.11917050182819366, 0.11833234131336212, 0.11894012242555618, 0.11776316910982132, 0.11751878261566162, 0.11812367290258408, 0.11701025068759918, 0.11839237064123154, 0.11701524257659912, 0.11730063706636429, 0.11788634210824966, 0.1166250929236412, 0.11715436726808548, 0.11721771955490112, 0.11577922105789185, 0.11660604178905487, 0.11589466035366058, 0.11585845053195953, 0.11618393659591675, 0.11560127139091492, 0.11471277475357056, 0.11506479978561401, 0.11416248977184296, 0.11478482931852341, 0.1135539561510086, 0.11378677934408188, 0.11431650817394257, 0.11473848670721054, 0.1134580671787262, 0.11393634229898453, 0.11326925456523895, 0.1132887601852417, 0.11276610940694809, 0.1127631813287735, 0.11254231631755829, 0.11233610659837723, 0.1124565377831459, 0.11267764866352081, 0.11164867877960205, 0.11308126151561737, 0.11254117637872696, 0.11344097554683685, 0.11170558631420135, 0.11169230937957764, 0.11234935373067856, 0.11124446988105774, 0.11121566593647003, 0.111278235912323, 0.11081749200820923, 0.11100981384515762, 0.11022548377513885, 0.11037305742502213, 0.11139600723981857, 0.11148791015148163, 0.11125215888023376, 0.1114044263958931, 0.11043812334537506, 0.10879599303007126, 0.10954240709543228, 0.10980139672756195, 0.10837355256080627, 0.10937722027301788, 0.10882918536663055, 0.1085864007472992, 0.10773241519927979, 0.10800966620445251, 0.10817835479974747, 0.10795079171657562, 0.10781153291463852, 0.10715979337692261, 0.10825003683567047, 0.10697717219591141, 0.10663587599992752, 0.10713651031255722, 0.10680580884218216, 0.10669700056314468, 0.10703373700380325, 0.10705126821994781, 0.10548703372478485, 0.10596083849668503, 0.10665811598300934, 0.10561781376600266, 0.10491678863763809, 0.10522209852933884, 0.10614685714244843, 0.10615521669387817, 0.10555984824895859, 0.10555148124694824, 0.10503041744232178, 0.1058260053396225]</t>
  </si>
  <si>
    <t>Training Loss: [0.34682363271713257, 0.2037113606929779, 0.17620952427387238, 0.16611729562282562, 0.16085468232631683, 0.1565219610929489, 0.15392017364501953, 0.15163952112197876, 0.1497122049331665, 0.1476343274116516, 0.146529421210289, 0.14542309939861298, 0.1438186913728714, 0.14365482330322266, 0.14279218018054962, 0.14176490902900696, 0.14097847044467926, 0.13999542593955994, 0.13984204828739166, 0.13894915580749512, 0.13778679072856903, 0.1372600644826889, 0.13638156652450562, 0.13551820814609528, 0.13463348150253296, 0.13401058316230774, 0.1334332823753357, 0.13202999532222748, 0.13153716921806335, 0.1314663589000702, 0.1306021809577942, 0.13011778891086578, 0.13005654513835907, 0.12927238643169403, 0.12902720272541046, 0.12845471501350403, 0.1278172731399536, 0.128273144364357, 0.1275293380022049, 0.12696513533592224, 0.12646052241325378, 0.12598326802253723, 0.12593209743499756, 0.12503787875175476, 0.1258144974708557, 0.12458665668964386, 0.12414655089378357, 0.12360353022813797, 0.12430918216705322, 0.12350732833147049, 0.12295103818178177, 0.12230557203292847, 0.12231083959341049, 0.12212253361940384, 0.1215272843837738, 0.12175086885690689, 0.12131056189537048, 0.1211375966668129, 0.12023428082466125, 0.11937693506479263, 0.12056291848421097, 0.11910155415534973, 0.1195877343416214, 0.11955913156270981, 0.11845246702432632, 0.11764223873615265, 0.11817573010921478, 0.11830069869756699, 0.11809267103672028, 0.11683352291584015, 0.11690399050712585, 0.1165725588798523, 0.1159033477306366, 0.11606153845787048, 0.11573313176631927, 0.11627119779586792, 0.11552495509386063, 0.11466643214225769, 0.114920973777771, 0.11439912021160126, 0.11503177881240845, 0.1145036369562149, 0.1137952208518982, 0.11350058764219284, 0.11334070563316345, 0.1122506782412529, 0.11263184994459152, 0.11174771934747696, 0.11152707785367966, 0.1114131361246109, 0.11133622378110886, 0.11134498566389084, 0.11074037104845047, 0.11178115755319595, 0.11046254634857178, 0.11021338403224945, 0.10993260890245438, 0.10991467535495758, 0.10951356589794159, 0.10926485806703568, 0.10923434793949127, 0.10881077498197556, 0.10883083194494247, 0.10744225978851318, 0.10777974873781204, 0.10750025510787964, 0.10750246047973633, 0.10687872022390366, 0.10780936479568481, 0.10673192143440247, 0.10761046409606934, 0.10642562061548233, 0.10681476444005966, 0.10633168369531631, 0.10730809718370438, 0.10609722882509232, 0.10659825801849365, 0.10548485070466995, 0.10529061406850815, 0.1053331196308136, 0.1052289754152298, 0.10565129667520523, 0.10372335463762283, 0.10431373119354248, 0.10511906445026398, 0.10430613905191422, 0.10358066111803055, 0.10361286252737045, 0.10369682312011719, 0.1037139967083931, 0.10339131206274033, 0.10228265076875687, 0.10196145623922348, 0.10135958343744278, 0.10269149392843246, 0.10118888318538666, 0.1014266237616539, 0.10245631635189056, 0.10245106369256973, 0.1016048863530159, 0.10128878057003021, 0.1006920263171196, 0.10019850730895996, 0.10075729340314865, 0.09949272125959396, 0.10018274933099747, 0.09967254102230072, 0.09964709728956223, 0.0999959409236908, 0.0992758646607399, 0.09796243906021118, 0.09799585491418839, 0.09843578189611435, 0.09786681830883026, 0.09912414848804474, 0.09853395819664001, 0.0980229601264, 0.09703236073255539, 0.09829390794038773, 0.09767206013202667, 0.09693415462970734, 0.09807639569044113, 0.09744478762149811, 0.09788478910923004, 0.09716397523880005, 0.09697894752025604, 0.09661032259464264, 0.09644819796085358, 0.09695074707269669, 0.09549135714769363, 0.09561766684055328, 0.0970471128821373, 0.0947430282831192, 0.09563390165567398, 0.09629400074481964, 0.0956677794456482, 0.09445133060216904, 0.09498279541730881, 0.09445364773273468, 0.09483686089515686, 0.09419995546340942, 0.09475543349981308, 0.09409667551517487, 0.09293544292449951, 0.09366525709629059, 0.09565415978431702, 0.09359940886497498, 0.09414611011743546, 0.09297104179859161, 0.09291987866163254, 0.09223169833421707, 0.09399373829364777, 0.09172862768173218, 0.09188473224639893, 0.09339606761932373, 0.09279295802116394, 0.09333954751491547, 0.09235221892595291, 0.09230492264032364, 0.0921078622341156, 0.09100262075662613, 0.09423849731683731, 0.09243723750114441, 0.09225175529718399, 0.09243475645780563, 0.09077494591474533, 0.09104681015014648, 0.09143378585577011, 0.0920650064945221, 0.09109539538621902, 0.09019695967435837, 0.09176045656204224, 0.08973026275634766, 0.09078896790742874, 0.09001549333333969, 0.09038400650024414, 0.08946671336889267, 0.0898195430636406, 0.08897066116333008, 0.0901547446846962, 0.08932354301214218, 0.09036118537187576, 0.08918410539627075, 0.08919991552829742, 0.08870042860507965, 0.08958356082439423, 0.08931490033864975, 0.08892188221216202, 0.08744046837091446, 0.08966716378927231, 0.08829599618911743, 0.08793792128562927, 0.08766265213489532, 0.08793554455041885, 0.08934495598077774, 0.08790294080972672, 0.08825511485338211, 0.0867592990398407, 0.08756478875875473, 0.08682122081518173, 0.08760557323694229]</t>
  </si>
  <si>
    <t>Training Loss: [0.38652411103248596, 0.22285546362400055, 0.18306593596935272, 0.1721646934747696, 0.16261450946331024, 0.16176456212997437, 0.1602172702550888, 0.15909455716609955, 0.15674299001693726, 0.15271909534931183, 0.14954687654972076, 0.1489996463060379, 0.14508715271949768, 0.1441660374403, 0.14313776791095734, 0.1422448307275772, 0.14294078946113586, 0.1409086138010025, 0.14025120437145233, 0.1398814469575882, 0.13976341485977173, 0.13837771117687225, 0.13813099265098572, 0.13711819052696228, 0.13630442321300507, 0.13607075810432434, 0.13570329546928406, 0.13508334755897522, 0.1350836604833603, 0.13463202118873596, 0.13427889347076416, 0.13447073101997375, 0.13357117772102356, 0.13250401616096497, 0.13264277577400208, 0.13408972322940826, 0.13265159726142883, 0.13168182969093323, 0.13161495327949524, 0.1311206966638565, 0.13061080873012543, 0.1301228106021881, 0.12969288229942322, 0.13027256727218628, 0.1289731115102768, 0.1286921352148056, 0.12900835275650024, 0.12793301045894623, 0.12914761900901794, 0.12832938134670258, 0.1285502016544342, 0.12758362293243408, 0.12695319950580597, 0.12784014642238617, 0.12695980072021484, 0.12678800523281097, 0.1259433627128601, 0.12542898952960968, 0.1257437914609909, 0.12558814883232117, 0.12473678588867188, 0.1251431256532669, 0.12454025447368622, 0.12293778359889984, 0.12415304780006409, 0.12298884242773056, 0.12338252365589142, 0.12462250143289566, 0.12468761950731277, 0.12381883710622787, 0.1215735524892807, 0.12256591767072678, 0.12215367704629898, 0.1211843490600586, 0.1210877075791359, 0.12142395228147507, 0.12154195457696915, 0.12217410653829575, 0.12012539058923721, 0.12124147266149521, 0.12103766202926636, 0.12050674110651016, 0.12065178900957108, 0.11953370273113251, 0.11916112154722214, 0.1186719462275505, 0.11944982409477234, 0.11868320405483246, 0.1194329783320427, 0.11869574338197708, 0.11810127645730972, 0.11780299991369247, 0.11809860914945602, 0.11725693196058273, 0.11739616841077805, 0.11882136017084122, 0.11729972809553146, 0.11691111326217651, 0.11630288511514664, 0.11632288992404938, 0.11549216508865356, 0.11553642153739929, 0.1149824857711792, 0.1148471087217331, 0.11452934890985489, 0.11433194577693939, 0.11472567915916443, 0.11554540693759918, 0.114641472697258, 0.11495910584926605, 0.11506342142820358, 0.11489159613847733, 0.11454194784164429, 0.11368773132562637, 0.11309340596199036, 0.11344707012176514, 0.11233542859554291, 0.1129913404583931, 0.11307673156261444, 0.11204864829778671, 0.11317814141511917, 0.11245273798704147, 0.11241551488637924, 0.11143045872449875, 0.11114098876714706, 0.1105826124548912, 0.1109999418258667, 0.11032897233963013, 0.11076615005731583, 0.10979197919368744, 0.1097046285867691, 0.10952291637659073, 0.11004522442817688, 0.10914930701255798, 0.11045585572719574, 0.10928112268447876, 0.10928002744913101, 0.1088641881942749, 0.10939856618642807, 0.10843944549560547, 0.10837428271770477, 0.10861707478761673, 0.1075967326760292, 0.10773293673992157, 0.1080169826745987, 0.10843057930469513, 0.10800793021917343, 0.10654933750629425, 0.10719593614339828, 0.10662311315536499, 0.10588829964399338, 0.10595573484897614, 0.10514256358146667, 0.10645119100809097, 0.10551375150680542, 0.10563156008720398, 0.10525327920913696, 0.10568166524171829, 0.10641320049762726, 0.10571824759244919, 0.10503628849983215, 0.10383941978216171, 0.10495375841856003, 0.10375955700874329, 0.10359062254428864, 0.10511046648025513, 0.10381262749433517, 0.10396894812583923, 0.10358595848083496, 0.10375265032052994, 0.1028975322842598, 0.10347209125757217, 0.10278107970952988, 0.1026882752776146, 0.10277683287858963, 0.10281779617071152, 0.10359878093004227, 0.10269851237535477, 0.10355362296104431, 0.10252997279167175, 0.10198821127414703, 0.10280530154705048, 0.1008831039071083, 0.1016353890299797, 0.10156586021184921, 0.10046544671058655, 0.10138805210590363, 0.10050858557224274, 0.10106102377176285, 0.10041258484125137, 0.10137572884559631, 0.10111135244369507, 0.09950804710388184, 0.10025876015424728, 0.10043539106845856, 0.10040013492107391, 0.09983599185943604, 0.09999635070562363, 0.10019487142562866, 0.09902597218751907, 0.0998208224773407, 0.10002581030130386, 0.09880445152521133, 0.09983687847852707, 0.09840217977762222, 0.09880273789167404, 0.09925587475299835, 0.09921249747276306, 0.0986773818731308, 0.0991659164428711, 0.09815943986177444, 0.09918209910392761, 0.09776375442743301, 0.09785566478967667, 0.09712250530719757, 0.09790331870317459]</t>
  </si>
  <si>
    <t>Training Loss: [0.3099476397037506, 0.1902962327003479, 0.17682334780693054, 0.17071357369422913, 0.16650785505771637, 0.16275298595428467, 0.16113296151161194, 0.15926745533943176, 0.15845991671085358, 0.1567770391702652, 0.15481173992156982, 0.1539156287908554, 0.15226785838603973, 0.1515483409166336, 0.15029974281787872, 0.14933963119983673, 0.1481310874223709, 0.14732204377651215, 0.1468077301979065, 0.1452893763780594, 0.14467692375183105, 0.14517159759998322, 0.14593461155891418, 0.1457861363887787, 0.14327359199523926, 0.14398105442523956, 0.1442476361989975, 0.142410546541214, 0.141950786113739, 0.1419297754764557, 0.14254434406757355, 0.14210288226604462, 0.14204400777816772, 0.14150798320770264, 0.14071546494960785, 0.13982439041137695, 0.14027437567710876, 0.14061002433300018, 0.1407986730337143, 0.1394217610359192, 0.13970039784908295, 0.13955403864383698, 0.13880330324172974, 0.1391090452671051, 0.13873188197612762, 0.1380525380373001, 0.13839374482631683, 0.1371508538722992, 0.13752855360507965, 0.13768494129180908, 0.13761629164218903, 0.13730491697788239, 0.13677603006362915, 0.13614337146282196, 0.13581308722496033, 0.1354430466890335, 0.13525842130184174, 0.1344475895166397, 0.13492684066295624, 0.13531425595283508, 0.1345345377922058, 0.13242830336093903, 0.13210660219192505, 0.13134896755218506, 0.132388174533844, 0.13243833184242249, 0.1317044198513031, 0.13166020810604095, 0.13064256310462952, 0.13100415468215942, 0.13141879439353943, 0.13034996390342712, 0.13008520007133484, 0.12994833290576935, 0.12963491678237915, 0.12941692769527435, 0.12928816676139832, 0.1291755586862564, 0.12888315320014954, 0.12876830995082855, 0.12825700640678406, 0.12812021374702454, 0.12755395472049713, 0.1277950257062912, 0.12745171785354614, 0.12786121666431427, 0.12716731429100037, 0.1264830231666565, 0.1268371343612671, 0.12687043845653534, 0.1266266405582428, 0.1262267529964447, 0.12575651705265045, 0.12638311088085175, 0.12579604983329773, 0.12526723742485046, 0.12483835965394974, 0.124199777841568, 0.12507134675979614, 0.1242617592215538, 0.12437696009874344, 0.12400148063898087, 0.12390758097171783, 0.12434807419776917, 0.12347216159105301, 0.12412024289369583, 0.12296967208385468, 0.12275496870279312, 0.12383592873811722, 0.12301076203584671, 0.12210586667060852, 0.12158304452896118, 0.12263336777687073, 0.12124285101890564, 0.1219496950507164, 0.12225205451250076, 0.1209602952003479, 0.12094728648662567, 0.12109028548002243, 0.121761254966259, 0.12101492285728455, 0.12134601175785065, 0.12131696194410324, 0.11960761249065399, 0.12036900222301483, 0.1198238804936409, 0.11945325136184692, 0.11938899755477905, 0.11996614187955856, 0.1191171407699585, 0.11891283094882965, 0.11905781924724579, 0.11881637573242188, 0.11835544556379318, 0.11742234975099564, 0.1178833544254303, 0.11755732446908951, 0.11789520829916, 0.11684362590312958, 0.11731396615505219, 0.11749162524938583, 0.1161591112613678, 0.11677166074514389, 0.11698687821626663, 0.11642175912857056, 0.11638382822275162, 0.11500725895166397, 0.11623132228851318, 0.11523304134607315, 0.11622519791126251, 0.11562376469373703, 0.11560976505279541, 0.1146356388926506, 0.11514243483543396, 0.11569780111312866, 0.11447979509830475, 0.11416848748922348, 0.11392133682966232, 0.11428502947092056, 0.11427555978298187, 0.11438259482383728, 0.11410228908061981, 0.11426886171102524, 0.11403371393680573, 0.11440049111843109, 0.11370769143104553, 0.11317834258079529, 0.11335806548595428, 0.11347649246454239, 0.11261982470750809, 0.11288608610630035, 0.11260250955820084, 0.11362634599208832, 0.11404454708099365, 0.11320582032203674, 0.11257743835449219, 0.11241652071475983, 0.11245090514421463, 0.11275633424520493, 0.11196215450763702, 0.11214112490415573, 0.11155008524656296, 0.11147813498973846, 0.11133267730474472, 0.11106456071138382, 0.11151553690433502, 0.11243872344493866, 0.11158354580402374, 0.11067721247673035, 0.11138026416301727, 0.11111875623464584, 0.11185875535011292, 0.11073510348796844, 0.1108199879527092, 0.11085742712020874, 0.11023569107055664, 0.11031988263130188, 0.11061640083789825, 0.11082930862903595, 0.10993790626525879, 0.1101485937833786, 0.1105976551771164, 0.10977894812822342, 0.10909581929445267, 0.10911261290311813, 0.10899164527654648, 0.10844489932060242, 0.10959343612194061, 0.10806507617235184, 0.1090766191482544, 0.10813141614198685, 0.10809104889631271, 0.1071620061993599, 0.10892529040575027, 0.10789113491773605, 0.1068095937371254, 0.10757575929164886, 0.10790318995714188, 0.10749495774507523, 0.10785465687513351, 0.10724121332168579, 0.10792180895805359, 0.10695745050907135, 0.107451431453228, 0.10688693821430206]</t>
  </si>
  <si>
    <t>Training Loss: [0.5075995326042175, 0.28139418363571167, 0.1745893359184265, 0.12535852193832397, 0.10692524909973145, 0.0968700721859932, 0.09072492271661758, 0.08711504191160202, 0.08329584449529648, 0.07985077798366547, 0.07814576476812363, 0.07666522264480591, 0.07462161034345627, 0.07212270051240921, 0.07136771827936172, 0.07006316632032394, 0.06885337084531784, 0.06778595596551895, 0.0672081932425499, 0.0652369037270546, 0.06539559364318848, 0.06424668431282043, 0.06330090016126633, 0.062310487031936646, 0.06175758317112923, 0.06134166568517685, 0.06021927297115326, 0.059496935456991196, 0.05937730520963669, 0.0591106154024601, 0.05790160968899727, 0.05697321146726608, 0.056332122534513474, 0.05640328675508499, 0.055529769510030746, 0.055149395018815994, 0.054765503853559494, 0.05387036129832268, 0.05324969068169594, 0.0527435764670372, 0.05313443765044212, 0.05223595350980759, 0.051438573747873306, 0.051011886447668076, 0.05122539773583412, 0.05056779459118843, 0.049992840737104416, 0.049650028347969055, 0.048730846494436264, 0.04854220151901245, 0.04755990207195282, 0.04861346259713173, 0.048318251967430115, 0.04779195040464401, 0.0473436675965786, 0.048201072961091995, 0.04872383922338486, 0.046970877796411514, 0.04778161272406578, 0.04677480459213257, 0.04567858576774597, 0.04521910101175308, 0.04570072144269943, 0.04434235394001007, 0.04433104768395424, 0.043433867394924164, 0.043529193848371506, 0.04272960126399994, 0.04239155724644661, 0.04209612309932709, 0.04291415959596634, 0.04275202378630638, 0.04276242107152939, 0.041935406625270844, 0.041135191917419434, 0.04095436632633209, 0.0404152013361454, 0.04115743190050125, 0.040816981345415115, 0.039942748844623566, 0.04014287516474724, 0.03944293037056923, 0.03955446928739548, 0.04009910300374031, 0.03844393044710159, 0.0401155911386013, 0.03863608092069626, 0.03789738938212395, 0.03893997147679329, 0.03884296864271164, 0.03774626553058624, 0.038702573627233505, 0.03841332346200943, 0.037303727120161057, 0.037676334381103516, 0.037059228867292404, 0.03627103194594383, 0.03719157353043556, 0.03677290305495262, 0.035761669278144836, 0.035247478634119034, 0.036294806748628616, 0.03495822846889496, 0.03475179150700569, 0.03476428613066673, 0.035312335938215256, 0.03511079028248787, 0.03530989587306976, 0.03466900438070297, 0.033996522426605225, 0.03411836549639702, 0.03480541706085205, 0.033769942820072174, 0.03353380411863327, 0.03474101424217224, 0.034341245889663696, 0.03374740853905678, 0.03425882011651993, 0.034077100455760956, 0.0335056446492672, 0.03462595120072365, 0.03404533490538597, 0.03308047726750374, 0.0317051075398922, 0.03339970484375954, 0.03222447261214256, 0.03278530389070511, 0.03258725255727768, 0.032123859971761703, 0.031866781413555145, 0.032254304736852646, 0.031517233699560165, 0.03173307701945305, 0.031975310295820236, 0.031772322952747345, 0.031093187630176544, 0.03085140325129032, 0.031596485525369644, 0.031055159866809845, 0.030933378264307976, 0.030750935897231102]</t>
  </si>
  <si>
    <t>Training Loss: [0.36378300189971924, 0.17711125314235687, 0.11727803945541382, 0.10076893121004105, 0.09176628291606903, 0.08725506067276001, 0.0830468162894249, 0.08024574816226959, 0.07730229943990707, 0.07472573220729828, 0.0728398859500885, 0.0716722384095192, 0.06988079845905304, 0.06876435875892639, 0.06804785877466202, 0.06699831038713455, 0.06637419760227203, 0.06425424665212631, 0.06353671103715897, 0.06311557441949844, 0.061254795640707016, 0.06156010925769806, 0.06006092205643654, 0.05939958244562149, 0.058875348418951035, 0.05837138742208481, 0.05789382755756378, 0.056550249457359314, 0.055805739015340805, 0.05513289198279381, 0.05522026866674423, 0.05366174876689911, 0.05373896285891533, 0.054173458367586136, 0.05379084125161171, 0.053102876991033554, 0.052524711936712265, 0.05249138921499252, 0.051910124719142914, 0.051223274320364, 0.051327262073755264, 0.05057201161980629, 0.050020914524793625, 0.049202363938093185, 0.04923311993479729, 0.04891635850071907, 0.04902868717908859, 0.04863302782177925, 0.04849516600370407, 0.04720737785100937, 0.04731932282447815, 0.04645933583378792, 0.04710814356803894, 0.04697345942258835, 0.046080369502305984, 0.04590877145528793, 0.045794565230607986, 0.04539375379681587, 0.044915713369846344, 0.04439779371023178, 0.0451284721493721, 0.04469046741724014, 0.04463372752070427, 0.04378415271639824, 0.04393291845917702, 0.04321840777993202, 0.042838867753744125, 0.04253952577710152, 0.04239528626203537, 0.04200703650712967, 0.04222554340958595, 0.04209298640489578, 0.04180976003408432, 0.041932109743356705, 0.04026608169078827, 0.04064079746603966, 0.04020369425415993, 0.03932007774710655, 0.04064793139696121, 0.039141133427619934, 0.04023946076631546, 0.039290137588977814, 0.03936292231082916, 0.038549259305000305, 0.038306258618831635, 0.03863575682044029, 0.03774423897266388, 0.037818972021341324, 0.03754022344946861, 0.03796616941690445, 0.03711042180657387, 0.03747599571943283, 0.03790867701172829, 0.0373658761382103, 0.036899566650390625, 0.0376962386071682, 0.036248788237571716, 0.03591778874397278, 0.03697873651981354, 0.03583521023392677, 0.035812169313430786]</t>
  </si>
  <si>
    <t>Training Loss: [0.41477370262145996, 0.22392338514328003, 0.18782579898834229, 0.15828831493854523, 0.11017510294914246, 0.09641473740339279, 0.0901995599269867, 0.08754228800535202, 0.08425412327051163, 0.08094115555286407, 0.07812076061964035, 0.07701024413108826, 0.07299364358186722, 0.07205899059772491, 0.07076362520456314, 0.06958334892988205, 0.06835141777992249, 0.06748652458190918, 0.06696741282939911, 0.06574507802724838, 0.06514587253332138, 0.06464516371488571, 0.06362035870552063, 0.06353338062763214, 0.06264086067676544, 0.06178762763738632, 0.060676850378513336, 0.060986652970314026, 0.06002561002969742, 0.05964319780468941, 0.058823440223932266, 0.058294814079999924, 0.05764647200703621, 0.05778507515788078, 0.05819816142320633, 0.05647428333759308, 0.05658324062824249, 0.05648347735404968, 0.05464881658554077, 0.05560161918401718, 0.05429958924651146, 0.05505743250250816, 0.05360725522041321, 0.05321972072124481, 0.05262145772576332, 0.05237074941396713, 0.05241551622748375, 0.05123472586274147, 0.05143653228878975, 0.05170627683401108, 0.05102178454399109, 0.050488315522670746, 0.04945754259824753, 0.04928378015756607, 0.048746589571237564, 0.04865282028913498, 0.048411961644887924, 0.047922924160957336, 0.04808541014790535, 0.047945186495780945, 0.046750254929065704, 0.04664595425128937, 0.045834314078092575, 0.04672930762171745, 0.04674097150564194, 0.046087414026260376, 0.04551418125629425, 0.04623190313577652, 0.044434357434511185, 0.045823123306035995, 0.0445353239774704, 0.045033201575279236, 0.0439036563038826, 0.04404241591691971, 0.043764859437942505, 0.04285399988293648, 0.042954254895448685, 0.04378155246376991, 0.043076954782009125, 0.04298282042145729, 0.04214989393949509, 0.04371773451566696, 0.04267433285713196, 0.0416036918759346, 0.041115593165159225, 0.04158264398574829, 0.040296126157045364, 0.041525375097990036, 0.04023225978016853, 0.04002480208873749, 0.04026417434215546, 0.03970576450228691, 0.039678238332271576, 0.03989212587475777, 0.03914262726902962, 0.03887991979718208, 0.03954290598630905, 0.039188358932733536, 0.0390024296939373, 0.039296336472034454, 0.03871983662247658, 0.03871757909655571, 0.037969768047332764, 0.037850458174943924, 0.03727377951145172, 0.03803040459752083, 0.03673292696475983, 0.03793545812368393, 0.036665286868810654, 0.03726811707019806, 0.036770522594451904, 0.036344099789857864, 0.03568262234330177, 0.035965632647275925, 0.03652545064687729, 0.035379309207201004, 0.035046085715293884, 0.03481478989124298, 0.034694042056798935, 0.03540937602519989, 0.034933701157569885, 0.034744445234537125, 0.033556047827005386, 0.03378956764936447, 0.034534554928541183, 0.033654410392045975, 0.03354256600141525, 0.03407300263643265, 0.03254689276218414, 0.03357887268066406, 0.033277228474617004, 0.03261438384652138]</t>
  </si>
  <si>
    <t>Training Loss: [0.1636117696762085, 0.10343488305807114, 0.0917905867099762, 0.0840553417801857, 0.08025631308555603, 0.07636547833681107, 0.07484613358974457, 0.07262884825468063, 0.07107546180486679, 0.07009557634592056, 0.0676494911313057, 0.06675935536623001, 0.06571023911237717, 0.06579344719648361, 0.06326735019683838, 0.0632457435131073, 0.06178893521428108, 0.061114851385354996, 0.06026671826839447, 0.06037811189889908, 0.05963512510061264, 0.0591093972325325, 0.05893890559673309, 0.05772775411605835, 0.05745083466172218, 0.056542571634054184, 0.05602308735251427, 0.055771227926015854, 0.055473651736974716, 0.05518702417612076, 0.05471125617623329, 0.05380016565322876, 0.05326619744300842, 0.05287918448448181, 0.05125084146857262, 0.05211706832051277, 0.052080925554037094, 0.05073809251189232, 0.0507391057908535, 0.04967636242508888, 0.0496240071952343, 0.04911793768405914, 0.049252044409513474, 0.04856027662754059, 0.047812748700380325, 0.04820387437939644, 0.04753904417157173, 0.04692384973168373, 0.04657990112900734, 0.04642614722251892, 0.04653044790029526, 0.04610765352845192, 0.04592067748308182, 0.04533710330724716, 0.044707756489515305, 0.04525739327073097, 0.043885067105293274, 0.044597554951906204, 0.04304761439561844, 0.043315235525369644, 0.04329114034771919, 0.042372893542051315, 0.04225635901093483, 0.04260903224349022, 0.0415160171687603, 0.04149831086397171, 0.04212943837046623, 0.042418863624334335, 0.04140571504831314, 0.041282180696725845, 0.04002021625638008, 0.03957780823111534, 0.03911098837852478, 0.039960820227861404, 0.039174336940050125, 0.03875492140650749, 0.04147613048553467, 0.040794674307107925, 0.03882942721247673, 0.038884468376636505, 0.03764762356877327, 0.0382855124771595, 0.037064146250486374, 0.03789340704679489, 0.03854512795805931, 0.03776825591921806, 0.037376102060079575, 0.03656693547964096, 0.03729824349284172, 0.03735862672328949, 0.036988239735364914, 0.037364546209573746, 0.03572526201605797, 0.03607553243637085, 0.03678184002637863, 0.03574236482381821, 0.03554860129952431, 0.03569257631897926, 0.034516483545303345, 0.035354480147361755, 0.035845089703798294, 0.03452472388744354, 0.03465821221470833, 0.03433508798480034, 0.034754011780023575, 0.033854421228170395, 0.03328876569867134, 0.03411109372973442, 0.033139266073703766, 0.03376913443207741, 0.0329991951584816, 0.03321719914674759, 0.03209351748228073, 0.032549481838941574, 0.033089108765125275, 0.032626017928123474, 0.032106783241033554, 0.03154122456908226, 0.03225874900817871, 0.03228247910737991, 0.03194914013147354, 0.03234202787280083, 0.031512461602687836, 0.03164304792881012, 0.031199967488646507]</t>
  </si>
  <si>
    <t>Training Loss: [0.401078999042511, 0.2031215876340866, 0.15326161682605743, 0.124310702085495, 0.10349489003419876, 0.09401858597993851, 0.0898904949426651, 0.0860590934753418, 0.08397478610277176, 0.08097393810749054, 0.0794815868139267, 0.07762525230646133, 0.07559289038181305, 0.07424232363700867, 0.07306171208620071, 0.07250956445932388, 0.07152160257101059, 0.07029429078102112, 0.06854882091283798, 0.06884271651506424, 0.06728504598140717, 0.06690414249897003, 0.06613830476999283, 0.06623200327157974, 0.06543261557817459, 0.06409960240125656, 0.06453008949756622, 0.06439358741044998, 0.06302205473184586, 0.06253084540367126, 0.06187080964446068, 0.062269702553749084, 0.06103610619902611, 0.06087827682495117, 0.05976158380508423, 0.05926939845085144, 0.0592714287340641, 0.058677539229393005, 0.05836120620369911, 0.058300700038671494, 0.058122362941503525, 0.057380083948373795, 0.057655055075883865, 0.05629448965191841, 0.055933043360710144, 0.056530170142650604, 0.05573512986302376, 0.05557004734873772, 0.05412236973643303, 0.054749056696891785, 0.054375309497117996, 0.053504109382629395, 0.053408920764923096, 0.05320942401885986, 0.0531616285443306, 0.05318605154752731, 0.053037069737911224, 0.05230801925063133, 0.0522269606590271, 0.051869556307792664, 0.05135306343436241, 0.05181141942739487, 0.05133366584777832, 0.05180857330560684, 0.05107199773192406, 0.051114220172166824, 0.050629254430532455, 0.05056526139378548, 0.050392311066389084, 0.050169721245765686, 0.0497358962893486, 0.04972189664840698, 0.04925542697310448, 0.04894191026687622, 0.04880889132618904, 0.048341963440179825, 0.04868760704994202, 0.048386380076408386, 0.04805179312825203, 0.047497186809778214, 0.047835007309913635, 0.047155216336250305, 0.04740360751748085, 0.04759538918733597, 0.04714371636509895, 0.046119559556245804, 0.04621583968400955, 0.04595441371202469, 0.04534279555082321, 0.04621917009353638, 0.04615344852209091, 0.04471626132726669, 0.04545164108276367, 0.04527582600712776, 0.04500337317585945, 0.04579165205359459, 0.04511569067835808, 0.04438566789031029, 0.044314123690128326, 0.04436825215816498, 0.044174086302518845, 0.044461414217948914, 0.043314531445503235, 0.04306293651461601, 0.04342154040932655, 0.042495232075452805, 0.04260201379656792, 0.04264597222208977, 0.04231822490692139, 0.0424870103597641, 0.04281868413090706, 0.04269589111208916, 0.04267498478293419, 0.04190291836857796, 0.0422186478972435, 0.04230187088251114, 0.041618380695581436, 0.04067301005125046, 0.0408131442964077, 0.04084676876664162, 0.04119274765253067, 0.041897814720869064, 0.04135870188474655, 0.04096249118447304, 0.040457338094711304, 0.04096828028559685, 0.039608340710401535, 0.04003116860985756, 0.03889762610197067, 0.0393090546131134, 0.040347661823034286, 0.03894100710749626, 0.038974568247795105, 0.039120614528656006, 0.0388188511133194, 0.03873953968286514, 0.038722798228263855, 0.03808091953396797, 0.0381326749920845, 0.03713684529066086, 0.037669114768505096, 0.037831276655197144, 0.03776736930012703, 0.03803900629281998, 0.0380847230553627, 0.03754002973437309, 0.0376083143055439, 0.03816387429833412, 0.037351518869400024, 0.03632058575749397, 0.03631264343857765, 0.03680857643485069, 0.036175332963466644, 0.0368131585419178, 0.03656971827149391, 0.036129679530858994, 0.036361802369356155, 0.036637015640735626, 0.035718757659196854, 0.03644563630223274, 0.03620383143424988, 0.03565368428826332, 0.03594795987010002, 0.03585495799779892, 0.03634541481733322, 0.034728411585092545, 0.03563521057367325, 0.035341568291187286, 0.0354544036090374, 0.03534039855003357, 0.03515048697590828, 0.035429488867521286, 0.0343373566865921, 0.034049853682518005, 0.03424279764294624, 0.03532569482922554, 0.03377031534910202, 0.03445493429899216, 0.0332602821290493, 0.033721666783094406, 0.03249608352780342, 0.03263815864920616]</t>
  </si>
  <si>
    <t>Training Loss: [0.213677316904068, 0.12567344307899475, 0.10938823968172073, 0.10100826621055603, 0.09567932039499283, 0.09153081476688385, 0.08837555348873138, 0.08590283244848251, 0.08471646904945374, 0.08172744512557983, 0.08102639019489288, 0.07814501225948334, 0.07702331244945526, 0.07602331042289734, 0.07527145743370056, 0.07424382120370865, 0.07286863774061203, 0.0713830292224884, 0.07104724645614624, 0.06976093351840973, 0.06969525665044785, 0.06851273030042648, 0.06727959215641022, 0.06681399047374725, 0.06577030569314957, 0.06527630239725113, 0.06544949114322662, 0.0644916445016861, 0.06322828680276871, 0.06303049623966217, 0.06170244887471199, 0.061901215463876724, 0.06099407374858856, 0.06040116772055626, 0.06046721711754799, 0.059836357831954956, 0.05944494530558586, 0.05940384790301323, 0.05841453745961189, 0.057875312864780426, 0.05739341676235199, 0.057747699320316315, 0.05708613991737366, 0.05725354328751564, 0.05599958077073097, 0.05543642118573189, 0.05511440336704254, 0.054549213498830795, 0.054324615746736526, 0.054617974907159805, 0.0531732551753521, 0.05249009281396866, 0.05228296294808388, 0.05225773900747299, 0.05209054425358772, 0.05151475593447685, 0.051584772765636444, 0.05149750038981438, 0.05131327360868454, 0.05095447599887848, 0.04999786615371704, 0.050182145088911057, 0.04922260716557503, 0.049168456345796585, 0.050046518445014954, 0.0491427443921566, 0.04950759932398796, 0.04831240326166153, 0.0480230338871479, 0.047690775245428085, 0.04799279570579529, 0.046961892396211624, 0.047220416367053986, 0.04633517935872078, 0.04573279991745949, 0.04652359336614609, 0.04596386477351189, 0.045444123446941376, 0.0461043044924736, 0.04487057402729988, 0.04511024057865143, 0.044525496661663055, 0.04503694921731949, 0.04440983757376671, 0.043918266892433167, 0.04348086193203926, 0.044455185532569885, 0.043424781411886215, 0.043059322983026505, 0.04292207583785057, 0.04233117401599884, 0.04308687523007393, 0.04218614101409912, 0.04258120059967041, 0.04186902195215225, 0.041846778243780136, 0.04198149964213371, 0.04189387336373329, 0.04118121787905693, 0.040901314467191696, 0.0407240092754364, 0.041413769125938416, 0.04061604663729668, 0.03987783193588257, 0.0396013967692852, 0.03934330493211746, 0.039824437350034714, 0.03932883217930794, 0.03950262814760208, 0.03916815295815468, 0.03872188925743103, 0.038830872625112534, 0.03904099389910698, 0.03820901736617088, 0.03941069170832634, 0.03813953697681427, 0.038737740367650986, 0.0385880172252655, 0.03772406280040741, 0.03725932911038399, 0.038580868393182755, 0.03724268823862076, 0.03701026737689972, 0.03634949401021004, 0.03613724187016487, 0.036226335912942886, 0.03573279082775116, 0.036325011402368546, 0.03606105223298073, 0.03555988147854805, 0.03566537797451019, 0.03613763302564621, 0.03600266948342323, 0.03527809679508209, 0.03526676818728447, 0.035686951130628586, 0.03448069840669632, 0.03548640385270119, 0.03550583869218826, 0.03505466878414154, 0.03402778133749962, 0.03416048362851143, 0.03361954167485237, 0.03351583331823349, 0.03324881196022034, 0.03378969430923462, 0.03387048467993736, 0.03404431790113449, 0.0339987650513649, 0.03429972752928734, 0.033101823180913925, 0.033409420400857925, 0.032504379749298096, 0.03319712355732918, 0.0327608585357666, 0.03197460621595383, 0.03291875123977661, 0.03180214390158653, 0.03197493031620979, 0.03218373283743858, 0.032294221222400665, 0.031654469668865204, 0.03190828487277031, 0.031138652935624123, 0.03181086853146553, 0.03092106059193611, 0.03170813247561455, 0.03182772174477577, 0.030498193576931953, 0.031212789937853813, 0.031226107850670815, 0.029947545379400253, 0.03040802665054798, 0.030287547037005424, 0.030026456341147423, 0.029926588758826256, 0.029522977769374847, 0.029509902000427246, 0.029802115634083748, 0.029263515025377274, 0.02873421087861061, 0.02874632738530636, 0.02978399768471718, 0.029537443071603775, 0.028536777943372726, 0.029592186212539673, 0.030052069574594498, 0.028541941195726395, 0.028889305889606476, 0.028930312022566795, 0.02831694856286049, 0.02865195833146572]</t>
  </si>
  <si>
    <t>Training Accuracy: [0.8997371792793274, 0.9129928350448608, 0.9176762104034424, 0.9203106164932251, 0.9221206903457642, 0.9231003522872925, 0.9244862794876099, 0.9257048964500427, 0.9256809949874878, 0.9257646203041077, 0.9271385669708252, 0.9277777671813965, 0.9278613924980164, 0.9279569983482361, 0.9285005927085876, 0.92857825756073, 0.9291278123855591, 0.9290441870689392, 0.9296833872795105, 0.9296714663505554, 0.929713249206543, 0.9300298690795898, 0.930788516998291, 0.9311589002609253, 0.9303106069564819, 0.9303703904151917, 0.9312723875045776, 0.9312245845794678, 0.9314695596694946, 0.9312186241149902, 0.9316607117652893, 0.9316965341567993, 0.9316607117652893, 0.9316368103027344, 0.9317084550857544, 0.9318339228630066, 0.931057333946228, 0.9319175481796265, 0.9316487312316895, 0.9311469793319702, 0.9319534301757812, 0.9316785931587219, 0.9319713115692139, 0.9320071935653687, 0.9320370554924011, 0.9319653511047363, 0.9320191144943237, 0.9315710663795471, 0.9323715567588806, 0.9317981004714966, 0.9319175481796265, 0.9320967793464661, 0.9318159818649292, 0.9316368103027344, 0.9326105117797852, 0.9322819709777832, 0.9318159818649292, 0.9323416948318481, 0.933022677898407, 0.9326642751693726, 0.9320489764213562, 0.9321804046630859, 0.9326463341712952, 0.9327359795570374, 0.9327120780944824]</t>
  </si>
  <si>
    <t>Training Accuracy: [0.9071385860443115, 0.9221087098121643, 0.9261947274208069, 0.9281421899795532, 0.9303942918777466, 0.931117057800293, 0.9325925707817078, 0.933464765548706, 0.9334349036216736, 0.9338828921318054, 0.9343787431716919, 0.9344623684883118, 0.9356570839881897, 0.9354420304298401, 0.935931921005249, 0.9363859295845032, 0.9363679885864258, 0.9374492168426514, 0.9370131492614746, 0.9377478957176208, 0.9382497072219849, 0.9387515187263489, 0.9385483860969543, 0.9388470649719238, 0.9390740990638733, 0.9394803047180176, 0.9397491216659546, 0.9394086003303528, 0.9399760961532593, 0.9404540061950684, 0.9404599666595459, 0.9403823018074036, 0.940412163734436, 0.941170871257782, 0.941242516040802, 0.941170871257782, 0.9416846036911011, 0.9415173530578613, 0.9416427612304688, 0.9420788288116455, 0.941744327545166, 0.9428673982620239, 0.9421744346618652, 0.9429271221160889, 0.9434886574745178, 0.9430167078971863, 0.9431362152099609, 0.9436021447181702, 0.9435125589370728, 0.9436678886413574, 0.9436379671096802, 0.943918764591217, 0.9444563984870911, 0.943882942199707, 0.9443787336349487, 0.9443787336349487, 0.9437634348869324, 0.9446057081222534, 0.9446535110473633, 0.9451314210891724, 0.9447550773620605, 0.9449820518493652, 0.9455973505973816, 0.9454838633537292, 0.9458542466163635, 0.9458602070808411, 0.9464934468269348, 0.9463500380516052, 0.9463500380516052, 0.9463022947311401, 0.946445643901825, 0.9465233087539673, 0.9466069340705872, 0.9466248750686646, 0.9469773173332214, 0.9468757510185242, 0.9469175338745117, 0.94642174243927, 0.9474910497665405, 0.9477777481079102, 0.9478673934936523, 0.9477478861808777, 0.9479749202728271, 0.9476642608642578, 0.9479211568832397, 0.9478793144226074, 0.9484826922416687, 0.9485902190208435, 0.9481541514396667, 0.9484468102455139, 0.9482975006103516, 0.9489486217498779, 0.9486917853355408, 0.9488470554351807, 0.9493727684020996, 0.9492294192314148, 0.9491338133811951, 0.949253261089325, 0.9492951035499573, 0.9491039514541626, 0.9494324922561646, 0.9499044418334961, 0.9496176838874817, 0.9499402642250061, 0.950059711933136, 0.9504480361938477, 0.9502867460250854, 0.9503046870231628, 0.9495400190353394, 0.949988067150116, 0.9510453939437866, 0.9506093263626099, 0.9510334730148315, 0.9510812163352966, 0.9512305855751038, 0.9509319067001343, 0.9512604475021362, 0.9514515995979309, 0.9506152868270874, 0.9510394334793091, 0.9512485265731812, 0.9513381123542786, 0.9519474506378174, 0.9520071744918823, 0.9516905546188354, 0.9524014592170715, 0.9525507688522339, 0.9520907998085022, 0.9526463747024536, 0.9525328278541565, 0.9526582956314087, 0.9531003832817078, 0.9527478814125061, 0.952431321144104, 0.9526821970939636, 0.9532138705253601, 0.9525746703147888, 0.9531959295272827, 0.9527478814125061, 0.9531302452087402, 0.9538112282752991, 0.9536260366439819, 0.9535603523254395, 0.9538769125938416, 0.9536857604980469, 0.9543190002441406, 0.954139769077301, 0.9533094167709351, 0.9537813663482666, 0.9539964199066162, 0.9539605975151062, 0.9542114734649658, 0.954468309879303, 0.9544922113418579, 0.9544205665588379, 0.9542233943939209, 0.9545519948005676, 0.9547192454338074, 0.9546595215797424, 0.954396665096283, 0.9548566341400146, 0.9553763270378113, 0.9549940228462219, 0.9553883075714111, 0.9554898738861084, 0.955764651298523, 0.9556690454483032, 0.955531656742096, 0.9559139609336853, 0.9560812711715698, 0.9559378623962402, 0.9563201665878296, 0.9556929469108582, 0.9564695358276367, 0.9554300904273987, 0.9566189050674438, 0.9567204117774963, 0.9568638205528259, 0.9565232992172241]</t>
  </si>
  <si>
    <t>Training Accuracy: [0.8829749226570129, 0.9074492454528809, 0.9143070578575134, 0.9185185432434082, 0.926636815071106, 0.9295459985733032, 0.9303763508796692, 0.9311051368713379, 0.9322699904441833, 0.9322998523712158, 0.9327000975608826, 0.9328076243400574, 0.9334766864776611, 0.9339486360549927, 0.9345818161964417, 0.9347252249717712, 0.9353106617927551, 0.9353823065757751, 0.9354719519615173, 0.9353046417236328, 0.936027467250824, 0.9358602166175842, 0.9364277124404907, 0.9371923804283142, 0.9370967745780945, 0.9367263913154602, 0.9371564984321594, 0.9367861151695251, 0.9372938871383667, 0.9379569888114929, 0.9370609521865845, 0.937640368938446, 0.938739538192749, 0.9386917352676392, 0.9393429160118103, 0.9385543465614319, 0.9385244846343994, 0.938763439655304, 0.939605712890625, 0.9395519495010376, 0.9398267865180969, 0.9397610425949097, 0.9404898285865784, 0.9398984313011169, 0.9406152963638306, 0.9406750202178955, 0.9407108426094055, 0.9409319162368774, 0.941146969795227, 0.9410812258720398, 0.9411290287971497, 0.9413739442825317, 0.9415650963783264, 0.9410693049430847, 0.9417980909347534, 0.940340518951416, 0.9419713020324707, 0.9415711164474487, 0.9412365555763245, 0.9424731135368347, 0.9422999024391174, 0.9427300095558167, 0.9425328373908997, 0.9423715472221375, 0.9422042965888977, 0.9425626993179321, 0.942783772945404, 0.9427001476287842, 0.9428912997245789, 0.9432198405265808, 0.9427658319473267, 0.9432556629180908, 0.943416953086853, 0.9438650012016296, 0.9441756010055542, 0.944480299949646, 0.9446893930435181, 0.9440262913703918, 0.9446356296539307, 0.9447132349014282, 0.9453703761100769, 0.9451493620872498, 0.9448506832122803, 0.9451493620872498, 0.9451553225517273, 0.9455734491348267, 0.9449223279953003, 0.9452747702598572, 0.9454241394996643, 0.9456809759140015, 0.9461947679519653, 0.9460872411727905, 0.9461827874183655, 0.9451851844787598, 0.94638592004776, 0.9464038014411926, 0.9463201761245728, 0.9459259510040283, 0.9467682242393494, 0.946714460849762, 0.9466606974601746, 0.9468100070953369, 0.94638592004776, 0.9467324018478394, 0.9455674886703491, 0.946152925491333, 0.9475626945495605, 0.9464038014411926, 0.9473954439163208, 0.9472998976707458, 0.9475507736206055, 0.9477001428604126, 0.9477598667144775, 0.9481063485145569, 0.9490262866020203, 0.9484169483184814, 0.9485722780227661, 0.9478554129600525, 0.9481840133666992, 0.9486141204833984, 0.9489545822143555, 0.9483751654624939, 0.9490621089935303, 0.9488948583602905, 0.9490860104560852, 0.9488231539726257, 0.9496236443519592, 0.9495161175727844, 0.949253261089325, 0.9496296048164368, 0.9492353796958923, 0.9495758414268494, 0.9488470554351807, 0.9492831826210022, 0.9491696357727051, 0.9490919709205627, 0.9496714472770691, 0.9495280981063843, 0.9491636753082275, 0.9496236443519592, 0.9496475458145142, 0.9491397738456726, 0.9497610330581665, 0.949964165687561, 0.9496714472770691, 0.9498327374458313, 0.9502688050270081, 0.9506152868270874, 0.9510812163352966, 0.9504002332687378, 0.9507228136062622, 0.9505735039710999, 0.9506272673606873, 0.9506511092185974, 0.9516547322273254, 0.9504002332687378, 0.9503942728042603, 0.9512724280357361, 0.9513978362083435, 0.9504898190498352, 0.9514396786689758, 0.9518817067146301, 0.9518160223960876, 0.9514337182044983, 0.9518279433250427, 0.9518817067146301, 0.9525448083877563, 0.9521386027336121, 0.9519534111022949, 0.9521684646606445, 0.9521864056587219, 0.9522401690483093, 0.9526343941688538, 0.953004777431488, 0.9521684646606445, 0.9531123042106628, 0.95329749584198, 0.9531182646751404, 0.9532018899917603, 0.9537395238876343, 0.9524014592170715, 0.9534826874732971, 0.9536917805671692, 0.9534408450126648, 0.9528673887252808, 0.9531481266021729, 0.9539904594421387, 0.9534050226211548, 0.9536618590354919, 0.9537932872772217, 0.9542055130004883, 0.9538888931274414, 0.9533213973045349, 0.9540023803710938, 0.9537813663482666, 0.953894853591919, 0.9540740847587585, 0.9537574648857117, 0.9542711973190308, 0.953894853591919, 0.9546117186546326, 0.9545101523399353, 0.9545639157295227, 0.9542353749275208, 0.9545639157295227, 0.9542174339294434, 0.9542652368545532, 0.9542114734649658, 0.9549641609191895, 0.9546475410461426, 0.9549163579940796, 0.9552090764045715, 0.9556152820587158, 0.955531656742096, 0.9550776481628418, 0.9552807807922363, 0.9551194906234741, 0.9549821019172668, 0.9551851749420166, 0.9554838538169861, 0.9558303356170654, 0.9555436372756958, 0.9547550678253174, 0.9555017948150635, 0.9556033611297607, 0.9560573697090149, 0.9554599523544312, 0.9556451439857483, 0.9554838538169861, 0.9556272625923157, 0.95606929063797, 0.9566547274589539, 0.9561588764190674, 0.955800473690033, 0.955973744392395, 0.9564576148986816, 0.9566845893859863, 0.9564754962921143, 0.9562305808067322, 0.956278383731842, 0.9571923613548279, 0.956278383731842, 0.9568279385566711, 0.9565232992172241, 0.9566487669944763, 0.9563918709754944, 0.9561350345611572, 0.9564754962921143, 0.956511378288269, 0.9564635753631592, 0.9569892287254333, 0.9562007188796997, 0.9575328826904297, 0.9576104879379272, 0.9567682147026062, 0.9569713473320007, 0.9574671387672424, 0.957413375377655, 0.9566666483879089, 0.9575268626213074, 0.9570490121841431, 0.9580346345901489, 0.9575268626213074, 0.9572759866714478, 0.9572580456733704, 0.9574791193008423, 0.9570012092590332, 0.9572998881340027]</t>
  </si>
  <si>
    <t>Training Accuracy: [0.8942294120788574, 0.9120967984199524, 0.9173954725265503, 0.9216427803039551, 0.9279390573501587, 0.9295818209648132, 0.9310991764068604, 0.9311469793319702, 0.9323416948318481, 0.933255672454834, 0.9333572387695312, 0.9344803094863892, 0.9345818161964417, 0.9349163770675659, 0.9350597262382507, 0.9351493716239929, 0.9358243942260742, 0.936272382736206, 0.936224639415741, 0.9366905689239502, 0.9369115829467773, 0.936762273311615, 0.9370728731155396, 0.937162458896637, 0.937431275844574, 0.9375388026237488, 0.936296284198761, 0.9384408593177795, 0.937066912651062, 0.9372938871383667, 0.9375388026237488, 0.9377419352531433, 0.9386618733406067, 0.9382616281509399, 0.9395878314971924, 0.9397909045219421, 0.9397491216659546, 0.9398446679115295, 0.9398685693740845, 0.9401493668556213, 0.9408004879951477, 0.940973699092865, 0.9408183693885803, 0.9408004879951477, 0.9410573244094849, 0.9411051273345947, 0.9405615329742432, 0.9418637752532959, 0.941439688205719, 0.9425448179244995, 0.9424790740013123, 0.9427061080932617, 0.9431840181350708, 0.9426881670951843, 0.9422401189804077, 0.9430047869682312, 0.9428195953369141, 0.9432676434516907, 0.9433572292327881, 0.943942666053772, 0.9437037110328674, 0.9435005784034729, 0.9442771673202515, 0.94364994764328, 0.9444444179534912, 0.9441457390785217, 0.9445281028747559, 0.9444981813430786, 0.9448387026786804, 0.9447192549705505, 0.9443787336349487, 0.9445459842681885, 0.9449402689933777, 0.944844663143158, 0.9453345537185669, 0.9453942775726318, 0.9451195001602173, 0.9451732635498047, 0.94501793384552, 0.9446475505828857, 0.9453405141830444, 0.9450597167015076, 0.9459319114685059, 0.9453703761100769, 0.9466308355331421, 0.9460872411727905, 0.9463918805122375, 0.9459736943244934, 0.9465531706809998, 0.9466128945350647, 0.9458124041557312, 0.9465591311454773, 0.9465830326080322, 0.9463918805122375, 0.9470370411872864, 0.9473954439163208, 0.9475806355476379, 0.9467024803161621, 0.9466606974601746, 0.9472938776016235, 0.9474432468414307, 0.9473536610603333, 0.9474372863769531, 0.9468518495559692, 0.9475268721580505, 0.9476941227912903, 0.9468876719474792, 0.9479271173477173, 0.9479450583457947, 0.9482018947601318, 0.947885274887085, 0.9482735991477966, 0.9485722780227661, 0.9482855200767517, 0.9487037062644958, 0.9485902190208435, 0.9481959342956543, 0.9486857652664185, 0.9484946131706238, 0.9487455487251282, 0.949731171131134, 0.9489964246749878, 0.9495101571083069, 0.9491158723831177, 0.9493668079376221, 0.949390709400177, 0.9493548274040222, 0.9503046870231628, 0.9493846893310547, 0.9496833682060242, 0.9500059485435486, 0.9506033658981323, 0.9509558081626892, 0.9505376219749451, 0.9508423209190369, 0.9504838585853577, 0.9507048726081848, 0.9511051177978516, 0.9510155320167542, 0.9506750106811523, 0.9513859152793884, 0.951158881187439, 0.9513739347457886, 0.9507526755332947, 0.9514934420585632, 0.9515650868415833, 0.9517263770103455, 0.9516786336898804, 0.9513620138168335, 0.9516487717628479, 0.9513201713562012, 0.9515531659126282, 0.9514575600624084, 0.9519354701042175, 0.9515412449836731, 0.951063334941864, 0.9515292644500732, 0.9520251154899597, 0.9523596167564392, 0.9524552226066589, 0.9519713521003723, 0.9531003832817078, 0.9525985717773438, 0.9530943632125854]</t>
  </si>
  <si>
    <t>Training Accuracy: [0.8914098143577576, 0.9189366698265076, 0.9242353439331055, 0.9264097809791565, 0.928016722202301, 0.9286320209503174, 0.9295101761817932, 0.9308303594589233, 0.9314934015274048, 0.9313560128211975, 0.9323715567588806, 0.9328435063362122, 0.933219850063324, 0.9332675933837891, 0.9341099262237549, 0.9339366555213928, 0.9347849488258362, 0.9350956082344055, 0.935394287109375, 0.9356272220611572, 0.9358602166175842, 0.9360633492469788, 0.935967743396759, 0.9366009831428528, 0.9374133944511414, 0.9364396929740906, 0.937102735042572, 0.937162458896637, 0.9373118281364441, 0.9372521042823792, 0.9375627040863037, 0.937933087348938, 0.9379808902740479, 0.9375925660133362, 0.938506543636322, 0.9382317662239075, 0.9384588003158569, 0.9384109973907471, 0.9387215971946716, 0.939032256603241, 0.9386379718780518, 0.9388948678970337, 0.9392174482345581, 0.9392592310905457, 0.9397849440574646, 0.9399282932281494, 0.9394086003303528, 0.9398984313011169, 0.9398207664489746, 0.9408602118492126, 0.9408004879951477, 0.9406870007514954, 0.9404301047325134, 0.9406033158302307, 0.9407885074615479, 0.9412903189659119, 0.9410274624824524, 0.9416427612304688, 0.9413082599639893, 0.9413440823554993, 0.9419354796409607, 0.9415650963783264, 0.9423297643661499, 0.9425926208496094, 0.9426762461662292, 0.9425209164619446, 0.9425926208496094, 0.9427658319473267, 0.9425626993179321, 0.9431242346763611, 0.943112313747406, 0.9429152011871338, 0.9433094263076782, 0.9435902237892151, 0.9435125589370728, 0.943405032157898, 0.9434707164764404, 0.943978488445282, 0.9440919756889343, 0.943709671497345, 0.9443070292472839, 0.9435065984725952, 0.9444384574890137, 0.9445579648017883, 0.9436917304992676, 0.9446833729743958, 0.9443727731704712, 0.9444683194160461, 0.9446296095848083, 0.9448745250701904, 0.9450119733810425, 0.9448387026786804, 0.9454300999641418, 0.9448745250701904, 0.9456989169120789, 0.9457228183746338, 0.9456451535224915, 0.9451075196266174, 0.9462186098098755, 0.9458661675453186, 0.9466308355331421, 0.9460991621017456, 0.9463620185852051, 0.9454958438873291, 0.946188747882843, 0.9458363056182861, 0.9465113282203674, 0.9470908045768738, 0.9464277029037476, 0.9467383623123169, 0.9466188549995422, 0.9468339085578918, 0.9470250606536865, 0.9461708664894104, 0.9469295144081116, 0.9466845989227295, 0.9471325874328613, 0.9471744298934937, 0.9473177790641785, 0.9477061033248901, 0.9480764865875244, 0.9475626945495605, 0.9479330778121948, 0.9484886527061462, 0.9479808807373047, 0.948351263999939, 0.9481779932975769, 0.9489844441413879, 0.9481242299079895, 0.9481601119041443, 0.9480466246604919, 0.9486857652664185, 0.9482257962226868, 0.9492353796958923, 0.9488649964332581, 0.9490561485290527, 0.9495459794998169, 0.9490083456039429, 0.9493966698646545, 0.949462354183197, 0.9492294192314148, 0.9495937824249268, 0.9487216472625732, 0.9495459794998169, 0.9489008188247681, 0.9501433968544006, 0.9498446583747864, 0.9494026303291321, 0.9497849345207214, 0.9498028755187988, 0.949695348739624, 0.949964165687561, 0.9501134753227234, 0.9506332278251648, 0.9505735039710999, 0.9499821066856384, 0.9497730135917664, 0.9495639204978943, 0.949390709400177, 0.9501732587814331, 0.9511947631835938, 0.9509139657020569, 0.9510513544082642, 0.951367974281311, 0.9511827826499939, 0.9508004784584045, 0.9510513544082642, 0.9518578052520752, 0.9513022899627686, 0.9516905546188354, 0.9517323970794678, 0.9518339037895203, 0.9520429968833923, 0.9515412449836731, 0.9517443180084229, 0.9524133801460266, 0.9523954391479492, 0.9522102475166321, 0.9524790644645691, 0.9518399238586426, 0.9521445631980896, 0.9528793096542358, 0.9525806307792664, 0.9523655772209167, 0.9532556533813477, 0.9535483717918396, 0.9529510140419006, 0.952724039554596, 0.9524552226066589, 0.9523476958274841, 0.9528853297233582, 0.9528255462646484, 0.9524492025375366]</t>
  </si>
  <si>
    <t>Training Accuracy: [0.8941099047660828, 0.9195221066474915, 0.9237634539604187, 0.9263978600502014, 0.9282078742980957, 0.9292592406272888, 0.9306331872940063, 0.9315292835235596, 0.9327419400215149, 0.9327897429466248, 0.9337395429611206, 0.9341099262237549, 0.9347909092903137, 0.9347252249717712, 0.9347730278968811, 0.9353524446487427, 0.9353524446487427, 0.9364874362945557, 0.936565101146698, 0.9365113377571106, 0.9375507831573486, 0.9372521042823792, 0.9377120733261108, 0.9385185241699219, 0.9388172030448914, 0.938703715801239, 0.9393548369407654, 0.9398805499076843, 0.9397550821304321, 0.9398446679115295, 0.9402329921722412, 0.9404420256614685, 0.9408721327781677, 0.9408183693885803, 0.9410573244094849, 0.9412186145782471, 0.9418876767158508, 0.9412126541137695, 0.941780149936676, 0.9425448179244995, 0.9418876767158508, 0.9424313306808472, 0.9423536658287048, 0.942514955997467, 0.9428016543388367, 0.942783772945404, 0.943172037601471, 0.9440262913703918, 0.9432377815246582, 0.9435961842536926, 0.9436559081077576, 0.94368577003479, 0.943954586982727, 0.9447610378265381, 0.9445698857307434, 0.9442592859268188, 0.944784939289093, 0.9448327422142029, 0.9451911449432373, 0.9453763365745544, 0.94501793384552, 0.9459558129310608, 0.9455674886703491, 0.9454300999641418, 0.94638592004776, 0.9460155367851257, 0.9461349844932556, 0.9465531706809998, 0.9460214972496033, 0.946983277797699, 0.9470967650413513, 0.9473118185997009, 0.9476941227912903, 0.9474372863769531, 0.9476463794708252, 0.9470728635787964, 0.9481123089790344, 0.948327362537384, 0.947885274887085, 0.9482735991477966, 0.948315441608429, 0.9487515091896057, 0.9486618638038635, 0.9491158723831177, 0.9486081004142761, 0.9494085907936096, 0.9491099119186401, 0.9496117234230042, 0.9494743347167969, 0.9496236443519592, 0.9499701261520386, 0.9498685598373413, 0.9502210021018982, 0.9500059485435486, 0.9501612782478333, 0.9502150416374207, 0.9506391882896423, 0.9500657320022583, 0.9508423209190369, 0.9508064389228821, 0.950890064239502, 0.9511290192604065, 0.9510812163352966, 0.951624870300293, 0.9523835182189941, 0.9516427516937256, 0.9517801403999329, 0.9522222280502319, 0.9518757462501526, 0.9520012140274048, 0.9516666531562805, 0.9520489573478699, 0.9524372816085815, 0.9521386027336121, 0.9517323970794678, 0.9528016448020935, 0.9520310759544373, 0.9527778029441833, 0.9527120590209961, 0.952735960483551, 0.952759861946106, 0.9528733491897583, 0.9538829326629639, 0.9536380171775818, 0.9532676339149475, 0.9539366960525513, 0.9538410902023315, 0.9533870816230774, 0.9536558985710144, 0.9539426565170288, 0.9536558985710144, 0.9540860056877136, 0.9542771577835083, 0.9549999833106995, 0.9540919661521912, 0.9547132849693298, 0.9545161128044128, 0.9543190002441406, 0.9546595215797424, 0.9546535015106201, 0.955203115940094, 0.9550238847732544, 0.9551493525505066, 0.9550657272338867, 0.9560573697090149, 0.9557108879089355, 0.9552150368690491, 0.9560633301734924, 0.9551792144775391, 0.9554181694984436, 0.956606924533844, 0.9562305808067322, 0.9560872316360474, 0.9568697810173035, 0.9560931921005249, 0.9564157724380493, 0.9562903046607971, 0.9565531611442566, 0.9563799500465393, 0.9570012092590332, 0.9566128849983215, 0.9565173387527466, 0.9568160176277161, 0.9567861557006836, 0.957108736038208, 0.9567682147026062, 0.9573357105255127, 0.9570071697235107, 0.9568817019462585, 0.9575985670089722, 0.9578016996383667, 0.9566606879234314, 0.9580585360527039, 0.9571326375007629, 0.9575209021568298, 0.9576642513275146, 0.9579271078109741, 0.9576343894004822, 0.9580286741256714, 0.9578912854194641, 0.9585782289505005, 0.9582018852233887, 0.9584169387817383, 0.95884108543396, 0.9585304856300354, 0.9575746655464172, 0.9587335586547852, 0.9582257866859436, 0.9586081504821777, 0.9588948488235474, 0.9587395191192627, 0.9587873220443726, 0.9601433873176575, 0.9595997333526611, 0.958745539188385, 0.959038257598877, 0.958476722240448, 0.959342896938324, 0.9591875672340393, 0.9591995477676392, 0.9593667984008789, 0.9588112235069275, 0.9594623446464539, 0.9595280885696411, 0.9597670435905457, 0.9597252011299133, 0.9598506689071655, 0.9602031111717224, 0.959587812423706, 0.9599402546882629, 0.9605734944343567, 0.9598147869110107, 0.9604241251945496, 0.9597909450531006, 0.9601612687110901, 0.9599820971488953, 0.9606810212135315, 0.9599223136901855, 0.9609438180923462, 0.9604300856590271, 0.9609079957008362, 0.9601194858551025, 0.9608781337738037, 0.9605615139007568, 0.9610036015510559, 0.9609318971633911, 0.9608840942382812, 0.9611947536468506, 0.9614217281341553, 0.9606451392173767, 0.9612066745758057, 0.961845874786377, 0.9614874720573425, 0.9617204070091248, 0.9605256915092468, 0.9613620042800903, 0.9610872268676758, 0.9616965055465698, 0.9617084860801697, 0.9617682099342346, 0.9616069197654724]</t>
  </si>
  <si>
    <t>Training Accuracy: [0.8893846869468689, 0.9145997762680054, 0.9217861294746399, 0.924940288066864, 0.927514910697937, 0.9285005927085876, 0.9294862747192383, 0.9299283027648926, 0.930519700050354, 0.9321983456611633, 0.9329151511192322, 0.9331481456756592, 0.9342532753944397, 0.9341875910758972, 0.9349163770675659, 0.9352688193321228, 0.9347491264343262, 0.9353345036506653, 0.9358422756195068, 0.9360513687133789, 0.9360573291778564, 0.9367204308509827, 0.9367323517799377, 0.937066912651062, 0.9379450678825378, 0.9378315210342407, 0.9378255605697632, 0.9383751749992371, 0.9383691549301147, 0.9383392930030823, 0.938763439655304, 0.9384468197822571, 0.9385663270950317, 0.9398805499076843, 0.9397730231285095, 0.9388112425804138, 0.9393846988677979, 0.9398148059844971, 0.9396714568138123, 0.940364420413971, 0.9404540061950684, 0.940364420413971, 0.9406272172927856, 0.9407825469970703, 0.9407526850700378, 0.9414874315261841, 0.941146969795227, 0.9413679838180542, 0.9405794739723206, 0.9415770769119263, 0.9416427612304688, 0.9417921304702759, 0.9417263865470886, 0.941768229007721, 0.9422580599784851, 0.9424910545349121, 0.9428614377975464, 0.9429928064346313, 0.9431779980659485, 0.9432138800621033, 0.9431779980659485, 0.9433034658432007, 0.9430465698242188, 0.9440262913703918, 0.9435961842536926, 0.9440083503723145, 0.9440561532974243, 0.9438052773475647, 0.943918764591217, 0.9438410997390747, 0.94505375623703, 0.9441696405410767, 0.9447550773620605, 0.9452329874038696, 0.944784939289093, 0.9445698857307434, 0.9449343085289001, 0.9450477957725525, 0.9454958438873291, 0.9445698857307434, 0.9453883171081543, 0.9451851844787598, 0.945919930934906, 0.9461410045623779, 0.9458542466163635, 0.9457825422286987, 0.9461947679519653, 0.9465472102165222, 0.9457287788391113, 0.946212649345398, 0.9464755058288574, 0.9465053677558899, 0.9468578100204468, 0.9466248750686646, 0.9471983313560486, 0.9466487169265747, 0.9472042918205261, 0.9469773173332214, 0.9477239847183228, 0.9471983313560486, 0.9476403594017029, 0.9472759962081909, 0.9480466246604919, 0.9479450583457947, 0.9482377767562866, 0.9484468102455139, 0.948351263999939, 0.9475806355476379, 0.9479151964187622, 0.9478614330291748, 0.9480406045913696, 0.9482317566871643, 0.9480107426643372, 0.9488351345062256, 0.948560357093811, 0.9484767317771912, 0.9491816163063049, 0.9492413401603699, 0.9493190050125122, 0.9491696357727051, 0.9490501880645752, 0.9493429064750671, 0.9492473006248474, 0.949928343296051, 0.9501851797103882, 0.9501433968544006, 0.9498506784439087, 0.9502688050270081, 0.9499044418334961, 0.9504002332687378, 0.9509975910186768, 0.9505197405815125, 0.9502867460250854, 0.9512186646461487, 0.9505435824394226, 0.9505017995834351, 0.9511170983314514, 0.951158881187439, 0.9506690502166748, 0.9513082504272461, 0.951427698135376, 0.9514755010604858, 0.9516487717628479, 0.9515531659126282, 0.9511290192604065, 0.9510095715522766, 0.9512783885002136, 0.9518996477127075, 0.951869785785675, 0.9521564841270447, 0.9525627493858337, 0.9522461295127869, 0.9529091715812683, 0.9522520899772644, 0.9531421661376953, 0.9526941180229187, 0.9531481266021729, 0.9528375267982483, 0.9521864056587219, 0.9526224732398987, 0.9531601071357727, 0.9537873268127441, 0.9529330730438232, 0.9534348845481873, 0.9537037014961243, 0.9532257914543152, 0.9536141157150269, 0.9534468054771423, 0.9539725184440613, 0.9537395238876343, 0.9542413353919983, 0.9537216424942017, 0.9545937776565552, 0.9543429017066956, 0.9542950987815857, 0.9544982314109802, 0.9534767270088196, 0.9536857604980469, 0.9537754058837891, 0.9544743299484253, 0.9546535015106201, 0.9542592763900757, 0.9548805356025696, 0.9548685550689697, 0.9546535015106201, 0.9554420709609985, 0.9546296000480652, 0.9550477862358093, 0.9546893835067749, 0.9553464651107788, 0.9547610282897949, 0.9553285837173462, 0.9558900594711304, 0.9552807807922363, 0.9551792144775391, 0.9558303356170654, 0.9558064341545105, 0.9557526707649231, 0.9554838538169861, 0.9563261866569519, 0.9555854201316833, 0.9560155272483826, 0.9566786289215088, 0.9555017948150635, 0.9562544822692871, 0.9562664031982422, 0.956009566783905, 0.9560513496398926, 0.9560991525650024, 0.9562186598777771, 0.956839919090271, 0.9558900594711304, 0.9566248655319214, 0.9561588764190674, 0.9573058485984802, 0.9571983218193054]</t>
  </si>
  <si>
    <t>Training Accuracy: [0.8937634229660034, 0.9099342823028564, 0.91475510597229, 0.9166965484619141, 0.9187813401222229, 0.9211828112602234, 0.9218279719352722, 0.9230943918228149, 0.9240860342979431, 0.9247371554374695, 0.9262067079544067, 0.9269115924835205, 0.9278733730316162, 0.9277598857879639, 0.9290561676025391, 0.928811252117157, 0.9304718971252441, 0.9306809902191162, 0.9315412044525146, 0.9324731230735779, 0.9327598810195923, 0.9322401285171509, 0.9309976100921631, 0.9316009283065796, 0.9329330921173096, 0.9320131540298462, 0.9315352439880371, 0.9338828921318054, 0.9334588050842285, 0.9333751201629639, 0.9329211711883545, 0.9331242442131042, 0.9336977005004883, 0.9332975149154663, 0.9344683289527893, 0.9347670078277588, 0.9347491264343262, 0.9336618781089783, 0.9336499571800232, 0.9351911544799805, 0.9346296191215515, 0.9347371459007263, 0.9345758557319641, 0.9347610473632812, 0.9353225827217102, 0.9352150559425354, 0.935125470161438, 0.9360155463218689, 0.9353882670402527, 0.9359080195426941, 0.9356332421302795, 0.9354480504989624, 0.9358243942260742, 0.9361469745635986, 0.9372580647468567, 0.9368398785591125, 0.9373118281364441, 0.9376224875450134, 0.9370011687278748, 0.9372341632843018, 0.9379569888114929, 0.9396714568138123, 0.9402031302452087, 0.9400119185447693, 0.9391039609909058, 0.9389605522155762, 0.939605712890625, 0.9402090907096863, 0.9401373863220215, 0.9402807354927063, 0.939241349697113, 0.9401612877845764, 0.9401971101760864, 0.9404779076576233, 0.9411827921867371, 0.9412843585014343, 0.9404480457305908, 0.9411171078681946, 0.9411051273345947, 0.9413022994995117, 0.9418817162513733, 0.9410513639450073, 0.9418578147888184, 0.9416368007659912, 0.9421803951263428, 0.9416905641555786, 0.9420549869537354, 0.9424074292182922, 0.9417263865470886, 0.9421803951263428, 0.9422999024391174, 0.9420071840286255, 0.9427419304847717, 0.9424193501472473, 0.9426344037055969, 0.9426045417785645, 0.9431242346763611, 0.943345308303833, 0.9430525898933411, 0.9433034658432007, 0.9435244798660278, 0.9434707164764404, 0.9435125589370728, 0.9433870911598206, 0.9437693953514099, 0.9437515139579773, 0.9438889026641846, 0.9442293643951416, 0.9434587955474854, 0.9442592859268188, 0.9445997476577759, 0.9447669982910156, 0.9439605474472046, 0.9448924660682678, 0.9446535110473633, 0.944516122341156, 0.9452568888664246, 0.94501793384552, 0.9446057081222534, 0.9445997476577759, 0.9448805451393127, 0.9441338181495667, 0.9447908997535706, 0.9455973505973816, 0.9450955986976624, 0.9456093311309814, 0.9458721876144409, 0.9458303451538086, 0.9451195001602173, 0.9458363056182861, 0.9462604522705078, 0.9461648464202881, 0.9457825422286987, 0.9467324018478394, 0.946690559387207, 0.9462664127349854, 0.9465472102165222, 0.9468040466308594, 0.9473536610603333, 0.946959376335144, 0.946750283241272, 0.9477777481079102, 0.9477061033248901, 0.94642174243927, 0.9475926160812378, 0.9472700357437134, 0.9481063485145569, 0.9475149512290955, 0.9479450583457947, 0.9472938776016235, 0.9477777481079102, 0.9477239847183228, 0.9482855200767517, 0.9477001428604126, 0.9473655819892883, 0.9482735991477966, 0.948315441608429, 0.9488171935081482, 0.948387086391449, 0.9479868412017822, 0.9484408497810364, 0.9486021399497986, 0.9486618638038635, 0.9490322470664978, 0.9485424160957336, 0.9488410949707031, 0.9489127993583679, 0.9488948583602905, 0.9489784836769104, 0.9489306807518005, 0.9487096667289734, 0.9492951035499573, 0.9483990669250488, 0.94915771484375, 0.9495101571083069, 0.9493787288665771, 0.9492891430854797, 0.9495101571083069, 0.9496117234230042, 0.9495997428894043, 0.9492771625518799, 0.9502867460250854, 0.9497670531272888, 0.949928343296051, 0.9497371315956116, 0.9494085907936096, 0.9493668079376221, 0.9498984217643738, 0.9508363008499146, 0.9500418305397034, 0.9501254558563232, 0.9498685598373413, 0.9505854249000549, 0.9499760866165161, 0.9503703713417053, 0.9504122138023376, 0.9507885575294495, 0.9503345489501953, 0.9502210021018982, 0.9512305855751038, 0.9507168531417847, 0.9503524303436279, 0.9508960843086243, 0.951134979724884, 0.9510812163352966, 0.9513440728187561, 0.9515531659126282, 0.9508482813835144, 0.9512246251106262, 0.9514337182044983, 0.9515233039855957, 0.9517383575439453, 0.9518817067146301, 0.951696515083313, 0.9520788788795471, 0.952234148979187, 0.9520609378814697, 0.9516069293022156, 0.9520489573478699, 0.9514515995979309, 0.9518279433250427, 0.95189368724823, 0.9522879123687744, 0.9517682194709778, 0.952526867389679]</t>
  </si>
  <si>
    <t>Training Accuracy: [0.8854480385780334, 0.9292831420898438, 0.9491875767707825, 0.9597550630569458, 0.963249683380127, 0.9651493430137634, 0.9668040871620178, 0.9679331183433533, 0.9693966507911682, 0.9703046679496765, 0.9707765579223633, 0.9714576005935669, 0.971935510635376, 0.9726582765579224, 0.9727060794830322, 0.973082423210144, 0.9735722541809082, 0.9737036824226379, 0.9743189811706543, 0.9751135110855103, 0.9746654629707336, 0.9750836491584778, 0.9754599928855896, 0.9756152629852295, 0.976051390171051, 0.9762783646583557, 0.9768697619438171, 0.9768697619438171, 0.9769832491874695, 0.9769713282585144, 0.9775508046150208, 0.9779748916625977, 0.9779151678085327, 0.9778673648834229, 0.9787275791168213, 0.9784468412399292, 0.9786678552627563, 0.9790024161338806, 0.9788709878921509, 0.9794145822525024, 0.9792831540107727, 0.979862630367279, 0.9800776839256287, 0.9800836443901062, 0.9800358414649963, 0.980262815952301, 0.980262815952301, 0.9805495738983154, 0.9810095429420471, 0.9810155034065247, 0.9810095429420471, 0.9812484979629517, 0.981057345867157, 0.9814277291297913, 0.9814456105232239, 0.9814575910568237, 0.9810872077941895, 0.9816965460777283, 0.981326162815094, 0.9818159937858582, 0.9818578362464905, 0.9823417067527771, 0.9820609092712402, 0.982461154460907, 0.982425332069397, 0.982998788356781, 0.9832377433776855, 0.9834229350090027, 0.9832556843757629, 0.9835842251777649, 0.9834229350090027, 0.9830525517463684, 0.983500599861145, 0.983500599861145, 0.9839904308319092, 0.9838590025901794, 0.9843189716339111, 0.9840143322944641, 0.9843548536300659, 0.9845340251922607, 0.9845280647277832, 0.9844922423362732, 0.984832763671875, 0.9844384789466858, 0.9851254224777222, 0.984695315361023, 0.9850298762321472, 0.9853285551071167, 0.9847849607467651, 0.9850417971611023, 0.9853524565696716, 0.9847610592842102, 0.9852927327156067, 0.985501766204834, 0.9854719042778015, 0.9856451749801636, 0.9860155582427979, 0.9853345155715942, 0.985734760761261, 0.9864217638969421, 0.9862484931945801, 0.9861111044883728, 0.9864157438278198, 0.9865531921386719, 0.986505389213562, 0.9866129159927368, 0.9866607189178467, 0.9861230850219727, 0.9864635467529297, 0.9869952201843262, 0.9864755272865295, 0.9868518710136414, 0.9870848059654236, 0.9871326088905334, 0.9866427779197693, 0.986869752407074, 0.9869295358657837, 0.9867861270904541, 0.9866307973861694, 0.9871505498886108, 0.9867861270904541, 0.9866487383842468, 0.9872282147407532, 0.988213837146759, 0.987407386302948, 0.9876105189323425, 0.9874432682991028, 0.9873656034469604, 0.9877120852470398, 0.9878076314926147, 0.9874312877655029, 0.9876284599304199, 0.9878255724906921, 0.987945020198822, 0.9878554344177246, 0.988142192363739, 0.9882676005363464, 0.9878435134887695, 0.9878435134887695, 0.9878494739532471, 0.9882198572158813]</t>
  </si>
  <si>
    <t>Training Accuracy: [0.9032377600669861, 0.9415233135223389, 0.9587335586547852, 0.9629808664321899, 0.9656093120574951, 0.9672759771347046, 0.968464732170105, 0.9689964056015015, 0.9697073101997375, 0.9710155129432678, 0.9717622399330139, 0.9723237752914429, 0.9729987978935242, 0.973142147064209, 0.9737036824226379, 0.9742891192436218, 0.9739247560501099, 0.9750537872314453, 0.9751851558685303, 0.9752867221832275, 0.9759976267814636, 0.9761051535606384, 0.9766786098480225, 0.9767981171607971, 0.9771983027458191, 0.9772819876670837, 0.977246105670929, 0.9783572554588318, 0.9780704975128174, 0.9786977171897888, 0.9786559343338013, 0.9791576862335205, 0.9789068102836609, 0.9784886240959167, 0.9788411259651184, 0.9792293906211853, 0.9792234301567078, 0.9796236753463745, 0.9796833992004395, 0.9802927374839783, 0.9798566102981567, 0.9803106188774109, 0.9803165793418884, 0.9807407259941101, 0.9803404808044434, 0.9811708331108093, 0.9809498190879822, 0.9809079766273499, 0.9810394048690796, 0.9816666841506958, 0.9816845655441284, 0.9817861318588257, 0.9815890192985535, 0.9816905856132507, 0.9822043180465698, 0.9820131659507751, 0.9820609092712402, 0.9821505546569824, 0.982425332069397, 0.9826523065567017, 0.9824970364570618, 0.9821505546569824, 0.9826403856277466, 0.982962965965271, 0.9828554391860962, 0.9832019209861755, 0.9834049940109253, 0.9832736253738403, 0.9830943942070007, 0.9834468364715576, 0.9836081266403198, 0.9836618900299072, 0.9836678504943848, 0.9836798310279846, 0.9842771887779236, 0.9842174649238586, 0.9846296310424805, 0.9844503998756409, 0.9840083718299866, 0.9845221042633057, 0.9842054843902588, 0.9845877885818481, 0.9845818281173706, 0.98492830991745, 0.9848387241363525, 0.9848984479904175, 0.9852747917175293, 0.9852628707885742, 0.9852210283279419, 0.9851493239402771, 0.9855555295944214, 0.9854241609573364, 0.985232949256897, 0.9854241609573364, 0.9855316877365112, 0.9853942394256592, 0.9860095381736755, 0.9861887693405151, 0.9855734705924988, 0.9861947298049927, 0.9858243465423584]</t>
  </si>
  <si>
    <t>Training Accuracy: [0.8974611759185791, 0.92580646276474, 0.9327419400215149, 0.9452807903289795, 0.9591875672340393, 0.9644982218742371, 0.9663202166557312, 0.9673954844474792, 0.9683213829994202, 0.9689844846725464, 0.9696654677391052, 0.9705137610435486, 0.9719593524932861, 0.97247314453125, 0.972837507724762, 0.9732138514518738, 0.9740681052207947, 0.9741875529289246, 0.9743966460227966, 0.9747909307479858, 0.9748864769935608, 0.9753763675689697, 0.9754301309585571, 0.9756989479064941, 0.9759916663169861, 0.9761409759521484, 0.9767981171607971, 0.9767920970916748, 0.9771027565002441, 0.9770549535751343, 0.9775508046150208, 0.9774372577667236, 0.9781242609024048, 0.9776583313941956, 0.9775508046150208, 0.9781183004379272, 0.9781242609024048, 0.9783810973167419, 0.9789068102836609, 0.9788769483566284, 0.9792532920837402, 0.979115903377533, 0.9791457653045654, 0.979396641254425, 0.9794802665710449, 0.9794982075691223, 0.9796355962753296, 0.9802389740943909, 0.9800716638565063, 0.9799641370773315, 0.9800657033920288, 0.9804241061210632, 0.9808064699172974, 0.9811230301856995, 0.9809438586235046, 0.9813918471336365, 0.9809378981590271, 0.9814695119857788, 0.9814635515213013, 0.9814097881317139, 0.9821445345878601, 0.9820489883422852, 0.9822819828987122, 0.9822341799736023, 0.9823954701423645, 0.9822043180465698, 0.9825686812400818, 0.9825925827026367, 0.982962965965271, 0.9824910163879395, 0.9826284050941467, 0.9826105237007141, 0.9829151630401611, 0.9834468364715576, 0.9832736253738403, 0.9832855463027954, 0.9834946393966675, 0.9833871126174927, 0.9835185408592224, 0.9833811521530151, 0.983805239200592, 0.9833572506904602, 0.983500599861145, 0.9839844703674316, 0.9841457605361938, 0.9840680956840515, 0.9845280647277832, 0.9841517210006714, 0.9844623804092407, 0.9846774339675903, 0.9843548536300659, 0.9846415519714355, 0.984635591506958, 0.984832763671875, 0.9850239157676697, 0.9849581718444824, 0.98492830991745, 0.9848626255989075, 0.9853584170341492, 0.9847790002822876, 0.9851672649383545, 0.984868586063385, 0.9854002594947815, 0.9853225946426392, 0.9855256676673889, 0.9854719042778015, 0.986039400100708, 0.9854958057403564, 0.9856809973716736, 0.9857407212257385, 0.9857885241508484, 0.9858124256134033, 0.9863381385803223, 0.9861708283424377, 0.9857168197631836, 0.9862484931945801, 0.9863022565841675, 0.9866546988487244, 0.9867204427719116, 0.9862903356552124, 0.9866188764572144, 0.9865232706069946, 0.9870489835739136, 0.9870011806488037, 0.9864755272865295, 0.9871087074279785, 0.9867861270904541, 0.986833930015564, 0.9873178005218506, 0.9873297214508057, 0.987078845500946, 0.9873237609863281]</t>
  </si>
  <si>
    <t>Training Accuracy: [0.9261887669563293, 0.9574970006942749, 0.9626105427742004, 0.966230571269989, 0.9680107235908508, 0.9695937633514404, 0.9702090620994568, 0.9709259271621704, 0.9716606736183167, 0.9723715782165527, 0.9729151725769043, 0.9734647274017334, 0.9736021757125854, 0.9738829135894775, 0.9747909307479858, 0.9743906855583191, 0.9756272435188293, 0.9755973815917969, 0.9761290550231934, 0.9760155081748962, 0.9762544631958008, 0.9764097929000854, 0.9768159985542297, 0.977514922618866, 0.9771206974983215, 0.9778315424919128, 0.9779689311981201, 0.977783739566803, 0.9781003594398499, 0.9777957201004028, 0.9782377481460571, 0.9785245060920715, 0.9789127707481384, 0.979056179523468, 0.9795758724212646, 0.9795280694961548, 0.97945636510849, 0.9799044132232666, 0.9798566102981567, 0.9800537824630737, 0.9805436134338379, 0.9804002642631531, 0.9804360866546631, 0.980555534362793, 0.9811170697212219, 0.9813022613525391, 0.9815113544464111, 0.9815113544464111, 0.9814874529838562, 0.9816905856132507, 0.981654703617096, 0.9818040728569031, 0.9821027517318726, 0.9822700023651123, 0.9823417067527771, 0.9824073910713196, 0.982962965965271, 0.9825627207756042, 0.9831361770629883, 0.9830764532089233, 0.9831780195236206, 0.9835484027862549, 0.9836499691009521, 0.983536422252655, 0.984026312828064, 0.9841876029968262, 0.9836857914924622, 0.9836081266403198, 0.983757495880127, 0.9840680956840515, 0.9844623804092407, 0.9845340251922607, 0.984635591506958, 0.9845041632652283, 0.9847431182861328, 0.9847311973571777, 0.9841517210006714, 0.9844564199447632, 0.985232949256897, 0.9849940538406372, 0.9853584170341492, 0.9852210283279419, 0.9857885241508484, 0.9850119352340698, 0.9850239157676697, 0.9854599833488464, 0.9855914115905762, 0.9855436086654663, 0.9854480028152466, 0.9853404760360718, 0.9857527017593384, 0.9858661890029907, 0.9863919019699097, 0.9861828088760376, 0.9862664341926575, 0.9863201975822449, 0.986577033996582, 0.9862664341926575, 0.9868040680885315, 0.9866368174552917, 0.9866129159927368, 0.9869593977928162, 0.9864635467529297, 0.9865949749946594, 0.9868398904800415, 0.9871863722801208, 0.9873596429824829, 0.9866965413093567, 0.9871087074279785, 0.9869533777236938, 0.9873476624488831, 0.9873058795928955, 0.9874910116195679, 0.9873656034469604, 0.9874312877655029, 0.9877240061759949, 0.9878912568092346, 0.9879032373428345, 0.9878196120262146, 0.9876344203948975, 0.9878613948822021, 0.9877598285675049, 0.987909197807312, 0.9879510402679443, 0.9883034825325012]</t>
  </si>
  <si>
    <t>Training Accuracy: [0.8894743323326111, 0.9313918948173523, 0.9405734539031982, 0.9513500332832336, 0.9608900547027588, 0.9648327231407166, 0.9659677147865295, 0.9671624898910522, 0.9677359461784363, 0.9688172340393066, 0.9693847298622131, 0.9704778790473938, 0.9706152677536011, 0.9715292453765869, 0.9718279838562012, 0.9721027612686157, 0.9726881980895996, 0.9732676148414612, 0.9736140966415405, 0.9739785194396973, 0.97391277551651, 0.9741995334625244, 0.9743548631668091, 0.9744922518730164, 0.9750537872314453, 0.9754539728164673, 0.9753524661064148, 0.9754898548126221, 0.9754539728164673, 0.9759557843208313, 0.976415753364563, 0.9762126803398132, 0.9767562747001648, 0.9766726493835449, 0.9769294857978821, 0.9772580862045288, 0.9772401452064514, 0.977419376373291, 0.9776105284690857, 0.9778434634208679, 0.9774671196937561, 0.9780406355857849, 0.9782915115356445, 0.9781899452209473, 0.9786021709442139, 0.9784289002418518, 0.9785842299461365, 0.9786917567253113, 0.9792592525482178, 0.978787362575531, 0.9794265031814575, 0.9797132611274719, 0.9796236753463745, 0.9795699119567871, 0.9797610640525818, 0.9795101284980774, 0.9795101284980774, 0.9797670245170593, 0.9801672697067261, 0.9802030920982361, 0.9805137515068054, 0.9802986979484558, 0.980495810508728, 0.9802090525627136, 0.980519711971283, 0.9805137515068054, 0.9809438586235046, 0.98075270652771, 0.9809617400169373, 0.9810095429420471, 0.9811230301856995, 0.9813202023506165, 0.9815232753753662, 0.9818040728569031, 0.9818040728569031, 0.9819594025611877, 0.9816188812255859, 0.9814814925193787, 0.981923520565033, 0.9818578362464905, 0.9819474220275879, 0.9825208783149719, 0.982401430606842, 0.9821505546569824, 0.9820848107337952, 0.9827837347984314, 0.9827479124069214, 0.9829868674278259, 0.9829570055007935, 0.9825328588485718, 0.9828315377235413, 0.9832377433776855, 0.9830764532089233, 0.9832556843757629, 0.9832497239112854, 0.9825089573860168, 0.9829092025756836, 0.9834707379341125, 0.9831541180610657, 0.9835543632507324, 0.9835125207901001, 0.9838470816612244, 0.9840202927589417, 0.984295129776001, 0.983769416809082, 0.9843369126319885, 0.9843130111694336, 0.984295129776001, 0.9845579266548157, 0.984307050704956, 0.9839785099029541, 0.9841935634613037, 0.9845041632652283, 0.9846296310424805, 0.984330952167511, 0.9844683408737183, 0.984599769115448, 0.9850358366966248, 0.9850298762321472, 0.9849462509155273, 0.9849940538406372, 0.984599769115448, 0.9846116900444031, 0.9848148226737976, 0.985173225402832, 0.9849342703819275, 0.9850478172302246, 0.9850955605506897, 0.9857825636863708, 0.9857944846153259, 0.9852269887924194, 0.9859318733215332, 0.9858781099319458, 0.9855555295944214, 0.985675036907196, 0.9858542680740356, 0.9858781099319458, 0.9860573410987854, 0.9861529469490051, 0.9864336848258972, 0.9861887693405151, 0.9862067103385925, 0.9860991835594177, 0.9860693216323853, 0.9862783551216125, 0.9862604737281799, 0.9861887693405151, 0.9859199523925781, 0.9862783551216125, 0.9869056344032288, 0.9868518710136414, 0.9865113496780396, 0.9869354963302612, 0.9867264032363892, 0.986798107624054, 0.9869593977928162, 0.9867264032363892, 0.9867503046989441, 0.986845850944519, 0.9867025017738342, 0.986774206161499, 0.9867622256278992, 0.9868159890174866, 0.9869235157966614, 0.9869474172592163, 0.9875507950782776, 0.9872460961341858, 0.9873178005218506, 0.9872521162033081, 0.9869952201843262, 0.9873834848403931, 0.9870310425758362, 0.9875507950782776, 0.9878255724906921, 0.987604558467865, 0.9870011806488037, 0.9877598285675049, 0.9875686764717102, 0.9878255724906921, 0.9876583218574524, 0.9880585670471191, 0.9882915019989014]</t>
  </si>
  <si>
    <t>Training Accuracy: [0.9185125231742859, 0.9480406045913696, 0.955764651298523, 0.9590620994567871, 0.9612963199615479, 0.9630047678947449, 0.9642652273178101, 0.9654420614242554, 0.9658243656158447, 0.9668399095535278, 0.96696537733078, 0.9683273434638977, 0.9690143465995789, 0.9695878028869629, 0.969528079032898, 0.9699223637580872, 0.9706451892852783, 0.97110515832901, 0.9716188907623291, 0.9720968008041382, 0.9721565246582031, 0.9725269079208374, 0.9733871221542358, 0.9731839895248413, 0.9740083813667297, 0.9742114543914795, 0.9737873077392578, 0.9745519757270813, 0.9751791954040527, 0.9750597476959229, 0.9756511449813843, 0.9752508997917175, 0.9759438633918762, 0.9760095477104187, 0.9759079813957214, 0.9767681956291199, 0.9764993786811829, 0.9766308069229126, 0.9767681956291199, 0.9770430326461792, 0.9775985479354858, 0.9774073958396912, 0.977479100227356, 0.9774731397628784, 0.9778733849525452, 0.9776284098625183, 0.977957010269165, 0.9784049987792969, 0.9785961508750916, 0.9783154129981995, 0.9791218638420105, 0.979151725769043, 0.9794862866401672, 0.97942054271698, 0.9797073006629944, 0.9797849655151367, 0.9796116948127747, 0.9798745512962341, 0.9798984527587891, 0.9799163937568665, 0.9803106188774109, 0.9802927374839783, 0.9806092977523804, 0.980531632900238, 0.9805376529693604, 0.9807466864585876, 0.980495810508728, 0.9809557795524597, 0.9812544584274292, 0.9813799262046814, 0.9810752868652344, 0.9814277291297913, 0.9814516305923462, 0.9818757176399231, 0.9818518757820129, 0.981654703617096, 0.9819474220275879, 0.9821385741233826, 0.9819952249526978, 0.9826224446296692, 0.9824073910713196, 0.982670247554779, 0.9822759628295898, 0.9823178052902222, 0.9827001094818115, 0.9826523065567017, 0.9825985431671143, 0.9828374981880188, 0.9828912615776062, 0.9831541180610657, 0.9832855463027954, 0.9829092025756836, 0.9833930730819702, 0.9833632111549377, 0.9837096929550171, 0.9836738109588623, 0.9834349155426025, 0.9838112592697144, 0.9841099381446838, 0.9840800762176514, 0.9843369126319885, 0.984002411365509, 0.9840441942214966, 0.9843727350234985, 0.9845699071884155, 0.9845161437988281, 0.9843727350234985, 0.9845221042633057, 0.9847909212112427, 0.984832763671875, 0.9850298762321472, 0.9848805069923401, 0.9848984479904175, 0.9853942394256592, 0.9847968816757202, 0.9849940538406372, 0.9850298762321472, 0.9852449297904968, 0.9853942394256592, 0.9854181408882141, 0.9854181408882141, 0.9858661890029907, 0.985734760761261, 0.9858781099319458, 0.9860095381736755, 0.9862067103385925, 0.986003577709198, 0.9860215187072754, 0.9858482480049133, 0.9864814877510071, 0.9859438538551331, 0.9860633015632629, 0.9859916567802429, 0.9862783551216125, 0.9861290454864502, 0.9864575862884521, 0.9868936538696289, 0.9863440990447998, 0.9859557747840881, 0.9864217638969421, 0.9868876934051514, 0.9867025017738342, 0.9870310425758362, 0.9868757724761963, 0.9871266484260559, 0.9868817329406738, 0.986869752407074, 0.9870250821113586, 0.9869354963302612, 0.9866546988487244, 0.987311840057373, 0.9871684312820435, 0.987371563911438, 0.9869533777236938, 0.9873058795928955, 0.9875149130821228, 0.9872998595237732, 0.9875447750091553, 0.9877180457115173, 0.9875985383987427, 0.9875209331512451, 0.9878554344177246, 0.9876463413238525, 0.9879330992698669, 0.9877060651779175, 0.9880585670471191, 0.9879271388053894, 0.9875507950782776, 0.988178014755249, 0.9879330992698669, 0.9880048036575317, 0.9882915019989014, 0.9882736206054688, 0.9882915019989014, 0.9883990287780762, 0.9887216091156006, 0.9888470768928528, 0.9888589978218079, 0.9883751273155212, 0.9887694120407104, 0.9888828992843628, 0.9889785051345825, 0.9883871078491211, 0.9888709783554077, 0.9889963865280151, 0.9887216091156006, 0.9886439442634583, 0.9890800714492798, 0.9890143275260925, 0.9889068007469177, 0.9892114400863647, 0.9891338348388672]</t>
  </si>
  <si>
    <t>Validation Loss: 0.16722224652767181</t>
  </si>
  <si>
    <t>Validation Loss: 0.12306610494852066</t>
  </si>
  <si>
    <t>Validation Loss: 0.12377450615167618</t>
  </si>
  <si>
    <t>Validation Loss: 0.1255670040845871</t>
  </si>
  <si>
    <t>Validation Loss: 0.12908798456192017</t>
  </si>
  <si>
    <t>Validation Loss: 0.1262873113155365</t>
  </si>
  <si>
    <t>Validation Loss: 0.1264203041791916</t>
  </si>
  <si>
    <t>Validation Loss: 0.1286741942167282</t>
  </si>
  <si>
    <t>Validation Loss: 0.05402064323425293</t>
  </si>
  <si>
    <t>Validation Loss: 0.052566517144441605</t>
  </si>
  <si>
    <t>Validation Loss: 0.05583661422133446</t>
  </si>
  <si>
    <t>Validation Loss: 0.05383501574397087</t>
  </si>
  <si>
    <t>Validation Loss: 0.05675575137138367</t>
  </si>
  <si>
    <t>Validation Loss: 0.057919297367334366</t>
  </si>
  <si>
    <t>Validation Accuracy: 0.9295699000358582</t>
  </si>
  <si>
    <t>Validation Accuracy: 0.9453763365745544</t>
  </si>
  <si>
    <t>Validation Accuracy: 0.9470967650413513</t>
  </si>
  <si>
    <t>Validation Accuracy: 0.9424731135368347</t>
  </si>
  <si>
    <t>Validation Accuracy: 0.9454838633537292</t>
  </si>
  <si>
    <t>Validation Accuracy: 0.9473118185997009</t>
  </si>
  <si>
    <t>Validation Accuracy: 0.9468817114830017</t>
  </si>
  <si>
    <t>Validation Accuracy: 0.9430107474327087</t>
  </si>
  <si>
    <t>Validation Accuracy: 0.9800000190734863</t>
  </si>
  <si>
    <t>Validation Accuracy: 0.9796774387359619</t>
  </si>
  <si>
    <t>Validation Accuracy: 0.9790322780609131</t>
  </si>
  <si>
    <t>Validation Accuracy: 0.981290340423584</t>
  </si>
  <si>
    <t>Validation Accuracy: 0.9802150726318359</t>
  </si>
  <si>
    <t>Validation Accuracy: 0.9801075458526611</t>
  </si>
  <si>
    <t>Epoch with Maximum Validation Accuracy: 62</t>
  </si>
  <si>
    <t>Epoch with Maximum Validation Accuracy: 173</t>
  </si>
  <si>
    <t>Epoch with Maximum Validation Accuracy: 243</t>
  </si>
  <si>
    <t>Epoch with Maximum Validation Accuracy: 160</t>
  </si>
  <si>
    <t>Epoch with Maximum Validation Accuracy: 130</t>
  </si>
  <si>
    <t>Epoch with Maximum Validation Accuracy: 203</t>
  </si>
  <si>
    <t>Epoch with Maximum Validation Accuracy: 211</t>
  </si>
  <si>
    <t>Epoch with Maximum Validation Accuracy: 218</t>
  </si>
  <si>
    <t>Epoch with Maximum Validation Accuracy: 134</t>
  </si>
  <si>
    <t>Epoch with Maximum Validation Accuracy: 91</t>
  </si>
  <si>
    <t>Epoch with Maximum Validation Accuracy: 128</t>
  </si>
  <si>
    <t>Epoch with Maximum Validation Accuracy: 103</t>
  </si>
  <si>
    <t>Epoch with Maximum Validation Accuracy: 155</t>
  </si>
  <si>
    <t>Epoch with Maximum Validation Accuracy: 180</t>
  </si>
  <si>
    <t>Maximum Validation Accuracy: 0.9361290335655212</t>
  </si>
  <si>
    <t>Maximum Validation Accuracy: 0.9496774077415466</t>
  </si>
  <si>
    <t>Maximum Validation Accuracy: 0.9480645060539246</t>
  </si>
  <si>
    <t>Maximum Validation Accuracy: 0.9460214972496033</t>
  </si>
  <si>
    <t>Maximum Validation Accuracy: 0.947849452495575</t>
  </si>
  <si>
    <t>Maximum Validation Accuracy: 0.949999988079071</t>
  </si>
  <si>
    <t>Maximum Validation Accuracy: 0.9497849345207214</t>
  </si>
  <si>
    <t>Maximum Validation Accuracy: 0.9452688097953796</t>
  </si>
  <si>
    <t>Maximum Validation Accuracy: 0.9817204475402832</t>
  </si>
  <si>
    <t>Maximum Validation Accuracy: 0.982365608215332</t>
  </si>
  <si>
    <t>Maximum Validation Accuracy: 0.9811828136444092</t>
  </si>
  <si>
    <t>Maximum Validation Accuracy: 0.9816129207611084</t>
  </si>
  <si>
    <t>Maximum Validation Accuracy: 0.9808602333068848</t>
  </si>
  <si>
    <t>Maximum Validation Accuracy: 0.9810752868652344</t>
  </si>
  <si>
    <t>Epoch with Minimum Validation Loss: 14</t>
  </si>
  <si>
    <t>Epoch with Minimum Validation Loss: 128</t>
  </si>
  <si>
    <t>Epoch with Minimum Validation Loss: 217</t>
  </si>
  <si>
    <t>Epoch with Minimum Validation Loss: 113</t>
  </si>
  <si>
    <t>Epoch with Minimum Validation Loss: 142</t>
  </si>
  <si>
    <t>Epoch with Minimum Validation Loss: 190</t>
  </si>
  <si>
    <t>Epoch with Minimum Validation Loss: 165</t>
  </si>
  <si>
    <t>Epoch with Minimum Validation Loss: 174</t>
  </si>
  <si>
    <t>Epoch with Minimum Validation Loss: 90</t>
  </si>
  <si>
    <t>Epoch with Minimum Validation Loss: 50</t>
  </si>
  <si>
    <t>Epoch with Minimum Validation Loss: 81</t>
  </si>
  <si>
    <t>Epoch with Minimum Validation Loss: 74</t>
  </si>
  <si>
    <t>Epoch with Minimum Validation Loss: 131</t>
  </si>
  <si>
    <t>Epoch with Minimum Validation Loss: 141</t>
  </si>
  <si>
    <t>Minimum Validation Loss: 0.16722224652767181</t>
  </si>
  <si>
    <t>Minimum Validation Loss: 0.12306610494852066</t>
  </si>
  <si>
    <t>Minimum Validation Loss: 0.12377450615167618</t>
  </si>
  <si>
    <t>Minimum Validation Loss: 0.1255670040845871</t>
  </si>
  <si>
    <t>Minimum Validation Loss: 0.12908798456192017</t>
  </si>
  <si>
    <t>Minimum Validation Loss: 0.1262873113155365</t>
  </si>
  <si>
    <t>Minimum Validation Loss: 0.1264203041791916</t>
  </si>
  <si>
    <t>Minimum Validation Loss: 0.1286741942167282</t>
  </si>
  <si>
    <t>Minimum Validation Loss: 0.05402064323425293</t>
  </si>
  <si>
    <t>Minimum Validation Loss: 0.052566517144441605</t>
  </si>
  <si>
    <t>Minimum Validation Loss: 0.05583661422133446</t>
  </si>
  <si>
    <t>Minimum Validation Loss: 0.05383501574397087</t>
  </si>
  <si>
    <t>Minimum Validation Loss: 0.05675575137138367</t>
  </si>
  <si>
    <t>Minimum Validation Loss: 0.057919297367334366</t>
  </si>
  <si>
    <t>Test Accuracy: 0.9339784946236559</t>
  </si>
  <si>
    <t>Test Accuracy: 0.9470967741935484</t>
  </si>
  <si>
    <t>Test Accuracy: 0.9479569892473119</t>
  </si>
  <si>
    <t>Test Accuracy: 0.947741935483871</t>
  </si>
  <si>
    <t>Test Accuracy: 0.9468817204301075</t>
  </si>
  <si>
    <t>Test Accuracy: 0.9512903225806452</t>
  </si>
  <si>
    <t>Test Accuracy: 0.9467741935483871</t>
  </si>
  <si>
    <t>Test Accuracy: 0.9490322580645161</t>
  </si>
  <si>
    <t>Test Accuracy: 0.980752688172043</t>
  </si>
  <si>
    <t>Test Accuracy: 0.9817204301075269</t>
  </si>
  <si>
    <t>Test Accuracy: 0.9823655913978495</t>
  </si>
  <si>
    <t>Test Accuracy: 0.9822580645161291</t>
  </si>
  <si>
    <t>Test Accuracy: 0.9812903225806452</t>
  </si>
  <si>
    <t>Test Accuracy: 0.9806451612903225</t>
  </si>
  <si>
    <t>Precision: 0.9542998649257092</t>
  </si>
  <si>
    <t>Precision: 0.9651006711409396</t>
  </si>
  <si>
    <t>Precision: 0.9574000878348704</t>
  </si>
  <si>
    <t>Precision: 0.9632843791722296</t>
  </si>
  <si>
    <t>Precision: 0.9655017921146953</t>
  </si>
  <si>
    <t>Precision: 0.9674760525729561</t>
  </si>
  <si>
    <t>Precision: 0.9617692820626806</t>
  </si>
  <si>
    <t>Precision: 0.9576939938623411</t>
  </si>
  <si>
    <t>Precision: 0.984608714502493</t>
  </si>
  <si>
    <t>Precision: 0.9848484848484849</t>
  </si>
  <si>
    <t>Precision: 0.9873967840069535</t>
  </si>
  <si>
    <t>Precision: 0.9844458846403111</t>
  </si>
  <si>
    <t>Precision: 0.9905743095133713</t>
  </si>
  <si>
    <t>Precision: 0.9816810344827587</t>
  </si>
  <si>
    <t>Recall: 0.9116129032258065</t>
  </si>
  <si>
    <t>Recall: 0.927741935483871</t>
  </si>
  <si>
    <t>Recall: 0.9376344086021505</t>
  </si>
  <si>
    <t>Recall: 0.9309677419354838</t>
  </si>
  <si>
    <t>Recall: 0.9268817204301075</t>
  </si>
  <si>
    <t>Recall: 0.9339784946236559</t>
  </si>
  <si>
    <t>Recall: 0.9305376344086022</t>
  </si>
  <si>
    <t>Recall: 0.9395698924731183</t>
  </si>
  <si>
    <t>Recall: 0.9767741935483871</t>
  </si>
  <si>
    <t>Recall: 0.978494623655914</t>
  </si>
  <si>
    <t>Recall: 0.9772043010752688</t>
  </si>
  <si>
    <t>Recall: 0.98</t>
  </si>
  <si>
    <t>Recall: 0.9718279569892473</t>
  </si>
  <si>
    <t>Recall: 0.9795698924731183</t>
  </si>
  <si>
    <t>F1 Score: 0.9324681038275408</t>
  </si>
  <si>
    <t>F1 Score: 0.9460526315789474</t>
  </si>
  <si>
    <t>F1 Score: 0.9474141677531508</t>
  </si>
  <si>
    <t>F1 Score: 0.9468503937007874</t>
  </si>
  <si>
    <t>F1 Score: 0.9457976739082731</t>
  </si>
  <si>
    <t>F1 Score: 0.9504322135901083</t>
  </si>
  <si>
    <t>F1 Score: 0.9458957263088862</t>
  </si>
  <si>
    <t>F1 Score: 0.9485453755970474</t>
  </si>
  <si>
    <t>F1 Score: 0.9806758069739825</t>
  </si>
  <si>
    <t>F1 Score: 0.9816612729234089</t>
  </si>
  <si>
    <t>F1 Score: 0.982274102896671</t>
  </si>
  <si>
    <t>F1 Score: 0.9822179114128677</t>
  </si>
  <si>
    <t>F1 Score: 0.9811115935735996</t>
  </si>
  <si>
    <t>F1 Score: 0.9806243272335845</t>
  </si>
  <si>
    <t>ROC AUC Score: 0.9856453231587466</t>
  </si>
  <si>
    <t>ROC AUC Score: 0.9906009943346051</t>
  </si>
  <si>
    <t>ROC AUC Score: 0.9905191120360735</t>
  </si>
  <si>
    <t>ROC AUC Score: 0.9905339114348481</t>
  </si>
  <si>
    <t>ROC AUC Score: 0.9902158631055613</t>
  </si>
  <si>
    <t>ROC AUC Score: 0.991291848768644</t>
  </si>
  <si>
    <t>ROC AUC Score: 0.9903684819054227</t>
  </si>
  <si>
    <t>ROC AUC Score: 0.9909970169961846</t>
  </si>
  <si>
    <t>ROC AUC Score: 0.9983866574170425</t>
  </si>
  <si>
    <t>ROC AUC Score: 0.9984170424326512</t>
  </si>
  <si>
    <t>ROC AUC Score: 0.9984688865764827</t>
  </si>
  <si>
    <t>ROC AUC Score: 0.99818617181177</t>
  </si>
  <si>
    <t>ROC AUC Score: 0.9973139784946237</t>
  </si>
  <si>
    <t>ROC AUC Score: 0.9981760665972945</t>
  </si>
  <si>
    <t>Average Precision: 0.9864809261641554</t>
  </si>
  <si>
    <t>Average Precision: 0.9913606213624271</t>
  </si>
  <si>
    <t>Average Precision: 0.9910378232697864</t>
  </si>
  <si>
    <t>Average Precision: 0.9913294913078088</t>
  </si>
  <si>
    <t>Average Precision: 0.9907273057186624</t>
  </si>
  <si>
    <t>Average Precision: 0.991772155880502</t>
  </si>
  <si>
    <t>Average Precision: 0.9903811590306048</t>
  </si>
  <si>
    <t>Average Precision: 0.9916381267763349</t>
  </si>
  <si>
    <t>Average Precision: 0.9984239815542377</t>
  </si>
  <si>
    <t>Average Precision: 0.9984495942422918</t>
  </si>
  <si>
    <t>Average Precision: 0.9985421094094613</t>
  </si>
  <si>
    <t>Average Precision: 0.9982611141806268</t>
  </si>
  <si>
    <t>Average Precision: 0.9964082597614609</t>
  </si>
  <si>
    <t>Average Precision: 0.9982519669181769</t>
  </si>
  <si>
    <t>Confusion Matrix:</t>
  </si>
  <si>
    <t>[[4447  203]</t>
  </si>
  <si>
    <t>[[4494  156]</t>
  </si>
  <si>
    <t>[[4456  194]</t>
  </si>
  <si>
    <t>[[4485  165]</t>
  </si>
  <si>
    <t>[[4496  154]</t>
  </si>
  <si>
    <t>[[4504  146]</t>
  </si>
  <si>
    <t>[[4478  172]</t>
  </si>
  <si>
    <t>[[4457  193]</t>
  </si>
  <si>
    <t>[[4579   71]</t>
  </si>
  <si>
    <t>[[4580   70]</t>
  </si>
  <si>
    <t>[[4592   58]</t>
  </si>
  <si>
    <t>[[4578   72]</t>
  </si>
  <si>
    <t>[[4607   43]</t>
  </si>
  <si>
    <t>[[4565   85]</t>
  </si>
  <si>
    <t>[ 411 4239]]</t>
  </si>
  <si>
    <t>[ 336 4314]]</t>
  </si>
  <si>
    <t>[ 290 4360]]</t>
  </si>
  <si>
    <t>[ 321 4329]]</t>
  </si>
  <si>
    <t>[ 340 4310]]</t>
  </si>
  <si>
    <t>[ 307 4343]]</t>
  </si>
  <si>
    <t>[ 323 4327]]</t>
  </si>
  <si>
    <t>[ 281 4369]]</t>
  </si>
  <si>
    <t>[ 108 4542]]</t>
  </si>
  <si>
    <t>[ 100 4550]]</t>
  </si>
  <si>
    <t>[ 106 4544]]</t>
  </si>
  <si>
    <t>[  93 4557]]</t>
  </si>
  <si>
    <t>[ 131 4519]]</t>
  </si>
  <si>
    <t>[  95 4555]]</t>
  </si>
  <si>
    <t># System Information</t>
  </si>
  <si>
    <t>CPU Usage Before Prediction: 2.9</t>
  </si>
  <si>
    <t>CPU Usage Before Prediction: 3.7</t>
  </si>
  <si>
    <t>CPU Usage Before Prediction: 4.1</t>
  </si>
  <si>
    <t>CPU Usage Before Prediction: 6.9</t>
  </si>
  <si>
    <t>CPU Usage Before Prediction: 4.2</t>
  </si>
  <si>
    <t>CPU Usage Before Prediction: 5.0</t>
  </si>
  <si>
    <t>CPU Usage Before Prediction: 6.6</t>
  </si>
  <si>
    <t>CPU Usage Before Prediction: 4.9</t>
  </si>
  <si>
    <t>CPU Usage Before Prediction: 4.5</t>
  </si>
  <si>
    <t>CPU Usage Before Prediction: 4.6</t>
  </si>
  <si>
    <t>CPU Usage Before Prediction: 7.0</t>
  </si>
  <si>
    <t>CPU Usage Before Prediction: 6.7</t>
  </si>
  <si>
    <t>CPU Usage Before Prediction: 7.2</t>
  </si>
  <si>
    <t>Memory Usage Before Prediction: 7390052352</t>
  </si>
  <si>
    <t>Memory Usage Before Prediction: 7770374144</t>
  </si>
  <si>
    <t>Memory Usage Before Prediction: 8242958336</t>
  </si>
  <si>
    <t>Memory Usage Before Prediction: 7896596480</t>
  </si>
  <si>
    <t>Memory Usage Before Prediction: 8045465600</t>
  </si>
  <si>
    <t>Memory Usage Before Prediction: 7989792768</t>
  </si>
  <si>
    <t>Memory Usage Before Prediction: 8077504512</t>
  </si>
  <si>
    <t>Memory Usage Before Prediction: 11370119168</t>
  </si>
  <si>
    <t>Memory Usage Before Prediction: 9208725504</t>
  </si>
  <si>
    <t>Memory Usage Before Prediction: 9018712064</t>
  </si>
  <si>
    <t>Memory Usage Before Prediction: 9112596480</t>
  </si>
  <si>
    <t>Memory Usage Before Prediction: 9257058304</t>
  </si>
  <si>
    <t>Memory Usage Before Prediction: 10414665728</t>
  </si>
  <si>
    <t>Memory Usage Before Prediction: 11273080832</t>
  </si>
  <si>
    <t>CPU Usage After Prediction: 7.8</t>
  </si>
  <si>
    <t>CPU Usage After Prediction: 6.1</t>
  </si>
  <si>
    <t>CPU Usage After Prediction: 4.5</t>
  </si>
  <si>
    <t>CPU Usage After Prediction: 5.2</t>
  </si>
  <si>
    <t>CPU Usage After Prediction: 5.6</t>
  </si>
  <si>
    <t>CPU Usage After Prediction: 6.0</t>
  </si>
  <si>
    <t>CPU Usage After Prediction: 10.7</t>
  </si>
  <si>
    <t>CPU Usage After Prediction: 4.8</t>
  </si>
  <si>
    <t>CPU Usage After Prediction: 5.3</t>
  </si>
  <si>
    <t>CPU Usage After Prediction: 6.5</t>
  </si>
  <si>
    <t>CPU Usage After Prediction: 4.0</t>
  </si>
  <si>
    <t>Memory Usage After Prediction: 7396950016</t>
  </si>
  <si>
    <t>Memory Usage After Prediction: 7769837568</t>
  </si>
  <si>
    <t>Memory Usage After Prediction: 8239525888</t>
  </si>
  <si>
    <t>Memory Usage After Prediction: 7892197376</t>
  </si>
  <si>
    <t>Memory Usage After Prediction: 8047026176</t>
  </si>
  <si>
    <t>Memory Usage After Prediction: 7985188864</t>
  </si>
  <si>
    <t>Memory Usage After Prediction: 8074149888</t>
  </si>
  <si>
    <t>Memory Usage After Prediction: 11386667008</t>
  </si>
  <si>
    <t>Memory Usage After Prediction: 9202122752</t>
  </si>
  <si>
    <t>Memory Usage After Prediction: 9011118080</t>
  </si>
  <si>
    <t>Memory Usage After Prediction: 9113804800</t>
  </si>
  <si>
    <t>Memory Usage After Prediction: 9244856320</t>
  </si>
  <si>
    <t>Memory Usage After Prediction: 10404544512</t>
  </si>
  <si>
    <t>Memory Usage After Prediction: 11271581696</t>
  </si>
  <si>
    <t>Prediction Time: 0.5187523365020752 seconds</t>
  </si>
  <si>
    <t>Prediction Time: 0.6199347972869873 seconds</t>
  </si>
  <si>
    <t>Prediction Time: 0.7060763835906982 seconds</t>
  </si>
  <si>
    <t>Prediction Time: 0.8642880916595459 seconds</t>
  </si>
  <si>
    <t>Prediction Time: 0.7065107822418213 seconds</t>
  </si>
  <si>
    <t>Prediction Time: 0.7144200801849365 seconds</t>
  </si>
  <si>
    <t>Prediction Time: 0.6906919479370117 seconds</t>
  </si>
  <si>
    <t>Prediction Time: 0.9883289337158203 seconds</t>
  </si>
  <si>
    <t>Prediction Time: 0.8164901733398438 seconds</t>
  </si>
  <si>
    <t>Prediction Time: 0.7071824073791504 seconds</t>
  </si>
  <si>
    <t>Prediction Time: 0.6264240741729736 seconds</t>
  </si>
  <si>
    <t>Prediction Time: 1.2517015933990479 seconds</t>
  </si>
  <si>
    <t>Prediction Time: 1.2904918193817139 seconds</t>
  </si>
  <si>
    <t>Prediction Time: 1.1686787605285645 seconds</t>
  </si>
  <si>
    <t>Validation Precision: 0.9516165498530409</t>
  </si>
  <si>
    <t>Validation Precision: 0.9622767857142858</t>
  </si>
  <si>
    <t>Validation Precision: 0.9581313353900397</t>
  </si>
  <si>
    <t>Validation Precision: 0.9591609015844678</t>
  </si>
  <si>
    <t>Validation Precision: 0.9641496751064307</t>
  </si>
  <si>
    <t>Validation Precision: 0.9647006255585344</t>
  </si>
  <si>
    <t>Validation Precision: 0.9628062360801781</t>
  </si>
  <si>
    <t>Validation Precision: 0.9541446208112875</t>
  </si>
  <si>
    <t>Validation Precision: 0.9877622377622378</t>
  </si>
  <si>
    <t>Validation Precision: 0.981853532080363</t>
  </si>
  <si>
    <t>Validation Precision: 0.9875246224556796</t>
  </si>
  <si>
    <t>Validation Precision: 0.9844155844155844</t>
  </si>
  <si>
    <t>Validation Precision: 0.9916336415675914</t>
  </si>
  <si>
    <t>Validation Precision: 0.9820773051176852</t>
  </si>
  <si>
    <t>Validation Recall: 0.9051612903225806</t>
  </si>
  <si>
    <t>Validation Recall: 0.9270967741935484</t>
  </si>
  <si>
    <t>Validation Recall: 0.9350537634408602</t>
  </si>
  <si>
    <t>Validation Recall: 0.9243010752688172</t>
  </si>
  <si>
    <t>Validation Recall: 0.9253763440860215</t>
  </si>
  <si>
    <t>Validation Recall: 0.9286021505376344</t>
  </si>
  <si>
    <t>Validation Recall: 0.9296774193548387</t>
  </si>
  <si>
    <t>Validation Recall: 0.930752688172043</t>
  </si>
  <si>
    <t>Validation Recall: 0.9720430107526882</t>
  </si>
  <si>
    <t>Validation Recall: 0.9774193548387097</t>
  </si>
  <si>
    <t>Validation Recall: 0.9703225806451613</t>
  </si>
  <si>
    <t>Validation Recall: 0.9780645161290322</t>
  </si>
  <si>
    <t>Validation Recall: 0.9686021505376344</t>
  </si>
  <si>
    <t>Validation F1 Score: 0.9278077813292185</t>
  </si>
  <si>
    <t>Validation F1 Score: 0.9443592552026286</t>
  </si>
  <si>
    <t>Validation F1 Score: 0.9464518937744886</t>
  </si>
  <si>
    <t>Validation F1 Score: 0.9414083890044902</t>
  </si>
  <si>
    <t>Validation F1 Score: 0.9443651925820258</t>
  </si>
  <si>
    <t>Validation F1 Score: 0.9463072539995616</t>
  </si>
  <si>
    <t>Validation F1 Score: 0.9459518599562363</t>
  </si>
  <si>
    <t>Validation F1 Score: 0.9423035053342043</t>
  </si>
  <si>
    <t>Validation F1 Score: 0.9798395837849556</t>
  </si>
  <si>
    <t>Validation F1 Score: 0.979631425800194</t>
  </si>
  <si>
    <t>Validation F1 Score: 0.9788480312398308</t>
  </si>
  <si>
    <t>Validation F1 Score: 0.9812297734627832</t>
  </si>
  <si>
    <t>Validation F1 Score: 0.9799825935596171</t>
  </si>
  <si>
    <t>Validation F1 Score: 0.9800668031462128</t>
  </si>
  <si>
    <t>Validation ROC AUC Score: 0.9835837900335298</t>
  </si>
  <si>
    <t>Validation ROC AUC Score: 0.9903942883570355</t>
  </si>
  <si>
    <t>Validation ROC AUC Score: 0.9903304197016997</t>
  </si>
  <si>
    <t>Validation ROC AUC Score: 0.9896981153890623</t>
  </si>
  <si>
    <t>Validation ROC AUC Score: 0.9893311365475779</t>
  </si>
  <si>
    <t>Validation ROC AUC Score: 0.9901326858596369</t>
  </si>
  <si>
    <t>Validation ROC AUC Score: 0.9898748525841137</t>
  </si>
  <si>
    <t>Validation ROC AUC Score: 0.9895419123598104</t>
  </si>
  <si>
    <t>Validation ROC AUC Score: 0.9981026708289976</t>
  </si>
  <si>
    <t>Validation ROC AUC Score: 0.9980506416926813</t>
  </si>
  <si>
    <t>Validation ROC AUC Score: 0.9979213550699503</t>
  </si>
  <si>
    <t>Validation ROC AUC Score: 0.9979743322927506</t>
  </si>
  <si>
    <t>Validation ROC AUC Score: 0.9976009712105445</t>
  </si>
  <si>
    <t>Validation ROC AUC Score: 0.9980674991328478</t>
  </si>
  <si>
    <t>Validation Average Precision Score: 0.9846392630047033</t>
  </si>
  <si>
    <t>Validation Average Precision Score: 0.9910752000725371</t>
  </si>
  <si>
    <t>Validation Average Precision Score: 0.9906413533240309</t>
  </si>
  <si>
    <t>Validation Average Precision Score: 0.9904996360520179</t>
  </si>
  <si>
    <t>Validation Average Precision Score: 0.9899775186992164</t>
  </si>
  <si>
    <t>Validation Average Precision Score: 0.9899079580143066</t>
  </si>
  <si>
    <t>Validation Average Precision Score: 0.9900620023744913</t>
  </si>
  <si>
    <t>Validation Average Precision Score: 0.9902817496573253</t>
  </si>
  <si>
    <t>Validation Average Precision Score: 0.9982377129569441</t>
  </si>
  <si>
    <t>Validation Average Precision Score: 0.9980901210420021</t>
  </si>
  <si>
    <t>Validation Average Precision Score: 0.9980371133155754</t>
  </si>
  <si>
    <t>Validation Average Precision Score: 0.9979184112908921</t>
  </si>
  <si>
    <t>Validation Average Precision Score: 0.9971196950111378</t>
  </si>
  <si>
    <t>Validation Average Precision Score: 0.9981500293560079</t>
  </si>
  <si>
    <t>Validation Confusion Matrix:</t>
  </si>
  <si>
    <t>[[4436  214]</t>
  </si>
  <si>
    <t>[[4481  169]</t>
  </si>
  <si>
    <t>[[4460  190]</t>
  </si>
  <si>
    <t>[[4467  183]</t>
  </si>
  <si>
    <t>[[4490  160]</t>
  </si>
  <si>
    <t>[[4492  158]</t>
  </si>
  <si>
    <t>[[4483  167]</t>
  </si>
  <si>
    <t>[[4442  208]</t>
  </si>
  <si>
    <t>[[4594   56]</t>
  </si>
  <si>
    <t>[[4566   84]</t>
  </si>
  <si>
    <t>[[4593   57]</t>
  </si>
  <si>
    <t>[[4612   38]</t>
  </si>
  <si>
    <t>[[4567   83]</t>
  </si>
  <si>
    <t>[ 441 4209]]</t>
  </si>
  <si>
    <t>[ 339 4311]]</t>
  </si>
  <si>
    <t>[ 302 4348]]</t>
  </si>
  <si>
    <t>[ 352 4298]]</t>
  </si>
  <si>
    <t>[ 347 4303]]</t>
  </si>
  <si>
    <t>[ 332 4318]]</t>
  </si>
  <si>
    <t>[ 327 4323]]</t>
  </si>
  <si>
    <t>[ 322 4328]]</t>
  </si>
  <si>
    <t>[ 130 4520]]</t>
  </si>
  <si>
    <t>[ 105 4545]]</t>
  </si>
  <si>
    <t>[ 138 4512]]</t>
  </si>
  <si>
    <t>[ 102 4548]]</t>
  </si>
  <si>
    <t>[ 146 4504]]</t>
  </si>
  <si>
    <t>shadeep_hyb_WgtAv_201 Performance Metrics</t>
  </si>
  <si>
    <t>shadeep_hyb_Concat_201 Performance Metrics</t>
  </si>
  <si>
    <t>shadeep_hyb_Minimum_201 Performance Metrics</t>
  </si>
  <si>
    <t>shadeep_hyb_Maximum_201 Performance Metrics</t>
  </si>
  <si>
    <t>shadeep_hyb_Multiply_201 Performance Metrics</t>
  </si>
  <si>
    <t>shadeep_hyb_Subtract_201 Performance Metrics</t>
  </si>
  <si>
    <t>shadeep_hyb_WgtAv_401 Performance Metrics</t>
  </si>
  <si>
    <t>shadeep_hyb_Concat_401 Performance Metrics</t>
  </si>
  <si>
    <t>shadeep_hyb_Minimum_401 Performance Metrics</t>
  </si>
  <si>
    <t>shadeep_hyb_Maximum_401 Performance Metrics</t>
  </si>
  <si>
    <t>shadeep_hyb_Multiply_401 Performance Metrics</t>
  </si>
  <si>
    <t>shadeep_hyb_Subtract_401 Performance Metrics</t>
  </si>
  <si>
    <t>Early stop epoch early :143</t>
  </si>
  <si>
    <t>Early stop epoch early :294</t>
  </si>
  <si>
    <t>Early stop epoch early :153</t>
  </si>
  <si>
    <t>Early stop epoch early :208</t>
  </si>
  <si>
    <t>Early stop epoch early :184</t>
  </si>
  <si>
    <t>Early stop epoch early :191</t>
  </si>
  <si>
    <t>Early stop epoch early :130</t>
  </si>
  <si>
    <t>Early stop epoch early :204</t>
  </si>
  <si>
    <t>Early stop epoch early :177</t>
  </si>
  <si>
    <t>Early stop epoch early :120</t>
  </si>
  <si>
    <t>Training_time:2387.958290576935</t>
  </si>
  <si>
    <t>Training_time:4370.365034103394</t>
  </si>
  <si>
    <t>Training_time:1855.62597823143</t>
  </si>
  <si>
    <t>Training_time:2734.0743749141693</t>
  </si>
  <si>
    <t>Training_time:19087.06667280197</t>
  </si>
  <si>
    <t>Training_time:3845.808130502701</t>
  </si>
  <si>
    <t>Training_time:1894.5977506637573</t>
  </si>
  <si>
    <t>Training_time:2791.3542885780334</t>
  </si>
  <si>
    <t>Training_time:2336.6249063014984</t>
  </si>
  <si>
    <t>Training_time:1462.2142279148102</t>
  </si>
  <si>
    <t>Training_time:2135.7157814502716</t>
  </si>
  <si>
    <t>Training_time:6565.382077693939</t>
  </si>
  <si>
    <t>Training Loss: [0.214552104473114, 0.16629958152770996, 0.1582920253276825, 0.15497088432312012, 0.15145708620548248, 0.14870353043079376, 0.14765743911266327, 0.14592787623405457, 0.1444905549287796, 0.14279180765151978, 0.14164996147155762, 0.14163173735141754, 0.14010219275951385, 0.1390601247549057, 0.13911227881908417, 0.13751304149627686, 0.13769614696502686, 0.13707485795021057, 0.13600505888462067, 0.13487233221530914, 0.13562142848968506, 0.13490253686904907, 0.13407371938228607, 0.1335899978876114, 0.13272392749786377, 0.13263656198978424, 0.13194042444229126, 0.1319902092218399, 0.1314677596092224, 0.13111983239650726, 0.13026171922683716, 0.13043567538261414, 0.129243865609169, 0.12962281703948975, 0.1292378157377243, 0.12874144315719604, 0.12816710770130157, 0.1278429478406906, 0.1272580772638321, 0.12710073590278625, 0.12717655301094055, 0.1268789917230606, 0.12548519670963287, 0.12494633346796036, 0.12556876242160797, 0.12562225759029388, 0.12559323012828827, 0.12498612701892853, 0.12484888732433319, 0.12479712814092636, 0.12416426092386246, 0.1235647201538086, 0.12293394654989243, 0.12260983884334564, 0.12297051399946213, 0.12195619195699692, 0.1218501627445221, 0.12112096697092056, 0.12163493037223816, 0.12123554199934006, 0.12081404775381088, 0.12061911821365356, 0.12030119448900223, 0.11997416615486145, 0.11953406035900116, 0.11975515633821487, 0.11872927844524384, 0.11834172159433365, 0.11831292510032654, 0.11765724420547485, 0.1182251051068306, 0.11657371371984482, 0.11698547750711441, 0.11731963604688644, 0.11732432246208191, 0.11596696078777313, 0.11612734198570251, 0.11614127457141876, 0.11570931226015091, 0.11572642624378204, 0.11422237008810043, 0.11496061086654663, 0.11508692055940628, 0.11421681195497513, 0.11434932798147202, 0.11410745233297348, 0.11383337527513504, 0.11300419270992279, 0.1133803203701973, 0.11318834125995636, 0.11196953803300858, 0.11223325878381729, 0.11289919912815094, 0.1121872216463089, 0.11172457039356232, 0.11130547523498535, 0.11177370697259903, 0.11212572455406189, 0.11050466448068619, 0.1101866066455841, 0.11060938984155655, 0.1100865975022316, 0.10990235209465027, 0.10926737636327744, 0.1086345762014389, 0.10938584804534912, 0.1093175932765007, 0.10880324989557266, 0.10875099152326584, 0.10875255614519119, 0.1084098368883133, 0.10757916420698166, 0.10842936486005783, 0.10731799155473709, 0.10734953731298447, 0.10797484219074249, 0.10701347142457962, 0.10722186416387558, 0.10673712939023972, 0.10717059671878815, 0.10634232312440872, 0.10676871985197067, 0.10619253665208817, 0.1061297059059143, 0.1051403358578682, 0.10593468695878983, 0.10554714500904083, 0.10540731996297836, 0.10488792508840561, 0.10461105406284332, 0.10498166084289551, 0.10523933172225952, 0.1040540412068367, 0.10405418276786804, 0.10360488295555115, 0.10449504852294922, 0.10404614359140396, 0.10344439744949341, 0.10351450741291046, 0.1033642366528511, 0.10274749249219894, 0.10224619507789612, 0.10354531556367874]</t>
  </si>
  <si>
    <t>Training Loss: [0.1939818561077118, 0.1650586873292923, 0.1591518372297287, 0.15498511493206024, 0.1530296355485916, 0.150815948843956, 0.14903517067432404, 0.14766091108322144, 0.14592081308364868, 0.14399799704551697, 0.1437617391347885, 0.1433066427707672, 0.1413569152355194, 0.14333370327949524, 0.14031058549880981, 0.13984642922878265, 0.13857407867908478, 0.1384410411119461, 0.13898898661136627, 0.137732595205307, 0.1369708925485611, 0.13860389590263367, 0.13651663064956665, 0.13618701696395874, 0.13572274148464203, 0.13527044653892517, 0.13471151888370514, 0.1350962370634079, 0.13422292470932007, 0.13400913774967194, 0.133772075176239, 0.1336279809474945, 0.13375605642795563, 0.13236290216445923, 0.1326761245727539, 0.1316080093383789, 0.13162833452224731, 0.1312471330165863, 0.13086827099323273, 0.1307596117258072, 0.13136564195156097, 0.13106027245521545, 0.13084569573402405, 0.12936615943908691, 0.13014590740203857, 0.12970583140850067, 0.12923023104667664, 0.1285880208015442, 0.1331595778465271, 0.1364404857158661, 0.12838885188102722, 0.12721611559391022, 0.12786950170993805, 0.12619836628437042, 0.12626244127750397, 0.12594497203826904, 0.1264660358428955, 0.12628084421157837, 0.12571533024311066, 0.12555810809135437, 0.12478360533714294, 0.12406560033559799, 0.12384645640850067, 0.12398295104503632, 0.1246466264128685, 0.12322711199522018, 0.12346778064966202, 0.12357442080974579, 0.12297537922859192, 0.12301535159349442, 0.12255049496889114, 0.12232572585344315, 0.1227027177810669, 0.12183842062950134, 0.12110868096351624, 0.12067101895809174, 0.12149891257286072, 0.1211579218506813, 0.12139476835727692, 0.12012515962123871, 0.12033390998840332, 0.12013354152441025, 0.12057215720415115, 0.11942405253648758, 0.119432732462883, 0.1188126802444458, 0.11901180446147919, 0.11857343465089798, 0.11864329874515533, 0.1184273362159729, 0.11804983764886856, 0.11784809827804565, 0.11731588840484619, 0.11746437847614288, 0.11718042939901352, 0.1170683279633522, 0.1172679215669632, 0.11704150587320328, 0.11559490114450455, 0.1156540960073471, 0.11656944453716278, 0.11554627865552902, 0.11595690250396729, 0.11534903198480606, 0.11497518420219421, 0.11557192355394363, 0.11541951447725296, 0.1151101142168045, 0.11471831053495407, 0.11397023499011993, 0.11361546069383621, 0.11365697532892227, 0.11348243057727814, 0.11292268335819244, 0.11302013695240021, 0.11258162558078766, 0.11321710050106049, 0.11351660639047623, 0.11302352696657181, 0.11248236894607544, 0.11262720823287964, 0.11246152967214584, 0.11246863752603531, 0.11164938658475876, 0.11161695420742035, 0.11172547936439514, 0.11190193891525269, 0.11164641380310059, 0.11083951592445374, 0.11067400127649307, 0.11025838553905487, 0.11069871485233307, 0.11040441691875458, 0.11202052980661392, 0.11006473004817963, 0.10972380638122559, 0.10984855890274048, 0.10923702269792557, 0.10816014558076859, 0.10956960171461105, 0.10915882885456085, 0.10828732699155807, 0.10828942060470581, 0.10754957795143127, 0.10772915929555893, 0.1077856793999672, 0.10846392810344696, 0.10765881836414337, 0.10741806775331497, 0.10714198648929596, 0.10612862557172775, 0.1074829176068306, 0.10709180682897568, 0.10570479184389114, 0.10757951438426971, 0.10701450705528259, 0.10560134053230286, 0.10614047944545746, 0.10653882473707199, 0.10519327968358994, 0.10546180605888367, 0.10582850128412247, 0.10596016049385071, 0.1061166301369667, 0.10505109280347824, 0.1047147586941719, 0.10523239523172379, 0.10487310588359833, 0.1045713722705841, 0.10441628098487854, 0.10592341423034668, 0.10579002648591995, 0.10479675233364105, 0.10457825660705566, 0.10502798855304718, 0.10526062548160553, 0.10416004061698914, 0.10449464619159698, 0.10479613393545151, 0.10397139936685562, 0.10356996953487396, 0.1042468249797821, 0.10400480777025223, 0.10374115407466888, 0.1027049720287323, 0.10303898900747299, 0.10279706120491028, 0.10216861963272095, 0.1020311564207077, 0.10194634646177292, 0.10187019407749176, 0.10221533477306366, 0.10134910047054291, 0.10241230577230453, 0.10134503245353699, 0.1013776883482933, 0.10100071132183075, 0.10149684548377991, 0.10277120769023895, 0.10183697938919067, 0.10083288699388504, 0.0993785485625267, 0.10060302168130875, 0.10038366913795471, 0.10159941762685776, 0.09938324987888336, 0.09995868802070618, 0.09895825386047363, 0.09990814328193665, 0.1001015156507492, 0.10025680810213089, 0.10026860982179642, 0.10068845003843307, 0.09903880208730698, 0.09904960542917252, 0.09897839277982712, 0.0991678312420845, 0.09911855310201645, 0.09973650425672531, 0.09923571348190308, 0.10317270457744598, 0.09964366257190704, 0.09859935939311981, 0.09844443202018738, 0.09908010810613632, 0.09843328595161438, 0.09753355383872986, 0.09768959879875183, 0.09854944050312042, 0.09878139942884445, 0.09800610691308975, 0.09735693782567978, 0.09676776826381683, 0.0975969061255455, 0.0970989465713501, 0.09721442312002182, 0.09943278878927231, 0.09731495380401611, 0.09748613089323044, 0.09779013693332672, 0.09780322760343552, 0.0984075739979744, 0.09730426967144012, 0.09731796383857727, 0.09725482016801834, 0.09697982668876648, 0.09630464017391205, 0.0965002104640007, 0.0962754637002945, 0.09683831036090851, 0.09584178775548935, 0.09647918492555618, 0.09627248346805573, 0.09685533493757248, 0.09582425653934479, 0.09473274648189545, 0.09604467451572418, 0.0950017049908638, 0.0959334671497345, 0.09582000225782394, 0.09559375047683716, 0.09555450081825256, 0.09512675553560257, 0.0951748788356781, 0.09484454244375229, 0.09454728662967682, 0.09447541832923889, 0.09480322897434235, 0.09416592121124268, 0.09421128034591675, 0.09365486353635788, 0.09378993511199951, 0.09474807977676392, 0.09486924856901169, 0.09363683313131332, 0.092411108314991, 0.09377322345972061, 0.09250989556312561, 0.09351200610399246, 0.09388267248868942, 0.09292156994342804, 0.09252045303583145, 0.09292339533567429, 0.09399653226137161, 0.09356347471475601, 0.09159521758556366, 0.0922689214348793, 0.09263408929109573, 0.09105323255062103, 0.09288179874420166, 0.09168302267789841, 0.09223426133394241, 0.09165245294570923, 0.09140194207429886]</t>
  </si>
  <si>
    <t>Training Loss: [0.19876031577587128, 0.16710521280765533, 0.159855917096138, 0.1553330272436142, 0.1528964638710022, 0.14937765896320343, 0.1483008712530136, 0.14714671671390533, 0.14446482062339783, 0.14295658469200134, 0.1422882080078125, 0.14112065732479095, 0.14031365513801575, 0.1392502337694168, 0.13853906095027924, 0.13823585212230682, 0.13711018860340118, 0.13683956861495972, 0.1363823264837265, 0.13550537824630737, 0.13524600863456726, 0.1341593712568283, 0.1339624673128128, 0.13334845006465912, 0.13311530649662018, 0.13202741742134094, 0.13318102061748505, 0.13133418560028076, 0.13111481070518494, 0.13045988976955414, 0.1310422420501709, 0.13010568916797638, 0.12898437678813934, 0.12830691039562225, 0.12856893241405487, 0.12832751870155334, 0.12812508642673492, 0.128184512257576, 0.12683169543743134, 0.12730547785758972, 0.12650536000728607, 0.12619248032569885, 0.12537898123264313, 0.12519100308418274, 0.12454415112733841, 0.1330907791852951, 0.13441349565982819, 0.12411747872829437, 0.12340505421161652, 0.1233370304107666, 0.12373433262109756, 0.12321589142084122, 0.1223917156457901, 0.12224174290895462, 0.12235448509454727, 0.1231728121638298, 0.12208783626556396, 0.12204596400260925, 0.12176692485809326, 0.12023092061281204, 0.12079358100891113, 0.12052512913942337, 0.11970759928226471, 0.11952891945838928, 0.11969760060310364, 0.11883015185594559, 0.11917496472597122, 0.11853088438510895, 0.11804299056529999, 0.11796683818101883, 0.11742117255926132, 0.11721636354923248, 0.11778077483177185, 0.11696836352348328, 0.11644691228866577, 0.11593610793352127, 0.11585966497659683, 0.11669857800006866, 0.11547398567199707, 0.11614079028367996, 0.11585696786642075, 0.11614204943180084, 0.1154879555106163, 0.11499340832233429, 0.11498011648654938, 0.1153121292591095, 0.11522141098976135, 0.11508738994598389, 0.11503130197525024, 0.11440753191709518, 0.11465514451265335, 0.11350516229867935, 0.11337733268737793, 0.11270645260810852, 0.11252635717391968, 0.11243811249732971, 0.11218425631523132, 0.11206278949975967, 0.11136595159769058, 0.11079616099596024, 0.11046881973743439, 0.10993481427431107, 0.1104639321565628, 0.11024579405784607, 0.11007512360811234, 0.10969574004411697, 0.10932601988315582, 0.1090562492609024, 0.11064967513084412, 0.10956315696239471, 0.10944125056266785, 0.10902052372694016, 0.1079331785440445, 0.10801137983798981, 0.10826130211353302, 0.10854583233594894, 0.10840880870819092, 0.10768694430589676, 0.10783936828374863, 0.10728441178798676, 0.10776980966329575, 0.10793240368366241, 0.10743344575166702, 0.10658423602581024, 0.10492583364248276, 0.1047692745923996, 0.10567677766084671, 0.10536159574985504, 0.10598132014274597, 0.10519419610500336, 0.10415779799222946, 0.10465898364782333, 0.10437223315238953, 0.1048172265291214, 0.10543417930603027, 0.10580553114414215, 0.10509905964136124, 0.10484796017408371, 0.10393217206001282, 0.10321889072656631, 0.10302862524986267, 0.10301635414361954, 0.10354627668857574, 0.10347346216440201, 0.10240956395864487, 0.1033552810549736, 0.10279563069343567, 0.10189802944660187, 0.10152918845415115, 0.10210425406694412, 0.10124862194061279, 0.10123254358768463, 0.10186510533094406]</t>
  </si>
  <si>
    <t>Training Loss: [0.20928247272968292, 0.17538145184516907, 0.16666632890701294, 0.16215293109416962, 0.15893177688121796, 0.15559090673923492, 0.154231458902359, 0.1526239961385727, 0.15187454223632812, 0.1505097597837448, 0.1490008682012558, 0.14747163653373718, 0.14821074903011322, 0.1464720368385315, 0.1462995409965515, 0.14430126547813416, 0.14442476630210876, 0.144479900598526, 0.14354588091373444, 0.14257967472076416, 0.14236734807491302, 0.14100350439548492, 0.14152318239212036, 0.14021188020706177, 0.1399422585964203, 0.14083412289619446, 0.13920912146568298, 0.13878124952316284, 0.14318905770778656, 0.1391349732875824, 0.146830216050148, 0.13957908749580383, 0.1374226063489914, 0.1384287029504776, 0.13646039366722107, 0.13640813529491425, 0.13627229630947113, 0.13640345633029938, 0.13514858484268188, 0.13568580150604248, 0.1354890614748001, 0.13599318265914917, 0.13590113818645477, 0.13495999574661255, 0.1332031488418579, 0.1341538280248642, 0.1345660388469696, 0.13365980982780457, 0.13452056050300598, 0.1326185166835785, 0.13228510320186615, 0.13201209902763367, 0.1321810781955719, 0.13169698417186737, 0.1313951313495636, 0.1303713023662567, 0.13112348318099976, 0.13020966947078705, 0.12987442314624786, 0.1307213455438614, 0.12972348928451538, 0.13038510084152222, 0.12926402688026428, 0.13464166224002838, 0.12996746599674225, 0.12892267107963562, 0.12804175913333893, 0.127450093626976, 0.12838831543922424, 0.12814350426197052, 0.1273382306098938, 0.12666651606559753, 0.12716539204120636, 0.12619292736053467, 0.12692154943943024, 0.1265198439359665, 0.12686395645141602, 0.12599466741085052, 0.12590792775154114, 0.12476763129234314, 0.12474159896373749, 0.12510892748832703, 0.12628529965877533, 0.12496315687894821, 0.1245625913143158, 0.12459677457809448, 0.12436661124229431, 0.12397398054599762, 0.12354124337434769, 0.12422234565019608, 0.12377417832612991, 0.12438889592885971, 0.12360025197267532, 0.12349256873130798, 0.12264270335435867, 0.1283397376537323, 0.12311697006225586, 0.1225847601890564, 0.12191697955131531, 0.12166783213615417, 0.12135104089975357, 0.12150800973176956, 0.12194336205720901, 0.12064789980649948, 0.12171672284603119, 0.12037911266088486, 0.12061967700719833, 0.12038515508174896, 0.11997090280056, 0.12280966341495514, 0.1288057416677475, 0.12824881076812744, 0.12220146507024765, 0.12065917253494263, 0.11926663666963577, 0.11844737082719803, 0.12012480944395065, 0.1180105209350586, 0.11838173866271973, 0.11802571266889572, 0.11846168339252472, 0.11778724938631058, 0.11927331984043121, 0.11770408600568771, 0.11708465218544006, 0.11730960756540298, 0.11688479781150818, 0.11685234308242798, 0.11733327060937881, 0.11703115701675415, 0.11733794212341309, 0.12072243541479111, 0.1193932592868805, 0.1157878190279007, 0.1159665659070015, 0.11662264913320541, 0.11676973849534988, 0.11480443924665451, 0.11507789045572281, 0.11484803259372711, 0.11529017984867096, 0.1155732050538063, 0.11363057047128677, 0.11368314921855927, 0.11451910436153412, 0.11418183147907257, 0.11421485245227814, 0.1139272078871727, 0.11378002166748047, 0.1127103641629219, 0.11386176198720932, 0.11345414817333221, 0.1126737892627716, 0.11355317384004593, 0.1127769723534584, 0.11376670747995377, 0.11209622770547867, 0.11283032596111298, 0.11274376511573792, 0.11253900080919266, 0.11270678043365479, 0.1118190661072731, 0.11157773435115814, 0.1115693524479866, 0.1115577295422554, 0.11165636777877808, 0.11207833886146545, 0.11148287355899811, 0.11097678542137146, 0.11049839854240417, 0.11139648407697678, 0.11224356293678284, 0.1101207435131073, 0.11010954529047012, 0.10961246490478516, 0.11084472388029099, 0.11019439995288849, 0.1110193207859993, 0.10993850231170654, 0.11006281524896622, 0.10929407179355621, 0.1096220538020134, 0.10971885919570923, 0.11025494337081909, 0.10827592015266418, 0.10827837884426117, 0.10904578864574432, 0.10898232460021973, 0.1087605208158493, 0.10946634411811829, 0.10906744748353958, 0.10883233696222305, 0.10888010263442993, 0.10857970267534256, 0.10915079712867737, 0.10778596997261047, 0.1079195961356163, 0.10776586830615997, 0.10752269625663757, 0.10825761407613754, 0.10726312547922134, 0.10642551630735397, 0.10768812894821167, 0.1072814092040062, 0.10696563124656677, 0.10648029297590256, 0.1066131740808487, 0.10645134747028351]</t>
  </si>
  <si>
    <t>Training Loss: [0.20407356321811676, 0.17087458074092865, 0.1604277491569519, 0.1541801542043686, 0.1515568047761917, 0.14961715042591095, 0.14741967618465424, 0.14605364203453064, 0.1445539891719818, 0.1435626596212387, 0.14236949384212494, 0.14164109528064728, 0.1407630890607834, 0.13974425196647644, 0.13942314684391022, 0.1390579342842102, 0.13794207572937012, 0.13753075897693634, 0.13722677528858185, 0.13635174930095673, 0.13551203906536102, 0.13557903468608856, 0.13532546162605286, 0.1342647820711136, 0.13495342433452606, 0.13285554945468903, 0.13298608362674713, 0.13233838975429535, 0.13179193437099457, 0.13152021169662476, 0.130782812833786, 0.13130713999271393, 0.1308983713388443, 0.13034522533416748, 0.12968966364860535, 0.12901291251182556, 0.1300528347492218, 0.12818047404289246, 0.1287609487771988, 0.12811805307865143, 0.1274515688419342, 0.12663915753364563, 0.1271207630634308, 0.12602588534355164, 0.12606576085090637, 0.12553897500038147, 0.1251504272222519, 0.12514235079288483, 0.12572923302650452, 0.12418536841869354, 0.12422113865613937, 0.12417396903038025, 0.12333082407712936, 0.12341298907995224, 0.12392869591712952, 0.12295611202716827, 0.12243092060089111, 0.12211962044239044, 0.1217014268040657, 0.12214630097150803, 0.12090849131345749, 0.12183192372322083, 0.1206437274813652, 0.12050467729568481, 0.12065280228853226, 0.12041903287172318, 0.11935709416866302, 0.11869874596595764, 0.11947014927864075, 0.11928994208574295, 0.118252232670784, 0.11851246654987335, 0.11860744655132294, 0.11868292093276978, 0.11681237071752548, 0.11649353057146072, 0.11671201884746552, 0.11575454473495483, 0.1168481856584549, 0.1163632869720459, 0.11579247564077377, 0.11484371870756149, 0.1168186217546463, 0.11540728807449341, 0.11433250457048416, 0.11477285623550415, 0.11430688202381134, 0.11412318050861359, 0.11353963613510132, 0.11495579034090042, 0.1138446107506752, 0.11422556638717651, 0.11372465640306473, 0.11335676163434982, 0.11285848170518875, 0.11226486414670944, 0.11185932159423828, 0.1113099604845047, 0.11235357075929642, 0.11190325021743774, 0.11071691662073135, 0.1120147779583931, 0.11133919656276703, 0.11096847802400589, 0.11072482913732529, 0.11085757613182068, 0.11046724766492844, 0.11096221953630447, 0.1092941090464592, 0.10883273184299469, 0.10898919403553009, 0.10922770947217941, 0.10890104621648788, 0.10893184691667557, 0.10869334638118744, 0.10889702290296555, 0.109514020383358, 0.10929316282272339, 0.10755275934934616, 0.10800914466381073, 0.10849697887897491, 0.10837805271148682, 0.10784648358821869, 0.1070287749171257, 0.1075836792588234, 0.10885045677423477, 0.10645312070846558, 0.10731463134288788, 0.10697795450687408, 0.10739555209875107, 0.10645784437656403, 0.10634801536798477, 0.10643863677978516, 0.10489416122436523, 0.10610223561525345, 0.10541655123233795, 0.10479868203401566, 0.10435803234577179, 0.10532087832689285, 0.10382330417633057, 0.10412779450416565, 0.10363063216209412, 0.10330750048160553, 0.10459987819194794, 0.10342112183570862, 0.10400407761335373, 0.1048964187502861, 0.1039327085018158, 0.10347485542297363, 0.10235666483640671, 0.10310090333223343, 0.10151807963848114, 0.10227391868829727, 0.1022123396396637, 0.10200902074575424, 0.10216937214136124, 0.10223283618688583, 0.1009179949760437, 0.10139473527669907, 0.10250704735517502, 0.1025063693523407, 0.10171479731798172, 0.1010502278804779, 0.10044009238481522, 0.10101338475942612, 0.09985147416591644, 0.10011164844036102, 0.10019095987081528, 0.10007040947675705, 0.09962295740842819, 0.09825077652931213, 0.09867284446954727, 0.0992533341050148, 0.09859063476324081, 0.09899146854877472, 0.09853330999612808, 0.09941726922988892, 0.0982932448387146, 0.09760728478431702, 0.0965084657073021, 0.09699893742799759, 0.09773917496204376, 0.09748164564371109, 0.09762588888406754]</t>
  </si>
  <si>
    <t>Training Loss: [0.19853754341602325, 0.17286500334739685, 0.1651495099067688, 0.15817944705486298, 0.15374040603637695, 0.15166780352592468, 0.1495092213153839, 0.14780078828334808, 0.14606715738773346, 0.14440594613552094, 0.14349760115146637, 0.1422729343175888, 0.14205697178840637, 0.1410180628299713, 0.13945703208446503, 0.138825461268425, 0.13808704912662506, 0.13782547414302826, 0.136753112077713, 0.1367623209953308, 0.1365494281053543, 0.13606534898281097, 0.13527081906795502, 0.1349567323923111, 0.13402344286441803, 0.13419294357299805, 0.1331203728914261, 0.13275004923343658, 0.13259848952293396, 0.13192987442016602, 0.13205929100513458, 0.13083544373512268, 0.13148100674152374, 0.13072821497917175, 0.129625603556633, 0.12967392802238464, 0.13029330968856812, 0.1289207935333252, 0.1293664425611496, 0.12907381355762482, 0.12807972729206085, 0.12878327071666718, 0.12801839411258698, 0.1277470886707306, 0.1269770860671997, 0.12656493484973907, 0.1261364221572876, 0.12579035758972168, 0.12539631128311157, 0.12594738602638245, 0.12525828182697296, 0.12578289210796356, 0.1252477467060089, 0.12458544224500656, 0.1245386004447937, 0.12464156746864319, 0.1242774948477745, 0.12364555150270462, 0.12480251491069794, 0.12443368881940842, 0.12319241464138031, 0.12257539480924606, 0.1229076236486435, 0.12263505905866623, 0.12217480689287186, 0.12215951085090637, 0.1213124468922615, 0.12291756272315979, 0.12249759584665298, 0.12175443023443222, 0.1214122623205185, 0.12126503884792328, 0.1206531897187233, 0.12081179767847061, 0.12098671495914459, 0.1209852322936058, 0.12030375748872757, 0.12089928984642029, 0.12073280662298203, 0.1201348602771759, 0.11909127980470657, 0.11937253922224045, 0.11898119002580643, 0.1191980168223381, 0.11846693605184555, 0.11875591427087784, 0.11797201633453369, 0.1179816797375679, 0.11771859973669052, 0.11791952699422836, 0.11748868227005005, 0.11788477003574371, 0.11745971441268921, 0.11637311428785324, 0.11578284949064255, 0.11578849703073502, 0.11539079993963242, 0.1159730851650238, 0.11592676490545273, 0.11467961221933365, 0.11493212729692459, 0.11493965983390808, 0.11501793563365936, 0.11467301100492477, 0.11349489539861679, 0.1142459362745285, 0.1134764552116394, 0.11377862095832825, 0.11358170956373215, 0.11373316496610641, 0.11363924294710159, 0.11297304183244705, 0.1121588796377182, 0.1122622862458229, 0.11131295561790466, 0.11159668862819672, 0.11198901385068893, 0.11226212233304977, 0.1133909821510315, 0.11088870465755463, 0.11332052201032639, 0.11263077706098557, 0.11139101535081863, 0.11108812689781189, 0.11141551285982132, 0.1110924556851387, 0.11019536107778549, 0.10963267832994461, 0.10922647267580032, 0.10999119281768799, 0.10939095914363861, 0.10959399491548538, 0.10941681265830994, 0.10893166065216064, 0.10965795814990997, 0.10931624472141266, 0.10828695446252823, 0.10802403092384338, 0.1084814965724945, 0.10725031793117523, 0.10885200649499893, 0.10787086188793182, 0.10722700506448746, 0.10751645267009735, 0.10779372602701187, 0.1066632941365242, 0.1065855324268341, 0.10652253031730652, 0.10596559196710587, 0.10701149702072144, 0.10747289657592773, 0.10748691111803055, 0.10688138008117676, 0.1069660410284996, 0.10608851164579391, 0.10617175698280334, 0.10530611872673035, 0.10641247034072876, 0.10621937364339828, 0.10489048063755035, 0.10406655073165894, 0.10504359751939774, 0.10553106665611267, 0.10502874851226807, 0.10404983907938004, 0.10411238670349121, 0.10345052927732468, 0.10408659279346466, 0.10277706384658813, 0.10303109139204025, 0.10325295478105545, 0.10279176384210587, 0.10249865800142288, 0.10347839444875717, 0.10249055922031403, 0.10250114649534225, 0.10257499665021896, 0.10279679298400879, 0.10194303095340729, 0.1019209697842598, 0.1018960252404213, 0.10231821238994598, 0.10227472335100174, 0.1005631536245346, 0.10091777890920639, 0.10088099539279938, 0.10093557834625244, 0.10074928402900696, 0.09986680746078491, 0.10059143602848053, 0.09949807077646255]</t>
  </si>
  <si>
    <t>Training Loss: [0.16927079856395721, 0.10586454719305038, 0.09449802339076996, 0.08777863532304764, 0.08323045819997787, 0.08068882673978806, 0.07860485464334488, 0.07980615645647049, 0.08157345652580261, 0.07241770625114441, 0.07006701827049255, 0.06909314543008804, 0.06834171712398529, 0.06684437394142151, 0.06689969450235367, 0.0658557265996933, 0.06428515166044235, 0.06411962956190109, 0.0637015774846077, 0.06312458962202072, 0.06196228414773941, 0.06186402216553688, 0.060704734176397324, 0.06058869510889053, 0.059849467128515244, 0.059836018830537796, 0.05976724252104759, 0.058368757367134094, 0.057052455842494965, 0.057600367814302444, 0.05699944496154785, 0.05676232650876045, 0.0563410222530365, 0.05576551705598831, 0.054002922028303146, 0.05436869338154793, 0.05348649248480797, 0.05323501303792, 0.05307065322995186, 0.05308808013796806, 0.0524350181221962, 0.05257998779416084, 0.0514506921172142, 0.05102870240807533, 0.05180978402495384, 0.05071602389216423, 0.04973377287387848, 0.05034654587507248, 0.049989908933639526, 0.05004539340734482, 0.0490807481110096, 0.049126774072647095, 0.04857790097594261, 0.04867638275027275, 0.04844876751303673, 0.04788605868816376, 0.04660357907414436, 0.04659795016050339, 0.04685426130890846, 0.046018801629543304, 0.046576227992773056, 0.0459882877767086, 0.04651938006281853, 0.04504547640681267, 0.04475698992609978, 0.045265134423971176, 0.04492874816060066, 0.044077709317207336, 0.043954018503427505, 0.04361419752240181, 0.04344823583960533, 0.04260087013244629, 0.04353756457567215, 0.04284387454390526, 0.04229465499520302, 0.042985208332538605, 0.041813984513282776, 0.04178363457322121, 0.04141592979431152, 0.04187832027673721, 0.04118955135345459, 0.040119607001543045, 0.04076884314417839, 0.04018959030508995, 0.03990893438458443, 0.038977593183517456, 0.03939008340239525, 0.03994721174240112, 0.03988882899284363, 0.03943611681461334, 0.03946457803249359, 0.03903500735759735, 0.03915850445628166, 0.0396353080868721, 0.03846634924411774, 0.038233432918787, 0.03849302977323532, 0.03799638897180557, 0.038681257516145706, 0.03750990703701973, 0.037407003343105316, 0.037488773465156555, 0.03753238171339035, 0.03731139004230499, 0.0374932661652565, 0.036180540919303894, 0.03639085963368416, 0.036035507917404175, 0.03582419082522392, 0.036550093442201614, 0.03581016883254051, 0.03578389436006546, 0.036248140037059784, 0.03596852347254753, 0.03561127185821533, 0.0350615456700325, 0.03527461737394333, 0.03494425117969513, 0.03480206057429314, 0.03515544906258583, 0.03427637368440628, 0.03443342074751854, 0.0337819829583168, 0.0334143191576004, 0.03313218429684639, 0.03301099315285683, 0.03404482826590538, 0.03379525616765022, 0.03362574800848961, 0.03321141377091408]</t>
  </si>
  <si>
    <t>Training Loss: [0.17007341980934143, 0.11808773130178452, 0.10048797726631165, 0.09210652112960815, 0.08737563341856003, 0.0831666961312294, 0.08082308620214462, 0.07782959938049316, 0.07500505447387695, 0.07362231612205505, 0.07171139866113663, 0.07054741680622101, 0.06952286511659622, 0.06878016889095306, 0.06665515899658203, 0.06554985791444778, 0.065625861287117, 0.06439324468374252, 0.06258444488048553, 0.06307169795036316, 0.061483610421419144, 0.060830164700746536, 0.0606735423207283, 0.05927995219826698, 0.05901467055082321, 0.058538418263196945, 0.057711776345968246, 0.05703970789909363, 0.05673837289214134, 0.05595143511891365, 0.05543041601777077, 0.05544489622116089, 0.05454900115728378, 0.055013708770275116, 0.05435515195131302, 0.05291886627674103, 0.0530732125043869, 0.052934207022190094, 0.053052861243486404, 0.05270521715283394, 0.05117006227374077, 0.05098943039774895, 0.04989457502961159, 0.0504484660923481, 0.04953142628073692, 0.050302181392908096, 0.048921458423137665, 0.04843466356396675, 0.04855596646666527, 0.04831422120332718, 0.04824125021696091, 0.04790922626852989, 0.046674322336912155, 0.04699959233403206, 0.04687197506427765, 0.04645301401615143, 0.04617917165160179, 0.04673102870583534, 0.04622884467244148, 0.04533141851425171, 0.044336315244436264, 0.04328789934515953, 0.04442240297794342, 0.04367908090353012, 0.043686166405677795, 0.043401140719652176, 0.04340823367238045, 0.04265962168574333, 0.04329418018460274, 0.04323810338973999, 0.04254961013793945, 0.041994981467723846, 0.041548483073711395, 0.04191242903470993, 0.040620509535074234, 0.04144015908241272, 0.040592797100543976, 0.040705617517232895, 0.040580518543720245, 0.04013412073254585, 0.040900565683841705, 0.04025392606854439, 0.040630195289850235, 0.039066970348358154, 0.03893722966313362, 0.03932294249534607, 0.03904249146580696, 0.038577329367399216, 0.038784924894571304, 0.03837046027183533, 0.038313351571559906, 0.037650857120752335, 0.0373922660946846, 0.03764424845576286, 0.03733479976654053, 0.03663666918873787, 0.03736500069499016, 0.03735893964767456, 0.03749065846204758, 0.036622751504182816, 0.0364905446767807, 0.03610542416572571, 0.03668931871652603, 0.03649212792515755, 0.035941749811172485, 0.03634112328290939, 0.03586306422948837, 0.03525564819574356, 0.035500261932611465, 0.03529684990644455, 0.03506786748766899, 0.03492695465683937, 0.034365084022283554, 0.03423837572336197, 0.03415914997458458, 0.03270014747977257, 0.03390397131443024, 0.0336669459939003, 0.033981841057538986, 0.03325551375746727, 0.034930191934108734, 0.03322001174092293, 0.03243384510278702, 0.03364891558885574, 0.03424880653619766, 0.03316324204206467, 0.03324580565094948, 0.03309009224176407, 0.03205525130033493, 0.03282567113637924, 0.03221774101257324, 0.03306317329406738, 0.032469335943460464, 0.031796932220458984, 0.031467925757169724, 0.03151775896549225, 0.030873635783791542, 0.03145303949713707, 0.03148287162184715, 0.03160778805613518, 0.03126313164830208, 0.030822614207863808, 0.03000878542661667, 0.030977163463830948, 0.030164096504449844, 0.030040789395570755, 0.029936205595731735, 0.030143529176712036, 0.029829571023583412, 0.030337637290358543, 0.03041527234017849, 0.029100526124238968, 0.02908845618367195, 0.029918476939201355, 0.029595978558063507, 0.02978411875665188, 0.029160821810364723, 0.029718667268753052, 0.02950797975063324, 0.02868075668811798, 0.02954034134745598, 0.029132947325706482, 0.028457721695303917, 0.029335172846913338, 0.028529087081551552, 0.028191443532705307, 0.027986761182546616, 0.02734803408384323, 0.028184521943330765, 0.027075912803411484, 0.02807820402085781, 0.02799239754676819, 0.027792761102318764, 0.02819298952817917, 0.028266584500670433, 0.026712916791439056, 0.026719441637396812, 0.027308538556098938, 0.028777150437235832, 0.026925645768642426, 0.027300629764795303, 0.028065476566553116, 0.026168981567025185, 0.02678571455180645, 0.026567023247480392, 0.02677183970808983, 0.02777113951742649, 0.026346391066908836, 0.02640250138938427, 0.027109134942293167, 0.026927407830953598, 0.02612149715423584, 0.026425084099173546, 0.025383595377206802, 0.026187116280198097, 0.025398675352334976, 0.02535310573875904, 0.02568979561328888, 0.024723006412386894, 0.025024157017469406, 0.025939859449863434, 0.02590762823820114, 0.02633737213909626, 0.02445966564118862]</t>
  </si>
  <si>
    <t>Training Loss: [0.19570769369602203, 0.16222278773784637, 0.15628734230995178, 0.14760957658290863, 0.1384555548429489, 0.1280800998210907, 0.11768539249897003, 0.10543298721313477, 0.0979478657245636, 0.09308414161205292, 0.09001585841178894, 0.08683591336011887, 0.08579476177692413, 0.08387207239866257, 0.08210086822509766, 0.08117261528968811, 0.07995319366455078, 0.07803796976804733, 0.0772576704621315, 0.07669936865568161, 0.0753912478685379, 0.0746840387582779, 0.07316980510950089, 0.0729389637708664, 0.07204313576221466, 0.07147392630577087, 0.07106900960206985, 0.0697544738650322, 0.06959398835897446, 0.06895042210817337, 0.06834505498409271, 0.06761864572763443, 0.06709878891706467, 0.06622800976037979, 0.06676427274942398, 0.06566668301820755, 0.0651114210486412, 0.06532217562198639, 0.06416834890842438, 0.06407840549945831, 0.06342000514268875, 0.06318143010139465, 0.06301816552877426, 0.062479693442583084, 0.0623745359480381, 0.061971694231033325, 0.061629995703697205, 0.06102543696761131, 0.06068545579910278, 0.060068242251873016, 0.059945572167634964, 0.05958279222249985, 0.05960317328572273, 0.058904390782117844, 0.05903971195220947, 0.0585109181702137, 0.05858539789915085, 0.05811995267868042, 0.05746309086680412, 0.05763188749551773, 0.05723901093006134, 0.05694567412137985, 0.056756045669317245, 0.05629165843129158, 0.055982861667871475, 0.05640396475791931, 0.055669814348220825, 0.05560068413615227, 0.05523359775543213, 0.054921917617321014, 0.05476425960659981, 0.05422816425561905, 0.05415467172861099, 0.054467108100652695, 0.05423375591635704, 0.053896840661764145, 0.0535615012049675, 0.05346585810184479, 0.053109489381313324, 0.052852608263492584, 0.05285171419382095, 0.05272216349840164, 0.05228266492486, 0.052317794412374496, 0.05181831866502762, 0.05180376395583153, 0.05138597637414932, 0.05159492790699005, 0.05117988586425781, 0.05096623674035072, 0.051026567816734314, 0.05078427866101265, 0.050812214612960815, 0.05048437416553497, 0.050614435225725174, 0.050140298902988434, 0.050263870507478714, 0.04996155574917793, 0.04960921034216881, 0.04976348951458931, 0.04960954561829567, 0.049442555755376816, 0.04930198937654495, 0.04921078681945801, 0.04911480098962784, 0.0487913116812706, 0.04862236604094505, 0.0487515963613987, 0.04856143146753311, 0.048525311052799225, 0.04832207038998604, 0.048126835376024246, 0.04810892045497894, 0.047830305993556976, 0.047809623181819916, 0.047849390655756, 0.04766007512807846, 0.04755057021975517, 0.04725063964724541, 0.04761609435081482, 0.04689279943704605, 0.046856582164764404, 0.04670391604304314, 0.04683710262179375, 0.04649875685572624, 0.046660687774419785, 0.046320147812366486, 0.046043701469898224, 0.046259019523859024, 0.046078938990831375, 0.04607189819216728, 0.04575705900788307, 0.04565925523638725, 0.0455576628446579, 0.04541050270199776, 0.04556705802679062, 0.04520868510007858, 0.04550972580909729, 0.04507327079772949, 0.04499654471874237, 0.04504410922527313, 0.045106951147317886, 0.04455093666911125, 0.044692568480968475, 0.0450051911175251, 0.044395431876182556, 0.04429307207465172, 0.0441313274204731, 0.04404229670763016, 0.043621160089969635, 0.04355999454855919, 0.04402375593781471, 0.04375317692756653, 0.04395784065127373, 0.0436936654150486, 0.04352698475122452, 0.04325391724705696, 0.043860144913196564, 0.04324544966220856, 0.04264194518327713, 0.04274866357445717, 0.04287903383374214, 0.04287860915064812, 0.04275285825133324, 0.042887523770332336, 0.042706213891506195, 0.042381443083286285, 0.04258003085851669, 0.04247081279754639, 0.04245496541261673, 0.042221199721097946, 0.04184117913246155, 0.04206983372569084, 0.0418519526720047, 0.04169725626707077, 0.04180208593606949, 0.041538774967193604]</t>
  </si>
  <si>
    <t>Training Loss: [0.17978431284427643, 0.13131928443908691, 0.11573228985071182, 0.10904815793037415, 0.10501819849014282, 0.10000181943178177, 0.09599252045154572, 0.09411144256591797, 0.09110846370458603, 0.09022118151187897, 0.08821738511323929, 0.08680771291255951, 0.08518761396408081, 0.08212287724018097, 0.08055978268384933, 0.0768447071313858, 0.07503662258386612, 0.07253281027078629, 0.07037637382745743, 0.0687391459941864, 0.06757984310388565, 0.06714558601379395, 0.06524551659822464, 0.06399954110383987, 0.06347490847110748, 0.06193032115697861, 0.06205444037914276, 0.06209515407681465, 0.06056493520736694, 0.06103649362921715, 0.05943731963634491, 0.0590265654027462, 0.05830572918057442, 0.05801210552453995, 0.05748043209314346, 0.05754387378692627, 0.05678835138678551, 0.055647753179073334, 0.055822744965553284, 0.05530466511845589, 0.054297249764204025, 0.05429487302899361, 0.054314497858285904, 0.05364374443888664, 0.05281197652220726, 0.05257894843816757, 0.05257333442568779, 0.05221239849925041, 0.05223718658089638, 0.05132874846458435, 0.051462896168231964, 0.05154138803482056, 0.051166776567697525, 0.05083522945642471, 0.04957097768783569, 0.04907478019595146, 0.04961583763360977, 0.04879157617688179, 0.048748549073934555, 0.04783979058265686, 0.04756837338209152, 0.04819100722670555, 0.04740500450134277, 0.047672078013420105, 0.046917304396629333, 0.04727797955274582, 0.04697636514902115, 0.045871518552303314, 0.0472000353038311, 0.04574789106845856, 0.046093057841062546, 0.0449737049639225, 0.04491414874792099, 0.04477447643876076, 0.04495424032211304, 0.04409173130989075, 0.044905226677656174, 0.043684691190719604, 0.0440027192234993, 0.04386628791689873, 0.04316253215074539, 0.04310879483819008, 0.04342435300350189, 0.04278234392404556, 0.04201560467481613, 0.04282354563474655, 0.041885972023010254, 0.04161703959107399, 0.0416874997317791, 0.04166466370224953, 0.04137991741299629, 0.040398262441158295, 0.04056008160114288, 0.040235161781311035, 0.04126514866948128, 0.04115552827715874, 0.04063517972826958, 0.040046922862529755, 0.0391116738319397, 0.03987026587128639, 0.03892413154244423, 0.039346370846033096, 0.03829241171479225, 0.03911073878407478, 0.03857305273413658, 0.03823413699865341, 0.03907988965511322, 0.03904777020215988, 0.03901020064949989, 0.038028039038181305, 0.038295548409223557, 0.03693557158112526, 0.03789020702242851, 0.03668925166130066, 0.03700888529419899, 0.03764002025127411, 0.03776506707072258, 0.037028614431619644, 0.03606753051280975, 0.03753577917814255]</t>
  </si>
  <si>
    <t>Training Loss: [0.1847921758890152, 0.1275857836008072, 0.11275177448987961, 0.10510624200105667, 0.09637054800987244, 0.09089266508817673, 0.0866716057062149, 0.08397740125656128, 0.08145944774150848, 0.0784362331032753, 0.07608165591955185, 0.07483626902103424, 0.07290573418140411, 0.07165342569351196, 0.07138535380363464, 0.06975875794887543, 0.06875988841056824, 0.0677485242486, 0.06713113933801651, 0.06576567888259888, 0.06552409380674362, 0.06484547257423401, 0.06380686908960342, 0.06307891756296158, 0.06207200884819031, 0.06160179525613785, 0.06112661585211754, 0.06008944660425186, 0.05950304865837097, 0.0591936931014061, 0.05872085317969322, 0.058154162019491196, 0.05792349949479103, 0.056984398514032364, 0.05627870187163353, 0.05697339028120041, 0.05660487711429596, 0.055261824280023575, 0.05611150711774826, 0.05498507246375084, 0.054158855229616165, 0.053625065833330154, 0.05351410061120987, 0.05359465256333351, 0.05197438970208168, 0.05181186646223068, 0.05257013812661171, 0.05165833607316017, 0.05129724740982056, 0.050329722464084625, 0.05053241178393364, 0.05038442835211754, 0.05067554488778114, 0.049559034407138824, 0.04955967888236046, 0.04906212538480759, 0.04827601835131645, 0.04822696000337601, 0.04802384227514267, 0.04734155535697937, 0.047318294644355774, 0.04667239263653755, 0.046712882816791534, 0.04681997373700142, 0.04538339748978615, 0.04558233544230461, 0.04596009850502014, 0.046438172459602356, 0.04469038173556328, 0.044413208961486816, 0.04441605880856514, 0.043607842177152634, 0.04424756020307541, 0.04412468522787094, 0.04349525272846222, 0.04263987019658089, 0.04290769249200821, 0.043801017105579376, 0.042177826166152954, 0.04210712015628815, 0.04181203246116638, 0.041452180594205856, 0.04186398163437843, 0.04081392660737038, 0.0407145693898201, 0.040634069591760635, 0.04030841961503029, 0.04072250798344612, 0.03960869088768959, 0.03960643708705902, 0.03943873569369316, 0.040098920464515686, 0.039064932614564896, 0.03915579989552498, 0.038444891571998596, 0.039027873426675797, 0.0387197844684124, 0.037904735654592514, 0.03744428977370262, 0.0371859073638916, 0.03718544915318489, 0.03680179640650749, 0.03704317286610603, 0.03671488165855408, 0.036515552550554276, 0.035885345190763474, 0.036994561553001404, 0.03605268523097038, 0.03578002378344536, 0.035903479903936386, 0.03601608797907829, 0.03628439083695412, 0.03537919372320175, 0.03526436910033226, 0.03545617312192917, 0.034165408462285995, 0.03457847982645035, 0.03452857956290245, 0.03424496203660965, 0.03457224369049072, 0.033639874309301376, 0.033809222280979156, 0.0343756340444088, 0.03369688242673874, 0.03394749015569687, 0.03358463943004608, 0.03322966769337654, 0.033754561096429825, 0.03260774910449982, 0.0327017717063427, 0.03321994096040726, 0.03314090520143509, 0.031918443739414215, 0.03280940651893616, 0.03273094445466995, 0.032761625945568085, 0.032862260937690735, 0.03182179853320122, 0.03224530443549156, 0.03155621141195297, 0.03238949924707413, 0.030747277662158012, 0.030849676579236984, 0.03194989264011383, 0.030828194692730904, 0.03136388212442398, 0.03036521002650261, 0.03046949952840805, 0.031584177166223526, 0.030410323292016983, 0.031010940670967102, 0.029717907309532166, 0.030921917408704758, 0.029744667932391167, 0.029856843873858452, 0.028968241065740585, 0.02900664508342743, 0.02877681516110897, 0.03015655279159546, 0.03074081987142563, 0.029561150819063187, 0.029263215139508247, 0.029779894277453423, 0.029264243319630623, 0.029584208503365517, 0.028673691675066948, 0.029111800715327263, 0.02919113077223301, 0.02922917529940605, 0.028619179502129555, 0.028263937681913376, 0.028326114639639854, 0.027928967028856277, 0.027563216164708138, 0.028924573212862015, 0.027898704633116722, 0.028108496218919754]</t>
  </si>
  <si>
    <t>Training Loss: [0.19645962119102478, 0.12705381214618683, 0.10821941494941711, 0.09748873859643936, 0.0914580374956131, 0.08634418249130249, 0.08313309401273727, 0.08058061450719833, 0.07854536175727844, 0.0768313854932785, 0.07519659399986267, 0.07334203273057938, 0.0710550844669342, 0.07007235288619995, 0.06779222935438156, 0.0670691430568695, 0.06631644070148468, 0.06471859663724899, 0.06487201899290085, 0.06380634754896164, 0.06228433549404144, 0.06306769698858261, 0.06204121932387352, 0.0604117326438427, 0.060121018439531326, 0.060897715389728546, 0.05955539643764496, 0.058484192937612534, 0.05802800878882408, 0.05786891281604767, 0.05674489215016365, 0.05720340088009834, 0.05563425272703171, 0.055697135627269745, 0.055746354162693024, 0.05443587899208069, 0.05433191731572151, 0.054689131677150726, 0.053757812827825546, 0.05393250659108162, 0.052955228835344315, 0.05315425619482994, 0.05242137238383293, 0.052966777235269547, 0.05161631107330322, 0.05179779231548309, 0.05112657696008682, 0.0521746426820755, 0.05030810832977295, 0.05126287043094635, 0.05093175545334816, 0.05013350397348404, 0.04961438477039337, 0.049696777015924454, 0.04862568527460098, 0.047962818294763565, 0.04826704040169716, 0.047428011894226074, 0.04746570810675621, 0.046817827969789505, 0.04760438948869705, 0.04633454605937004, 0.04539082944393158, 0.0455772764980793, 0.04502439871430397, 0.04462422430515289, 0.04448921978473663, 0.04336928948760033, 0.04375278204679489, 0.043768297880887985, 0.04392872005701065, 0.04317164793610573, 0.04318605735898018, 0.04233529418706894, 0.042401671409606934, 0.042840827256441116, 0.04155202582478523, 0.04141676053404808, 0.04185330867767334, 0.04162917286157608, 0.04230763390660286, 0.040581393986940384, 0.041367996484041214, 0.04060463234782219, 0.040208056569099426, 0.04054275155067444, 0.040729109197854996, 0.04000266268849373, 0.03830583766102791, 0.03874422609806061, 0.038705386221408844, 0.03839968144893646, 0.039560411125421524, 0.03866790235042572, 0.03918902575969696, 0.03827400878071785, 0.038889747112989426, 0.038281362503767014, 0.038257624953985214, 0.03748220205307007, 0.036672648042440414, 0.03727186471223831, 0.0373331755399704, 0.03845040872693062, 0.03710606321692467, 0.03757553920149803, 0.03636673092842102, 0.036402106285095215, 0.03591037169098854, 0.03555900603532791, 0.037519101053476334, 0.036876071244478226, 0.03637153282761574, 0.0364430770277977, 0.03500651195645332, 0.03620835766196251, 0.035399600863456726, 0.03489518165588379, 0.03462053835391998, 0.0349479615688324, 0.03473144397139549, 0.03558347746729851, 0.034668032079935074, 0.0347459651529789, 0.03484814986586571, 0.034711115062236786, 0.03308069705963135, 0.03357916697859764, 0.0334324836730957, 0.033210352063179016]</t>
  </si>
  <si>
    <t>Training Accuracy: [0.8987873196601868, 0.9203285574913025, 0.9242114424705505, 0.9272401332855225, 0.9289785027503967, 0.930483877658844, 0.9318040609359741, 0.9319534301757812, 0.9325209259986877, 0.933291494846344, 0.9340382218360901, 0.9345280528068542, 0.9346893429756165, 0.9352150559425354, 0.9353166222572327, 0.9360573291778564, 0.9362126588821411, 0.9364456534385681, 0.9369295239448547, 0.9371206760406494, 0.9371803998947144, 0.9376344084739685, 0.9374790787696838, 0.9382914900779724, 0.9380884170532227, 0.9387933015823364, 0.9383333325386047, 0.9382736086845398, 0.9387933015823364, 0.9389247298240662, 0.9394384622573853, 0.9394325017929077, 0.9395997524261475, 0.9399282932281494, 0.9401134848594666, 0.9402150511741638, 0.9403225779533386, 0.9410633444786072, 0.9406630992889404, 0.9411648511886597, 0.940973699092865, 0.9409856796264648, 0.942072868347168, 0.9422042965888977, 0.9419056177139282, 0.9420669078826904, 0.9417024850845337, 0.941977322101593, 0.9419713020324707, 0.9425866007804871, 0.9426164627075195, 0.9429152011871338, 0.9429091811180115, 0.9435961842536926, 0.9432795643806458, 0.9436260461807251, 0.9438889026641846, 0.9443488717079163, 0.9440979957580566, 0.9438112378120422, 0.9446057081222534, 0.9447431564331055, 0.9444862604141235, 0.944749116897583, 0.9448865056037903, 0.9449223279953003, 0.9449163675308228, 0.9459677338600159, 0.945286750793457, 0.9459020495414734, 0.9448626041412354, 0.9464098215103149, 0.9463082551956177, 0.9459916353225708, 0.9461768269538879, 0.9467383623123169, 0.9468040466308594, 0.9466188549995422, 0.946714460849762, 0.9465531706809998, 0.9473835229873657, 0.9466069340705872, 0.9471983313560486, 0.9477061033248901, 0.9476583003997803, 0.9478614330291748, 0.9475089311599731, 0.9478793144226074, 0.9480525851249695, 0.9479689598083496, 0.9487276077270508, 0.9486857652664185, 0.947885274887085, 0.9481063485145569, 0.9483094215393066, 0.948924720287323, 0.9486499428749084, 0.9483392834663391, 0.9491397738456726, 0.9488112330436707, 0.9492174386978149, 0.9493488669395447, 0.9495519995689392, 0.9500119686126709, 0.9498805403709412, 0.949755072593689, 0.9496714472770691, 0.9503703713417053, 0.9502807855606079, 0.9506929516792297, 0.9504898190498352, 0.9508363008499146, 0.9504539966583252, 0.9509438276290894, 0.9507108926773071, 0.9507347941398621, 0.9514814615249634, 0.9511947631835938, 0.9512007236480713, 0.951367974281311, 0.9516427516937256, 0.9513500332832336, 0.9514157772064209, 0.9518160223960876, 0.9521864056587219, 0.9518817067146301, 0.9518219828605652, 0.9516905546188354, 0.9526403546333313, 0.9525328278541565, 0.9523177742958069, 0.9525627493858337, 0.9528255462646484, 0.952735960483551, 0.953273594379425, 0.9524253010749817, 0.9525926113128662, 0.9530346393585205, 0.9530824422836304, 0.9527837634086609, 0.9535842537879944, 0.9534707069396973, 0.9531779885292053]</t>
  </si>
  <si>
    <t>Training Accuracy: [0.9051553010940552, 0.9208781123161316, 0.923608124256134, 0.9261529445648193, 0.9272760152816772, 0.9291397929191589, 0.9301194548606873, 0.9309259057044983, 0.9316905736923218, 0.9325268864631653, 0.9330167174339294, 0.9330047965049744, 0.9336857795715332, 0.9341517090797424, 0.9340441823005676, 0.9352807402610779, 0.9352150559425354, 0.935698926448822, 0.9352628588676453, 0.9359378814697266, 0.9366666674613953, 0.9357646107673645, 0.9369534254074097, 0.9371744394302368, 0.9366427659988403, 0.937371551990509, 0.9374074339866638, 0.9367383718490601, 0.9379271268844604, 0.9379450678825378, 0.9386678338050842, 0.9382676482200623, 0.9383333325386047, 0.9389545917510986, 0.9385961890220642, 0.9389486312866211, 0.9389247298240662, 0.9386798143386841, 0.9393966794013977, 0.9391995072364807, 0.9393429160118103, 0.9395639300346375, 0.9393309354782104, 0.9404301047325134, 0.9400059580802917, 0.9402986764907837, 0.940633237361908, 0.9410334825515747, 0.9399820566177368, 0.9395042061805725, 0.9411947727203369, 0.9413500428199768, 0.9412007331848145, 0.9419175386428833, 0.9416965246200562, 0.9424313306808472, 0.9417741894721985, 0.9422938823699951, 0.9419354796409607, 0.9421684741973877, 0.942001223564148, 0.9426822066307068, 0.9430465698242188, 0.9427777528762817, 0.9429928064346313, 0.9433572292327881, 0.9432437419891357, 0.9430465698242188, 0.9431182742118835, 0.9431899785995483, 0.9442951083183289, 0.9436320066452026, 0.943405032157898, 0.9441338181495667, 0.9443607926368713, 0.9445579648017883, 0.9442712068557739, 0.9443727731704712, 0.9448267817497253, 0.9450238943099976, 0.9449999928474426, 0.9451314210891724, 0.9446714520454407, 0.9453942775726318, 0.9456212520599365, 0.9455615282058716, 0.9453046321868896, 0.9454719424247742, 0.9458960294723511, 0.9458124041557312, 0.9463082551956177, 0.9463201761245728, 0.9464038014411926, 0.9467861652374268, 0.9463679790496826, 0.9460991621017456, 0.9465770721435547, 0.9470131397247314, 0.9475926160812378, 0.9472102522850037, 0.9471744298934937, 0.9477180242538452, 0.9471027255058289, 0.9469892382621765, 0.9476224780082703, 0.9472938776016235, 0.9473954439163208, 0.9475029706954956, 0.9477717876434326, 0.9484647512435913, 0.9484886527061462, 0.9481003880500793, 0.9484946131706238, 0.9489844441413879, 0.9486380219459534, 0.9489964246749878, 0.948829174041748, 0.948584258556366, 0.9489545822143555, 0.9487395286560059, 0.9489426612854004, 0.9487096667289734, 0.9491039514541626, 0.9494802951812744, 0.9496356248855591, 0.9494444727897644, 0.949390709400177, 0.9492771625518799, 0.9498386979103088, 0.9495579600334167, 0.9502628445625305, 0.9497132897377014, 0.9500477910041809, 0.9498566389083862, 0.9501194953918457, 0.9504122138023376, 0.950465977191925, 0.9506869912147522, 0.9516128897666931, 0.950866162776947, 0.9512544870376587, 0.9512783885002136, 0.9512604475021362, 0.9512903094291687, 0.9515889883041382, 0.9508363008499146, 0.9509319067001343, 0.9512126445770264, 0.9516308307647705, 0.9517502784729004, 0.9518279433250427, 0.9513739347457886, 0.9522461295127869, 0.9523715376853943, 0.9518638253211975, 0.9519414305686951, 0.9523596167564392, 0.9519414305686951, 0.9518638253211975, 0.9528853297233582, 0.952759861946106, 0.9523835182189941, 0.9524611830711365, 0.9522281885147095, 0.9527180194854736, 0.9531362056732178, 0.9529988169670105, 0.9524432420730591, 0.9526045322418213, 0.9531182646751404, 0.9524253010749817, 0.9526104927062988, 0.9529629349708557, 0.9532018899917603, 0.9527658224105835, 0.9525388479232788, 0.9530585408210754, 0.9530585408210754, 0.9530704617500305, 0.9532496929168701, 0.9534707069396973, 0.9534707069396973, 0.9536678791046143, 0.9539008140563965, 0.9540083408355713, 0.9537276029586792, 0.953870952129364, 0.9540860056877136, 0.9537813663482666, 0.9543488621711731, 0.9542891383171082, 0.9536499381065369, 0.954898476600647, 0.9541158676147461, 0.954432487487793, 0.9544802904129028, 0.9548028707504272, 0.9544563889503479, 0.9539247155189514, 0.954127848148346, 0.9552270174026489, 0.955238938331604, 0.955167293548584, 0.9550179243087769, 0.9542055130004883, 0.9554002285003662, 0.9550955891609192, 0.9554061889648438, 0.9552807807922363, 0.9551075100898743, 0.9550358653068542, 0.9549522399902344, 0.9551314115524292, 0.9554659724235535, 0.9556989073753357, 0.9559080004692078, 0.9553524255752563, 0.9561111330986023, 0.9554300904273987, 0.9558243751525879, 0.9552210569381714, 0.9554778933525085, 0.9556869864463806, 0.9558900594711304, 0.9564456343650818, 0.9563620090484619, 0.9566606879234314, 0.9563321471214294, 0.9557168483734131, 0.9560214877128601, 0.9564396739006042, 0.9565830230712891, 0.9568458795547485, 0.9567622542381287, 0.956373929977417, 0.9566666483879089, 0.9555495977401733, 0.9566128849983215, 0.9566308259963989, 0.9556033611297607, 0.956338107585907, 0.9562305808067322, 0.956571102142334, 0.9564635753631592, 0.9567025303840637, 0.9569474458694458, 0.956839919090271, 0.956911563873291, 0.9576582908630371, 0.9573894739151001, 0.957180380821228, 0.9573596119880676, 0.9575448036193848, 0.9569892287254333, 0.9575328826904297, 0.9575627446174622, 0.9573835134506226, 0.9574671387672424, 0.9581122994422913, 0.9573178291320801, 0.9574193358421326, 0.957706093788147, 0.9580227136611938, 0.9581601023674011, 0.9581780433654785, 0.957915186882019, 0.9581780433654785, 0.9580167531967163, 0.9581959247589111, 0.9582676291465759, 0.9583034515380859, 0.9581720232963562, 0.957670271396637, 0.9581899642944336, 0.9585842490196228, 0.9591636657714844, 0.9590083360671997, 0.9592533111572266, 0.9589545726776123, 0.958184003829956, 0.9589307308197021, 0.9591397643089294, 0.95880526304245, 0.9582377672195435, 0.9588590264320374, 0.9594384431838989, 0.9593608379364014, 0.959342896938324, 0.9597550630569458, 0.9589068293571472, 0.9597311615943909, 0.959014356136322, 0.9595997333526611, 0.9601433873176575]</t>
  </si>
  <si>
    <t>Training Accuracy: [0.9025686979293823, 0.9185484051704407, 0.9231660962104797, 0.9260991811752319, 0.9274014234542847, 0.9293667674064636, 0.9298088550567627, 0.9303584098815918, 0.9326403737068176, 0.9327777624130249, 0.932998776435852, 0.9336678385734558, 0.9342114925384521, 0.9350179433822632, 0.935161292552948, 0.9353882670402527, 0.936469554901123, 0.9364097714424133, 0.9361648559570312, 0.937102735042572, 0.9377419352531433, 0.9377061128616333, 0.9380585551261902, 0.9380286931991577, 0.9380764365196228, 0.938775360584259, 0.9382198452949524, 0.9393190145492554, 0.9392712116241455, 0.9395042061805725, 0.9388590455055237, 0.9399163722991943, 0.9402389526367188, 0.9407467246055603, 0.940364420413971, 0.9406511187553406, 0.9409856796264648, 0.9409199357032776, 0.9413201808929443, 0.9408721327781677, 0.9414635896682739, 0.9415591359138489, 0.94231778383255, 0.9421983361244202, 0.942305862903595, 0.9409856796264648, 0.9408422708511353, 0.9427359700202942, 0.9427001476287842, 0.9427001476287842, 0.9427539110183716, 0.9426583051681519, 0.9433512687683105, 0.9437754154205322, 0.9436081051826477, 0.9431242346763611, 0.9435065984725952, 0.943673849105835, 0.9440023899078369, 0.9443906545639038, 0.9436559081077576, 0.9440262913703918, 0.944516122341156, 0.945358395576477, 0.9439665675163269, 0.9446176886558533, 0.9450477957725525, 0.9448028802871704, 0.9458602070808411, 0.9457108974456787, 0.9458363056182861, 0.9460035562515259, 0.9459797143936157, 0.9461290240287781, 0.9459916353225708, 0.9467861652374268, 0.9460932016372681, 0.9466308355331421, 0.9469773173332214, 0.9465233087539673, 0.9463381171226501, 0.9465472102165222, 0.9467443227767944, 0.9468219876289368, 0.9469175338745117, 0.9466188549995422, 0.9471325874328613, 0.9469892382621765, 0.9466128945350647, 0.9473835229873657, 0.9471266269683838, 0.9473715424537659, 0.9479928612709045, 0.9478733539581299, 0.9484408497810364, 0.9485902190208435, 0.948315441608429, 0.9485663175582886, 0.9486618638038635, 0.9490203261375427, 0.9491397738456726, 0.9496415853500366, 0.9491994976997375, 0.9493190050125122, 0.9493668079376221, 0.949928343296051, 0.9497431516647339, 0.9502807855606079, 0.9495878219604492, 0.9497072696685791, 0.9502628445625305, 0.9503225684165955, 0.9504241347312927, 0.9507048726081848, 0.9505555629730225, 0.9503822922706604, 0.9505555629730225, 0.9509199261665344, 0.9506511092185974, 0.9512365460395813, 0.9507765769958496, 0.951123058795929, 0.9512246251106262, 0.9515292644500732, 0.9517263770103455, 0.9521087408065796, 0.9519115686416626, 0.9517980813980103, 0.9513440728187561, 0.9518996477127075, 0.9522640109062195, 0.9525209069252014, 0.9524611830711365, 0.9524372816085815, 0.9516308307647705, 0.9512425065040588, 0.9521684646606445, 0.9523715376853943, 0.9526941180229187, 0.9524970054626465, 0.9531123042106628, 0.9528554081916809, 0.9530466198921204, 0.9532317519187927, 0.953530490398407, 0.9529271125793457, 0.9533751606941223, 0.953835129737854, 0.9540442228317261, 0.9531182646751404, 0.9539187550544739, 0.9539844393730164, 0.9540561437606812]</t>
  </si>
  <si>
    <t>Training Accuracy: [0.9014217257499695, 0.9184826612472534, 0.92310631275177, 0.9258721470832825, 0.9277538657188416, 0.9294265508651733, 0.9303464889526367, 0.9312843680381775, 0.9312007427215576, 0.931851863861084, 0.933022677898407, 0.9338650107383728, 0.9333213567733765, 0.9341995120048523, 0.9341158866882324, 0.9349223375320435, 0.9350000023841858, 0.9352867603302002, 0.9352807402610779, 0.9358661770820618, 0.9365172982215881, 0.9368936419487, 0.9361648559570312, 0.9371325969696045, 0.9370191097259521, 0.9370071887969971, 0.9378016591072083, 0.9378494620323181, 0.9368279576301575, 0.9374790787696838, 0.9367443323135376, 0.9378613829612732, 0.9384886622428894, 0.9380167126655579, 0.9386320114135742, 0.9387515187263489, 0.9388769268989563, 0.938727617263794, 0.9393727779388428, 0.9397431015968323, 0.9392473101615906, 0.9399043917655945, 0.9395400285720825, 0.9397670030593872, 0.9403285384178162, 0.9399223327636719, 0.9394922256469727, 0.9400238990783691, 0.9399163722991943, 0.9403344988822937, 0.9408422708511353, 0.9407945275306702, 0.9408900737762451, 0.9411648511886597, 0.941170871257782, 0.9419115781784058, 0.9414336681365967, 0.9417204260826111, 0.9422222375869751, 0.9418757557868958, 0.9414217472076416, 0.9416965246200562, 0.942514955997467, 0.9411887526512146, 0.9420848488807678, 0.9429450631141663, 0.9426164627075195, 0.9428852796554565, 0.9423894882202148, 0.9428016543388367, 0.9432317614555359, 0.9435244798660278, 0.9431362152099609, 0.9433214068412781, 0.943405032157898, 0.9434946179389954, 0.943405032157898, 0.9437693953514099, 0.9437037110328674, 0.9440860152244568, 0.9444324970245361, 0.9441338181495667, 0.9439486265182495, 0.9449044466018677, 0.944187581539154, 0.9446057081222534, 0.9444563984870911, 0.9446356296539307, 0.9448685646057129, 0.9448148012161255, 0.9451015591621399, 0.9447311758995056, 0.9448865056037903, 0.9449760913848877, 0.9454241394996643, 0.9444922208786011, 0.9457048773765564, 0.9457347393035889, 0.945919930934906, 0.9460035562515259, 0.9455973505973816, 0.9462007284164429, 0.9458721876144409, 0.9461708664894104, 0.9460991621017456, 0.9465650916099548, 0.9465352296829224, 0.946726381778717, 0.9463560581207275, 0.9460932016372681, 0.9446654915809631, 0.9450238943099976, 0.9458004832267761, 0.9466666579246521, 0.9465591311454773, 0.9472938776016235, 0.9467324018478394, 0.9477658271789551, 0.9472341537475586, 0.9476284384727478, 0.9473715424537659, 0.9477658271789551, 0.9471266269683838, 0.948022723197937, 0.9480466246604919, 0.9481601119041443, 0.9482079148292542, 0.9482556581497192, 0.9482079148292542, 0.9482018947601318, 0.9484886527061462, 0.9477478861808777, 0.9479629397392273, 0.9488829374313354, 0.9487574696540833, 0.9488052725791931, 0.9485782384872437, 0.9493249654769897, 0.9494802951812744, 0.9491816163063049, 0.9490382075309753, 0.9487993121147156, 0.9494444727897644, 0.9499402642250061, 0.9492114782333374, 0.9496057629585266, 0.949731171131134, 0.9500119686126709, 0.9499462246894836, 0.9506093263626099, 0.9499402642250061, 0.9500537514686584, 0.951063334941864, 0.9503464698791504, 0.9501194953918457, 0.9500896334648132, 0.950465977191925, 0.9506033658981323, 0.9503763318061829, 0.9502509236335754, 0.9506810307502747, 0.9513799548149109, 0.9512485265731812, 0.9511708617210388, 0.9508542418479919, 0.9508243799209595, 0.950292706489563, 0.9512544870376587, 0.951123058795929, 0.9515830278396606, 0.9511708617210388, 0.9509080052375793, 0.9517861604690552, 0.951869785785675, 0.952162504196167, 0.9510692954063416, 0.9518160223960876, 0.9518160223960876, 0.9517084956169128, 0.951600968837738, 0.9522401690483093, 0.9521386027336121, 0.9515412449836731, 0.9517861604690552, 0.9528255462646484, 0.952724039554596, 0.9525746703147888, 0.9525627493858337, 0.9521744251251221, 0.9524850845336914, 0.9522700309753418, 0.9524253010749817, 0.9525687098503113, 0.9529091715812683, 0.9525507688522339, 0.9529988169670105, 0.9528136253356934, 0.9531003832817078, 0.9534109830856323, 0.9527300000190735, 0.9527478814125061, 0.9532855153083801, 0.9532676339149475, 0.9531362056732178, 0.9534348845481873, 0.9539844393730164, 0.9536558985710144, 0.9533094167709351]</t>
  </si>
  <si>
    <t>Training Accuracy: [0.900280773639679, 0.9183273315429688, 0.9237395524978638, 0.9271863698959351, 0.9288709759712219, 0.9301493167877197, 0.931887686252594, 0.9319354891777039, 0.9326164722442627, 0.9332616329193115, 0.9336439371109009, 0.9340382218360901, 0.9347371459007263, 0.9350956082344055, 0.9347730278968811, 0.9348506331443787, 0.9356929659843445, 0.9358124136924744, 0.9356750249862671, 0.9366188645362854, 0.9366069436073303, 0.9371206760406494, 0.9371445775032043, 0.9371983408927917, 0.9379271268844604, 0.9383572340011597, 0.9384229183197021, 0.9386559128761292, 0.9388530254364014, 0.9389486312866211, 0.9392891526222229, 0.9394803047180176, 0.938763439655304, 0.9396953582763672, 0.939802885055542, 0.9398446679115295, 0.939605712890625, 0.9401194453239441, 0.9405077695846558, 0.9410394430160522, 0.9405137300491333, 0.9415949583053589, 0.9410513639450073, 0.9414635896682739, 0.9420848488807678, 0.9415292739868164, 0.9423476457595825, 0.94231778383255, 0.941708505153656, 0.9425268769264221, 0.9422401189804077, 0.9424850940704346, 0.9432377815246582, 0.943440854549408, 0.9428912997245789, 0.942843496799469, 0.9431003332138062, 0.9431779980659485, 0.9438769221305847, 0.9432018995285034, 0.944151759147644, 0.9438530206680298, 0.9444085955619812, 0.9446057081222534, 0.9444683194160461, 0.9446774125099182, 0.9451075196266174, 0.9453345537185669, 0.9451373815536499, 0.9452329874038696, 0.9453405141830444, 0.9456750154495239, 0.9451732635498047, 0.945322573184967, 0.9462485313415527, 0.9464635848999023, 0.9462783932685852, 0.9472341537475586, 0.9467562437057495, 0.9465949535369873, 0.946678638458252, 0.9471625089645386, 0.9463978409767151, 0.946690559387207, 0.9478614330291748, 0.9477717876434326, 0.9474432468414307, 0.9476343989372253, 0.947849452495575, 0.9470310807228088, 0.9476343989372253, 0.9479450583457947, 0.9479390978813171, 0.948094367980957, 0.9482496976852417, 0.9488769173622131, 0.9484707117080688, 0.9489725232124329, 0.9484767317771912, 0.9488829374313354, 0.9492174386978149, 0.9488649964332581, 0.9485722780227661, 0.9491756558418274, 0.949522078037262, 0.9492233991622925, 0.9493130445480347, 0.9496774077415466, 0.9498924612998962, 0.9499462246894836, 0.9501792192459106, 0.9498745799064636, 0.9505794644355774, 0.9502090811729431, 0.9500119686126709, 0.9500418305397034, 0.9501433968544006, 0.9501194953918457, 0.9510214924812317, 0.9506391882896423, 0.9509259462356567, 0.9507108926773071, 0.9503703713417053, 0.9511409997940063, 0.9510812163352966, 0.9506690502166748, 0.9515472054481506, 0.9511290192604065, 0.9511290192604065, 0.9511708617210388, 0.9514098167419434, 0.9512365460395813, 0.951099157333374, 0.9523416757583618, 0.9518279433250427, 0.9517980813980103, 0.9519713521003723, 0.9522580504417419, 0.9519354701042175, 0.9528793096542358, 0.9525627493858337, 0.9527778029441833, 0.9529450535774231, 0.9521744251251221, 0.9528315663337708, 0.9520609378814697, 0.9519713521003723, 0.952700138092041, 0.9528733491897583, 0.9537693858146667, 0.9530943632125854, 0.9537395238876343, 0.9534826874732971, 0.9534229636192322, 0.9534528255462646, 0.9533990621566772, 0.9533990621566772, 0.953930675983429, 0.9537335634231567, 0.9533870816230774, 0.9538171887397766, 0.9535782337188721, 0.9540561437606812, 0.9542771577835083, 0.9539725184440613, 0.954103946685791, 0.9540442228317261, 0.9540860056877136, 0.9543907046318054, 0.9545340538024902, 0.9550657272338867, 0.954934298992157, 0.9549641609191895, 0.954910397529602, 0.9546535015106201, 0.9548386931419373, 0.9549283385276794, 0.9552927017211914, 0.955567479133606, 0.956242561340332, 0.9558124542236328, 0.9554061889648438, 0.9556929469108582, 0.9560812711715698]</t>
  </si>
  <si>
    <t>Training Accuracy: [0.8976821899414062, 0.9144205451011658, 0.920125424861908, 0.9244802594184875, 0.9273118376731873, 0.9283990263938904, 0.9293369054794312, 0.9308243989944458, 0.9314994215965271, 0.9327061176300049, 0.9332019090652466, 0.9337156414985657, 0.9339426755905151, 0.934563934803009, 0.9355196952819824, 0.9354779124259949, 0.9352269768714905, 0.9358721375465393, 0.936224639415741, 0.9367921352386475, 0.9367323517799377, 0.9361648559570312, 0.9375448226928711, 0.9372580647468567, 0.9376881718635559, 0.937664270401001, 0.9381362199783325, 0.9384289383888245, 0.9385005831718445, 0.9390501976013184, 0.9391696453094482, 0.939265251159668, 0.9391995072364807, 0.9397192597389221, 0.9402449131011963, 0.9400298595428467, 0.9396475553512573, 0.9403225779533386, 0.9405913949012756, 0.9408363103866577, 0.9406929612159729, 0.9400358200073242, 0.9408183693885803, 0.9411410093307495, 0.9416009783744812, 0.9416009783744812, 0.9413739442825317, 0.9414217472076416, 0.9421744346618652, 0.9421744346618652, 0.9423655867576599, 0.9422999024391174, 0.9421564936637878, 0.9425806403160095, 0.9427300095558167, 0.9430107474327087, 0.9426822066307068, 0.9428614377975464, 0.9424193501472473, 0.9426284432411194, 0.9431601166725159, 0.9436917304992676, 0.9431540966033936, 0.9435304403305054, 0.9433631896972656, 0.9433691501617432, 0.9438889026641846, 0.9434348940849304, 0.9432795643806458, 0.9436379671096802, 0.9439067840576172, 0.9445937871932983, 0.9441696405410767, 0.9443488717079163, 0.9441158771514893, 0.9444862604141235, 0.9445878267288208, 0.9442055225372314, 0.9444324970245361, 0.9448267817497253, 0.9451314210891724, 0.9450059533119202, 0.9451792240142822, 0.9450657367706299, 0.9452747702598572, 0.9454002380371094, 0.9460394382476807, 0.9454420804977417, 0.945579469203949, 0.9458960294723511, 0.9458721876144409, 0.9459259510040283, 0.9460095763206482, 0.9463679790496826, 0.9468697905540466, 0.946995198726654, 0.947520911693573, 0.9469115734100342, 0.946959376335144, 0.9469414353370667, 0.9473237991333008, 0.9472998976707458, 0.9470788240432739, 0.9474372863769531, 0.9479390978813171, 0.9474671483039856, 0.9482317566871643, 0.9485244750976562, 0.9478614330291748, 0.9475626945495605, 0.9478315114974976, 0.9483692049980164, 0.948655903339386, 0.9491517543792725, 0.9490561485290527, 0.9491039514541626, 0.9487993121147156, 0.9486798048019409, 0.948291540145874, 0.9490919709205627, 0.94778972864151, 0.9487754106521606, 0.9493070244789124, 0.9490860104560852, 0.9492174386978149, 0.9493488669395447, 0.9495639204978943, 0.9499821066856384, 0.9500537514686584, 0.950197160243988, 0.9504539966583252, 0.9499462246894836, 0.9502031207084656, 0.9502449035644531, 0.950256884098053, 0.9500955939292908, 0.9512186646461487, 0.9506630897521973, 0.9501254558563232, 0.9513261914253235, 0.9506571292877197, 0.950794517993927, 0.951403796672821, 0.951063334941864, 0.9509736895561218, 0.9513799548149109, 0.9514098167419434, 0.9515412449836731, 0.9515950083732605, 0.9517502784729004, 0.9513500332832336, 0.9511768221855164, 0.9514695405960083, 0.9513440728187561, 0.9517980813980103, 0.952431321144104, 0.9523416757583618, 0.9516547322273254, 0.95192950963974, 0.9524850845336914, 0.9526523351669312, 0.9524790644645691, 0.9526642560958862, 0.9521505236625671, 0.9526702761650085, 0.953064501285553, 0.9535483717918396, 0.9526224732398987, 0.95333331823349, 0.9533930420875549, 0.9530704617500305, 0.9532795548439026, 0.9535603523254395, 0.9533094167709351, 0.9538410902023315, 0.9539904594421387, 0.9539366960525513, 0.9535483717918396, 0.9539904594421387, 0.9541158676147461, 0.9540023803710938, 0.9540262818336487, 0.9537037014961243, 0.9544384479522705, 0.9545818567276001, 0.954641580581665, 0.9537813663482666, 0.9546236395835876, 0.9548208117485046, 0.954127848148346, 0.9553763270378113]</t>
  </si>
  <si>
    <t>Training Accuracy: [0.9240979552268982, 0.9559677243232727, 0.9615591168403625, 0.9641457796096802, 0.9668936729431152, 0.9679509997367859, 0.96836918592453, 0.9687036871910095, 0.9666248559951782, 0.97114098072052, 0.9720848202705383, 0.9721027612686157, 0.9719952344894409, 0.9731600880622864, 0.9729151725769043, 0.9736559391021729, 0.9746415615081787, 0.9739904403686523, 0.9745399951934814, 0.9748446941375732, 0.9751791954040527, 0.9751075506210327, 0.9755017757415771, 0.9755914211273193, 0.9761170744895935, 0.9759140014648438, 0.9759079813957214, 0.9766726493835449, 0.976881742477417, 0.97661292552948, 0.9771684408187866, 0.9770489931106567, 0.9772759675979614, 0.9774014353752136, 0.9783393144607544, 0.9781361818313599, 0.9781839847564697, 0.9781780242919922, 0.9785304665565491, 0.9783333539962769, 0.9788112044334412, 0.9787395596504211, 0.979396641254425, 0.9795699119567871, 0.979629635810852, 0.9794504046440125, 0.9799880385398865, 0.9796714186668396, 0.9800000190734863, 0.9799820780754089, 0.9804360866546631, 0.980191171169281, 0.9806869626045227, 0.9806092977523804, 0.9807586669921875, 0.9807049036026001, 0.9812006950378418, 0.9812126755714417, 0.9812544584274292, 0.9815471768379211, 0.9816427826881409, 0.9818936586380005, 0.9818219542503357, 0.9819952249526978, 0.9823058247566223, 0.9824312925338745, 0.9823834896087646, 0.9826045632362366, 0.9826164841651917, 0.9829570055007935, 0.9828255772590637, 0.9833393096923828, 0.9830585718154907, 0.9829689264297485, 0.9830824136734009, 0.9831123352050781, 0.9836678504943848, 0.9833871126174927, 0.983536422252655, 0.9836618900299072, 0.984002411365509, 0.984271228313446, 0.9838829040527344, 0.9842592477798462, 0.984330952167511, 0.9843488931655884, 0.9846236705780029, 0.9841278195381165, 0.9847072958946228, 0.9844802618026733, 0.9846116900444031, 0.9848446846008301, 0.9846714735031128, 0.9844802618026733, 0.9847013354301453, 0.9847790002822876, 0.9849880337715149, 0.984868586063385, 0.9847311973571777, 0.9852568507194519, 0.9854181408882141, 0.9850716590881348, 0.985430121421814, 0.9855973720550537, 0.9852807521820068, 0.9858841300010681, 0.9859139919281006, 0.9859438538551331, 0.9860872030258179, 0.9854838848114014, 0.9857527017593384, 0.9859617948532104, 0.9855675101280212, 0.9859259128570557, 0.9861051440238953, 0.9862006902694702, 0.9863261580467224, 0.9865890145301819, 0.9865471720695496, 0.9860155582427979, 0.9865113496780396, 0.986541211605072, 0.9865531921386719, 0.986810028553009, 0.9869713187217712, 0.9870728850364685, 0.9869354963302612, 0.9871206879615784, 0.9868578314781189, 0.9870728850364685]</t>
  </si>
  <si>
    <t>Training Accuracy: [0.920627236366272, 0.9495937824249268, 0.9589784741401672, 0.9628016948699951, 0.964253306388855, 0.9665531516075134, 0.967831552028656, 0.968930721282959, 0.9699402451515198, 0.9704539775848389, 0.9713858962059021, 0.971409797668457, 0.9718757271766663, 0.972335696220398, 0.9734528064727783, 0.9740023612976074, 0.9737097024917603, 0.9743070602416992, 0.9749940037727356, 0.9750776290893555, 0.9754778742790222, 0.9760573506355286, 0.975878119468689, 0.9762544631958008, 0.9768040776252747, 0.9769892692565918, 0.9772640466690063, 0.9772282242774963, 0.9773178100585938, 0.9779092073440552, 0.97801673412323, 0.9780645370483398, 0.9781541228294373, 0.9781242609024048, 0.9786977171897888, 0.9790800213813782, 0.9789605736732483, 0.9790740609169006, 0.9790800213813782, 0.9791337847709656, 0.9797610640525818, 0.9798446893692017, 0.9806511402130127, 0.9797670245170593, 0.9803942441940308, 0.9803643822669983, 0.9807228446006775, 0.9809199571609497, 0.9811947345733643, 0.9809259176254272, 0.9810095429420471, 0.9812186360359192, 0.9816726446151733, 0.981559157371521, 0.9812963008880615, 0.981630802154541, 0.9817383289337158, 0.9815830588340759, 0.981887698173523, 0.9821087121963501, 0.9827658534049988, 0.9828793406486511, 0.9828255772590637, 0.9828016757965088, 0.9828016757965088, 0.982962965965271, 0.9830824136734009, 0.9832019209861755, 0.9830704927444458, 0.9831063151359558, 0.9832497239112854, 0.9834349155426025, 0.9837873578071594, 0.9834946393966675, 0.9839486479759216, 0.983829140663147, 0.9844862818717957, 0.9842592477798462, 0.9841756224632263, 0.9845340251922607, 0.9842771887779236, 0.984062135219574, 0.9840561747550964, 0.9846296310424805, 0.9846594929695129, 0.9846893548965454, 0.9847013354301453, 0.9851075410842896, 0.9848028421401978, 0.9850656986236572, 0.9853285551071167, 0.9854838848114014, 0.9853584170341492, 0.985465943813324, 0.9852568507194519, 0.9858781099319458, 0.9855436086654663, 0.9854838848114014, 0.9856570959091187, 0.9861589074134827, 0.9854480028152466, 0.9859976172447205, 0.9859617948532104, 0.9859259128570557, 0.9859199523925781, 0.9858960509300232, 0.9860872030258179, 0.9863022565841675, 0.9862186312675476, 0.9862604737281799, 0.9862664341926575, 0.9864277243614197, 0.986833930015564, 0.9866965413093567, 0.9869295358657837, 0.9873954653739929, 0.9868817329406738, 0.9868996143341064, 0.986869752407074, 0.9871923327445984, 0.9870011806488037, 0.987604558467865, 0.9874312877655029, 0.987138569355011, 0.9868518710136414, 0.9872282147407532, 0.9873834848403931, 0.9873656034469604, 0.9876105189323425, 0.9876881837844849, 0.9877001047134399, 0.9873596429824829, 0.987604558467865, 0.9877060651779175, 0.9877777695655823, 0.9880525469779968, 0.9882974624633789, 0.9880167245864868, 0.988213837146759, 0.987968921661377, 0.9878016710281372, 0.9884587526321411, 0.9884527921676636, 0.9880884289741516, 0.9883751273155212, 0.9885662794113159, 0.9887514710426331, 0.9882795810699463, 0.9887096881866455, 0.9885842204093933, 0.9884886741638184, 0.9887933135032654, 0.9890919923782349, 0.9884946346282959, 0.9887216091156006, 0.9890382289886475, 0.9889068007469177, 0.9888172149658203, 0.9888470768928528, 0.9888470768928528, 0.9888888597488403, 0.9889366626739502, 0.9892473220825195, 0.9887694120407104, 0.9894026517868042, 0.9892532825469971, 0.9894742965698242, 0.9894742965698242, 0.9896714687347412, 0.9894564151763916, 0.9894802570343018, 0.9891576766967773, 0.9896416068077087, 0.9895400404930115, 0.9893369078636169, 0.9900179505348206, 0.9897968769073486, 0.9899223446846008, 0.989510178565979, 0.9899761080741882, 0.9897909164428711, 0.9894683361053467, 0.990083634853363, 0.9895758628845215, 0.9900895953178406, 0.9899641871452332, 0.9894325137138367, 0.9901612997055054, 0.9900000095367432, 0.9897729754447937, 0.9899283051490784, 0.9902269840240479, 0.9901911616325378, 0.9905376434326172, 0.9901612997055054, 0.9904599785804749, 0.9902210235595703, 0.9901493191719055, 0.9907765984535217, 0.9905077815055847, 0.990376353263855, 0.9902508854866028, 0.9900955557823181, 0.9909378886222839]</t>
  </si>
  <si>
    <t>Training Accuracy: [0.9157944917678833, 0.9293249845504761, 0.9330107569694519, 0.9364635348320007, 0.9405913949012756, 0.9441278576850891, 0.9504838585853577, 0.9572759866714478, 0.9609737396240234, 0.9635245203971863, 0.9645280838012695, 0.9655555486679077, 0.9661827683448792, 0.9666606783866882, 0.9674850702285767, 0.9683990478515625, 0.9681481719017029, 0.9691935777664185, 0.9699103832244873, 0.9697132706642151, 0.9703643918037415, 0.9706869721412659, 0.9709557890892029, 0.9710215330123901, 0.9713858962059021, 0.9719892740249634, 0.9713022708892822, 0.9726164937019348, 0.9726702570915222, 0.9726881980895996, 0.972801685333252, 0.9737275838851929, 0.9732915163040161, 0.9741398096084595, 0.9736858010292053, 0.97394859790802, 0.9742473363876343, 0.9743608236312866, 0.9748745560646057, 0.9747251868247986, 0.9750896096229553, 0.9752867221832275, 0.9751075506210327, 0.9756571054458618, 0.9752987027168274, 0.9754958152770996, 0.9759199619293213, 0.976344108581543, 0.9762186408042908, 0.9767503142356873, 0.9763918519020081, 0.9767622351646423, 0.9767204523086548, 0.9771206974983215, 0.9770907759666443, 0.9771983027458191, 0.9770071506500244, 0.9776821732521057, 0.977514922618866, 0.9777180552482605, 0.9778136014938354, 0.9777538776397705, 0.9777001142501831, 0.9780704975128174, 0.9780943989753723, 0.9781541228294373, 0.9780943989753723, 0.9781780242919922, 0.9781600832939148, 0.9786798357963562, 0.9786379933357239, 0.9788888692855835, 0.9790979623794556, 0.9786977171897888, 0.9788351058959961, 0.9790501594543457, 0.9789844751358032, 0.9794145822525024, 0.9792891144752502, 0.9795579314231873, 0.9792950749397278, 0.9795818328857422, 0.9797789454460144, 0.979360818862915, 0.9798805117607117, 0.9799283146858215, 0.9800776839256287, 0.9801732301712036, 0.9800239205360413, 0.980017900466919, 0.9800597429275513, 0.9800537824630737, 0.9803165793418884, 0.9808303713798523, 0.9801135063171387, 0.9804181456565857, 0.9802150726318359, 0.9808363318443298, 0.9807586669921875, 0.980495810508728, 0.9808303713798523, 0.9808661937713623, 0.9809498190879822, 0.9805436134338379, 0.9808542132377625, 0.9809796810150146, 0.9811170697212219, 0.9811170697212219, 0.9814217686653137, 0.9811828136444092, 0.9814575910568237, 0.9816129207611084, 0.9814755320549011, 0.9813918471336365, 0.9816726446151733, 0.9816248416900635, 0.9814097881317139, 0.9816368222236633, 0.9818817377090454, 0.9813321232795715, 0.9821385741233826, 0.9817264080047607, 0.9819056391716003, 0.981863796710968, 0.9823058247566223, 0.9819772839546204, 0.9822520613670349, 0.9823178052902222, 0.9820489883422852, 0.9820370078086853, 0.9821266531944275, 0.9824671149253845, 0.9822939038276672, 0.9823237657546997, 0.9824432730674744, 0.9821982979774475, 0.9825627207756042, 0.982425332069397, 0.9824193716049194, 0.9829868674278259, 0.9825328588485718, 0.9825507998466492, 0.9827837347984314, 0.982927143573761, 0.9829928278923035, 0.9828972816467285, 0.9831481575965881, 0.9830346703529358, 0.9832437038421631, 0.9832855463027954, 0.9834408760070801, 0.9830346703529358, 0.9833572506904602, 0.9831123352050781, 0.9832078814506531, 0.9834229350090027, 0.9833632111549377, 0.9829689264297485, 0.9831302165985107, 0.9835543632507324, 0.9834049940109253, 0.98356032371521, 0.9835782647132874, 0.9833333492279053, 0.9834946393966675, 0.9838709831237793, 0.9837395548820496, 0.9836917519569397, 0.9835962057113647, 0.9837873578071594, 0.9836738109588623, 0.9839008450508118, 0.9840083718299866, 0.9840143322944641, 0.9837634563446045, 0.9839665293693542, 0.9841099381446838]</t>
  </si>
  <si>
    <t>Training Accuracy: [0.9205137491226196, 0.9448865056037903, 0.9523655772209167, 0.9554241299629211, 0.9570190906524658, 0.9594205617904663, 0.960382342338562, 0.960991621017456, 0.9622341990470886, 0.9623715877532959, 0.9633273482322693, 0.9637753963470459, 0.9649103879928589, 0.966559112071991, 0.9673835039138794, 0.9689844846725464, 0.9694563746452332, 0.9708840847015381, 0.9720489978790283, 0.9727001190185547, 0.9730525612831116, 0.9736559391021729, 0.9742353558540344, 0.9748446941375732, 0.9747729897499084, 0.9755256772041321, 0.9759020209312439, 0.9756451845169067, 0.9764217734336853, 0.9760931730270386, 0.9765412211418152, 0.9765053987503052, 0.9770967960357666, 0.9774312973022461, 0.9772282242774963, 0.9776642918586731, 0.9783572554588318, 0.9784229397773743, 0.978225827217102, 0.9786857962608337, 0.9787156581878662, 0.9788052439689636, 0.9790441989898682, 0.9794504046440125, 0.9798148274421692, 0.9794265031814575, 0.979725182056427, 0.9799103736877441, 0.9799103736877441, 0.9802449345588684, 0.9801732301712036, 0.9799163937568665, 0.980286717414856, 0.9803823232650757, 0.980728805065155, 0.9810513854026794, 0.9808542132377625, 0.9810752868652344, 0.9815471768379211, 0.9816427826881409, 0.9815232753753662, 0.9816905856132507, 0.9817562699317932, 0.9818578362464905, 0.9820191264152527, 0.9819414615631104, 0.9821624755859375, 0.982461154460907, 0.9819594025611877, 0.9825925827026367, 0.9822879433631897, 0.9828255772590637, 0.9825686812400818, 0.9830286502838135, 0.9828853011131287, 0.9832855463027954, 0.982670247554779, 0.9832616448402405, 0.9829809069633484, 0.9833094477653503, 0.9836260676383972, 0.9833871126174927, 0.9832736253738403, 0.9837634563446045, 0.9838769435882568, 0.983464777469635, 0.9840501546859741, 0.9841158986091614, 0.9838650226593018, 0.9845938086509705, 0.984307050704956, 0.9847550988197327, 0.9846236705780029, 0.984695315361023, 0.9841935634613037, 0.9844026565551758, 0.984599769115448, 0.9847431182861328, 0.9852867126464844, 0.9850178956985474, 0.9854599833488464, 0.9850896000862122, 0.9855615496635437, 0.9851852059364319, 0.9856511354446411, 0.9855973720550537, 0.985370397567749, 0.9852986931800842, 0.9851075410842896, 0.9852449297904968, 0.985430121421814, 0.9861529469490051, 0.9856033325195312, 0.9861350059509277, 0.9861111044883728, 0.9860334396362305, 0.9855555295944214, 0.9861409664154053, 0.9864755272865295, 0.9859617948532104]</t>
  </si>
  <si>
    <t>Training Accuracy: [0.9178135991096497, 0.9465531706809998, 0.9531123042106628, 0.9557228088378906, 0.9596296548843384, 0.962347686290741, 0.9646057486534119, 0.9663978219032288, 0.9672401547431946, 0.9685782790184021, 0.9696356058120728, 0.9699940085411072, 0.9710812568664551, 0.9719772934913635, 0.9715890288352966, 0.9720489978790283, 0.9722939133644104, 0.9733273386955261, 0.9733930826187134, 0.9738351106643677, 0.9742891192436218, 0.9743010997772217, 0.9745460152626038, 0.9746176600456238, 0.9752269983291626, 0.9756212830543518, 0.9756511449813843, 0.9762485027313232, 0.9763739705085754, 0.9764993786811829, 0.9765471816062927, 0.9770728945732117, 0.9767025113105774, 0.9771565198898315, 0.9777777791023254, 0.9773178100585938, 0.9774133563041687, 0.9779211282730103, 0.9780704975128174, 0.9781780242919922, 0.9784468412399292, 0.9787275791168213, 0.9785662889480591, 0.9786678552627563, 0.9793727397918701, 0.9793309569358826, 0.9792712330818176, 0.9794026017189026, 0.979993999004364, 0.9804719090461731, 0.9798984527587891, 0.9802389740943909, 0.9803046584129333, 0.9805675148963928, 0.9803823232650757, 0.9805495738983154, 0.9808124303817749, 0.9811648726463318, 0.9814277291297913, 0.9816009402275085, 0.9815531373023987, 0.9817622303962708, 0.9816188812255859, 0.981863796710968, 0.9822520613670349, 0.9825388193130493, 0.9817861318588257, 0.981827974319458, 0.9827897548675537, 0.9828853011131287, 0.9827001094818115, 0.982927143573761, 0.9829928278923035, 0.9826224446296692, 0.9832377433776855, 0.9832078814506531, 0.9833154082298279, 0.9831839799880981, 0.9838172197341919, 0.9835962057113647, 0.9839127659797668, 0.9836439490318298, 0.9836140871047974, 0.9838709831237793, 0.9841398000717163, 0.984307050704956, 0.984062135219574, 0.9841935634613037, 0.9847790002822876, 0.984695315361023, 0.9847968816757202, 0.984074056148529, 0.9846594929695129, 0.9851194620132446, 0.9852030873298645, 0.9847790002822876, 0.9850000143051147, 0.9853823184967041, 0.985370397567749, 0.9857825636863708, 0.9859378933906555, 0.9858183860778809, 0.9855077862739563, 0.9858303666114807, 0.9859976172447205, 0.9862186312675476, 0.9855734705924988, 0.9859856367111206, 0.9862484931945801, 0.9862425327301025, 0.9861828088760376, 0.9862544536590576, 0.9865830540657043, 0.9865890145301819, 0.9864516258239746, 0.9866845607757568, 0.9867443442344666, 0.9866666793823242, 0.9867084622383118, 0.9869235157966614, 0.9872460961341858, 0.9874611496925354, 0.9869713187217712, 0.9871445894241333, 0.9871326088905334, 0.9872401356697083, 0.9872938990592957, 0.9873417019844055, 0.9872102737426758, 0.9877180457115173, 0.9870967864990234, 0.9874134063720703, 0.9879330992698669, 0.987676203250885, 0.9874910116195679, 0.9874970316886902, 0.9877359867095947, 0.9877837300300598, 0.9879151582717896, 0.9880226850509644, 0.9873476624488831, 0.9881959557533264, 0.9881182909011841, 0.9876105189323425, 0.9883154034614563, 0.9878912568092346, 0.9884766936302185, 0.9885962009429932, 0.9881720542907715, 0.9885901808738708, 0.9880943894386292, 0.988470733165741, 0.9880764484405518, 0.9888350963592529, 0.9886140823364258, 0.9893249869346619, 0.9887694120407104, 0.9891875982284546, 0.988482654094696, 0.9886021614074707, 0.989008367061615, 0.9890143275260925, 0.9885662794113159, 0.9889844655990601, 0.9890322685241699, 0.989241361618042, 0.9889665246009827, 0.9889963865280151, 0.9890143275260925, 0.9891995191574097, 0.9891278147697449, 0.9892652034759521, 0.9896116852760315, 0.9896953701972961, 0.9890740513801575, 0.9896236658096313, 0.9893010854721069]</t>
  </si>
  <si>
    <t>Training Accuracy: [0.9127658009529114, 0.9459617733955383, 0.9553763270378113, 0.9603106379508972, 0.9630107283592224, 0.965364396572113, 0.9669294953346252, 0.9675567746162415, 0.9689426422119141, 0.9695758819580078, 0.9698446989059448, 0.9709557890892029, 0.9717682003974915, 0.9721863865852356, 0.9733990430831909, 0.9734289050102234, 0.9736260175704956, 0.974205493927002, 0.9740262627601624, 0.9750896096229553, 0.9755436182022095, 0.9748864769935608, 0.9749581813812256, 0.9758243560791016, 0.9764097929000854, 0.9757885336875916, 0.9764277338981628, 0.9768996238708496, 0.9771804213523865, 0.9771744608879089, 0.9775806665420532, 0.9774671196937561, 0.9779211282730103, 0.9777001142501831, 0.9778016805648804, 0.9785662889480591, 0.9787514805793762, 0.9785125255584717, 0.978859007358551, 0.9786439538002014, 0.9789724946022034, 0.9789546132087708, 0.9794504046440125, 0.9790501594543457, 0.9801314473152161, 0.979689359664917, 0.9799163937568665, 0.9794982075691223, 0.9797490835189819, 0.9798864722251892, 0.9798506498336792, 0.9803643822669983, 0.9803225994110107, 0.9804719090461731, 0.9809617400169373, 0.9814695119857788, 0.9809737205505371, 0.9816069006919861, 0.981630802154541, 0.9813380837440491, 0.9810513854026794, 0.9819294810295105, 0.9819892644882202, 0.9822043180465698, 0.9825627207756042, 0.9827060699462891, 0.9826822280883789, 0.9829092025756836, 0.9829510450363159, 0.9829868674278259, 0.982729971408844, 0.982927143573761, 0.9832258224487305, 0.9834288954734802, 0.9834587574005127, 0.9833273887634277, 0.9835424423217773, 0.9838769435882568, 0.9838411211967468, 0.983769416809082, 0.9836678504943848, 0.9842652082443237, 0.9836081266403198, 0.9839785099029541, 0.9846057295799255, 0.9843369126319885, 0.9841995239257812, 0.9843727350234985, 0.9853285551071167, 0.985232949256897, 0.9848924875259399, 0.9852568507194519, 0.9849223494529724, 0.9850239157676697, 0.9845519661903381, 0.9853046536445618, 0.9847849607467651, 0.9850656986236572, 0.9850417971611023, 0.9852688312530518, 0.9855555295944214, 0.9855376482009888, 0.9855675101280212, 0.9853823184967041, 0.9855854511260986, 0.9853225946426392, 0.9856690764427185, 0.985967755317688, 0.9861887693405151, 0.9864157438278198, 0.9854181408882141, 0.9859259128570557, 0.9859318733215332, 0.9858064651489258, 0.9865471720695496, 0.9862544536590576, 0.9865292906761169, 0.986541211605072, 0.9867144823074341, 0.9864097833633423, 0.9869115948677063, 0.9863440990447998, 0.9867264032363892, 0.986833930015564, 0.9864396452903748, 0.9866248369216919, 0.9873476624488831, 0.9870250821113586, 0.9871445894241333, 0.9871445894241333]</t>
  </si>
  <si>
    <t>Validation Loss: 0.12614621222019196</t>
  </si>
  <si>
    <t>Validation Loss: 0.12025052309036255</t>
  </si>
  <si>
    <t>Validation Loss: 0.12532910704612732</t>
  </si>
  <si>
    <t>Validation Loss: 0.12875580787658691</t>
  </si>
  <si>
    <t>Validation Loss: 0.12560155987739563</t>
  </si>
  <si>
    <t>Validation Loss: 0.12544512748718262</t>
  </si>
  <si>
    <t>Validation Loss: 0.05225793272256851</t>
  </si>
  <si>
    <t>Validation Loss: 0.0514349527657032</t>
  </si>
  <si>
    <t>Validation Loss: 0.0630253404378891</t>
  </si>
  <si>
    <t>Validation Loss: 0.05815169960260391</t>
  </si>
  <si>
    <t>Validation Loss: 0.057038336992263794</t>
  </si>
  <si>
    <t>Validation Loss: 0.05360502377152443</t>
  </si>
  <si>
    <t>Validation Accuracy: 0.945591390132904</t>
  </si>
  <si>
    <t>Validation Accuracy: 0.9464516043663025</t>
  </si>
  <si>
    <t>Validation Accuracy: 0.9448387026786804</t>
  </si>
  <si>
    <t>Validation Accuracy: 0.9425806403160095</t>
  </si>
  <si>
    <t>Validation Accuracy: 0.9440860152244568</t>
  </si>
  <si>
    <t>Validation Accuracy: 0.9826881885528564</t>
  </si>
  <si>
    <t>Validation Accuracy: 0.9783871173858643</t>
  </si>
  <si>
    <t>Validation Accuracy: 0.977957010269165</t>
  </si>
  <si>
    <t>Validation Accuracy: 0.9806451797485352</t>
  </si>
  <si>
    <t>Validation Accuracy: 0.9797849655151367</t>
  </si>
  <si>
    <t>Epoch with Maximum Validation Accuracy: 291</t>
  </si>
  <si>
    <t>Epoch with Maximum Validation Accuracy: 152</t>
  </si>
  <si>
    <t>Epoch with Maximum Validation Accuracy: 191</t>
  </si>
  <si>
    <t>Epoch with Maximum Validation Accuracy: 181</t>
  </si>
  <si>
    <t>Epoch with Maximum Validation Accuracy: 187</t>
  </si>
  <si>
    <t>Epoch with Maximum Validation Accuracy: 89</t>
  </si>
  <si>
    <t>Epoch with Maximum Validation Accuracy: 167</t>
  </si>
  <si>
    <t>Epoch with Maximum Validation Accuracy: 161</t>
  </si>
  <si>
    <t>Epoch with Maximum Validation Accuracy: 111</t>
  </si>
  <si>
    <t>Epoch with Maximum Validation Accuracy: 168</t>
  </si>
  <si>
    <t>Epoch with Maximum Validation Accuracy: 120</t>
  </si>
  <si>
    <t>Maximum Validation Accuracy: 0.9484946131706238</t>
  </si>
  <si>
    <t>Maximum Validation Accuracy: 0.9493548274040222</t>
  </si>
  <si>
    <t>Maximum Validation Accuracy: 0.9473118185997009</t>
  </si>
  <si>
    <t>Maximum Validation Accuracy: 0.9461290240287781</t>
  </si>
  <si>
    <t>Maximum Validation Accuracy: 0.9495698809623718</t>
  </si>
  <si>
    <t>Maximum Validation Accuracy: 0.9470967650413513</t>
  </si>
  <si>
    <t>Maximum Validation Accuracy: 0.9837634563446045</t>
  </si>
  <si>
    <t>Maximum Validation Accuracy: 0.9789247512817383</t>
  </si>
  <si>
    <t>Maximum Validation Accuracy: 0.981827974319458</t>
  </si>
  <si>
    <t>Epoch with Minimum Validation Loss: 92</t>
  </si>
  <si>
    <t>Epoch with Minimum Validation Loss: 243</t>
  </si>
  <si>
    <t>Epoch with Minimum Validation Loss: 102</t>
  </si>
  <si>
    <t>Epoch with Minimum Validation Loss: 157</t>
  </si>
  <si>
    <t>Epoch with Minimum Validation Loss: 133</t>
  </si>
  <si>
    <t>Epoch with Minimum Validation Loss: 140</t>
  </si>
  <si>
    <t>Epoch with Minimum Validation Loss: 79</t>
  </si>
  <si>
    <t>Epoch with Minimum Validation Loss: 153</t>
  </si>
  <si>
    <t>Epoch with Minimum Validation Loss: 126</t>
  </si>
  <si>
    <t>Epoch with Minimum Validation Loss: 69</t>
  </si>
  <si>
    <t>Minimum Validation Loss: 0.12614621222019196</t>
  </si>
  <si>
    <t>Minimum Validation Loss: 0.12025052309036255</t>
  </si>
  <si>
    <t>Minimum Validation Loss: 0.12532910704612732</t>
  </si>
  <si>
    <t>Minimum Validation Loss: 0.12875580787658691</t>
  </si>
  <si>
    <t>Minimum Validation Loss: 0.12560155987739563</t>
  </si>
  <si>
    <t>Minimum Validation Loss: 0.12544512748718262</t>
  </si>
  <si>
    <t>Minimum Validation Loss: 0.05225793272256851</t>
  </si>
  <si>
    <t>Minimum Validation Loss: 0.0514349527657032</t>
  </si>
  <si>
    <t>Minimum Validation Loss: 0.0630253404378891</t>
  </si>
  <si>
    <t>Minimum Validation Loss: 0.05815169960260391</t>
  </si>
  <si>
    <t>Minimum Validation Loss: 0.057038336992263794</t>
  </si>
  <si>
    <t>Minimum Validation Loss: 0.05360502377152443</t>
  </si>
  <si>
    <t>Test Accuracy: 0.9481720430107526</t>
  </si>
  <si>
    <t>Test Accuracy: 0.9475268817204301</t>
  </si>
  <si>
    <t>Test Accuracy: 0.9456989247311828</t>
  </si>
  <si>
    <t>Test Accuracy: 0.9460215053763441</t>
  </si>
  <si>
    <t>Test Accuracy: 0.948494623655914</t>
  </si>
  <si>
    <t>Test Accuracy: 0.9453763440860216</t>
  </si>
  <si>
    <t>Test Accuracy: 0.98</t>
  </si>
  <si>
    <t>Test Accuracy: 0.9836559139784946</t>
  </si>
  <si>
    <t>Test Accuracy: 0.9789247311827957</t>
  </si>
  <si>
    <t>Test Accuracy: 0.9804301075268818</t>
  </si>
  <si>
    <t>Test Accuracy: 0.9801075268817204</t>
  </si>
  <si>
    <t>Precision: 0.9685251798561151</t>
  </si>
  <si>
    <t>Precision: 0.9682718271827183</t>
  </si>
  <si>
    <t>Precision: 0.9639579135885382</t>
  </si>
  <si>
    <t>Precision: 0.964605734767025</t>
  </si>
  <si>
    <t>Precision: 0.9723669309173273</t>
  </si>
  <si>
    <t>Precision: 0.9643497757847533</t>
  </si>
  <si>
    <t>Precision: 0.9841648590021692</t>
  </si>
  <si>
    <t>Precision: 0.9846982758620689</t>
  </si>
  <si>
    <t>Precision: 0.9837098175499566</t>
  </si>
  <si>
    <t>Precision: 0.986922406277245</t>
  </si>
  <si>
    <t>Precision: 0.9861291720849589</t>
  </si>
  <si>
    <t>Precision: 0.9824940566241626</t>
  </si>
  <si>
    <t>Recall: 0.9264516129032258</t>
  </si>
  <si>
    <t>Recall: 0.9253763440860215</t>
  </si>
  <si>
    <t>Recall: 0.9260215053763441</t>
  </si>
  <si>
    <t>Recall: 0.9232258064516129</t>
  </si>
  <si>
    <t>Recall: 0.9249462365591398</t>
  </si>
  <si>
    <t>Recall: 0.9756989247311828</t>
  </si>
  <si>
    <t>Recall: 0.9825806451612903</t>
  </si>
  <si>
    <t>Recall: 0.9739784946236559</t>
  </si>
  <si>
    <t>Recall: 0.973763440860215</t>
  </si>
  <si>
    <t>Recall: 0.9776344086021506</t>
  </si>
  <si>
    <t>F1 Score: 0.9470213233677731</t>
  </si>
  <si>
    <t>F1 Score: 0.946338244996701</t>
  </si>
  <si>
    <t>F1 Score: 0.9446089722496436</t>
  </si>
  <si>
    <t>F1 Score: 0.9449199034452491</t>
  </si>
  <si>
    <t>F1 Score: 0.9471594043022614</t>
  </si>
  <si>
    <t>F1 Score: 0.9442371020856203</t>
  </si>
  <si>
    <t>F1 Score: 0.9799136069114471</t>
  </si>
  <si>
    <t>F1 Score: 0.9836383207750268</t>
  </si>
  <si>
    <t>F1 Score: 0.978819969742814</t>
  </si>
  <si>
    <t>F1 Score: 0.9802987659666595</t>
  </si>
  <si>
    <t>F1 Score: 0.9822970639032816</t>
  </si>
  <si>
    <t>F1 Score: 0.9800582084725665</t>
  </si>
  <si>
    <t>ROC AUC Score: 0.9902365591397849</t>
  </si>
  <si>
    <t>ROC AUC Score: 0.9907659382587581</t>
  </si>
  <si>
    <t>ROC AUC Score: 0.9909678806798474</t>
  </si>
  <si>
    <t>ROC AUC Score: 0.9893565036420395</t>
  </si>
  <si>
    <t>ROC AUC Score: 0.9911153890623192</t>
  </si>
  <si>
    <t>ROC AUC Score: 0.9905813157590473</t>
  </si>
  <si>
    <t>ROC AUC Score: 0.9980982078853046</t>
  </si>
  <si>
    <t>ROC AUC Score: 0.998411700774656</t>
  </si>
  <si>
    <t>ROC AUC Score: 0.9978158168574403</t>
  </si>
  <si>
    <t>ROC AUC Score: 0.9979113885998382</t>
  </si>
  <si>
    <t>ROC AUC Score: 0.9985003352988785</t>
  </si>
  <si>
    <t>ROC AUC Score: 0.998127390449763</t>
  </si>
  <si>
    <t>Average Precision: 0.9909858413439704</t>
  </si>
  <si>
    <t>Average Precision: 0.991393252808779</t>
  </si>
  <si>
    <t>Average Precision: 0.9915970420875407</t>
  </si>
  <si>
    <t>Average Precision: 0.9877807116963171</t>
  </si>
  <si>
    <t>Average Precision: 0.9917842390669807</t>
  </si>
  <si>
    <t>Average Precision: 0.991294499117189</t>
  </si>
  <si>
    <t>Average Precision: 0.998183732047094</t>
  </si>
  <si>
    <t>Average Precision: 0.9982600556799974</t>
  </si>
  <si>
    <t>Average Precision: 0.9979027060706512</t>
  </si>
  <si>
    <t>Average Precision: 0.9980319425222448</t>
  </si>
  <si>
    <t>Average Precision: 0.9985808446496408</t>
  </si>
  <si>
    <t>Average Precision: 0.9981714311468592</t>
  </si>
  <si>
    <t>[[4510  140]</t>
  </si>
  <si>
    <t>[[4509  141]</t>
  </si>
  <si>
    <t>[[4489  161]</t>
  </si>
  <si>
    <t>[[4528  122]</t>
  </si>
  <si>
    <t>[[4491  159]</t>
  </si>
  <si>
    <t>[[4577   73]</t>
  </si>
  <si>
    <t>[[4575   75]</t>
  </si>
  <si>
    <t>[[4590   60]</t>
  </si>
  <si>
    <t>[[4586   64]</t>
  </si>
  <si>
    <t>[[4569   81]</t>
  </si>
  <si>
    <t>[ 342 4308]]</t>
  </si>
  <si>
    <t>[ 344 4306]]</t>
  </si>
  <si>
    <t>[ 357 4293]]</t>
  </si>
  <si>
    <t>[ 349 4301]]</t>
  </si>
  <si>
    <t>[ 113 4537]]</t>
  </si>
  <si>
    <t>[  81 4569]]</t>
  </si>
  <si>
    <t>[ 121 4529]]</t>
  </si>
  <si>
    <t>[ 122 4528]]</t>
  </si>
  <si>
    <t>[ 104 4546]]</t>
  </si>
  <si>
    <t>CPU Usage Before Prediction: 6.3</t>
  </si>
  <si>
    <t>CPU Usage Before Prediction: 4.0</t>
  </si>
  <si>
    <t>CPU Usage Before Prediction: 6.8</t>
  </si>
  <si>
    <t>CPU Usage Before Prediction: 7.1</t>
  </si>
  <si>
    <t>CPU Usage Before Prediction: 5.4</t>
  </si>
  <si>
    <t>CPU Usage Before Prediction: 4.3</t>
  </si>
  <si>
    <t>CPU Usage Before Prediction: 3.9</t>
  </si>
  <si>
    <t>CPU Usage Before Prediction: 5.8</t>
  </si>
  <si>
    <t>Memory Usage Before Prediction: 6395277312</t>
  </si>
  <si>
    <t>Memory Usage Before Prediction: 6743887872</t>
  </si>
  <si>
    <t>Memory Usage Before Prediction: 6247452672</t>
  </si>
  <si>
    <t>Memory Usage Before Prediction: 6386126848</t>
  </si>
  <si>
    <t>Memory Usage Before Prediction: 8271802368</t>
  </si>
  <si>
    <t>Memory Usage Before Prediction: 9474478080</t>
  </si>
  <si>
    <t>Memory Usage Before Prediction: 7701880832</t>
  </si>
  <si>
    <t>Memory Usage Before Prediction: 7879958528</t>
  </si>
  <si>
    <t>Memory Usage Before Prediction: 7820922880</t>
  </si>
  <si>
    <t>Memory Usage Before Prediction: 7660023808</t>
  </si>
  <si>
    <t>Memory Usage Before Prediction: 7836483584</t>
  </si>
  <si>
    <t>Memory Usage Before Prediction: 8774270976</t>
  </si>
  <si>
    <t>CPU Usage After Prediction: 3.4</t>
  </si>
  <si>
    <t>CPU Usage After Prediction: 4.2</t>
  </si>
  <si>
    <t>CPU Usage After Prediction: 5.8</t>
  </si>
  <si>
    <t>CPU Usage After Prediction: 4.9</t>
  </si>
  <si>
    <t>CPU Usage After Prediction: 36.4</t>
  </si>
  <si>
    <t>CPU Usage After Prediction: 5.5</t>
  </si>
  <si>
    <t>CPU Usage After Prediction: 7.7</t>
  </si>
  <si>
    <t>CPU Usage After Prediction: 5.4</t>
  </si>
  <si>
    <t>CPU Usage After Prediction: 4.7</t>
  </si>
  <si>
    <t>Memory Usage After Prediction: 6394716160</t>
  </si>
  <si>
    <t>Memory Usage After Prediction: 6739980288</t>
  </si>
  <si>
    <t>Memory Usage After Prediction: 6247899136</t>
  </si>
  <si>
    <t>Memory Usage After Prediction: 6385106944</t>
  </si>
  <si>
    <t>Memory Usage After Prediction: 8265400320</t>
  </si>
  <si>
    <t>Memory Usage After Prediction: 9470935040</t>
  </si>
  <si>
    <t>Memory Usage After Prediction: 7691911168</t>
  </si>
  <si>
    <t>Memory Usage After Prediction: 7878909952</t>
  </si>
  <si>
    <t>Memory Usage After Prediction: 7817310208</t>
  </si>
  <si>
    <t>Memory Usage After Prediction: 7656665088</t>
  </si>
  <si>
    <t>Memory Usage After Prediction: 7832145920</t>
  </si>
  <si>
    <t>Memory Usage After Prediction: 8772206592</t>
  </si>
  <si>
    <t>Prediction Time: 1.157130241394043 seconds</t>
  </si>
  <si>
    <t>Prediction Time: 0.8790180683135986 seconds</t>
  </si>
  <si>
    <t>Prediction Time: 0.6441667079925537 seconds</t>
  </si>
  <si>
    <t>Prediction Time: 0.7219653129577637 seconds</t>
  </si>
  <si>
    <t>Prediction Time: 1.200303316116333 seconds</t>
  </si>
  <si>
    <t>Prediction Time: 1.1312904357910156 seconds</t>
  </si>
  <si>
    <t>Prediction Time: 0.7411468029022217 seconds</t>
  </si>
  <si>
    <t>Prediction Time: 0.8171045780181885 seconds</t>
  </si>
  <si>
    <t>Prediction Time: 0.8008854389190674 seconds</t>
  </si>
  <si>
    <t>Prediction Time: 0.6289324760437012 seconds</t>
  </si>
  <si>
    <t>Prediction Time: 0.677457332611084 seconds</t>
  </si>
  <si>
    <t>Prediction Time: 1.379791259765625 seconds</t>
  </si>
  <si>
    <t>Validation Precision: 0.9647824136384029</t>
  </si>
  <si>
    <t>Validation Precision: 0.9644295302013423</t>
  </si>
  <si>
    <t>Validation Precision: 0.967457627118644</t>
  </si>
  <si>
    <t>Validation Precision: 0.9662437698232895</t>
  </si>
  <si>
    <t>Validation Precision: 0.969531605275125</t>
  </si>
  <si>
    <t>Validation Precision: 0.9647666068222621</t>
  </si>
  <si>
    <t>Validation Precision: 0.9869138495092693</t>
  </si>
  <si>
    <t>Validation Precision: 0.9863488624052005</t>
  </si>
  <si>
    <t>Validation Precision: 0.983481851771354</t>
  </si>
  <si>
    <t>Validation Precision: 0.9853679842760428</t>
  </si>
  <si>
    <t>Validation Precision: 0.9850260416666666</t>
  </si>
  <si>
    <t>Validation Precision: 0.983318890814558</t>
  </si>
  <si>
    <t>Validation Recall: 0.9249462365591398</t>
  </si>
  <si>
    <t>Validation Recall: 0.9206451612903226</t>
  </si>
  <si>
    <t>Validation Recall: 0.9172043010752688</t>
  </si>
  <si>
    <t>Validation Recall: 0.916989247311828</t>
  </si>
  <si>
    <t>Validation Recall: 0.9245161290322581</t>
  </si>
  <si>
    <t>Validation Recall: 0.9731182795698925</t>
  </si>
  <si>
    <t>Validation Recall: 0.9789247311827957</t>
  </si>
  <si>
    <t>Validation Recall: 0.9761290322580645</t>
  </si>
  <si>
    <t>Validation F1 Score: 0.9444444444444444</t>
  </si>
  <si>
    <t>Validation F1 Score: 0.9453947368421053</t>
  </si>
  <si>
    <t>Validation F1 Score: 0.9434710743801654</t>
  </si>
  <si>
    <t>Validation F1 Score: 0.9410856134157105</t>
  </si>
  <si>
    <t>Validation F1 Score: 0.9425287356321839</t>
  </si>
  <si>
    <t>Validation F1 Score: 0.9442126070722602</t>
  </si>
  <si>
    <t>Validation F1 Score: 0.9799675148890091</t>
  </si>
  <si>
    <t>Validation F1 Score: 0.9826227738801944</t>
  </si>
  <si>
    <t>Validation F1 Score: 0.9782726191763051</t>
  </si>
  <si>
    <t>Validation F1 Score: 0.9777874092534401</t>
  </si>
  <si>
    <t>Validation F1 Score: 0.9805573558003888</t>
  </si>
  <si>
    <t>Validation F1 Score: 0.979710770559033</t>
  </si>
  <si>
    <t>Validation ROC AUC Score: 0.9894479361775927</t>
  </si>
  <si>
    <t>Validation ROC AUC Score: 0.9908001849924847</t>
  </si>
  <si>
    <t>Validation ROC AUC Score: 0.9898444675685047</t>
  </si>
  <si>
    <t>Validation ROC AUC Score: 0.9894318649554862</t>
  </si>
  <si>
    <t>Validation ROC AUC Score: 0.9897852006012257</t>
  </si>
  <si>
    <t>Validation ROC AUC Score: 0.9901571742397965</t>
  </si>
  <si>
    <t>Validation ROC AUC Score: 0.998208139669326</t>
  </si>
  <si>
    <t>Validation ROC AUC Score: 0.998345103480171</t>
  </si>
  <si>
    <t>Validation ROC AUC Score: 0.997446756850503</t>
  </si>
  <si>
    <t>Validation ROC AUC Score: 0.9978434038617181</t>
  </si>
  <si>
    <t>Validation ROC AUC Score: 0.9978660654410912</t>
  </si>
  <si>
    <t>Validation ROC AUC Score: 0.9981302809573361</t>
  </si>
  <si>
    <t>Validation Average Precision Score: 0.9902489993058714</t>
  </si>
  <si>
    <t>Validation Average Precision Score: 0.991435288605275</t>
  </si>
  <si>
    <t>Validation Average Precision Score: 0.9905482842704324</t>
  </si>
  <si>
    <t>Validation Average Precision Score: 0.9889222037108709</t>
  </si>
  <si>
    <t>Validation Average Precision Score: 0.9903449675307137</t>
  </si>
  <si>
    <t>Validation Average Precision Score: 0.9908567437469422</t>
  </si>
  <si>
    <t>Validation Average Precision Score: 0.998315445706765</t>
  </si>
  <si>
    <t>Validation Average Precision Score: 0.9984522167083694</t>
  </si>
  <si>
    <t>Validation Average Precision Score: 0.997537151542021</t>
  </si>
  <si>
    <t>Validation Average Precision Score: 0.9979760372065418</t>
  </si>
  <si>
    <t>Validation Average Precision Score: 0.9979156326386596</t>
  </si>
  <si>
    <t>Validation Average Precision Score: 0.9982653500226581</t>
  </si>
  <si>
    <t>[[4493  157]</t>
  </si>
  <si>
    <t>[[4506  144]</t>
  </si>
  <si>
    <t>[[4501  149]</t>
  </si>
  <si>
    <t>[[4516  134]</t>
  </si>
  <si>
    <t>[[4587   63]</t>
  </si>
  <si>
    <t>[[4574   76]</t>
  </si>
  <si>
    <t>[[4583   67]</t>
  </si>
  <si>
    <t>[[4581   69]</t>
  </si>
  <si>
    <t>[[4573   77]</t>
  </si>
  <si>
    <t>[ 369 4281]]</t>
  </si>
  <si>
    <t>[ 385 4265]]</t>
  </si>
  <si>
    <t>[ 386 4264]]</t>
  </si>
  <si>
    <t>[ 351 4299]]</t>
  </si>
  <si>
    <t>[ 125 4525]]</t>
  </si>
  <si>
    <t>[  98 4552]]</t>
  </si>
  <si>
    <t>[ 111 4539]]</t>
  </si>
  <si>
    <t>Shallow20TL</t>
  </si>
  <si>
    <t>Deep20TL</t>
  </si>
  <si>
    <t>WgtAve20TL</t>
  </si>
  <si>
    <t>Concat20TL</t>
  </si>
  <si>
    <t>Maximum20TL</t>
  </si>
  <si>
    <t>Minimum20TL</t>
  </si>
  <si>
    <t>Multiply20TL</t>
  </si>
  <si>
    <t>Substract20TL</t>
  </si>
  <si>
    <t>Shallow20TA</t>
  </si>
  <si>
    <t>Deep20TA</t>
  </si>
  <si>
    <t>WgtAve20TA</t>
  </si>
  <si>
    <t>Concat20TA</t>
  </si>
  <si>
    <t>Maximum20TA</t>
  </si>
  <si>
    <t>Minimum20TA</t>
  </si>
  <si>
    <t>Multiply20TA</t>
  </si>
  <si>
    <t>Substract20TA</t>
  </si>
  <si>
    <t>WgtAve40TL</t>
  </si>
  <si>
    <t>Concat40TL</t>
  </si>
  <si>
    <t>Maximum40TL</t>
  </si>
  <si>
    <t>Minimum40TL</t>
  </si>
  <si>
    <t>Multiply40TL</t>
  </si>
  <si>
    <t>WgtAve40TA</t>
  </si>
  <si>
    <t>Concat40TA</t>
  </si>
  <si>
    <t>Maximum40TA</t>
  </si>
  <si>
    <t>Minimum40TA</t>
  </si>
  <si>
    <t>Multiply40TA</t>
  </si>
  <si>
    <t>Substract40TA</t>
  </si>
  <si>
    <t>Samples</t>
  </si>
  <si>
    <t>Data/Model</t>
  </si>
  <si>
    <t>Shallow20</t>
  </si>
  <si>
    <t>Deep20</t>
  </si>
  <si>
    <t>Shallow40</t>
  </si>
  <si>
    <t>Deep40</t>
  </si>
  <si>
    <t>Concat20</t>
  </si>
  <si>
    <t>Concat40</t>
  </si>
  <si>
    <t>Maximum20</t>
  </si>
  <si>
    <t>Maximum40</t>
  </si>
  <si>
    <t>Minimum40</t>
  </si>
  <si>
    <t>Prediction Time</t>
  </si>
  <si>
    <t>Max CPU</t>
  </si>
  <si>
    <t>Prediction Time (S)</t>
  </si>
  <si>
    <t>Memory Allocated</t>
  </si>
  <si>
    <t>Max CPU (%)</t>
  </si>
  <si>
    <t>Memory Used</t>
  </si>
  <si>
    <t>Memory Allocated (GB)</t>
  </si>
  <si>
    <t>Memory Used (MB)</t>
  </si>
  <si>
    <t>Model Size (KB)</t>
  </si>
  <si>
    <t>Model</t>
  </si>
  <si>
    <t>End epoch</t>
  </si>
  <si>
    <t>Training time (M)</t>
  </si>
  <si>
    <t>Validation Loss</t>
  </si>
  <si>
    <t>Test Accuracy</t>
  </si>
  <si>
    <t>Precision</t>
  </si>
  <si>
    <t>Recall</t>
  </si>
  <si>
    <t>F1 Score</t>
  </si>
  <si>
    <t>ROC AUC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</si>
</sst>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rgb="FFF7981D"/>
      <name val="&quot;Google Sans Mono&quot;"/>
    </font>
    <font>
      <color rgb="FF000000"/>
      <name val="Arial"/>
    </font>
    <font>
      <color rgb="FF000000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3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2" xfId="0" applyAlignment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0" fillId="0" fontId="1" numFmtId="2" xfId="0" applyFont="1" applyNumberFormat="1"/>
    <xf borderId="0" fillId="2" fontId="4" numFmtId="0" xfId="0" applyAlignment="1" applyFont="1">
      <alignment horizontal="left" readingOrder="0"/>
    </xf>
    <xf borderId="2" fillId="0" fontId="1" numFmtId="0" xfId="0" applyAlignment="1" applyBorder="1" applyFont="1">
      <alignment readingOrder="0"/>
    </xf>
    <xf borderId="3" fillId="0" fontId="1" numFmtId="2" xfId="0" applyBorder="1" applyFont="1" applyNumberFormat="1"/>
    <xf borderId="0" fillId="0" fontId="1" numFmtId="164" xfId="0" applyFont="1" applyNumberFormat="1"/>
    <xf borderId="3" fillId="0" fontId="1" numFmtId="164" xfId="0" applyBorder="1" applyFont="1" applyNumberFormat="1"/>
    <xf borderId="0" fillId="0" fontId="5" numFmtId="0" xfId="0" applyAlignment="1" applyFont="1">
      <alignment readingOrder="0"/>
    </xf>
    <xf borderId="0" fillId="0" fontId="5" numFmtId="2" xfId="0" applyFont="1" applyNumberFormat="1"/>
    <xf borderId="0" fillId="0" fontId="5" numFmtId="164" xfId="0" applyFont="1" applyNumberFormat="1"/>
    <xf borderId="0" fillId="0" fontId="5" numFmtId="0" xfId="0" applyFont="1"/>
    <xf borderId="0" fillId="2" fontId="6" numFmtId="0" xfId="0" applyFont="1"/>
    <xf borderId="1" fillId="0" fontId="1" numFmtId="2" xfId="0" applyBorder="1" applyFont="1" applyNumberFormat="1"/>
    <xf borderId="1" fillId="0" fontId="1" numFmtId="165" xfId="0" applyBorder="1" applyFont="1" applyNumberFormat="1"/>
    <xf borderId="0" fillId="0" fontId="1" numFmtId="166" xfId="0" applyFont="1" applyNumberFormat="1"/>
    <xf borderId="0" fillId="0" fontId="7" numFmtId="166" xfId="0" applyFont="1" applyNumberFormat="1"/>
    <xf borderId="0" fillId="0" fontId="1" numFmtId="165" xfId="0" applyFont="1" applyNumberForma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erif"/>
              </a:defRPr>
            </a:pPr>
            <a:r>
              <a:rPr b="0" sz="1600">
                <a:solidFill>
                  <a:srgbClr val="757575"/>
                </a:solidFill>
                <a:latin typeface="serif"/>
              </a:rPr>
              <a:t>Training time (M) of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Sheet3!$L$2:$Y$2</c:f>
            </c:strRef>
          </c:cat>
          <c:val>
            <c:numRef>
              <c:f>Sheet3!$L$3:$Y$3</c:f>
              <c:numCache/>
            </c:numRef>
          </c:val>
        </c:ser>
        <c:axId val="1723684457"/>
        <c:axId val="112589486"/>
      </c:barChart>
      <c:catAx>
        <c:axId val="1723684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12589486"/>
      </c:catAx>
      <c:valAx>
        <c:axId val="112589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Training time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723684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erif"/>
              </a:defRPr>
            </a:pPr>
            <a:r>
              <a:rPr b="0" sz="1600">
                <a:solidFill>
                  <a:srgbClr val="757575"/>
                </a:solidFill>
                <a:latin typeface="serif"/>
              </a:rPr>
              <a:t>Prediction Time of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Sheet3!$K$6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Sheet3!$L$5:$Y$5</c:f>
            </c:strRef>
          </c:cat>
          <c:val>
            <c:numRef>
              <c:f>Sheet3!$L$6:$Y$6</c:f>
              <c:numCache/>
            </c:numRef>
          </c:val>
        </c:ser>
        <c:axId val="1940581147"/>
        <c:axId val="1637018081"/>
      </c:barChart>
      <c:catAx>
        <c:axId val="1940581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637018081"/>
      </c:catAx>
      <c:valAx>
        <c:axId val="1637018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940581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</xdr:colOff>
      <xdr:row>6</xdr:row>
      <xdr:rowOff>180975</xdr:rowOff>
    </xdr:from>
    <xdr:ext cx="72104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57150</xdr:colOff>
      <xdr:row>25</xdr:row>
      <xdr:rowOff>104775</xdr:rowOff>
    </xdr:from>
    <xdr:ext cx="71723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45.5"/>
    <col customWidth="1" min="4" max="4" width="45.63"/>
    <col customWidth="1" min="5" max="5" width="39.5"/>
    <col customWidth="1" min="6" max="6" width="38.75"/>
    <col customWidth="1" min="7" max="7" width="36.5"/>
    <col customWidth="1" min="8" max="8" width="41.38"/>
    <col customWidth="1" min="9" max="11" width="33.13"/>
    <col customWidth="1" min="12" max="12" width="40.13"/>
    <col customWidth="1" min="13" max="14" width="3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tr">
        <f>mid(A1,1,11)</f>
        <v>Shallow_20 </v>
      </c>
      <c r="P1" s="2" t="str">
        <f>mid(B1,1,8)</f>
        <v>Deep_20 </v>
      </c>
      <c r="Q1" s="2" t="str">
        <f t="shared" ref="Q1:R1" si="1">mid(C1,13,9)</f>
        <v>WgtAv_20 </v>
      </c>
      <c r="R1" s="2" t="str">
        <f t="shared" si="1"/>
        <v>Concat_20</v>
      </c>
      <c r="S1" s="2" t="str">
        <f t="shared" ref="S1:T1" si="2">mid(E1,13,10)</f>
        <v>Minimum_20</v>
      </c>
      <c r="T1" s="2" t="str">
        <f t="shared" si="2"/>
        <v>Maximum_20</v>
      </c>
      <c r="U1" s="2" t="str">
        <f t="shared" ref="U1:V1" si="3">mid(G1,13,11)</f>
        <v>Multiply_20</v>
      </c>
      <c r="V1" s="2" t="str">
        <f t="shared" si="3"/>
        <v>Subtract_20</v>
      </c>
      <c r="W1" s="2" t="str">
        <f>mid(I1,13,9)</f>
        <v>WgtAv_40 </v>
      </c>
      <c r="X1" s="2" t="str">
        <f t="shared" ref="X1:Z1" si="4">mid(J1,13,10)</f>
        <v>Concat_40 </v>
      </c>
      <c r="Y1" s="2" t="str">
        <f t="shared" si="4"/>
        <v>Minimum_40</v>
      </c>
      <c r="Z1" s="2" t="str">
        <f t="shared" si="4"/>
        <v>Maximum_40</v>
      </c>
      <c r="AA1" s="2" t="str">
        <f t="shared" ref="AA1:AB1" si="5">mid(M1,13,11)</f>
        <v>Multiply_40</v>
      </c>
      <c r="AB1" s="2" t="str">
        <f t="shared" si="5"/>
        <v>Subtract_40</v>
      </c>
    </row>
    <row r="2">
      <c r="A2" s="1" t="s">
        <v>14</v>
      </c>
      <c r="B2" s="1" t="s">
        <v>14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4">
        <f>IFERROR(__xludf.DUMMYFUNCTION("VALUE(REGEXEXTRACT(A2, ""\d+""))"),200.0)</f>
        <v>200</v>
      </c>
      <c r="P2" s="4">
        <f>IFERROR(__xludf.DUMMYFUNCTION("VALUE(REGEXEXTRACT(B2, ""\d+""))"),200.0)</f>
        <v>200</v>
      </c>
      <c r="Q2" s="4">
        <f>IFERROR(__xludf.DUMMYFUNCTION("VALUE(REGEXEXTRACT(C2, ""\d+""))"),500.0)</f>
        <v>500</v>
      </c>
      <c r="R2" s="4">
        <f>IFERROR(__xludf.DUMMYFUNCTION("VALUE(REGEXEXTRACT(D2, ""\d+""))"),500.0)</f>
        <v>500</v>
      </c>
      <c r="S2" s="4">
        <f>IFERROR(__xludf.DUMMYFUNCTION("VALUE(REGEXEXTRACT(E2, ""\d+""))"),500.0)</f>
        <v>500</v>
      </c>
      <c r="T2" s="4">
        <f>IFERROR(__xludf.DUMMYFUNCTION("VALUE(REGEXEXTRACT(F2, ""\d+""))"),500.0)</f>
        <v>500</v>
      </c>
      <c r="U2" s="4">
        <f>IFERROR(__xludf.DUMMYFUNCTION("VALUE(REGEXEXTRACT(G2, ""\d+""))"),500.0)</f>
        <v>500</v>
      </c>
      <c r="V2" s="4">
        <f>IFERROR(__xludf.DUMMYFUNCTION("VALUE(REGEXEXTRACT(H2, ""\d+""))"),500.0)</f>
        <v>500</v>
      </c>
      <c r="W2" s="4">
        <f>IFERROR(__xludf.DUMMYFUNCTION("VALUE(REGEXEXTRACT(I2, ""\d+""))"),500.0)</f>
        <v>500</v>
      </c>
      <c r="X2" s="4">
        <f>IFERROR(__xludf.DUMMYFUNCTION("VALUE(REGEXEXTRACT(J2, ""\d+""))"),500.0)</f>
        <v>500</v>
      </c>
      <c r="Y2" s="4">
        <f>IFERROR(__xludf.DUMMYFUNCTION("VALUE(REGEXEXTRACT(K2, ""\d+""))"),500.0)</f>
        <v>500</v>
      </c>
      <c r="Z2" s="4">
        <f>IFERROR(__xludf.DUMMYFUNCTION("VALUE(REGEXEXTRACT(L2, ""\d+""))"),500.0)</f>
        <v>500</v>
      </c>
      <c r="AA2" s="4">
        <f>IFERROR(__xludf.DUMMYFUNCTION("VALUE(REGEXEXTRACT(M2, ""\d+""))"),500.0)</f>
        <v>500</v>
      </c>
      <c r="AB2" s="4">
        <f>IFERROR(__xludf.DUMMYFUNCTION("VALUE(REGEXEXTRACT(N2, ""\d+""))"),500.0)</f>
        <v>500</v>
      </c>
      <c r="AC2" s="4"/>
    </row>
    <row r="3">
      <c r="A3" s="1" t="s">
        <v>16</v>
      </c>
      <c r="B3" s="1" t="s">
        <v>16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3" t="s">
        <v>17</v>
      </c>
      <c r="J3" s="3" t="s">
        <v>17</v>
      </c>
      <c r="K3" s="3" t="s">
        <v>17</v>
      </c>
      <c r="L3" s="3" t="s">
        <v>17</v>
      </c>
      <c r="M3" s="3" t="s">
        <v>17</v>
      </c>
      <c r="N3" s="3" t="s">
        <v>17</v>
      </c>
      <c r="O3" s="4">
        <f>IFERROR(__xludf.DUMMYFUNCTION("VALUE(REGEXEXTRACT(A3, ""\d+""))"),200.0)</f>
        <v>200</v>
      </c>
      <c r="P3" s="4">
        <f>IFERROR(__xludf.DUMMYFUNCTION("VALUE(REGEXEXTRACT(B3, ""\d+""))"),200.0)</f>
        <v>200</v>
      </c>
      <c r="Q3" s="4">
        <f>IFERROR(__xludf.DUMMYFUNCTION("VALUE(REGEXEXTRACT(C3, ""\d+""))"),500.0)</f>
        <v>500</v>
      </c>
      <c r="R3" s="4">
        <f>IFERROR(__xludf.DUMMYFUNCTION("VALUE(REGEXEXTRACT(D3, ""\d+""))"),500.0)</f>
        <v>500</v>
      </c>
      <c r="S3" s="4">
        <f>IFERROR(__xludf.DUMMYFUNCTION("VALUE(REGEXEXTRACT(E3, ""\d+""))"),500.0)</f>
        <v>500</v>
      </c>
      <c r="T3" s="4">
        <f>IFERROR(__xludf.DUMMYFUNCTION("VALUE(REGEXEXTRACT(F3, ""\d+""))"),500.0)</f>
        <v>500</v>
      </c>
      <c r="U3" s="4">
        <f>IFERROR(__xludf.DUMMYFUNCTION("VALUE(REGEXEXTRACT(G3, ""\d+""))"),500.0)</f>
        <v>500</v>
      </c>
      <c r="V3" s="4">
        <f>IFERROR(__xludf.DUMMYFUNCTION("VALUE(REGEXEXTRACT(H3, ""\d+""))"),500.0)</f>
        <v>500</v>
      </c>
      <c r="W3" s="4">
        <f>IFERROR(__xludf.DUMMYFUNCTION("VALUE(REGEXEXTRACT(I3, ""\d+""))"),500.0)</f>
        <v>500</v>
      </c>
      <c r="X3" s="4">
        <f>IFERROR(__xludf.DUMMYFUNCTION("VALUE(REGEXEXTRACT(J3, ""\d+""))"),500.0)</f>
        <v>500</v>
      </c>
      <c r="Y3" s="4">
        <f>IFERROR(__xludf.DUMMYFUNCTION("VALUE(REGEXEXTRACT(K3, ""\d+""))"),500.0)</f>
        <v>500</v>
      </c>
      <c r="Z3" s="4">
        <f>IFERROR(__xludf.DUMMYFUNCTION("VALUE(REGEXEXTRACT(L3, ""\d+""))"),500.0)</f>
        <v>500</v>
      </c>
      <c r="AA3" s="4">
        <f>IFERROR(__xludf.DUMMYFUNCTION("VALUE(REGEXEXTRACT(M3, ""\d+""))"),500.0)</f>
        <v>500</v>
      </c>
      <c r="AB3" s="4">
        <f>IFERROR(__xludf.DUMMYFUNCTION("VALUE(REGEXEXTRACT(N3, ""\d+""))"),500.0)</f>
        <v>500</v>
      </c>
      <c r="AC3" s="4"/>
    </row>
    <row r="4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30</v>
      </c>
      <c r="N4" s="3" t="s">
        <v>31</v>
      </c>
      <c r="O4" s="4">
        <f>IFERROR(__xludf.DUMMYFUNCTION("VALUE(REGEXEXTRACT(A4, ""\d+""))"),65.0)</f>
        <v>65</v>
      </c>
      <c r="P4" s="4">
        <f>IFERROR(__xludf.DUMMYFUNCTION("VALUE(REGEXEXTRACT(B4, ""\d+""))"),179.0)</f>
        <v>179</v>
      </c>
      <c r="Q4" s="4">
        <f>IFERROR(__xludf.DUMMYFUNCTION("VALUE(REGEXEXTRACT(C4, ""\d+""))"),268.0)</f>
        <v>268</v>
      </c>
      <c r="R4" s="4">
        <f>IFERROR(__xludf.DUMMYFUNCTION("VALUE(REGEXEXTRACT(D4, ""\d+""))"),164.0)</f>
        <v>164</v>
      </c>
      <c r="S4" s="4">
        <f>IFERROR(__xludf.DUMMYFUNCTION("VALUE(REGEXEXTRACT(E4, ""\d+""))"),193.0)</f>
        <v>193</v>
      </c>
      <c r="T4" s="4">
        <f>IFERROR(__xludf.DUMMYFUNCTION("VALUE(REGEXEXTRACT(F4, ""\d+""))"),241.0)</f>
        <v>241</v>
      </c>
      <c r="U4" s="4">
        <f>IFERROR(__xludf.DUMMYFUNCTION("VALUE(REGEXEXTRACT(G4, ""\d+""))"),216.0)</f>
        <v>216</v>
      </c>
      <c r="V4" s="4">
        <f>IFERROR(__xludf.DUMMYFUNCTION("VALUE(REGEXEXTRACT(H4, ""\d+""))"),225.0)</f>
        <v>225</v>
      </c>
      <c r="W4" s="4">
        <f>IFERROR(__xludf.DUMMYFUNCTION("VALUE(REGEXEXTRACT(I4, ""\d+""))"),141.0)</f>
        <v>141</v>
      </c>
      <c r="X4" s="4">
        <f>IFERROR(__xludf.DUMMYFUNCTION("VALUE(REGEXEXTRACT(J4, ""\d+""))"),101.0)</f>
        <v>101</v>
      </c>
      <c r="Y4" s="4">
        <f>IFERROR(__xludf.DUMMYFUNCTION("VALUE(REGEXEXTRACT(K4, ""\d+""))"),132.0)</f>
        <v>132</v>
      </c>
      <c r="Z4" s="4">
        <f>IFERROR(__xludf.DUMMYFUNCTION("VALUE(REGEXEXTRACT(L4, ""\d+""))"),125.0)</f>
        <v>125</v>
      </c>
      <c r="AA4" s="4">
        <f>IFERROR(__xludf.DUMMYFUNCTION("VALUE(REGEXEXTRACT(M4, ""\d+""))"),182.0)</f>
        <v>182</v>
      </c>
      <c r="AB4" s="4">
        <f>IFERROR(__xludf.DUMMYFUNCTION("VALUE(REGEXEXTRACT(N4, ""\d+""))"),192.0)</f>
        <v>192</v>
      </c>
      <c r="AC4" s="4"/>
    </row>
    <row r="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  <c r="K5" s="1" t="s">
        <v>42</v>
      </c>
      <c r="L5" s="1" t="s">
        <v>43</v>
      </c>
      <c r="M5" s="1" t="s">
        <v>44</v>
      </c>
      <c r="N5" s="1" t="s">
        <v>45</v>
      </c>
      <c r="O5" s="2">
        <f>IFERROR(__xludf.DUMMYFUNCTION("VALUE(REGEXEXTRACT(A5, ""\d+\.\d+""))"),436.567764997482)</f>
        <v>436.567765</v>
      </c>
      <c r="P5" s="2">
        <f>IFERROR(__xludf.DUMMYFUNCTION("VALUE(REGEXEXTRACT(B5, ""\d+\.\d+""))"),1772.18248534202)</f>
        <v>1772.182485</v>
      </c>
      <c r="Q5" s="2">
        <f>IFERROR(__xludf.DUMMYFUNCTION("VALUE(REGEXEXTRACT(C5, ""\d+\.\d+""))"),4453.84089636802)</f>
        <v>4453.840896</v>
      </c>
      <c r="R5" s="2">
        <f>IFERROR(__xludf.DUMMYFUNCTION("VALUE(REGEXEXTRACT(D5, ""\d+\.\d+""))"),2453.2089934349)</f>
        <v>2453.208993</v>
      </c>
      <c r="S5" s="2">
        <f>IFERROR(__xludf.DUMMYFUNCTION("VALUE(REGEXEXTRACT(E5, ""\d+\.\d+""))"),3605.19282269477)</f>
        <v>3605.192823</v>
      </c>
      <c r="T5" s="2">
        <f>IFERROR(__xludf.DUMMYFUNCTION("VALUE(REGEXEXTRACT(F5, ""\d+\.\d+""))"),2922.34164571762)</f>
        <v>2922.341646</v>
      </c>
      <c r="U5" s="2">
        <f>IFERROR(__xludf.DUMMYFUNCTION("VALUE(REGEXEXTRACT(G5, ""\d+\.\d+""))"),2921.63848233222)</f>
        <v>2921.638482</v>
      </c>
      <c r="V5" s="2">
        <f>IFERROR(__xludf.DUMMYFUNCTION("VALUE(REGEXEXTRACT(H5, ""\d+\.\d+""))"),4313.6142296791)</f>
        <v>4313.61423</v>
      </c>
      <c r="W5" s="2">
        <f>IFERROR(__xludf.DUMMYFUNCTION("VALUE(REGEXEXTRACT(I5, ""\d+\.\d+""))"),1731.70055675506)</f>
        <v>1731.700557</v>
      </c>
      <c r="X5" s="2">
        <f>IFERROR(__xludf.DUMMYFUNCTION("VALUE(REGEXEXTRACT(J5, ""\d+\.\d+""))"),1134.46312093734)</f>
        <v>1134.463121</v>
      </c>
      <c r="Y5" s="2">
        <f>IFERROR(__xludf.DUMMYFUNCTION("VALUE(REGEXEXTRACT(K5, ""\d+\.\d+""))"),1492.91869616508)</f>
        <v>1492.918696</v>
      </c>
      <c r="Z5" s="2">
        <f>IFERROR(__xludf.DUMMYFUNCTION("VALUE(REGEXEXTRACT(L5, ""\d+\.\d+""))"),2295.41743993759)</f>
        <v>2295.41744</v>
      </c>
      <c r="AA5" s="2">
        <f>IFERROR(__xludf.DUMMYFUNCTION("VALUE(REGEXEXTRACT(M5, ""\d+\.\d+""))"),3468.30200219154)</f>
        <v>3468.302002</v>
      </c>
      <c r="AB5" s="2">
        <f>IFERROR(__xludf.DUMMYFUNCTION("VALUE(REGEXEXTRACT(N5, ""\d+\.\d+""))"),4210.96226048469)</f>
        <v>4210.96226</v>
      </c>
    </row>
    <row r="6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54</v>
      </c>
      <c r="J6" s="1" t="s">
        <v>55</v>
      </c>
      <c r="K6" s="1" t="s">
        <v>56</v>
      </c>
      <c r="L6" s="1" t="s">
        <v>57</v>
      </c>
      <c r="M6" s="1" t="s">
        <v>58</v>
      </c>
      <c r="N6" s="1" t="s">
        <v>59</v>
      </c>
      <c r="O6" s="2">
        <f>IFERROR(__xludf.DUMMYFUNCTION("VALUE(REGEXEXTRACT(A6, ""\d+\.\d+""))"),0.20440199971199)</f>
        <v>0.2044019997</v>
      </c>
      <c r="P6" s="2">
        <f>IFERROR(__xludf.DUMMYFUNCTION("VALUE(REGEXEXTRACT(B6, ""\d+\.\d+""))"),0.185661867260932)</f>
        <v>0.1856618673</v>
      </c>
      <c r="Q6" s="2">
        <f>IFERROR(__xludf.DUMMYFUNCTION("VALUE(REGEXEXTRACT(C6, ""\d+\.\d+""))"),0.489125192165374)</f>
        <v>0.4891251922</v>
      </c>
      <c r="R6" s="2">
        <f>IFERROR(__xludf.DUMMYFUNCTION("VALUE(REGEXEXTRACT(D6, ""\d+\.\d+""))"),0.334447294473648)</f>
        <v>0.3344472945</v>
      </c>
      <c r="S6" s="2">
        <f>IFERROR(__xludf.DUMMYFUNCTION("VALUE(REGEXEXTRACT(E6, ""\d+\.\d+""))"),0.363726079463958)</f>
        <v>0.3637260795</v>
      </c>
      <c r="T6" s="2">
        <f>IFERROR(__xludf.DUMMYFUNCTION("VALUE(REGEXEXTRACT(F6, ""\d+\.\d+""))"),0.346823632717132)</f>
        <v>0.3468236327</v>
      </c>
      <c r="U6" s="2">
        <f>IFERROR(__xludf.DUMMYFUNCTION("VALUE(REGEXEXTRACT(G6, ""\d+\.\d+""))"),0.386524111032485)</f>
        <v>0.386524111</v>
      </c>
      <c r="V6" s="2">
        <f>IFERROR(__xludf.DUMMYFUNCTION("VALUE(REGEXEXTRACT(H6, ""\d+\.\d+""))"),0.30994763970375)</f>
        <v>0.3099476397</v>
      </c>
      <c r="W6" s="2">
        <f>IFERROR(__xludf.DUMMYFUNCTION("VALUE(REGEXEXTRACT(I6, ""\d+\.\d+""))"),0.507599532604217)</f>
        <v>0.5075995326</v>
      </c>
      <c r="X6" s="2">
        <f>IFERROR(__xludf.DUMMYFUNCTION("VALUE(REGEXEXTRACT(J6, ""\d+\.\d+""))"),0.363783001899719)</f>
        <v>0.3637830019</v>
      </c>
      <c r="Y6" s="2">
        <f>IFERROR(__xludf.DUMMYFUNCTION("VALUE(REGEXEXTRACT(K6, ""\d+\.\d+""))"),0.414773702621459)</f>
        <v>0.4147737026</v>
      </c>
      <c r="Z6" s="2">
        <f>IFERROR(__xludf.DUMMYFUNCTION("VALUE(REGEXEXTRACT(L6, ""\d+\.\d+""))"),0.163611769676208)</f>
        <v>0.1636117697</v>
      </c>
      <c r="AA6" s="2">
        <f>IFERROR(__xludf.DUMMYFUNCTION("VALUE(REGEXEXTRACT(M6, ""\d+\.\d+""))"),0.401078999042511)</f>
        <v>0.401078999</v>
      </c>
      <c r="AB6" s="2">
        <f>IFERROR(__xludf.DUMMYFUNCTION("VALUE(REGEXEXTRACT(N6, ""\d+\.\d+""))"),0.213677316904068)</f>
        <v>0.2136773169</v>
      </c>
    </row>
    <row r="7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68</v>
      </c>
      <c r="J7" s="1" t="s">
        <v>69</v>
      </c>
      <c r="K7" s="1" t="s">
        <v>70</v>
      </c>
      <c r="L7" s="1" t="s">
        <v>71</v>
      </c>
      <c r="M7" s="1" t="s">
        <v>72</v>
      </c>
      <c r="N7" s="1" t="s">
        <v>73</v>
      </c>
      <c r="O7" s="2">
        <f>IFERROR(__xludf.DUMMYFUNCTION("VALUE(REGEXEXTRACT(A7, ""\d+\.\d+""))"),0.899737179279327)</f>
        <v>0.8997371793</v>
      </c>
      <c r="P7" s="2">
        <f>IFERROR(__xludf.DUMMYFUNCTION("VALUE(REGEXEXTRACT(B7, ""\d+\.\d+""))"),0.907138586044311)</f>
        <v>0.907138586</v>
      </c>
      <c r="Q7" s="2">
        <f>IFERROR(__xludf.DUMMYFUNCTION("VALUE(REGEXEXTRACT(C7, ""\d+\.\d+""))"),0.882974922657012)</f>
        <v>0.8829749227</v>
      </c>
      <c r="R7" s="2">
        <f>IFERROR(__xludf.DUMMYFUNCTION("VALUE(REGEXEXTRACT(D7, ""\d+\.\d+""))"),0.894229412078857)</f>
        <v>0.8942294121</v>
      </c>
      <c r="S7" s="2">
        <f>IFERROR(__xludf.DUMMYFUNCTION("VALUE(REGEXEXTRACT(E7, ""\d+\.\d+""))"),0.891409814357757)</f>
        <v>0.8914098144</v>
      </c>
      <c r="T7" s="2">
        <f>IFERROR(__xludf.DUMMYFUNCTION("VALUE(REGEXEXTRACT(F7, ""\d+\.\d+""))"),0.894109904766082)</f>
        <v>0.8941099048</v>
      </c>
      <c r="U7" s="2">
        <f>IFERROR(__xludf.DUMMYFUNCTION("VALUE(REGEXEXTRACT(G7, ""\d+\.\d+""))"),0.889384686946868)</f>
        <v>0.8893846869</v>
      </c>
      <c r="V7" s="2">
        <f>IFERROR(__xludf.DUMMYFUNCTION("VALUE(REGEXEXTRACT(H7, ""\d+\.\d+""))"),0.893763422966003)</f>
        <v>0.893763423</v>
      </c>
      <c r="W7" s="2">
        <f>IFERROR(__xludf.DUMMYFUNCTION("VALUE(REGEXEXTRACT(I7, ""\d+\.\d+""))"),0.885448038578033)</f>
        <v>0.8854480386</v>
      </c>
      <c r="X7" s="2">
        <f>IFERROR(__xludf.DUMMYFUNCTION("VALUE(REGEXEXTRACT(J7, ""\d+\.\d+""))"),0.903237760066986)</f>
        <v>0.9032377601</v>
      </c>
      <c r="Y7" s="2">
        <f>IFERROR(__xludf.DUMMYFUNCTION("VALUE(REGEXEXTRACT(K7, ""\d+\.\d+""))"),0.897461175918579)</f>
        <v>0.8974611759</v>
      </c>
      <c r="Z7" s="2">
        <f>IFERROR(__xludf.DUMMYFUNCTION("VALUE(REGEXEXTRACT(L7, ""\d+\.\d+""))"),0.926188766956329)</f>
        <v>0.926188767</v>
      </c>
      <c r="AA7" s="2">
        <f>IFERROR(__xludf.DUMMYFUNCTION("VALUE(REGEXEXTRACT(M7, ""\d+\.\d+""))"),0.889474332332611)</f>
        <v>0.8894743323</v>
      </c>
      <c r="AB7" s="2">
        <f>IFERROR(__xludf.DUMMYFUNCTION("VALUE(REGEXEXTRACT(N7, ""\d+\.\d+""))"),0.918512523174285)</f>
        <v>0.9185125232</v>
      </c>
    </row>
    <row r="8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79</v>
      </c>
      <c r="G8" s="1" t="s">
        <v>80</v>
      </c>
      <c r="H8" s="1" t="s">
        <v>81</v>
      </c>
      <c r="I8" s="1" t="s">
        <v>82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2">
        <f>IFERROR(__xludf.DUMMYFUNCTION("VALUE(REGEXEXTRACT(A8, ""\d+\.\d+""))"),0.167222246527671)</f>
        <v>0.1672222465</v>
      </c>
      <c r="P8" s="2">
        <f>IFERROR(__xludf.DUMMYFUNCTION("VALUE(REGEXEXTRACT(B8, ""\d+\.\d+""))"),0.12306610494852)</f>
        <v>0.1230661049</v>
      </c>
      <c r="Q8" s="2">
        <f>IFERROR(__xludf.DUMMYFUNCTION("VALUE(REGEXEXTRACT(C8, ""\d+\.\d+""))"),0.123774506151676)</f>
        <v>0.1237745062</v>
      </c>
      <c r="R8" s="2">
        <f>IFERROR(__xludf.DUMMYFUNCTION("VALUE(REGEXEXTRACT(D8, ""\d+\.\d+""))"),0.125567004084587)</f>
        <v>0.1255670041</v>
      </c>
      <c r="S8" s="2">
        <f>IFERROR(__xludf.DUMMYFUNCTION("VALUE(REGEXEXTRACT(E8, ""\d+\.\d+""))"),0.12908798456192)</f>
        <v>0.1290879846</v>
      </c>
      <c r="T8" s="2">
        <f>IFERROR(__xludf.DUMMYFUNCTION("VALUE(REGEXEXTRACT(F8, ""\d+\.\d+""))"),0.126287311315536)</f>
        <v>0.1262873113</v>
      </c>
      <c r="U8" s="2">
        <f>IFERROR(__xludf.DUMMYFUNCTION("VALUE(REGEXEXTRACT(G8, ""\d+\.\d+""))"),0.126420304179191)</f>
        <v>0.1264203042</v>
      </c>
      <c r="V8" s="2">
        <f>IFERROR(__xludf.DUMMYFUNCTION("VALUE(REGEXEXTRACT(H8, ""\d+\.\d+""))"),0.128674194216728)</f>
        <v>0.1286741942</v>
      </c>
      <c r="W8" s="2">
        <f>IFERROR(__xludf.DUMMYFUNCTION("VALUE(REGEXEXTRACT(I8, ""\d+\.\d+""))"),0.0540206432342529)</f>
        <v>0.05402064323</v>
      </c>
      <c r="X8" s="2">
        <f>IFERROR(__xludf.DUMMYFUNCTION("VALUE(REGEXEXTRACT(J8, ""\d+\.\d+""))"),0.0525665171444416)</f>
        <v>0.05256651714</v>
      </c>
      <c r="Y8" s="2">
        <f>IFERROR(__xludf.DUMMYFUNCTION("VALUE(REGEXEXTRACT(K8, ""\d+\.\d+""))"),0.0558366142213344)</f>
        <v>0.05583661422</v>
      </c>
      <c r="Z8" s="2">
        <f>IFERROR(__xludf.DUMMYFUNCTION("VALUE(REGEXEXTRACT(L8, ""\d+\.\d+""))"),0.0538350157439708)</f>
        <v>0.05383501574</v>
      </c>
      <c r="AA8" s="2">
        <f>IFERROR(__xludf.DUMMYFUNCTION("VALUE(REGEXEXTRACT(M8, ""\d+\.\d+""))"),0.0567557513713836)</f>
        <v>0.05675575137</v>
      </c>
      <c r="AB8" s="2">
        <f>IFERROR(__xludf.DUMMYFUNCTION("VALUE(REGEXEXTRACT(N8, ""\d+\.\d+""))"),0.0579192973673343)</f>
        <v>0.05791929737</v>
      </c>
    </row>
    <row r="9">
      <c r="A9" s="1" t="s">
        <v>88</v>
      </c>
      <c r="B9" s="1" t="s">
        <v>89</v>
      </c>
      <c r="C9" s="1" t="s">
        <v>90</v>
      </c>
      <c r="D9" s="1" t="s">
        <v>91</v>
      </c>
      <c r="E9" s="1" t="s">
        <v>92</v>
      </c>
      <c r="F9" s="1" t="s">
        <v>93</v>
      </c>
      <c r="G9" s="1" t="s">
        <v>94</v>
      </c>
      <c r="H9" s="1" t="s">
        <v>95</v>
      </c>
      <c r="I9" s="1" t="s">
        <v>96</v>
      </c>
      <c r="J9" s="1" t="s">
        <v>97</v>
      </c>
      <c r="K9" s="1" t="s">
        <v>98</v>
      </c>
      <c r="L9" s="1" t="s">
        <v>99</v>
      </c>
      <c r="M9" s="1" t="s">
        <v>100</v>
      </c>
      <c r="N9" s="1" t="s">
        <v>101</v>
      </c>
      <c r="O9" s="2">
        <f>IFERROR(__xludf.DUMMYFUNCTION("VALUE(REGEXEXTRACT(A9, ""\d+\.\d+""))"),0.929569900035858)</f>
        <v>0.9295699</v>
      </c>
      <c r="P9" s="2">
        <f>IFERROR(__xludf.DUMMYFUNCTION("VALUE(REGEXEXTRACT(B9, ""\d+\.\d+""))"),0.945376336574554)</f>
        <v>0.9453763366</v>
      </c>
      <c r="Q9" s="2">
        <f>IFERROR(__xludf.DUMMYFUNCTION("VALUE(REGEXEXTRACT(C9, ""\d+\.\d+""))"),0.947096765041351)</f>
        <v>0.947096765</v>
      </c>
      <c r="R9" s="2">
        <f>IFERROR(__xludf.DUMMYFUNCTION("VALUE(REGEXEXTRACT(D9, ""\d+\.\d+""))"),0.942473113536834)</f>
        <v>0.9424731135</v>
      </c>
      <c r="S9" s="2">
        <f>IFERROR(__xludf.DUMMYFUNCTION("VALUE(REGEXEXTRACT(E9, ""\d+\.\d+""))"),0.945483863353729)</f>
        <v>0.9454838634</v>
      </c>
      <c r="T9" s="2">
        <f>IFERROR(__xludf.DUMMYFUNCTION("VALUE(REGEXEXTRACT(F9, ""\d+\.\d+""))"),0.9473118185997)</f>
        <v>0.9473118186</v>
      </c>
      <c r="U9" s="2">
        <f>IFERROR(__xludf.DUMMYFUNCTION("VALUE(REGEXEXTRACT(G9, ""\d+\.\d+""))"),0.946881711483001)</f>
        <v>0.9468817115</v>
      </c>
      <c r="V9" s="2">
        <f>IFERROR(__xludf.DUMMYFUNCTION("VALUE(REGEXEXTRACT(H9, ""\d+\.\d+""))"),0.943010747432708)</f>
        <v>0.9430107474</v>
      </c>
      <c r="W9" s="2">
        <f>IFERROR(__xludf.DUMMYFUNCTION("VALUE(REGEXEXTRACT(I9, ""\d+\.\d+""))"),0.980000019073486)</f>
        <v>0.9800000191</v>
      </c>
      <c r="X9" s="2">
        <f>IFERROR(__xludf.DUMMYFUNCTION("VALUE(REGEXEXTRACT(J9, ""\d+\.\d+""))"),0.979677438735961)</f>
        <v>0.9796774387</v>
      </c>
      <c r="Y9" s="2">
        <f>IFERROR(__xludf.DUMMYFUNCTION("VALUE(REGEXEXTRACT(K9, ""\d+\.\d+""))"),0.979032278060913)</f>
        <v>0.9790322781</v>
      </c>
      <c r="Z9" s="2">
        <f>IFERROR(__xludf.DUMMYFUNCTION("VALUE(REGEXEXTRACT(L9, ""\d+\.\d+""))"),0.981290340423584)</f>
        <v>0.9812903404</v>
      </c>
      <c r="AA9" s="2">
        <f>IFERROR(__xludf.DUMMYFUNCTION("VALUE(REGEXEXTRACT(M9, ""\d+\.\d+""))"),0.980215072631835)</f>
        <v>0.9802150726</v>
      </c>
      <c r="AB9" s="2">
        <f>IFERROR(__xludf.DUMMYFUNCTION("VALUE(REGEXEXTRACT(N9, ""\d+\.\d+""))"),0.980107545852661)</f>
        <v>0.9801075459</v>
      </c>
    </row>
    <row r="10">
      <c r="A10" s="1" t="s">
        <v>102</v>
      </c>
      <c r="B10" s="1" t="s">
        <v>103</v>
      </c>
      <c r="C10" s="1" t="s">
        <v>104</v>
      </c>
      <c r="D10" s="1" t="s">
        <v>105</v>
      </c>
      <c r="E10" s="1" t="s">
        <v>106</v>
      </c>
      <c r="F10" s="1" t="s">
        <v>107</v>
      </c>
      <c r="G10" s="1" t="s">
        <v>108</v>
      </c>
      <c r="H10" s="1" t="s">
        <v>109</v>
      </c>
      <c r="I10" s="3" t="s">
        <v>110</v>
      </c>
      <c r="J10" s="3" t="s">
        <v>111</v>
      </c>
      <c r="K10" s="3" t="s">
        <v>112</v>
      </c>
      <c r="L10" s="3" t="s">
        <v>113</v>
      </c>
      <c r="M10" s="3" t="s">
        <v>114</v>
      </c>
      <c r="N10" s="3" t="s">
        <v>115</v>
      </c>
      <c r="O10" s="4">
        <f>IFERROR(__xludf.DUMMYFUNCTION("VALUE(REGEXEXTRACT(A10, ""\d+""))"),62.0)</f>
        <v>62</v>
      </c>
      <c r="P10" s="4">
        <f>IFERROR(__xludf.DUMMYFUNCTION("VALUE(REGEXEXTRACT(B10, ""\d+""))"),173.0)</f>
        <v>173</v>
      </c>
      <c r="Q10" s="4">
        <f>IFERROR(__xludf.DUMMYFUNCTION("VALUE(REGEXEXTRACT(C10, ""\d+""))"),243.0)</f>
        <v>243</v>
      </c>
      <c r="R10" s="4">
        <f>IFERROR(__xludf.DUMMYFUNCTION("VALUE(REGEXEXTRACT(D10, ""\d+""))"),160.0)</f>
        <v>160</v>
      </c>
      <c r="S10" s="4">
        <f>IFERROR(__xludf.DUMMYFUNCTION("VALUE(REGEXEXTRACT(E10, ""\d+""))"),130.0)</f>
        <v>130</v>
      </c>
      <c r="T10" s="4">
        <f>IFERROR(__xludf.DUMMYFUNCTION("VALUE(REGEXEXTRACT(F10, ""\d+""))"),203.0)</f>
        <v>203</v>
      </c>
      <c r="U10" s="4">
        <f>IFERROR(__xludf.DUMMYFUNCTION("VALUE(REGEXEXTRACT(G10, ""\d+""))"),211.0)</f>
        <v>211</v>
      </c>
      <c r="V10" s="4">
        <f>IFERROR(__xludf.DUMMYFUNCTION("VALUE(REGEXEXTRACT(H10, ""\d+""))"),218.0)</f>
        <v>218</v>
      </c>
      <c r="W10" s="4">
        <f>IFERROR(__xludf.DUMMYFUNCTION("VALUE(REGEXEXTRACT(I10, ""\d+""))"),134.0)</f>
        <v>134</v>
      </c>
      <c r="X10" s="4">
        <f>IFERROR(__xludf.DUMMYFUNCTION("VALUE(REGEXEXTRACT(J10, ""\d+""))"),91.0)</f>
        <v>91</v>
      </c>
      <c r="Y10" s="4">
        <f>IFERROR(__xludf.DUMMYFUNCTION("VALUE(REGEXEXTRACT(K10, ""\d+""))"),128.0)</f>
        <v>128</v>
      </c>
      <c r="Z10" s="4">
        <f>IFERROR(__xludf.DUMMYFUNCTION("VALUE(REGEXEXTRACT(L10, ""\d+""))"),103.0)</f>
        <v>103</v>
      </c>
      <c r="AA10" s="4">
        <f>IFERROR(__xludf.DUMMYFUNCTION("VALUE(REGEXEXTRACT(M10, ""\d+""))"),155.0)</f>
        <v>155</v>
      </c>
      <c r="AB10" s="4">
        <f>IFERROR(__xludf.DUMMYFUNCTION("VALUE(REGEXEXTRACT(N10, ""\d+""))"),180.0)</f>
        <v>180</v>
      </c>
      <c r="AC10" s="4"/>
    </row>
    <row r="11">
      <c r="A11" s="1" t="s">
        <v>116</v>
      </c>
      <c r="B11" s="1" t="s">
        <v>117</v>
      </c>
      <c r="C11" s="1" t="s">
        <v>118</v>
      </c>
      <c r="D11" s="1" t="s">
        <v>119</v>
      </c>
      <c r="E11" s="1" t="s">
        <v>120</v>
      </c>
      <c r="F11" s="1" t="s">
        <v>121</v>
      </c>
      <c r="G11" s="1" t="s">
        <v>122</v>
      </c>
      <c r="H11" s="1" t="s">
        <v>123</v>
      </c>
      <c r="I11" s="1" t="s">
        <v>124</v>
      </c>
      <c r="J11" s="1" t="s">
        <v>125</v>
      </c>
      <c r="K11" s="1" t="s">
        <v>126</v>
      </c>
      <c r="L11" s="1" t="s">
        <v>127</v>
      </c>
      <c r="M11" s="1" t="s">
        <v>128</v>
      </c>
      <c r="N11" s="1" t="s">
        <v>129</v>
      </c>
      <c r="O11" s="2">
        <f>IFERROR(__xludf.DUMMYFUNCTION("VALUE(REGEXEXTRACT(A11, ""\d+\.\d+""))"),0.936129033565521)</f>
        <v>0.9361290336</v>
      </c>
      <c r="P11" s="2">
        <f>IFERROR(__xludf.DUMMYFUNCTION("VALUE(REGEXEXTRACT(B11, ""\d+\.\d+""))"),0.949677407741546)</f>
        <v>0.9496774077</v>
      </c>
      <c r="Q11" s="2">
        <f>IFERROR(__xludf.DUMMYFUNCTION("VALUE(REGEXEXTRACT(C11, ""\d+\.\d+""))"),0.948064506053924)</f>
        <v>0.9480645061</v>
      </c>
      <c r="R11" s="2">
        <f>IFERROR(__xludf.DUMMYFUNCTION("VALUE(REGEXEXTRACT(D11, ""\d+\.\d+""))"),0.946021497249603)</f>
        <v>0.9460214972</v>
      </c>
      <c r="S11" s="2">
        <f>IFERROR(__xludf.DUMMYFUNCTION("VALUE(REGEXEXTRACT(E11, ""\d+\.\d+""))"),0.947849452495575)</f>
        <v>0.9478494525</v>
      </c>
      <c r="T11" s="2">
        <f>IFERROR(__xludf.DUMMYFUNCTION("VALUE(REGEXEXTRACT(F11, ""\d+\.\d+""))"),0.949999988079071)</f>
        <v>0.9499999881</v>
      </c>
      <c r="U11" s="2">
        <f>IFERROR(__xludf.DUMMYFUNCTION("VALUE(REGEXEXTRACT(G11, ""\d+\.\d+""))"),0.949784934520721)</f>
        <v>0.9497849345</v>
      </c>
      <c r="V11" s="2">
        <f>IFERROR(__xludf.DUMMYFUNCTION("VALUE(REGEXEXTRACT(H11, ""\d+\.\d+""))"),0.945268809795379)</f>
        <v>0.9452688098</v>
      </c>
      <c r="W11" s="2">
        <f>IFERROR(__xludf.DUMMYFUNCTION("VALUE(REGEXEXTRACT(I11, ""\d+\.\d+""))"),0.981720447540283)</f>
        <v>0.9817204475</v>
      </c>
      <c r="X11" s="2">
        <f>IFERROR(__xludf.DUMMYFUNCTION("VALUE(REGEXEXTRACT(J11, ""\d+\.\d+""))"),0.982365608215332)</f>
        <v>0.9823656082</v>
      </c>
      <c r="Y11" s="2">
        <f>IFERROR(__xludf.DUMMYFUNCTION("VALUE(REGEXEXTRACT(K11, ""\d+\.\d+""))"),0.981182813644409)</f>
        <v>0.9811828136</v>
      </c>
      <c r="Z11" s="2">
        <f>IFERROR(__xludf.DUMMYFUNCTION("VALUE(REGEXEXTRACT(L11, ""\d+\.\d+""))"),0.981612920761108)</f>
        <v>0.9816129208</v>
      </c>
      <c r="AA11" s="2">
        <f>IFERROR(__xludf.DUMMYFUNCTION("VALUE(REGEXEXTRACT(M11, ""\d+\.\d+""))"),0.980860233306884)</f>
        <v>0.9808602333</v>
      </c>
      <c r="AB11" s="2">
        <f>IFERROR(__xludf.DUMMYFUNCTION("VALUE(REGEXEXTRACT(N11, ""\d+\.\d+""))"),0.981075286865234)</f>
        <v>0.9810752869</v>
      </c>
    </row>
    <row r="12">
      <c r="A12" s="1" t="s">
        <v>130</v>
      </c>
      <c r="B12" s="1" t="s">
        <v>131</v>
      </c>
      <c r="C12" s="1" t="s">
        <v>132</v>
      </c>
      <c r="D12" s="1" t="s">
        <v>133</v>
      </c>
      <c r="E12" s="1" t="s">
        <v>134</v>
      </c>
      <c r="F12" s="1" t="s">
        <v>135</v>
      </c>
      <c r="G12" s="1" t="s">
        <v>136</v>
      </c>
      <c r="H12" s="1" t="s">
        <v>137</v>
      </c>
      <c r="I12" s="3" t="s">
        <v>138</v>
      </c>
      <c r="J12" s="3" t="s">
        <v>139</v>
      </c>
      <c r="K12" s="3" t="s">
        <v>140</v>
      </c>
      <c r="L12" s="3" t="s">
        <v>141</v>
      </c>
      <c r="M12" s="3" t="s">
        <v>142</v>
      </c>
      <c r="N12" s="3" t="s">
        <v>143</v>
      </c>
      <c r="O12" s="4">
        <f>IFERROR(__xludf.DUMMYFUNCTION("VALUE(REGEXEXTRACT(A12, ""\d+""))"),14.0)</f>
        <v>14</v>
      </c>
      <c r="P12" s="4">
        <f>IFERROR(__xludf.DUMMYFUNCTION("VALUE(REGEXEXTRACT(B12, ""\d+""))"),128.0)</f>
        <v>128</v>
      </c>
      <c r="Q12" s="4">
        <f>IFERROR(__xludf.DUMMYFUNCTION("VALUE(REGEXEXTRACT(C12, ""\d+""))"),217.0)</f>
        <v>217</v>
      </c>
      <c r="R12" s="4">
        <f>IFERROR(__xludf.DUMMYFUNCTION("VALUE(REGEXEXTRACT(D12, ""\d+""))"),113.0)</f>
        <v>113</v>
      </c>
      <c r="S12" s="4">
        <f>IFERROR(__xludf.DUMMYFUNCTION("VALUE(REGEXEXTRACT(E12, ""\d+""))"),142.0)</f>
        <v>142</v>
      </c>
      <c r="T12" s="4">
        <f>IFERROR(__xludf.DUMMYFUNCTION("VALUE(REGEXEXTRACT(F12, ""\d+""))"),190.0)</f>
        <v>190</v>
      </c>
      <c r="U12" s="4">
        <f>IFERROR(__xludf.DUMMYFUNCTION("VALUE(REGEXEXTRACT(G12, ""\d+""))"),165.0)</f>
        <v>165</v>
      </c>
      <c r="V12" s="4">
        <f>IFERROR(__xludf.DUMMYFUNCTION("VALUE(REGEXEXTRACT(H12, ""\d+""))"),174.0)</f>
        <v>174</v>
      </c>
      <c r="W12" s="4">
        <f>IFERROR(__xludf.DUMMYFUNCTION("VALUE(REGEXEXTRACT(I12, ""\d+""))"),90.0)</f>
        <v>90</v>
      </c>
      <c r="X12" s="4">
        <f>IFERROR(__xludf.DUMMYFUNCTION("VALUE(REGEXEXTRACT(J12, ""\d+""))"),50.0)</f>
        <v>50</v>
      </c>
      <c r="Y12" s="4">
        <f>IFERROR(__xludf.DUMMYFUNCTION("VALUE(REGEXEXTRACT(K12, ""\d+""))"),81.0)</f>
        <v>81</v>
      </c>
      <c r="Z12" s="4">
        <f>IFERROR(__xludf.DUMMYFUNCTION("VALUE(REGEXEXTRACT(L12, ""\d+""))"),74.0)</f>
        <v>74</v>
      </c>
      <c r="AA12" s="4">
        <f>IFERROR(__xludf.DUMMYFUNCTION("VALUE(REGEXEXTRACT(M12, ""\d+""))"),131.0)</f>
        <v>131</v>
      </c>
      <c r="AB12" s="4">
        <f>IFERROR(__xludf.DUMMYFUNCTION("VALUE(REGEXEXTRACT(N12, ""\d+""))"),141.0)</f>
        <v>141</v>
      </c>
      <c r="AC12" s="4"/>
    </row>
    <row r="13">
      <c r="A13" s="1" t="s">
        <v>144</v>
      </c>
      <c r="B13" s="1" t="s">
        <v>145</v>
      </c>
      <c r="C13" s="1" t="s">
        <v>146</v>
      </c>
      <c r="D13" s="1" t="s">
        <v>147</v>
      </c>
      <c r="E13" s="1" t="s">
        <v>148</v>
      </c>
      <c r="F13" s="1" t="s">
        <v>149</v>
      </c>
      <c r="G13" s="1" t="s">
        <v>150</v>
      </c>
      <c r="H13" s="1" t="s">
        <v>151</v>
      </c>
      <c r="I13" s="1" t="s">
        <v>152</v>
      </c>
      <c r="J13" s="1" t="s">
        <v>153</v>
      </c>
      <c r="K13" s="1" t="s">
        <v>154</v>
      </c>
      <c r="L13" s="1" t="s">
        <v>155</v>
      </c>
      <c r="M13" s="1" t="s">
        <v>156</v>
      </c>
      <c r="N13" s="1" t="s">
        <v>157</v>
      </c>
      <c r="O13" s="2">
        <f>IFERROR(__xludf.DUMMYFUNCTION("VALUE(REGEXEXTRACT(A13, ""\d+\.\d+""))"),0.167222246527671)</f>
        <v>0.1672222465</v>
      </c>
      <c r="P13" s="2">
        <f>IFERROR(__xludf.DUMMYFUNCTION("VALUE(REGEXEXTRACT(B13, ""\d+\.\d+""))"),0.12306610494852)</f>
        <v>0.1230661049</v>
      </c>
      <c r="Q13" s="2">
        <f>IFERROR(__xludf.DUMMYFUNCTION("VALUE(REGEXEXTRACT(C13, ""\d+\.\d+""))"),0.123774506151676)</f>
        <v>0.1237745062</v>
      </c>
      <c r="R13" s="2">
        <f>IFERROR(__xludf.DUMMYFUNCTION("VALUE(REGEXEXTRACT(D13, ""\d+\.\d+""))"),0.125567004084587)</f>
        <v>0.1255670041</v>
      </c>
      <c r="S13" s="2">
        <f>IFERROR(__xludf.DUMMYFUNCTION("VALUE(REGEXEXTRACT(E13, ""\d+\.\d+""))"),0.12908798456192)</f>
        <v>0.1290879846</v>
      </c>
      <c r="T13" s="2">
        <f>IFERROR(__xludf.DUMMYFUNCTION("VALUE(REGEXEXTRACT(F13, ""\d+\.\d+""))"),0.126287311315536)</f>
        <v>0.1262873113</v>
      </c>
      <c r="U13" s="2">
        <f>IFERROR(__xludf.DUMMYFUNCTION("VALUE(REGEXEXTRACT(G13, ""\d+\.\d+""))"),0.126420304179191)</f>
        <v>0.1264203042</v>
      </c>
      <c r="V13" s="2">
        <f>IFERROR(__xludf.DUMMYFUNCTION("VALUE(REGEXEXTRACT(H13, ""\d+\.\d+""))"),0.128674194216728)</f>
        <v>0.1286741942</v>
      </c>
      <c r="W13" s="2">
        <f>IFERROR(__xludf.DUMMYFUNCTION("VALUE(REGEXEXTRACT(I13, ""\d+\.\d+""))"),0.0540206432342529)</f>
        <v>0.05402064323</v>
      </c>
      <c r="X13" s="2">
        <f>IFERROR(__xludf.DUMMYFUNCTION("VALUE(REGEXEXTRACT(J13, ""\d+\.\d+""))"),0.0525665171444416)</f>
        <v>0.05256651714</v>
      </c>
      <c r="Y13" s="2">
        <f>IFERROR(__xludf.DUMMYFUNCTION("VALUE(REGEXEXTRACT(K13, ""\d+\.\d+""))"),0.0558366142213344)</f>
        <v>0.05583661422</v>
      </c>
      <c r="Z13" s="2">
        <f>IFERROR(__xludf.DUMMYFUNCTION("VALUE(REGEXEXTRACT(L13, ""\d+\.\d+""))"),0.0538350157439708)</f>
        <v>0.05383501574</v>
      </c>
      <c r="AA13" s="2">
        <f>IFERROR(__xludf.DUMMYFUNCTION("VALUE(REGEXEXTRACT(M13, ""\d+\.\d+""))"),0.0567557513713836)</f>
        <v>0.05675575137</v>
      </c>
      <c r="AB13" s="2">
        <f>IFERROR(__xludf.DUMMYFUNCTION("VALUE(REGEXEXTRACT(N13, ""\d+\.\d+""))"),0.0579192973673343)</f>
        <v>0.05791929737</v>
      </c>
    </row>
    <row r="14">
      <c r="A14" s="1" t="s">
        <v>158</v>
      </c>
      <c r="B14" s="1" t="s">
        <v>159</v>
      </c>
      <c r="C14" s="1" t="s">
        <v>160</v>
      </c>
      <c r="D14" s="1" t="s">
        <v>161</v>
      </c>
      <c r="E14" s="1" t="s">
        <v>162</v>
      </c>
      <c r="F14" s="1" t="s">
        <v>163</v>
      </c>
      <c r="G14" s="1" t="s">
        <v>164</v>
      </c>
      <c r="H14" s="1" t="s">
        <v>165</v>
      </c>
      <c r="I14" s="1" t="s">
        <v>166</v>
      </c>
      <c r="J14" s="1" t="s">
        <v>167</v>
      </c>
      <c r="K14" s="1" t="s">
        <v>168</v>
      </c>
      <c r="L14" s="1" t="s">
        <v>169</v>
      </c>
      <c r="M14" s="1" t="s">
        <v>170</v>
      </c>
      <c r="N14" s="1" t="s">
        <v>171</v>
      </c>
      <c r="O14" s="2">
        <f>IFERROR(__xludf.DUMMYFUNCTION("VALUE(REGEXEXTRACT(A14, ""\d+\.\d+""))"),0.933978494623655)</f>
        <v>0.9339784946</v>
      </c>
      <c r="P14" s="2">
        <f>IFERROR(__xludf.DUMMYFUNCTION("VALUE(REGEXEXTRACT(B14, ""\d+\.\d+""))"),0.947096774193548)</f>
        <v>0.9470967742</v>
      </c>
      <c r="Q14" s="2">
        <f>IFERROR(__xludf.DUMMYFUNCTION("VALUE(REGEXEXTRACT(C14, ""\d+\.\d+""))"),0.947956989247311)</f>
        <v>0.9479569892</v>
      </c>
      <c r="R14" s="2">
        <f>IFERROR(__xludf.DUMMYFUNCTION("VALUE(REGEXEXTRACT(D14, ""\d+\.\d+""))"),0.947741935483871)</f>
        <v>0.9477419355</v>
      </c>
      <c r="S14" s="2">
        <f>IFERROR(__xludf.DUMMYFUNCTION("VALUE(REGEXEXTRACT(E14, ""\d+\.\d+""))"),0.946881720430107)</f>
        <v>0.9468817204</v>
      </c>
      <c r="T14" s="2">
        <f>IFERROR(__xludf.DUMMYFUNCTION("VALUE(REGEXEXTRACT(F14, ""\d+\.\d+""))"),0.951290322580645)</f>
        <v>0.9512903226</v>
      </c>
      <c r="U14" s="2">
        <f>IFERROR(__xludf.DUMMYFUNCTION("VALUE(REGEXEXTRACT(G14, ""\d+\.\d+""))"),0.946774193548387)</f>
        <v>0.9467741935</v>
      </c>
      <c r="V14" s="2">
        <f>IFERROR(__xludf.DUMMYFUNCTION("VALUE(REGEXEXTRACT(H14, ""\d+\.\d+""))"),0.949032258064516)</f>
        <v>0.9490322581</v>
      </c>
      <c r="W14" s="2">
        <f>IFERROR(__xludf.DUMMYFUNCTION("VALUE(REGEXEXTRACT(I14, ""\d+\.\d+""))"),0.980752688172043)</f>
        <v>0.9807526882</v>
      </c>
      <c r="X14" s="2">
        <f>IFERROR(__xludf.DUMMYFUNCTION("VALUE(REGEXEXTRACT(J14, ""\d+\.\d+""))"),0.981720430107526)</f>
        <v>0.9817204301</v>
      </c>
      <c r="Y14" s="2">
        <f>IFERROR(__xludf.DUMMYFUNCTION("VALUE(REGEXEXTRACT(K14, ""\d+\.\d+""))"),0.982365591397849)</f>
        <v>0.9823655914</v>
      </c>
      <c r="Z14" s="2">
        <f>IFERROR(__xludf.DUMMYFUNCTION("VALUE(REGEXEXTRACT(L14, ""\d+\.\d+""))"),0.982258064516129)</f>
        <v>0.9822580645</v>
      </c>
      <c r="AA14" s="2">
        <f>IFERROR(__xludf.DUMMYFUNCTION("VALUE(REGEXEXTRACT(M14, ""\d+\.\d+""))"),0.981290322580645)</f>
        <v>0.9812903226</v>
      </c>
      <c r="AB14" s="2">
        <f>IFERROR(__xludf.DUMMYFUNCTION("VALUE(REGEXEXTRACT(N14, ""\d+\.\d+""))"),0.980645161290322)</f>
        <v>0.9806451613</v>
      </c>
    </row>
    <row r="15">
      <c r="A15" s="1" t="s">
        <v>172</v>
      </c>
      <c r="B15" s="1" t="s">
        <v>173</v>
      </c>
      <c r="C15" s="1" t="s">
        <v>174</v>
      </c>
      <c r="D15" s="1" t="s">
        <v>175</v>
      </c>
      <c r="E15" s="1" t="s">
        <v>176</v>
      </c>
      <c r="F15" s="1" t="s">
        <v>177</v>
      </c>
      <c r="G15" s="1" t="s">
        <v>178</v>
      </c>
      <c r="H15" s="1" t="s">
        <v>179</v>
      </c>
      <c r="I15" s="1" t="s">
        <v>180</v>
      </c>
      <c r="J15" s="1" t="s">
        <v>181</v>
      </c>
      <c r="K15" s="1" t="s">
        <v>182</v>
      </c>
      <c r="L15" s="1" t="s">
        <v>183</v>
      </c>
      <c r="M15" s="1" t="s">
        <v>184</v>
      </c>
      <c r="N15" s="1" t="s">
        <v>185</v>
      </c>
      <c r="O15" s="2">
        <f>IFERROR(__xludf.DUMMYFUNCTION("VALUE(REGEXEXTRACT(A15, ""\d+\.\d+""))"),0.954299864925709)</f>
        <v>0.9542998649</v>
      </c>
      <c r="P15" s="2">
        <f>IFERROR(__xludf.DUMMYFUNCTION("VALUE(REGEXEXTRACT(B15, ""\d+\.\d+""))"),0.965100671140939)</f>
        <v>0.9651006711</v>
      </c>
      <c r="Q15" s="2">
        <f>IFERROR(__xludf.DUMMYFUNCTION("VALUE(REGEXEXTRACT(C15, ""\d+\.\d+""))"),0.95740008783487)</f>
        <v>0.9574000878</v>
      </c>
      <c r="R15" s="2">
        <f>IFERROR(__xludf.DUMMYFUNCTION("VALUE(REGEXEXTRACT(D15, ""\d+\.\d+""))"),0.963284379172229)</f>
        <v>0.9632843792</v>
      </c>
      <c r="S15" s="2">
        <f>IFERROR(__xludf.DUMMYFUNCTION("VALUE(REGEXEXTRACT(E15, ""\d+\.\d+""))"),0.965501792114695)</f>
        <v>0.9655017921</v>
      </c>
      <c r="T15" s="2">
        <f>IFERROR(__xludf.DUMMYFUNCTION("VALUE(REGEXEXTRACT(F15, ""\d+\.\d+""))"),0.967476052572956)</f>
        <v>0.9674760526</v>
      </c>
      <c r="U15" s="2">
        <f>IFERROR(__xludf.DUMMYFUNCTION("VALUE(REGEXEXTRACT(G15, ""\d+\.\d+""))"),0.96176928206268)</f>
        <v>0.9617692821</v>
      </c>
      <c r="V15" s="2">
        <f>IFERROR(__xludf.DUMMYFUNCTION("VALUE(REGEXEXTRACT(H15, ""\d+\.\d+""))"),0.957693993862341)</f>
        <v>0.9576939939</v>
      </c>
      <c r="W15" s="2">
        <f>IFERROR(__xludf.DUMMYFUNCTION("VALUE(REGEXEXTRACT(I15, ""\d+\.\d+""))"),0.984608714502493)</f>
        <v>0.9846087145</v>
      </c>
      <c r="X15" s="2">
        <f>IFERROR(__xludf.DUMMYFUNCTION("VALUE(REGEXEXTRACT(J15, ""\d+\.\d+""))"),0.984848484848484)</f>
        <v>0.9848484848</v>
      </c>
      <c r="Y15" s="2">
        <f>IFERROR(__xludf.DUMMYFUNCTION("VALUE(REGEXEXTRACT(K15, ""\d+\.\d+""))"),0.987396784006953)</f>
        <v>0.987396784</v>
      </c>
      <c r="Z15" s="2">
        <f>IFERROR(__xludf.DUMMYFUNCTION("VALUE(REGEXEXTRACT(L15, ""\d+\.\d+""))"),0.984445884640311)</f>
        <v>0.9844458846</v>
      </c>
      <c r="AA15" s="2">
        <f>IFERROR(__xludf.DUMMYFUNCTION("VALUE(REGEXEXTRACT(M15, ""\d+\.\d+""))"),0.990574309513371)</f>
        <v>0.9905743095</v>
      </c>
      <c r="AB15" s="2">
        <f>IFERROR(__xludf.DUMMYFUNCTION("VALUE(REGEXEXTRACT(N15, ""\d+\.\d+""))"),0.981681034482758)</f>
        <v>0.9816810345</v>
      </c>
    </row>
    <row r="16">
      <c r="A16" s="1" t="s">
        <v>186</v>
      </c>
      <c r="B16" s="1" t="s">
        <v>187</v>
      </c>
      <c r="C16" s="1" t="s">
        <v>188</v>
      </c>
      <c r="D16" s="1" t="s">
        <v>189</v>
      </c>
      <c r="E16" s="1" t="s">
        <v>190</v>
      </c>
      <c r="F16" s="1" t="s">
        <v>191</v>
      </c>
      <c r="G16" s="1" t="s">
        <v>192</v>
      </c>
      <c r="H16" s="1" t="s">
        <v>193</v>
      </c>
      <c r="I16" s="1" t="s">
        <v>194</v>
      </c>
      <c r="J16" s="1" t="s">
        <v>195</v>
      </c>
      <c r="K16" s="1" t="s">
        <v>196</v>
      </c>
      <c r="L16" s="1" t="s">
        <v>197</v>
      </c>
      <c r="M16" s="1" t="s">
        <v>198</v>
      </c>
      <c r="N16" s="1" t="s">
        <v>199</v>
      </c>
      <c r="O16" s="2">
        <f>IFERROR(__xludf.DUMMYFUNCTION("VALUE(REGEXEXTRACT(A16, ""\d+\.\d+""))"),0.911612903225806)</f>
        <v>0.9116129032</v>
      </c>
      <c r="P16" s="2">
        <f>IFERROR(__xludf.DUMMYFUNCTION("VALUE(REGEXEXTRACT(B16, ""\d+\.\d+""))"),0.927741935483871)</f>
        <v>0.9277419355</v>
      </c>
      <c r="Q16" s="2">
        <f>IFERROR(__xludf.DUMMYFUNCTION("VALUE(REGEXEXTRACT(C16, ""\d+\.\d+""))"),0.93763440860215)</f>
        <v>0.9376344086</v>
      </c>
      <c r="R16" s="2">
        <f>IFERROR(__xludf.DUMMYFUNCTION("VALUE(REGEXEXTRACT(D16, ""\d+\.\d+""))"),0.930967741935483)</f>
        <v>0.9309677419</v>
      </c>
      <c r="S16" s="2">
        <f>IFERROR(__xludf.DUMMYFUNCTION("VALUE(REGEXEXTRACT(E16, ""\d+\.\d+""))"),0.926881720430107)</f>
        <v>0.9268817204</v>
      </c>
      <c r="T16" s="2">
        <f>IFERROR(__xludf.DUMMYFUNCTION("VALUE(REGEXEXTRACT(F16, ""\d+\.\d+""))"),0.933978494623655)</f>
        <v>0.9339784946</v>
      </c>
      <c r="U16" s="2">
        <f>IFERROR(__xludf.DUMMYFUNCTION("VALUE(REGEXEXTRACT(G16, ""\d+\.\d+""))"),0.930537634408602)</f>
        <v>0.9305376344</v>
      </c>
      <c r="V16" s="2">
        <f>IFERROR(__xludf.DUMMYFUNCTION("VALUE(REGEXEXTRACT(H16, ""\d+\.\d+""))"),0.939569892473118)</f>
        <v>0.9395698925</v>
      </c>
      <c r="W16" s="2">
        <f>IFERROR(__xludf.DUMMYFUNCTION("VALUE(REGEXEXTRACT(I16, ""\d+\.\d+""))"),0.976774193548387)</f>
        <v>0.9767741935</v>
      </c>
      <c r="X16" s="2">
        <f>IFERROR(__xludf.DUMMYFUNCTION("VALUE(REGEXEXTRACT(J16, ""\d+\.\d+""))"),0.978494623655914)</f>
        <v>0.9784946237</v>
      </c>
      <c r="Y16" s="2">
        <f>IFERROR(__xludf.DUMMYFUNCTION("VALUE(REGEXEXTRACT(K16, ""\d+\.\d+""))"),0.977204301075268)</f>
        <v>0.9772043011</v>
      </c>
      <c r="Z16" s="2">
        <f>IFERROR(__xludf.DUMMYFUNCTION("VALUE(REGEXEXTRACT(L16, ""\d+\.\d+""))"),0.98)</f>
        <v>0.98</v>
      </c>
      <c r="AA16" s="2">
        <f>IFERROR(__xludf.DUMMYFUNCTION("VALUE(REGEXEXTRACT(M16, ""\d+\.\d+""))"),0.971827956989247)</f>
        <v>0.971827957</v>
      </c>
      <c r="AB16" s="2">
        <f>IFERROR(__xludf.DUMMYFUNCTION("VALUE(REGEXEXTRACT(N16, ""\d+\.\d+""))"),0.979569892473118)</f>
        <v>0.9795698925</v>
      </c>
    </row>
    <row r="17">
      <c r="A17" s="1" t="s">
        <v>200</v>
      </c>
      <c r="B17" s="1" t="s">
        <v>201</v>
      </c>
      <c r="C17" s="1" t="s">
        <v>202</v>
      </c>
      <c r="D17" s="1" t="s">
        <v>203</v>
      </c>
      <c r="E17" s="1" t="s">
        <v>204</v>
      </c>
      <c r="F17" s="1" t="s">
        <v>205</v>
      </c>
      <c r="G17" s="1" t="s">
        <v>206</v>
      </c>
      <c r="H17" s="1" t="s">
        <v>207</v>
      </c>
      <c r="I17" s="1" t="s">
        <v>208</v>
      </c>
      <c r="J17" s="1" t="s">
        <v>209</v>
      </c>
      <c r="K17" s="1" t="s">
        <v>210</v>
      </c>
      <c r="L17" s="1" t="s">
        <v>211</v>
      </c>
      <c r="M17" s="1" t="s">
        <v>212</v>
      </c>
      <c r="N17" s="1" t="s">
        <v>213</v>
      </c>
      <c r="O17" s="2">
        <f>IFERROR(__xludf.DUMMYFUNCTION("VALUE(REGEXEXTRACT(A17, ""\d+\.\d+""))"),0.93246810382754)</f>
        <v>0.9324681038</v>
      </c>
      <c r="P17" s="2">
        <f>IFERROR(__xludf.DUMMYFUNCTION("VALUE(REGEXEXTRACT(B17, ""\d+\.\d+""))"),0.946052631578947)</f>
        <v>0.9460526316</v>
      </c>
      <c r="Q17" s="2">
        <f>IFERROR(__xludf.DUMMYFUNCTION("VALUE(REGEXEXTRACT(C17, ""\d+\.\d+""))"),0.94741416775315)</f>
        <v>0.9474141678</v>
      </c>
      <c r="R17" s="2">
        <f>IFERROR(__xludf.DUMMYFUNCTION("VALUE(REGEXEXTRACT(D17, ""\d+\.\d+""))"),0.946850393700787)</f>
        <v>0.9468503937</v>
      </c>
      <c r="S17" s="2">
        <f>IFERROR(__xludf.DUMMYFUNCTION("VALUE(REGEXEXTRACT(E17, ""\d+\.\d+""))"),0.945797673908273)</f>
        <v>0.9457976739</v>
      </c>
      <c r="T17" s="2">
        <f>IFERROR(__xludf.DUMMYFUNCTION("VALUE(REGEXEXTRACT(F17, ""\d+\.\d+""))"),0.950432213590108)</f>
        <v>0.9504322136</v>
      </c>
      <c r="U17" s="2">
        <f>IFERROR(__xludf.DUMMYFUNCTION("VALUE(REGEXEXTRACT(G17, ""\d+\.\d+""))"),0.945895726308886)</f>
        <v>0.9458957263</v>
      </c>
      <c r="V17" s="2">
        <f>IFERROR(__xludf.DUMMYFUNCTION("VALUE(REGEXEXTRACT(H17, ""\d+\.\d+""))"),0.948545375597047)</f>
        <v>0.9485453756</v>
      </c>
      <c r="W17" s="2">
        <f>IFERROR(__xludf.DUMMYFUNCTION("VALUE(REGEXEXTRACT(I17, ""\d+\.\d+""))"),0.980675806973982)</f>
        <v>0.980675807</v>
      </c>
      <c r="X17" s="2">
        <f>IFERROR(__xludf.DUMMYFUNCTION("VALUE(REGEXEXTRACT(J17, ""\d+\.\d+""))"),0.981661272923408)</f>
        <v>0.9816612729</v>
      </c>
      <c r="Y17" s="2">
        <f>IFERROR(__xludf.DUMMYFUNCTION("VALUE(REGEXEXTRACT(K17, ""\d+\.\d+""))"),0.982274102896671)</f>
        <v>0.9822741029</v>
      </c>
      <c r="Z17" s="2">
        <f>IFERROR(__xludf.DUMMYFUNCTION("VALUE(REGEXEXTRACT(L17, ""\d+\.\d+""))"),0.982217911412867)</f>
        <v>0.9822179114</v>
      </c>
      <c r="AA17" s="2">
        <f>IFERROR(__xludf.DUMMYFUNCTION("VALUE(REGEXEXTRACT(M17, ""\d+\.\d+""))"),0.981111593573599)</f>
        <v>0.9811115936</v>
      </c>
      <c r="AB17" s="2">
        <f>IFERROR(__xludf.DUMMYFUNCTION("VALUE(REGEXEXTRACT(N17, ""\d+\.\d+""))"),0.980624327233584)</f>
        <v>0.9806243272</v>
      </c>
    </row>
    <row r="18">
      <c r="A18" s="1" t="s">
        <v>214</v>
      </c>
      <c r="B18" s="1" t="s">
        <v>215</v>
      </c>
      <c r="C18" s="1" t="s">
        <v>216</v>
      </c>
      <c r="D18" s="1" t="s">
        <v>217</v>
      </c>
      <c r="E18" s="1" t="s">
        <v>218</v>
      </c>
      <c r="F18" s="1" t="s">
        <v>219</v>
      </c>
      <c r="G18" s="1" t="s">
        <v>220</v>
      </c>
      <c r="H18" s="1" t="s">
        <v>221</v>
      </c>
      <c r="I18" s="1" t="s">
        <v>222</v>
      </c>
      <c r="J18" s="1" t="s">
        <v>223</v>
      </c>
      <c r="K18" s="1" t="s">
        <v>224</v>
      </c>
      <c r="L18" s="1" t="s">
        <v>225</v>
      </c>
      <c r="M18" s="1" t="s">
        <v>226</v>
      </c>
      <c r="N18" s="1" t="s">
        <v>227</v>
      </c>
      <c r="O18" s="2">
        <f>IFERROR(__xludf.DUMMYFUNCTION("VALUE(REGEXEXTRACT(A18, ""\d+\.\d+""))"),0.985645323158746)</f>
        <v>0.9856453232</v>
      </c>
      <c r="P18" s="2">
        <f>IFERROR(__xludf.DUMMYFUNCTION("VALUE(REGEXEXTRACT(B18, ""\d+\.\d+""))"),0.990600994334605)</f>
        <v>0.9906009943</v>
      </c>
      <c r="Q18" s="2">
        <f>IFERROR(__xludf.DUMMYFUNCTION("VALUE(REGEXEXTRACT(C18, ""\d+\.\d+""))"),0.990519112036073)</f>
        <v>0.990519112</v>
      </c>
      <c r="R18" s="2">
        <f>IFERROR(__xludf.DUMMYFUNCTION("VALUE(REGEXEXTRACT(D18, ""\d+\.\d+""))"),0.990533911434848)</f>
        <v>0.9905339114</v>
      </c>
      <c r="S18" s="2">
        <f>IFERROR(__xludf.DUMMYFUNCTION("VALUE(REGEXEXTRACT(E18, ""\d+\.\d+""))"),0.990215863105561)</f>
        <v>0.9902158631</v>
      </c>
      <c r="T18" s="2">
        <f>IFERROR(__xludf.DUMMYFUNCTION("VALUE(REGEXEXTRACT(F18, ""\d+\.\d+""))"),0.991291848768644)</f>
        <v>0.9912918488</v>
      </c>
      <c r="U18" s="2">
        <f>IFERROR(__xludf.DUMMYFUNCTION("VALUE(REGEXEXTRACT(G18, ""\d+\.\d+""))"),0.990368481905422)</f>
        <v>0.9903684819</v>
      </c>
      <c r="V18" s="2">
        <f>IFERROR(__xludf.DUMMYFUNCTION("VALUE(REGEXEXTRACT(H18, ""\d+\.\d+""))"),0.990997016996184)</f>
        <v>0.990997017</v>
      </c>
      <c r="W18" s="2">
        <f>IFERROR(__xludf.DUMMYFUNCTION("VALUE(REGEXEXTRACT(I18, ""\d+\.\d+""))"),0.998386657417042)</f>
        <v>0.9983866574</v>
      </c>
      <c r="X18" s="2">
        <f>IFERROR(__xludf.DUMMYFUNCTION("VALUE(REGEXEXTRACT(J18, ""\d+\.\d+""))"),0.998417042432651)</f>
        <v>0.9984170424</v>
      </c>
      <c r="Y18" s="2">
        <f>IFERROR(__xludf.DUMMYFUNCTION("VALUE(REGEXEXTRACT(K18, ""\d+\.\d+""))"),0.998468886576482)</f>
        <v>0.9984688866</v>
      </c>
      <c r="Z18" s="2">
        <f>IFERROR(__xludf.DUMMYFUNCTION("VALUE(REGEXEXTRACT(L18, ""\d+\.\d+""))"),0.99818617181177)</f>
        <v>0.9981861718</v>
      </c>
      <c r="AA18" s="2">
        <f>IFERROR(__xludf.DUMMYFUNCTION("VALUE(REGEXEXTRACT(M18, ""\d+\.\d+""))"),0.997313978494623)</f>
        <v>0.9973139785</v>
      </c>
      <c r="AB18" s="2">
        <f>IFERROR(__xludf.DUMMYFUNCTION("VALUE(REGEXEXTRACT(N18, ""\d+\.\d+""))"),0.998176066597294)</f>
        <v>0.9981760666</v>
      </c>
    </row>
    <row r="19" hidden="1">
      <c r="A19" s="1" t="s">
        <v>228</v>
      </c>
      <c r="B19" s="1" t="s">
        <v>229</v>
      </c>
      <c r="C19" s="1" t="s">
        <v>230</v>
      </c>
      <c r="D19" s="1" t="s">
        <v>231</v>
      </c>
      <c r="E19" s="1" t="s">
        <v>232</v>
      </c>
      <c r="F19" s="1" t="s">
        <v>233</v>
      </c>
      <c r="G19" s="1" t="s">
        <v>234</v>
      </c>
      <c r="H19" s="1" t="s">
        <v>235</v>
      </c>
      <c r="I19" s="1" t="s">
        <v>236</v>
      </c>
      <c r="J19" s="1" t="s">
        <v>237</v>
      </c>
      <c r="K19" s="1" t="s">
        <v>238</v>
      </c>
      <c r="L19" s="1" t="s">
        <v>239</v>
      </c>
      <c r="M19" s="1" t="s">
        <v>240</v>
      </c>
      <c r="N19" s="1" t="s">
        <v>241</v>
      </c>
      <c r="O19" s="2">
        <f>IFERROR(__xludf.DUMMYFUNCTION("VALUE(REGEXEXTRACT(A19, ""\d+\.\d+""))"),0.986480926164155)</f>
        <v>0.9864809262</v>
      </c>
      <c r="P19" s="2">
        <f>IFERROR(__xludf.DUMMYFUNCTION("VALUE(REGEXEXTRACT(B19, ""\d+\.\d+""))"),0.991360621362427)</f>
        <v>0.9913606214</v>
      </c>
    </row>
    <row r="20" hidden="1">
      <c r="A20" s="1" t="s">
        <v>242</v>
      </c>
      <c r="B20" s="1" t="s">
        <v>242</v>
      </c>
      <c r="C20" s="1" t="s">
        <v>242</v>
      </c>
      <c r="D20" s="1" t="s">
        <v>242</v>
      </c>
      <c r="E20" s="1" t="s">
        <v>242</v>
      </c>
      <c r="F20" s="1" t="s">
        <v>242</v>
      </c>
      <c r="G20" s="1" t="s">
        <v>242</v>
      </c>
      <c r="H20" s="1" t="s">
        <v>242</v>
      </c>
      <c r="I20" s="1" t="s">
        <v>242</v>
      </c>
      <c r="J20" s="1" t="s">
        <v>242</v>
      </c>
      <c r="K20" s="1" t="s">
        <v>242</v>
      </c>
      <c r="L20" s="1" t="s">
        <v>242</v>
      </c>
      <c r="M20" s="1" t="s">
        <v>242</v>
      </c>
      <c r="N20" s="1" t="s">
        <v>242</v>
      </c>
    </row>
    <row r="21" hidden="1">
      <c r="A21" s="1" t="s">
        <v>243</v>
      </c>
      <c r="B21" s="1" t="s">
        <v>244</v>
      </c>
      <c r="C21" s="1" t="s">
        <v>245</v>
      </c>
      <c r="D21" s="1" t="s">
        <v>246</v>
      </c>
      <c r="E21" s="1" t="s">
        <v>247</v>
      </c>
      <c r="F21" s="1" t="s">
        <v>248</v>
      </c>
      <c r="G21" s="1" t="s">
        <v>249</v>
      </c>
      <c r="H21" s="1" t="s">
        <v>250</v>
      </c>
      <c r="I21" s="1" t="s">
        <v>251</v>
      </c>
      <c r="J21" s="1" t="s">
        <v>252</v>
      </c>
      <c r="K21" s="1" t="s">
        <v>253</v>
      </c>
      <c r="L21" s="1" t="s">
        <v>254</v>
      </c>
      <c r="M21" s="1" t="s">
        <v>255</v>
      </c>
      <c r="N21" s="1" t="s">
        <v>256</v>
      </c>
    </row>
    <row r="22" hidden="1">
      <c r="A22" s="1" t="s">
        <v>257</v>
      </c>
      <c r="B22" s="1" t="s">
        <v>258</v>
      </c>
      <c r="C22" s="1" t="s">
        <v>259</v>
      </c>
      <c r="D22" s="1" t="s">
        <v>260</v>
      </c>
      <c r="E22" s="1" t="s">
        <v>261</v>
      </c>
      <c r="F22" s="1" t="s">
        <v>262</v>
      </c>
      <c r="G22" s="1" t="s">
        <v>263</v>
      </c>
      <c r="H22" s="1" t="s">
        <v>264</v>
      </c>
      <c r="I22" s="1" t="s">
        <v>265</v>
      </c>
      <c r="J22" s="1" t="s">
        <v>266</v>
      </c>
      <c r="K22" s="1" t="s">
        <v>267</v>
      </c>
      <c r="L22" s="1" t="s">
        <v>268</v>
      </c>
      <c r="M22" s="1" t="s">
        <v>269</v>
      </c>
      <c r="N22" s="1" t="s">
        <v>270</v>
      </c>
    </row>
    <row r="24" hidden="1">
      <c r="A24" s="1" t="s">
        <v>271</v>
      </c>
      <c r="B24" s="1" t="s">
        <v>271</v>
      </c>
      <c r="C24" s="1" t="s">
        <v>271</v>
      </c>
      <c r="D24" s="1" t="s">
        <v>271</v>
      </c>
      <c r="E24" s="1" t="s">
        <v>271</v>
      </c>
      <c r="F24" s="1" t="s">
        <v>271</v>
      </c>
      <c r="G24" s="1" t="s">
        <v>271</v>
      </c>
      <c r="H24" s="1" t="s">
        <v>271</v>
      </c>
      <c r="I24" s="1" t="s">
        <v>271</v>
      </c>
      <c r="J24" s="1" t="s">
        <v>271</v>
      </c>
      <c r="K24" s="1" t="s">
        <v>271</v>
      </c>
      <c r="L24" s="1" t="s">
        <v>271</v>
      </c>
      <c r="M24" s="1" t="s">
        <v>271</v>
      </c>
      <c r="N24" s="1" t="s">
        <v>271</v>
      </c>
    </row>
    <row r="25">
      <c r="A25" s="1" t="s">
        <v>272</v>
      </c>
      <c r="B25" s="1" t="s">
        <v>273</v>
      </c>
      <c r="C25" s="1" t="s">
        <v>274</v>
      </c>
      <c r="D25" s="1" t="s">
        <v>274</v>
      </c>
      <c r="E25" s="1" t="s">
        <v>275</v>
      </c>
      <c r="F25" s="1" t="s">
        <v>276</v>
      </c>
      <c r="G25" s="1" t="s">
        <v>277</v>
      </c>
      <c r="H25" s="1" t="s">
        <v>278</v>
      </c>
      <c r="I25" s="1" t="s">
        <v>279</v>
      </c>
      <c r="J25" s="1" t="s">
        <v>280</v>
      </c>
      <c r="K25" s="1" t="s">
        <v>281</v>
      </c>
      <c r="L25" s="1" t="s">
        <v>282</v>
      </c>
      <c r="M25" s="1" t="s">
        <v>283</v>
      </c>
      <c r="N25" s="1" t="s">
        <v>284</v>
      </c>
      <c r="O25" s="2">
        <f>IFERROR(__xludf.DUMMYFUNCTION("VALUE(REGEXEXTRACT(A25, ""\d+\.\d+""))"),2.9)</f>
        <v>2.9</v>
      </c>
      <c r="P25" s="2">
        <f>IFERROR(__xludf.DUMMYFUNCTION("VALUE(REGEXEXTRACT(B25, ""\d+\.\d+""))"),3.7)</f>
        <v>3.7</v>
      </c>
      <c r="Q25" s="2">
        <f>IFERROR(__xludf.DUMMYFUNCTION("VALUE(REGEXEXTRACT(C25, ""\d+\.\d+""))"),4.1)</f>
        <v>4.1</v>
      </c>
      <c r="R25" s="2">
        <f>IFERROR(__xludf.DUMMYFUNCTION("VALUE(REGEXEXTRACT(D25, ""\d+\.\d+""))"),4.1)</f>
        <v>4.1</v>
      </c>
      <c r="S25" s="2">
        <f>IFERROR(__xludf.DUMMYFUNCTION("VALUE(REGEXEXTRACT(E25, ""\d+\.\d+""))"),6.9)</f>
        <v>6.9</v>
      </c>
      <c r="T25" s="2">
        <f>IFERROR(__xludf.DUMMYFUNCTION("VALUE(REGEXEXTRACT(F25, ""\d+\.\d+""))"),4.2)</f>
        <v>4.2</v>
      </c>
      <c r="U25" s="2">
        <f>IFERROR(__xludf.DUMMYFUNCTION("VALUE(REGEXEXTRACT(G25, ""\d+\.\d+""))"),5.0)</f>
        <v>5</v>
      </c>
      <c r="V25" s="2">
        <f>IFERROR(__xludf.DUMMYFUNCTION("VALUE(REGEXEXTRACT(H25, ""\d+\.\d+""))"),6.6)</f>
        <v>6.6</v>
      </c>
      <c r="W25" s="2">
        <f>IFERROR(__xludf.DUMMYFUNCTION("VALUE(REGEXEXTRACT(I25, ""\d+\.\d+""))"),4.9)</f>
        <v>4.9</v>
      </c>
      <c r="X25" s="2">
        <f>IFERROR(__xludf.DUMMYFUNCTION("VALUE(REGEXEXTRACT(J25, ""\d+\.\d+""))"),4.5)</f>
        <v>4.5</v>
      </c>
      <c r="Y25" s="2">
        <f>IFERROR(__xludf.DUMMYFUNCTION("VALUE(REGEXEXTRACT(K25, ""\d+\.\d+""))"),4.6)</f>
        <v>4.6</v>
      </c>
      <c r="Z25" s="2">
        <f>IFERROR(__xludf.DUMMYFUNCTION("VALUE(REGEXEXTRACT(L25, ""\d+\.\d+""))"),7.0)</f>
        <v>7</v>
      </c>
      <c r="AA25" s="2">
        <f>IFERROR(__xludf.DUMMYFUNCTION("VALUE(REGEXEXTRACT(M25, ""\d+\.\d+""))"),6.7)</f>
        <v>6.7</v>
      </c>
      <c r="AB25" s="2">
        <f>IFERROR(__xludf.DUMMYFUNCTION("VALUE(REGEXEXTRACT(N25, ""\d+\.\d+""))"),7.2)</f>
        <v>7.2</v>
      </c>
    </row>
    <row r="26">
      <c r="A26" s="1" t="s">
        <v>285</v>
      </c>
      <c r="B26" s="1" t="s">
        <v>286</v>
      </c>
      <c r="C26" s="1" t="s">
        <v>287</v>
      </c>
      <c r="D26" s="1" t="s">
        <v>288</v>
      </c>
      <c r="E26" s="1" t="s">
        <v>289</v>
      </c>
      <c r="F26" s="1" t="s">
        <v>290</v>
      </c>
      <c r="G26" s="1" t="s">
        <v>291</v>
      </c>
      <c r="H26" s="1" t="s">
        <v>292</v>
      </c>
      <c r="I26" s="3" t="s">
        <v>293</v>
      </c>
      <c r="J26" s="3" t="s">
        <v>294</v>
      </c>
      <c r="K26" s="3" t="s">
        <v>295</v>
      </c>
      <c r="L26" s="3" t="s">
        <v>296</v>
      </c>
      <c r="M26" s="3" t="s">
        <v>297</v>
      </c>
      <c r="N26" s="3" t="s">
        <v>298</v>
      </c>
      <c r="O26" s="4">
        <f>IFERROR(__xludf.DUMMYFUNCTION("VALUE(REGEXEXTRACT(A26, ""\d+""))"),7.390052352E9)</f>
        <v>7390052352</v>
      </c>
      <c r="P26" s="4">
        <f>IFERROR(__xludf.DUMMYFUNCTION("VALUE(REGEXEXTRACT(B26, ""\d+""))"),7.770374144E9)</f>
        <v>7770374144</v>
      </c>
      <c r="Q26" s="4">
        <f>IFERROR(__xludf.DUMMYFUNCTION("VALUE(REGEXEXTRACT(C26, ""\d+""))"),8.242958336E9)</f>
        <v>8242958336</v>
      </c>
      <c r="R26" s="4">
        <f>IFERROR(__xludf.DUMMYFUNCTION("VALUE(REGEXEXTRACT(D26, ""\d+""))"),7.89659648E9)</f>
        <v>7896596480</v>
      </c>
      <c r="S26" s="4">
        <f>IFERROR(__xludf.DUMMYFUNCTION("VALUE(REGEXEXTRACT(E26, ""\d+""))"),8.0454656E9)</f>
        <v>8045465600</v>
      </c>
      <c r="T26" s="4">
        <f>IFERROR(__xludf.DUMMYFUNCTION("VALUE(REGEXEXTRACT(F26, ""\d+""))"),7.989792768E9)</f>
        <v>7989792768</v>
      </c>
      <c r="U26" s="4">
        <f>IFERROR(__xludf.DUMMYFUNCTION("VALUE(REGEXEXTRACT(G26, ""\d+""))"),8.077504512E9)</f>
        <v>8077504512</v>
      </c>
      <c r="V26" s="4">
        <f>IFERROR(__xludf.DUMMYFUNCTION("VALUE(REGEXEXTRACT(H26, ""\d+""))"),1.1370119168E10)</f>
        <v>11370119168</v>
      </c>
      <c r="W26" s="4">
        <f>IFERROR(__xludf.DUMMYFUNCTION("VALUE(REGEXEXTRACT(I26, ""\d+""))"),9.208725504E9)</f>
        <v>9208725504</v>
      </c>
      <c r="X26" s="4">
        <f>IFERROR(__xludf.DUMMYFUNCTION("VALUE(REGEXEXTRACT(J26, ""\d+""))"),9.018712064E9)</f>
        <v>9018712064</v>
      </c>
      <c r="Y26" s="4">
        <f>IFERROR(__xludf.DUMMYFUNCTION("VALUE(REGEXEXTRACT(K26, ""\d+""))"),9.11259648E9)</f>
        <v>9112596480</v>
      </c>
      <c r="Z26" s="4">
        <f>IFERROR(__xludf.DUMMYFUNCTION("VALUE(REGEXEXTRACT(L26, ""\d+""))"),9.257058304E9)</f>
        <v>9257058304</v>
      </c>
      <c r="AA26" s="4">
        <f>IFERROR(__xludf.DUMMYFUNCTION("VALUE(REGEXEXTRACT(M26, ""\d+""))"),1.0414665728E10)</f>
        <v>10414665728</v>
      </c>
      <c r="AB26" s="4">
        <f>IFERROR(__xludf.DUMMYFUNCTION("VALUE(REGEXEXTRACT(N26, ""\d+""))"),1.1273080832E10)</f>
        <v>11273080832</v>
      </c>
      <c r="AC26" s="4"/>
    </row>
    <row r="27">
      <c r="A27" s="1" t="s">
        <v>299</v>
      </c>
      <c r="B27" s="1" t="s">
        <v>300</v>
      </c>
      <c r="C27" s="1" t="s">
        <v>301</v>
      </c>
      <c r="D27" s="1" t="s">
        <v>302</v>
      </c>
      <c r="E27" s="1" t="s">
        <v>301</v>
      </c>
      <c r="F27" s="1" t="s">
        <v>303</v>
      </c>
      <c r="G27" s="1" t="s">
        <v>304</v>
      </c>
      <c r="H27" s="1" t="s">
        <v>305</v>
      </c>
      <c r="I27" s="1" t="s">
        <v>306</v>
      </c>
      <c r="J27" s="1" t="s">
        <v>299</v>
      </c>
      <c r="K27" s="1" t="s">
        <v>307</v>
      </c>
      <c r="L27" s="1" t="s">
        <v>300</v>
      </c>
      <c r="M27" s="1" t="s">
        <v>308</v>
      </c>
      <c r="N27" s="1" t="s">
        <v>309</v>
      </c>
      <c r="O27" s="2">
        <f>IFERROR(__xludf.DUMMYFUNCTION("VALUE(REGEXEXTRACT(A27, ""\d+\.\d+""))"),7.8)</f>
        <v>7.8</v>
      </c>
      <c r="P27" s="2">
        <f>IFERROR(__xludf.DUMMYFUNCTION("VALUE(REGEXEXTRACT(B27, ""\d+\.\d+""))"),6.1)</f>
        <v>6.1</v>
      </c>
      <c r="Q27" s="2">
        <f>IFERROR(__xludf.DUMMYFUNCTION("VALUE(REGEXEXTRACT(C27, ""\d+\.\d+""))"),4.5)</f>
        <v>4.5</v>
      </c>
      <c r="R27" s="2">
        <f>IFERROR(__xludf.DUMMYFUNCTION("VALUE(REGEXEXTRACT(D27, ""\d+\.\d+""))"),5.2)</f>
        <v>5.2</v>
      </c>
      <c r="S27" s="2">
        <f>IFERROR(__xludf.DUMMYFUNCTION("VALUE(REGEXEXTRACT(E27, ""\d+\.\d+""))"),4.5)</f>
        <v>4.5</v>
      </c>
      <c r="T27" s="2">
        <f>IFERROR(__xludf.DUMMYFUNCTION("VALUE(REGEXEXTRACT(F27, ""\d+\.\d+""))"),5.6)</f>
        <v>5.6</v>
      </c>
      <c r="U27" s="2">
        <f>IFERROR(__xludf.DUMMYFUNCTION("VALUE(REGEXEXTRACT(G27, ""\d+\.\d+""))"),6.0)</f>
        <v>6</v>
      </c>
      <c r="V27" s="2">
        <f>IFERROR(__xludf.DUMMYFUNCTION("VALUE(REGEXEXTRACT(H27, ""\d+\.\d+""))"),10.7)</f>
        <v>10.7</v>
      </c>
      <c r="W27" s="2">
        <f>IFERROR(__xludf.DUMMYFUNCTION("VALUE(REGEXEXTRACT(I27, ""\d+\.\d+""))"),4.8)</f>
        <v>4.8</v>
      </c>
      <c r="X27" s="2">
        <f>IFERROR(__xludf.DUMMYFUNCTION("VALUE(REGEXEXTRACT(J27, ""\d+\.\d+""))"),7.8)</f>
        <v>7.8</v>
      </c>
      <c r="Y27" s="2">
        <f>IFERROR(__xludf.DUMMYFUNCTION("VALUE(REGEXEXTRACT(K27, ""\d+\.\d+""))"),5.3)</f>
        <v>5.3</v>
      </c>
      <c r="Z27" s="2">
        <f>IFERROR(__xludf.DUMMYFUNCTION("VALUE(REGEXEXTRACT(L27, ""\d+\.\d+""))"),6.1)</f>
        <v>6.1</v>
      </c>
      <c r="AA27" s="2">
        <f>IFERROR(__xludf.DUMMYFUNCTION("VALUE(REGEXEXTRACT(M27, ""\d+\.\d+""))"),6.5)</f>
        <v>6.5</v>
      </c>
      <c r="AB27" s="2">
        <f>IFERROR(__xludf.DUMMYFUNCTION("VALUE(REGEXEXTRACT(N27, ""\d+\.\d+""))"),4.0)</f>
        <v>4</v>
      </c>
    </row>
    <row r="28">
      <c r="A28" s="1" t="s">
        <v>310</v>
      </c>
      <c r="B28" s="1" t="s">
        <v>311</v>
      </c>
      <c r="C28" s="1" t="s">
        <v>312</v>
      </c>
      <c r="D28" s="1" t="s">
        <v>313</v>
      </c>
      <c r="E28" s="1" t="s">
        <v>314</v>
      </c>
      <c r="F28" s="1" t="s">
        <v>315</v>
      </c>
      <c r="G28" s="1" t="s">
        <v>316</v>
      </c>
      <c r="H28" s="1" t="s">
        <v>317</v>
      </c>
      <c r="I28" s="3" t="s">
        <v>318</v>
      </c>
      <c r="J28" s="3" t="s">
        <v>319</v>
      </c>
      <c r="K28" s="3" t="s">
        <v>320</v>
      </c>
      <c r="L28" s="3" t="s">
        <v>321</v>
      </c>
      <c r="M28" s="3" t="s">
        <v>322</v>
      </c>
      <c r="N28" s="3" t="s">
        <v>323</v>
      </c>
      <c r="O28" s="4">
        <f>IFERROR(__xludf.DUMMYFUNCTION("VALUE(REGEXEXTRACT(A28, ""\d+""))"),7.396950016E9)</f>
        <v>7396950016</v>
      </c>
      <c r="P28" s="4">
        <f>IFERROR(__xludf.DUMMYFUNCTION("VALUE(REGEXEXTRACT(B28, ""\d+""))"),7.769837568E9)</f>
        <v>7769837568</v>
      </c>
      <c r="Q28" s="4">
        <f>IFERROR(__xludf.DUMMYFUNCTION("VALUE(REGEXEXTRACT(C28, ""\d+""))"),8.239525888E9)</f>
        <v>8239525888</v>
      </c>
      <c r="R28" s="4">
        <f>IFERROR(__xludf.DUMMYFUNCTION("VALUE(REGEXEXTRACT(D28, ""\d+""))"),7.892197376E9)</f>
        <v>7892197376</v>
      </c>
      <c r="S28" s="4">
        <f>IFERROR(__xludf.DUMMYFUNCTION("VALUE(REGEXEXTRACT(E28, ""\d+""))"),8.047026176E9)</f>
        <v>8047026176</v>
      </c>
      <c r="T28" s="4">
        <f>IFERROR(__xludf.DUMMYFUNCTION("VALUE(REGEXEXTRACT(F28, ""\d+""))"),7.985188864E9)</f>
        <v>7985188864</v>
      </c>
      <c r="U28" s="4">
        <f>IFERROR(__xludf.DUMMYFUNCTION("VALUE(REGEXEXTRACT(G28, ""\d+""))"),8.074149888E9)</f>
        <v>8074149888</v>
      </c>
      <c r="V28" s="4">
        <f>IFERROR(__xludf.DUMMYFUNCTION("VALUE(REGEXEXTRACT(H28, ""\d+""))"),1.1386667008E10)</f>
        <v>11386667008</v>
      </c>
      <c r="W28" s="4">
        <f>IFERROR(__xludf.DUMMYFUNCTION("VALUE(REGEXEXTRACT(I28, ""\d+""))"),9.202122752E9)</f>
        <v>9202122752</v>
      </c>
      <c r="X28" s="4">
        <f>IFERROR(__xludf.DUMMYFUNCTION("VALUE(REGEXEXTRACT(J28, ""\d+""))"),9.01111808E9)</f>
        <v>9011118080</v>
      </c>
      <c r="Y28" s="4">
        <f>IFERROR(__xludf.DUMMYFUNCTION("VALUE(REGEXEXTRACT(K28, ""\d+""))"),9.1138048E9)</f>
        <v>9113804800</v>
      </c>
      <c r="Z28" s="4">
        <f>IFERROR(__xludf.DUMMYFUNCTION("VALUE(REGEXEXTRACT(L28, ""\d+""))"),9.24485632E9)</f>
        <v>9244856320</v>
      </c>
      <c r="AA28" s="4">
        <f>IFERROR(__xludf.DUMMYFUNCTION("VALUE(REGEXEXTRACT(M28, ""\d+""))"),1.0404544512E10)</f>
        <v>10404544512</v>
      </c>
      <c r="AB28" s="4">
        <f>IFERROR(__xludf.DUMMYFUNCTION("VALUE(REGEXEXTRACT(N28, ""\d+""))"),1.1271581696E10)</f>
        <v>11271581696</v>
      </c>
      <c r="AC28" s="4"/>
    </row>
    <row r="29">
      <c r="A29" s="1" t="s">
        <v>324</v>
      </c>
      <c r="B29" s="1" t="s">
        <v>325</v>
      </c>
      <c r="C29" s="1" t="s">
        <v>326</v>
      </c>
      <c r="D29" s="1" t="s">
        <v>327</v>
      </c>
      <c r="E29" s="1" t="s">
        <v>328</v>
      </c>
      <c r="F29" s="1" t="s">
        <v>329</v>
      </c>
      <c r="G29" s="1" t="s">
        <v>330</v>
      </c>
      <c r="H29" s="1" t="s">
        <v>331</v>
      </c>
      <c r="I29" s="1" t="s">
        <v>332</v>
      </c>
      <c r="J29" s="1" t="s">
        <v>333</v>
      </c>
      <c r="K29" s="1" t="s">
        <v>334</v>
      </c>
      <c r="L29" s="1" t="s">
        <v>335</v>
      </c>
      <c r="M29" s="1" t="s">
        <v>336</v>
      </c>
      <c r="N29" s="1" t="s">
        <v>337</v>
      </c>
      <c r="O29" s="2">
        <f>IFERROR(__xludf.DUMMYFUNCTION("VALUE(REGEXEXTRACT(A29, ""\d+\.\d+""))"),0.518752336502075)</f>
        <v>0.5187523365</v>
      </c>
      <c r="P29" s="2">
        <f>IFERROR(__xludf.DUMMYFUNCTION("VALUE(REGEXEXTRACT(B29, ""\d+\.\d+""))"),0.619934797286987)</f>
        <v>0.6199347973</v>
      </c>
      <c r="Q29" s="2">
        <f>IFERROR(__xludf.DUMMYFUNCTION("VALUE(REGEXEXTRACT(C29, ""\d+\.\d+""))"),0.706076383590698)</f>
        <v>0.7060763836</v>
      </c>
      <c r="R29" s="2">
        <f>IFERROR(__xludf.DUMMYFUNCTION("VALUE(REGEXEXTRACT(D29, ""\d+\.\d+""))"),0.864288091659545)</f>
        <v>0.8642880917</v>
      </c>
      <c r="S29" s="2">
        <f>IFERROR(__xludf.DUMMYFUNCTION("VALUE(REGEXEXTRACT(E29, ""\d+\.\d+""))"),0.706510782241821)</f>
        <v>0.7065107822</v>
      </c>
      <c r="T29" s="2">
        <f>IFERROR(__xludf.DUMMYFUNCTION("VALUE(REGEXEXTRACT(F29, ""\d+\.\d+""))"),0.714420080184936)</f>
        <v>0.7144200802</v>
      </c>
      <c r="U29" s="2">
        <f>IFERROR(__xludf.DUMMYFUNCTION("VALUE(REGEXEXTRACT(G29, ""\d+\.\d+""))"),0.690691947937011)</f>
        <v>0.6906919479</v>
      </c>
      <c r="V29" s="2">
        <f>IFERROR(__xludf.DUMMYFUNCTION("VALUE(REGEXEXTRACT(H29, ""\d+\.\d+""))"),0.98832893371582)</f>
        <v>0.9883289337</v>
      </c>
      <c r="W29" s="2">
        <f>IFERROR(__xludf.DUMMYFUNCTION("VALUE(REGEXEXTRACT(I29, ""\d+\.\d+""))"),0.816490173339843)</f>
        <v>0.8164901733</v>
      </c>
      <c r="X29" s="2">
        <f>IFERROR(__xludf.DUMMYFUNCTION("VALUE(REGEXEXTRACT(J29, ""\d+\.\d+""))"),0.70718240737915)</f>
        <v>0.7071824074</v>
      </c>
      <c r="Y29" s="2">
        <f>IFERROR(__xludf.DUMMYFUNCTION("VALUE(REGEXEXTRACT(K29, ""\d+\.\d+""))"),0.626424074172973)</f>
        <v>0.6264240742</v>
      </c>
      <c r="Z29" s="2">
        <f>IFERROR(__xludf.DUMMYFUNCTION("VALUE(REGEXEXTRACT(L29, ""\d+\.\d+""))"),1.25170159339904)</f>
        <v>1.251701593</v>
      </c>
      <c r="AA29" s="2">
        <f>IFERROR(__xludf.DUMMYFUNCTION("VALUE(REGEXEXTRACT(M29, ""\d+\.\d+""))"),1.29049181938171)</f>
        <v>1.290491819</v>
      </c>
      <c r="AB29" s="2">
        <f>IFERROR(__xludf.DUMMYFUNCTION("VALUE(REGEXEXTRACT(N29, ""\d+\.\d+""))"),1.16867876052856)</f>
        <v>1.168678761</v>
      </c>
    </row>
    <row r="30">
      <c r="A30" s="1" t="s">
        <v>74</v>
      </c>
      <c r="B30" s="1" t="s">
        <v>75</v>
      </c>
      <c r="C30" s="1" t="s">
        <v>76</v>
      </c>
      <c r="D30" s="1" t="s">
        <v>77</v>
      </c>
      <c r="E30" s="1" t="s">
        <v>78</v>
      </c>
      <c r="F30" s="1" t="s">
        <v>79</v>
      </c>
      <c r="G30" s="1" t="s">
        <v>80</v>
      </c>
      <c r="H30" s="1" t="s">
        <v>81</v>
      </c>
      <c r="I30" s="1" t="s">
        <v>82</v>
      </c>
      <c r="J30" s="1" t="s">
        <v>83</v>
      </c>
      <c r="K30" s="1" t="s">
        <v>84</v>
      </c>
      <c r="L30" s="1" t="s">
        <v>85</v>
      </c>
      <c r="M30" s="1" t="s">
        <v>86</v>
      </c>
      <c r="N30" s="1" t="s">
        <v>87</v>
      </c>
      <c r="O30" s="2">
        <f>IFERROR(__xludf.DUMMYFUNCTION("VALUE(REGEXEXTRACT(A30, ""\d+\.\d+""))"),0.167222246527671)</f>
        <v>0.1672222465</v>
      </c>
      <c r="P30" s="2">
        <f>IFERROR(__xludf.DUMMYFUNCTION("VALUE(REGEXEXTRACT(B30, ""\d+\.\d+""))"),0.12306610494852)</f>
        <v>0.1230661049</v>
      </c>
      <c r="Q30" s="2">
        <f>IFERROR(__xludf.DUMMYFUNCTION("VALUE(REGEXEXTRACT(C30, ""\d+\.\d+""))"),0.123774506151676)</f>
        <v>0.1237745062</v>
      </c>
      <c r="R30" s="2">
        <f>IFERROR(__xludf.DUMMYFUNCTION("VALUE(REGEXEXTRACT(D30, ""\d+\.\d+""))"),0.125567004084587)</f>
        <v>0.1255670041</v>
      </c>
      <c r="S30" s="2">
        <f>IFERROR(__xludf.DUMMYFUNCTION("VALUE(REGEXEXTRACT(E30, ""\d+\.\d+""))"),0.12908798456192)</f>
        <v>0.1290879846</v>
      </c>
      <c r="T30" s="2">
        <f>IFERROR(__xludf.DUMMYFUNCTION("VALUE(REGEXEXTRACT(F30, ""\d+\.\d+""))"),0.126287311315536)</f>
        <v>0.1262873113</v>
      </c>
      <c r="U30" s="2">
        <f>IFERROR(__xludf.DUMMYFUNCTION("VALUE(REGEXEXTRACT(G30, ""\d+\.\d+""))"),0.126420304179191)</f>
        <v>0.1264203042</v>
      </c>
      <c r="V30" s="2">
        <f>IFERROR(__xludf.DUMMYFUNCTION("VALUE(REGEXEXTRACT(H30, ""\d+\.\d+""))"),0.128674194216728)</f>
        <v>0.1286741942</v>
      </c>
      <c r="W30" s="2">
        <f>IFERROR(__xludf.DUMMYFUNCTION("VALUE(REGEXEXTRACT(I30, ""\d+\.\d+""))"),0.0540206432342529)</f>
        <v>0.05402064323</v>
      </c>
      <c r="X30" s="2">
        <f>IFERROR(__xludf.DUMMYFUNCTION("VALUE(REGEXEXTRACT(J30, ""\d+\.\d+""))"),0.0525665171444416)</f>
        <v>0.05256651714</v>
      </c>
      <c r="Y30" s="2">
        <f>IFERROR(__xludf.DUMMYFUNCTION("VALUE(REGEXEXTRACT(K30, ""\d+\.\d+""))"),0.0558366142213344)</f>
        <v>0.05583661422</v>
      </c>
      <c r="Z30" s="2">
        <f>IFERROR(__xludf.DUMMYFUNCTION("VALUE(REGEXEXTRACT(L30, ""\d+\.\d+""))"),0.0538350157439708)</f>
        <v>0.05383501574</v>
      </c>
      <c r="AA30" s="2">
        <f>IFERROR(__xludf.DUMMYFUNCTION("VALUE(REGEXEXTRACT(M30, ""\d+\.\d+""))"),0.0567557513713836)</f>
        <v>0.05675575137</v>
      </c>
      <c r="AB30" s="2">
        <f>IFERROR(__xludf.DUMMYFUNCTION("VALUE(REGEXEXTRACT(N30, ""\d+\.\d+""))"),0.0579192973673343)</f>
        <v>0.05791929737</v>
      </c>
    </row>
    <row r="31">
      <c r="A31" s="1" t="s">
        <v>88</v>
      </c>
      <c r="B31" s="1" t="s">
        <v>89</v>
      </c>
      <c r="C31" s="1" t="s">
        <v>90</v>
      </c>
      <c r="D31" s="1" t="s">
        <v>91</v>
      </c>
      <c r="E31" s="1" t="s">
        <v>92</v>
      </c>
      <c r="F31" s="1" t="s">
        <v>93</v>
      </c>
      <c r="G31" s="1" t="s">
        <v>94</v>
      </c>
      <c r="H31" s="1" t="s">
        <v>95</v>
      </c>
      <c r="I31" s="1" t="s">
        <v>96</v>
      </c>
      <c r="J31" s="1" t="s">
        <v>97</v>
      </c>
      <c r="K31" s="1" t="s">
        <v>98</v>
      </c>
      <c r="L31" s="1" t="s">
        <v>99</v>
      </c>
      <c r="M31" s="1" t="s">
        <v>100</v>
      </c>
      <c r="N31" s="1" t="s">
        <v>101</v>
      </c>
      <c r="O31" s="2">
        <f>IFERROR(__xludf.DUMMYFUNCTION("VALUE(REGEXEXTRACT(A31, ""\d+\.\d+""))"),0.929569900035858)</f>
        <v>0.9295699</v>
      </c>
      <c r="P31" s="2">
        <f>IFERROR(__xludf.DUMMYFUNCTION("VALUE(REGEXEXTRACT(B31, ""\d+\.\d+""))"),0.945376336574554)</f>
        <v>0.9453763366</v>
      </c>
      <c r="Q31" s="2">
        <f>IFERROR(__xludf.DUMMYFUNCTION("VALUE(REGEXEXTRACT(C31, ""\d+\.\d+""))"),0.947096765041351)</f>
        <v>0.947096765</v>
      </c>
      <c r="R31" s="2">
        <f>IFERROR(__xludf.DUMMYFUNCTION("VALUE(REGEXEXTRACT(D31, ""\d+\.\d+""))"),0.942473113536834)</f>
        <v>0.9424731135</v>
      </c>
      <c r="S31" s="2">
        <f>IFERROR(__xludf.DUMMYFUNCTION("VALUE(REGEXEXTRACT(E31, ""\d+\.\d+""))"),0.945483863353729)</f>
        <v>0.9454838634</v>
      </c>
      <c r="T31" s="2">
        <f>IFERROR(__xludf.DUMMYFUNCTION("VALUE(REGEXEXTRACT(F31, ""\d+\.\d+""))"),0.9473118185997)</f>
        <v>0.9473118186</v>
      </c>
      <c r="U31" s="2">
        <f>IFERROR(__xludf.DUMMYFUNCTION("VALUE(REGEXEXTRACT(G31, ""\d+\.\d+""))"),0.946881711483001)</f>
        <v>0.9468817115</v>
      </c>
      <c r="V31" s="2">
        <f>IFERROR(__xludf.DUMMYFUNCTION("VALUE(REGEXEXTRACT(H31, ""\d+\.\d+""))"),0.943010747432708)</f>
        <v>0.9430107474</v>
      </c>
      <c r="W31" s="2">
        <f>IFERROR(__xludf.DUMMYFUNCTION("VALUE(REGEXEXTRACT(I31, ""\d+\.\d+""))"),0.980000019073486)</f>
        <v>0.9800000191</v>
      </c>
      <c r="X31" s="2">
        <f>IFERROR(__xludf.DUMMYFUNCTION("VALUE(REGEXEXTRACT(J31, ""\d+\.\d+""))"),0.979677438735961)</f>
        <v>0.9796774387</v>
      </c>
      <c r="Y31" s="2">
        <f>IFERROR(__xludf.DUMMYFUNCTION("VALUE(REGEXEXTRACT(K31, ""\d+\.\d+""))"),0.979032278060913)</f>
        <v>0.9790322781</v>
      </c>
      <c r="Z31" s="2">
        <f>IFERROR(__xludf.DUMMYFUNCTION("VALUE(REGEXEXTRACT(L31, ""\d+\.\d+""))"),0.981290340423584)</f>
        <v>0.9812903404</v>
      </c>
      <c r="AA31" s="2">
        <f>IFERROR(__xludf.DUMMYFUNCTION("VALUE(REGEXEXTRACT(M31, ""\d+\.\d+""))"),0.980215072631835)</f>
        <v>0.9802150726</v>
      </c>
      <c r="AB31" s="2">
        <f>IFERROR(__xludf.DUMMYFUNCTION("VALUE(REGEXEXTRACT(N31, ""\d+\.\d+""))"),0.980107545852661)</f>
        <v>0.9801075459</v>
      </c>
    </row>
    <row r="32">
      <c r="A32" s="1" t="s">
        <v>338</v>
      </c>
      <c r="B32" s="1" t="s">
        <v>339</v>
      </c>
      <c r="C32" s="1" t="s">
        <v>340</v>
      </c>
      <c r="D32" s="1" t="s">
        <v>341</v>
      </c>
      <c r="E32" s="1" t="s">
        <v>342</v>
      </c>
      <c r="F32" s="1" t="s">
        <v>343</v>
      </c>
      <c r="G32" s="1" t="s">
        <v>344</v>
      </c>
      <c r="H32" s="1" t="s">
        <v>345</v>
      </c>
      <c r="I32" s="1" t="s">
        <v>346</v>
      </c>
      <c r="J32" s="1" t="s">
        <v>347</v>
      </c>
      <c r="K32" s="1" t="s">
        <v>348</v>
      </c>
      <c r="L32" s="1" t="s">
        <v>349</v>
      </c>
      <c r="M32" s="1" t="s">
        <v>350</v>
      </c>
      <c r="N32" s="1" t="s">
        <v>351</v>
      </c>
      <c r="O32" s="2">
        <f>IFERROR(__xludf.DUMMYFUNCTION("VALUE(REGEXEXTRACT(A32, ""\d+\.\d+""))"),0.95161654985304)</f>
        <v>0.9516165499</v>
      </c>
      <c r="P32" s="2">
        <f>IFERROR(__xludf.DUMMYFUNCTION("VALUE(REGEXEXTRACT(B32, ""\d+\.\d+""))"),0.962276785714285)</f>
        <v>0.9622767857</v>
      </c>
      <c r="Q32" s="2">
        <f>IFERROR(__xludf.DUMMYFUNCTION("VALUE(REGEXEXTRACT(C32, ""\d+\.\d+""))"),0.958131335390039)</f>
        <v>0.9581313354</v>
      </c>
      <c r="R32" s="2">
        <f>IFERROR(__xludf.DUMMYFUNCTION("VALUE(REGEXEXTRACT(D32, ""\d+\.\d+""))"),0.959160901584467)</f>
        <v>0.9591609016</v>
      </c>
      <c r="S32" s="2">
        <f>IFERROR(__xludf.DUMMYFUNCTION("VALUE(REGEXEXTRACT(E32, ""\d+\.\d+""))"),0.96414967510643)</f>
        <v>0.9641496751</v>
      </c>
      <c r="T32" s="2">
        <f>IFERROR(__xludf.DUMMYFUNCTION("VALUE(REGEXEXTRACT(F32, ""\d+\.\d+""))"),0.964700625558534)</f>
        <v>0.9647006256</v>
      </c>
      <c r="U32" s="2">
        <f>IFERROR(__xludf.DUMMYFUNCTION("VALUE(REGEXEXTRACT(G32, ""\d+\.\d+""))"),0.962806236080178)</f>
        <v>0.9628062361</v>
      </c>
      <c r="V32" s="2">
        <f>IFERROR(__xludf.DUMMYFUNCTION("VALUE(REGEXEXTRACT(H32, ""\d+\.\d+""))"),0.954144620811287)</f>
        <v>0.9541446208</v>
      </c>
      <c r="W32" s="2">
        <f>IFERROR(__xludf.DUMMYFUNCTION("VALUE(REGEXEXTRACT(I32, ""\d+\.\d+""))"),0.987762237762237)</f>
        <v>0.9877622378</v>
      </c>
      <c r="X32" s="2">
        <f>IFERROR(__xludf.DUMMYFUNCTION("VALUE(REGEXEXTRACT(J32, ""\d+\.\d+""))"),0.981853532080363)</f>
        <v>0.9818535321</v>
      </c>
      <c r="Y32" s="2">
        <f>IFERROR(__xludf.DUMMYFUNCTION("VALUE(REGEXEXTRACT(K32, ""\d+\.\d+""))"),0.987524622455679)</f>
        <v>0.9875246225</v>
      </c>
      <c r="Z32" s="2">
        <f>IFERROR(__xludf.DUMMYFUNCTION("VALUE(REGEXEXTRACT(L32, ""\d+\.\d+""))"),0.984415584415584)</f>
        <v>0.9844155844</v>
      </c>
      <c r="AA32" s="2">
        <f>IFERROR(__xludf.DUMMYFUNCTION("VALUE(REGEXEXTRACT(M32, ""\d+\.\d+""))"),0.991633641567591)</f>
        <v>0.9916336416</v>
      </c>
      <c r="AB32" s="2">
        <f>IFERROR(__xludf.DUMMYFUNCTION("VALUE(REGEXEXTRACT(N32, ""\d+\.\d+""))"),0.982077305117685)</f>
        <v>0.9820773051</v>
      </c>
    </row>
    <row r="33">
      <c r="A33" s="1" t="s">
        <v>352</v>
      </c>
      <c r="B33" s="1" t="s">
        <v>353</v>
      </c>
      <c r="C33" s="1" t="s">
        <v>354</v>
      </c>
      <c r="D33" s="1" t="s">
        <v>355</v>
      </c>
      <c r="E33" s="1" t="s">
        <v>356</v>
      </c>
      <c r="F33" s="1" t="s">
        <v>357</v>
      </c>
      <c r="G33" s="1" t="s">
        <v>358</v>
      </c>
      <c r="H33" s="1" t="s">
        <v>359</v>
      </c>
      <c r="I33" s="1" t="s">
        <v>360</v>
      </c>
      <c r="J33" s="1" t="s">
        <v>361</v>
      </c>
      <c r="K33" s="1" t="s">
        <v>362</v>
      </c>
      <c r="L33" s="1" t="s">
        <v>363</v>
      </c>
      <c r="M33" s="1" t="s">
        <v>364</v>
      </c>
      <c r="N33" s="1" t="s">
        <v>363</v>
      </c>
      <c r="O33" s="2">
        <f>IFERROR(__xludf.DUMMYFUNCTION("VALUE(REGEXEXTRACT(A33, ""\d+\.\d+""))"),0.90516129032258)</f>
        <v>0.9051612903</v>
      </c>
      <c r="P33" s="2">
        <f>IFERROR(__xludf.DUMMYFUNCTION("VALUE(REGEXEXTRACT(B33, ""\d+\.\d+""))"),0.927096774193548)</f>
        <v>0.9270967742</v>
      </c>
      <c r="Q33" s="2">
        <f>IFERROR(__xludf.DUMMYFUNCTION("VALUE(REGEXEXTRACT(C33, ""\d+\.\d+""))"),0.93505376344086)</f>
        <v>0.9350537634</v>
      </c>
      <c r="R33" s="2">
        <f>IFERROR(__xludf.DUMMYFUNCTION("VALUE(REGEXEXTRACT(D33, ""\d+\.\d+""))"),0.924301075268817)</f>
        <v>0.9243010753</v>
      </c>
      <c r="S33" s="2">
        <f>IFERROR(__xludf.DUMMYFUNCTION("VALUE(REGEXEXTRACT(E33, ""\d+\.\d+""))"),0.925376344086021)</f>
        <v>0.9253763441</v>
      </c>
      <c r="T33" s="2">
        <f>IFERROR(__xludf.DUMMYFUNCTION("VALUE(REGEXEXTRACT(F33, ""\d+\.\d+""))"),0.928602150537634)</f>
        <v>0.9286021505</v>
      </c>
      <c r="U33" s="2">
        <f>IFERROR(__xludf.DUMMYFUNCTION("VALUE(REGEXEXTRACT(G33, ""\d+\.\d+""))"),0.929677419354838)</f>
        <v>0.9296774194</v>
      </c>
      <c r="V33" s="2">
        <f>IFERROR(__xludf.DUMMYFUNCTION("VALUE(REGEXEXTRACT(H33, ""\d+\.\d+""))"),0.930752688172043)</f>
        <v>0.9307526882</v>
      </c>
      <c r="W33" s="2">
        <f>IFERROR(__xludf.DUMMYFUNCTION("VALUE(REGEXEXTRACT(I33, ""\d+\.\d+""))"),0.972043010752688)</f>
        <v>0.9720430108</v>
      </c>
      <c r="X33" s="2">
        <f>IFERROR(__xludf.DUMMYFUNCTION("VALUE(REGEXEXTRACT(J33, ""\d+\.\d+""))"),0.977419354838709)</f>
        <v>0.9774193548</v>
      </c>
      <c r="Y33" s="2">
        <f>IFERROR(__xludf.DUMMYFUNCTION("VALUE(REGEXEXTRACT(K33, ""\d+\.\d+""))"),0.970322580645161)</f>
        <v>0.9703225806</v>
      </c>
      <c r="Z33" s="2">
        <f>IFERROR(__xludf.DUMMYFUNCTION("VALUE(REGEXEXTRACT(L33, ""\d+\.\d+""))"),0.978064516129032)</f>
        <v>0.9780645161</v>
      </c>
      <c r="AA33" s="2">
        <f>IFERROR(__xludf.DUMMYFUNCTION("VALUE(REGEXEXTRACT(M33, ""\d+\.\d+""))"),0.968602150537634)</f>
        <v>0.9686021505</v>
      </c>
      <c r="AB33" s="2">
        <f>IFERROR(__xludf.DUMMYFUNCTION("VALUE(REGEXEXTRACT(N33, ""\d+\.\d+""))"),0.978064516129032)</f>
        <v>0.9780645161</v>
      </c>
    </row>
    <row r="34">
      <c r="A34" s="1" t="s">
        <v>365</v>
      </c>
      <c r="B34" s="1" t="s">
        <v>366</v>
      </c>
      <c r="C34" s="1" t="s">
        <v>367</v>
      </c>
      <c r="D34" s="1" t="s">
        <v>368</v>
      </c>
      <c r="E34" s="1" t="s">
        <v>369</v>
      </c>
      <c r="F34" s="1" t="s">
        <v>370</v>
      </c>
      <c r="G34" s="1" t="s">
        <v>371</v>
      </c>
      <c r="H34" s="1" t="s">
        <v>372</v>
      </c>
      <c r="I34" s="1" t="s">
        <v>373</v>
      </c>
      <c r="J34" s="1" t="s">
        <v>374</v>
      </c>
      <c r="K34" s="1" t="s">
        <v>375</v>
      </c>
      <c r="L34" s="1" t="s">
        <v>376</v>
      </c>
      <c r="M34" s="1" t="s">
        <v>377</v>
      </c>
      <c r="N34" s="1" t="s">
        <v>378</v>
      </c>
      <c r="O34" s="2">
        <f>IFERROR(__xludf.DUMMYFUNCTION("VALUE(REGEXEXTRACT(A34, ""\d+\.\d+""))"),0.927807781329218)</f>
        <v>0.9278077813</v>
      </c>
      <c r="P34" s="2">
        <f>IFERROR(__xludf.DUMMYFUNCTION("VALUE(REGEXEXTRACT(B34, ""\d+\.\d+""))"),0.944359255202628)</f>
        <v>0.9443592552</v>
      </c>
      <c r="Q34" s="2">
        <f>IFERROR(__xludf.DUMMYFUNCTION("VALUE(REGEXEXTRACT(C34, ""\d+\.\d+""))"),0.946451893774488)</f>
        <v>0.9464518938</v>
      </c>
      <c r="R34" s="2">
        <f>IFERROR(__xludf.DUMMYFUNCTION("VALUE(REGEXEXTRACT(D34, ""\d+\.\d+""))"),0.94140838900449)</f>
        <v>0.941408389</v>
      </c>
      <c r="S34" s="2">
        <f>IFERROR(__xludf.DUMMYFUNCTION("VALUE(REGEXEXTRACT(E34, ""\d+\.\d+""))"),0.944365192582025)</f>
        <v>0.9443651926</v>
      </c>
      <c r="T34" s="2">
        <f>IFERROR(__xludf.DUMMYFUNCTION("VALUE(REGEXEXTRACT(F34, ""\d+\.\d+""))"),0.946307253999561)</f>
        <v>0.946307254</v>
      </c>
      <c r="U34" s="2">
        <f>IFERROR(__xludf.DUMMYFUNCTION("VALUE(REGEXEXTRACT(G34, ""\d+\.\d+""))"),0.945951859956236)</f>
        <v>0.94595186</v>
      </c>
      <c r="V34" s="2">
        <f>IFERROR(__xludf.DUMMYFUNCTION("VALUE(REGEXEXTRACT(H34, ""\d+\.\d+""))"),0.942303505334204)</f>
        <v>0.9423035053</v>
      </c>
      <c r="W34" s="2">
        <f>IFERROR(__xludf.DUMMYFUNCTION("VALUE(REGEXEXTRACT(I34, ""\d+\.\d+""))"),0.979839583784955)</f>
        <v>0.9798395838</v>
      </c>
      <c r="X34" s="2">
        <f>IFERROR(__xludf.DUMMYFUNCTION("VALUE(REGEXEXTRACT(J34, ""\d+\.\d+""))"),0.979631425800194)</f>
        <v>0.9796314258</v>
      </c>
      <c r="Y34" s="2">
        <f>IFERROR(__xludf.DUMMYFUNCTION("VALUE(REGEXEXTRACT(K34, ""\d+\.\d+""))"),0.97884803123983)</f>
        <v>0.9788480312</v>
      </c>
      <c r="Z34" s="2">
        <f>IFERROR(__xludf.DUMMYFUNCTION("VALUE(REGEXEXTRACT(L34, ""\d+\.\d+""))"),0.981229773462783)</f>
        <v>0.9812297735</v>
      </c>
      <c r="AA34" s="2">
        <f>IFERROR(__xludf.DUMMYFUNCTION("VALUE(REGEXEXTRACT(M34, ""\d+\.\d+""))"),0.979982593559617)</f>
        <v>0.9799825936</v>
      </c>
      <c r="AB34" s="2">
        <f>IFERROR(__xludf.DUMMYFUNCTION("VALUE(REGEXEXTRACT(N34, ""\d+\.\d+""))"),0.980066803146212)</f>
        <v>0.9800668031</v>
      </c>
    </row>
    <row r="35">
      <c r="A35" s="1" t="s">
        <v>379</v>
      </c>
      <c r="B35" s="1" t="s">
        <v>380</v>
      </c>
      <c r="C35" s="1" t="s">
        <v>381</v>
      </c>
      <c r="D35" s="1" t="s">
        <v>382</v>
      </c>
      <c r="E35" s="1" t="s">
        <v>383</v>
      </c>
      <c r="F35" s="1" t="s">
        <v>384</v>
      </c>
      <c r="G35" s="1" t="s">
        <v>385</v>
      </c>
      <c r="H35" s="1" t="s">
        <v>386</v>
      </c>
      <c r="I35" s="1" t="s">
        <v>387</v>
      </c>
      <c r="J35" s="1" t="s">
        <v>388</v>
      </c>
      <c r="K35" s="1" t="s">
        <v>389</v>
      </c>
      <c r="L35" s="1" t="s">
        <v>390</v>
      </c>
      <c r="M35" s="1" t="s">
        <v>391</v>
      </c>
      <c r="N35" s="1" t="s">
        <v>392</v>
      </c>
      <c r="O35" s="2">
        <f>IFERROR(__xludf.DUMMYFUNCTION("VALUE(REGEXEXTRACT(A35, ""\d+\.\d+""))"),0.983583790033529)</f>
        <v>0.98358379</v>
      </c>
      <c r="P35" s="2">
        <f>IFERROR(__xludf.DUMMYFUNCTION("VALUE(REGEXEXTRACT(B35, ""\d+\.\d+""))"),0.990394288357035)</f>
        <v>0.9903942884</v>
      </c>
      <c r="Q35" s="2">
        <f>IFERROR(__xludf.DUMMYFUNCTION("VALUE(REGEXEXTRACT(C35, ""\d+\.\d+""))"),0.990330419701699)</f>
        <v>0.9903304197</v>
      </c>
      <c r="R35" s="2">
        <f>IFERROR(__xludf.DUMMYFUNCTION("VALUE(REGEXEXTRACT(D35, ""\d+\.\d+""))"),0.989698115389062)</f>
        <v>0.9896981154</v>
      </c>
      <c r="S35" s="2">
        <f>IFERROR(__xludf.DUMMYFUNCTION("VALUE(REGEXEXTRACT(E35, ""\d+\.\d+""))"),0.989331136547577)</f>
        <v>0.9893311365</v>
      </c>
      <c r="T35" s="2">
        <f>IFERROR(__xludf.DUMMYFUNCTION("VALUE(REGEXEXTRACT(F35, ""\d+\.\d+""))"),0.990132685859636)</f>
        <v>0.9901326859</v>
      </c>
      <c r="U35" s="2">
        <f>IFERROR(__xludf.DUMMYFUNCTION("VALUE(REGEXEXTRACT(G35, ""\d+\.\d+""))"),0.989874852584113)</f>
        <v>0.9898748526</v>
      </c>
      <c r="V35" s="2">
        <f>IFERROR(__xludf.DUMMYFUNCTION("VALUE(REGEXEXTRACT(H35, ""\d+\.\d+""))"),0.98954191235981)</f>
        <v>0.9895419124</v>
      </c>
      <c r="W35" s="2">
        <f>IFERROR(__xludf.DUMMYFUNCTION("VALUE(REGEXEXTRACT(I35, ""\d+\.\d+""))"),0.998102670828997)</f>
        <v>0.9981026708</v>
      </c>
      <c r="X35" s="2">
        <f>IFERROR(__xludf.DUMMYFUNCTION("VALUE(REGEXEXTRACT(J35, ""\d+\.\d+""))"),0.998050641692681)</f>
        <v>0.9980506417</v>
      </c>
      <c r="Y35" s="2">
        <f>IFERROR(__xludf.DUMMYFUNCTION("VALUE(REGEXEXTRACT(K35, ""\d+\.\d+""))"),0.99792135506995)</f>
        <v>0.9979213551</v>
      </c>
      <c r="Z35" s="2">
        <f>IFERROR(__xludf.DUMMYFUNCTION("VALUE(REGEXEXTRACT(L35, ""\d+\.\d+""))"),0.99797433229275)</f>
        <v>0.9979743323</v>
      </c>
      <c r="AA35" s="2">
        <f>IFERROR(__xludf.DUMMYFUNCTION("VALUE(REGEXEXTRACT(M35, ""\d+\.\d+""))"),0.997600971210544)</f>
        <v>0.9976009712</v>
      </c>
      <c r="AB35" s="2">
        <f>IFERROR(__xludf.DUMMYFUNCTION("VALUE(REGEXEXTRACT(N35, ""\d+\.\d+""))"),0.998067499132847)</f>
        <v>0.9980674991</v>
      </c>
    </row>
    <row r="36">
      <c r="A36" s="1" t="s">
        <v>393</v>
      </c>
      <c r="B36" s="1" t="s">
        <v>394</v>
      </c>
      <c r="C36" s="1" t="s">
        <v>395</v>
      </c>
      <c r="D36" s="1" t="s">
        <v>396</v>
      </c>
      <c r="E36" s="1" t="s">
        <v>397</v>
      </c>
      <c r="F36" s="1" t="s">
        <v>398</v>
      </c>
      <c r="G36" s="1" t="s">
        <v>399</v>
      </c>
      <c r="H36" s="1" t="s">
        <v>400</v>
      </c>
      <c r="I36" s="1" t="s">
        <v>401</v>
      </c>
      <c r="J36" s="1" t="s">
        <v>402</v>
      </c>
      <c r="K36" s="1" t="s">
        <v>403</v>
      </c>
      <c r="L36" s="1" t="s">
        <v>404</v>
      </c>
      <c r="M36" s="1" t="s">
        <v>405</v>
      </c>
      <c r="N36" s="1" t="s">
        <v>406</v>
      </c>
      <c r="O36" s="2">
        <f>IFERROR(__xludf.DUMMYFUNCTION("VALUE(REGEXEXTRACT(A36, ""\d+\.\d+""))"),0.984639263004703)</f>
        <v>0.984639263</v>
      </c>
      <c r="P36" s="2">
        <f>IFERROR(__xludf.DUMMYFUNCTION("VALUE(REGEXEXTRACT(B36, ""\d+\.\d+""))"),0.991075200072537)</f>
        <v>0.9910752001</v>
      </c>
      <c r="Q36" s="2">
        <f>IFERROR(__xludf.DUMMYFUNCTION("VALUE(REGEXEXTRACT(C36, ""\d+\.\d+""))"),0.99064135332403)</f>
        <v>0.9906413533</v>
      </c>
      <c r="R36" s="2">
        <f>IFERROR(__xludf.DUMMYFUNCTION("VALUE(REGEXEXTRACT(D36, ""\d+\.\d+""))"),0.990499636052017)</f>
        <v>0.9904996361</v>
      </c>
      <c r="S36" s="2">
        <f>IFERROR(__xludf.DUMMYFUNCTION("VALUE(REGEXEXTRACT(E36, ""\d+\.\d+""))"),0.989977518699216)</f>
        <v>0.9899775187</v>
      </c>
      <c r="T36" s="2">
        <f>IFERROR(__xludf.DUMMYFUNCTION("VALUE(REGEXEXTRACT(F36, ""\d+\.\d+""))"),0.989907958014306)</f>
        <v>0.989907958</v>
      </c>
      <c r="U36" s="2">
        <f>IFERROR(__xludf.DUMMYFUNCTION("VALUE(REGEXEXTRACT(G36, ""\d+\.\d+""))"),0.990062002374491)</f>
        <v>0.9900620024</v>
      </c>
      <c r="V36" s="2">
        <f>IFERROR(__xludf.DUMMYFUNCTION("VALUE(REGEXEXTRACT(H36, ""\d+\.\d+""))"),0.990281749657325)</f>
        <v>0.9902817497</v>
      </c>
      <c r="W36" s="2">
        <f>IFERROR(__xludf.DUMMYFUNCTION("VALUE(REGEXEXTRACT(I36, ""\d+\.\d+""))"),0.998237712956944)</f>
        <v>0.998237713</v>
      </c>
      <c r="X36" s="2">
        <f>IFERROR(__xludf.DUMMYFUNCTION("VALUE(REGEXEXTRACT(J36, ""\d+\.\d+""))"),0.998090121042002)</f>
        <v>0.998090121</v>
      </c>
      <c r="Y36" s="2">
        <f>IFERROR(__xludf.DUMMYFUNCTION("VALUE(REGEXEXTRACT(K36, ""\d+\.\d+""))"),0.998037113315575)</f>
        <v>0.9980371133</v>
      </c>
      <c r="Z36" s="2">
        <f>IFERROR(__xludf.DUMMYFUNCTION("VALUE(REGEXEXTRACT(L36, ""\d+\.\d+""))"),0.997918411290892)</f>
        <v>0.9979184113</v>
      </c>
      <c r="AA36" s="2">
        <f>IFERROR(__xludf.DUMMYFUNCTION("VALUE(REGEXEXTRACT(M36, ""\d+\.\d+""))"),0.997119695011137)</f>
        <v>0.997119695</v>
      </c>
      <c r="AB36" s="2">
        <f>IFERROR(__xludf.DUMMYFUNCTION("VALUE(REGEXEXTRACT(N36, ""\d+\.\d+""))"),0.998150029356007)</f>
        <v>0.9981500294</v>
      </c>
    </row>
    <row r="37">
      <c r="A37" s="1" t="s">
        <v>407</v>
      </c>
      <c r="B37" s="1" t="s">
        <v>407</v>
      </c>
      <c r="C37" s="1" t="s">
        <v>407</v>
      </c>
      <c r="D37" s="1" t="s">
        <v>407</v>
      </c>
      <c r="E37" s="1" t="s">
        <v>407</v>
      </c>
      <c r="F37" s="1" t="s">
        <v>407</v>
      </c>
      <c r="G37" s="1" t="s">
        <v>407</v>
      </c>
      <c r="H37" s="1" t="s">
        <v>407</v>
      </c>
      <c r="I37" s="1" t="s">
        <v>407</v>
      </c>
      <c r="J37" s="1" t="s">
        <v>407</v>
      </c>
      <c r="K37" s="1" t="s">
        <v>407</v>
      </c>
      <c r="L37" s="1" t="s">
        <v>407</v>
      </c>
      <c r="M37" s="1" t="s">
        <v>407</v>
      </c>
      <c r="N37" s="1" t="s">
        <v>407</v>
      </c>
    </row>
    <row r="38">
      <c r="A38" s="1" t="s">
        <v>408</v>
      </c>
      <c r="B38" s="1" t="s">
        <v>409</v>
      </c>
      <c r="C38" s="1" t="s">
        <v>410</v>
      </c>
      <c r="D38" s="1" t="s">
        <v>411</v>
      </c>
      <c r="E38" s="1" t="s">
        <v>412</v>
      </c>
      <c r="F38" s="1" t="s">
        <v>413</v>
      </c>
      <c r="G38" s="1" t="s">
        <v>414</v>
      </c>
      <c r="H38" s="1" t="s">
        <v>415</v>
      </c>
      <c r="I38" s="1" t="s">
        <v>416</v>
      </c>
      <c r="J38" s="1" t="s">
        <v>417</v>
      </c>
      <c r="K38" s="1" t="s">
        <v>418</v>
      </c>
      <c r="L38" s="1" t="s">
        <v>254</v>
      </c>
      <c r="M38" s="1" t="s">
        <v>419</v>
      </c>
      <c r="N38" s="1" t="s">
        <v>420</v>
      </c>
    </row>
    <row r="39">
      <c r="A39" s="1" t="s">
        <v>421</v>
      </c>
      <c r="B39" s="1" t="s">
        <v>422</v>
      </c>
      <c r="C39" s="1" t="s">
        <v>423</v>
      </c>
      <c r="D39" s="1" t="s">
        <v>424</v>
      </c>
      <c r="E39" s="1" t="s">
        <v>425</v>
      </c>
      <c r="F39" s="1" t="s">
        <v>426</v>
      </c>
      <c r="G39" s="1" t="s">
        <v>427</v>
      </c>
      <c r="H39" s="1" t="s">
        <v>428</v>
      </c>
      <c r="I39" s="1" t="s">
        <v>429</v>
      </c>
      <c r="J39" s="1" t="s">
        <v>430</v>
      </c>
      <c r="K39" s="1" t="s">
        <v>431</v>
      </c>
      <c r="L39" s="1" t="s">
        <v>432</v>
      </c>
      <c r="M39" s="1" t="s">
        <v>433</v>
      </c>
      <c r="N39" s="1" t="s">
        <v>432</v>
      </c>
    </row>
    <row r="44">
      <c r="A44" s="1" t="s">
        <v>434</v>
      </c>
      <c r="B44" s="1" t="s">
        <v>435</v>
      </c>
      <c r="C44" s="1" t="s">
        <v>436</v>
      </c>
      <c r="D44" s="1" t="s">
        <v>437</v>
      </c>
      <c r="E44" s="1" t="s">
        <v>438</v>
      </c>
      <c r="F44" s="1" t="s">
        <v>439</v>
      </c>
      <c r="G44" s="1" t="s">
        <v>440</v>
      </c>
      <c r="H44" s="1" t="s">
        <v>441</v>
      </c>
      <c r="I44" s="1" t="s">
        <v>442</v>
      </c>
      <c r="J44" s="1" t="s">
        <v>443</v>
      </c>
      <c r="K44" s="1" t="s">
        <v>444</v>
      </c>
      <c r="L44" s="1" t="s">
        <v>445</v>
      </c>
      <c r="M44" s="2" t="str">
        <f>mid(A44,13,9)</f>
        <v>WgtAv_201</v>
      </c>
      <c r="N44" s="2" t="str">
        <f>mid(B44,13,10)</f>
        <v>Concat_201</v>
      </c>
      <c r="O44" s="2" t="str">
        <f t="shared" ref="O44:P44" si="6">mid(C44,13,11)</f>
        <v>Minimum_201</v>
      </c>
      <c r="P44" s="2" t="str">
        <f t="shared" si="6"/>
        <v>Maximum_201</v>
      </c>
      <c r="Q44" s="2" t="str">
        <f t="shared" ref="Q44:R44" si="7">mid(E44,13,12)</f>
        <v>Multiply_201</v>
      </c>
      <c r="R44" s="2" t="str">
        <f t="shared" si="7"/>
        <v>Subtract_201</v>
      </c>
      <c r="S44" s="2" t="str">
        <f>mid(G44,13,9)</f>
        <v>WgtAv_401</v>
      </c>
      <c r="T44" s="2" t="str">
        <f>mid(H44,13,10)</f>
        <v>Concat_401</v>
      </c>
      <c r="U44" s="2" t="str">
        <f t="shared" ref="U44:V44" si="8">mid(I44,13,11)</f>
        <v>Minimum_401</v>
      </c>
      <c r="V44" s="2" t="str">
        <f t="shared" si="8"/>
        <v>Maximum_401</v>
      </c>
      <c r="W44" s="2" t="str">
        <f t="shared" ref="W44:X44" si="9">mid(K44,13,12)</f>
        <v>Multiply_401</v>
      </c>
      <c r="X44" s="2" t="str">
        <f t="shared" si="9"/>
        <v>Subtract_401</v>
      </c>
    </row>
    <row r="45">
      <c r="A45" s="1" t="s">
        <v>15</v>
      </c>
      <c r="B45" s="1" t="s">
        <v>15</v>
      </c>
      <c r="C45" s="1" t="s">
        <v>15</v>
      </c>
      <c r="D45" s="1" t="s">
        <v>15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15</v>
      </c>
      <c r="L45" s="1" t="s">
        <v>15</v>
      </c>
      <c r="M45" s="4">
        <f>IFERROR(__xludf.DUMMYFUNCTION("VALUE(REGEXEXTRACT(A45, ""\d+""))"),500.0)</f>
        <v>500</v>
      </c>
      <c r="N45" s="4">
        <f>IFERROR(__xludf.DUMMYFUNCTION("VALUE(REGEXEXTRACT(B45, ""\d+""))"),500.0)</f>
        <v>500</v>
      </c>
      <c r="O45" s="4">
        <f>IFERROR(__xludf.DUMMYFUNCTION("VALUE(REGEXEXTRACT(C45, ""\d+""))"),500.0)</f>
        <v>500</v>
      </c>
      <c r="P45" s="4">
        <f>IFERROR(__xludf.DUMMYFUNCTION("VALUE(REGEXEXTRACT(D45, ""\d+""))"),500.0)</f>
        <v>500</v>
      </c>
      <c r="Q45" s="4">
        <f>IFERROR(__xludf.DUMMYFUNCTION("VALUE(REGEXEXTRACT(E45, ""\d+""))"),500.0)</f>
        <v>500</v>
      </c>
      <c r="R45" s="4">
        <f>IFERROR(__xludf.DUMMYFUNCTION("VALUE(REGEXEXTRACT(F45, ""\d+""))"),500.0)</f>
        <v>500</v>
      </c>
      <c r="S45" s="4">
        <f>IFERROR(__xludf.DUMMYFUNCTION("VALUE(REGEXEXTRACT(G45, ""\d+""))"),500.0)</f>
        <v>500</v>
      </c>
      <c r="T45" s="4">
        <f>IFERROR(__xludf.DUMMYFUNCTION("VALUE(REGEXEXTRACT(H45, ""\d+""))"),500.0)</f>
        <v>500</v>
      </c>
      <c r="U45" s="4">
        <f>IFERROR(__xludf.DUMMYFUNCTION("VALUE(REGEXEXTRACT(I45, ""\d+""))"),500.0)</f>
        <v>500</v>
      </c>
      <c r="V45" s="4">
        <f>IFERROR(__xludf.DUMMYFUNCTION("VALUE(REGEXEXTRACT(J45, ""\d+""))"),500.0)</f>
        <v>500</v>
      </c>
      <c r="W45" s="4">
        <f>IFERROR(__xludf.DUMMYFUNCTION("VALUE(REGEXEXTRACT(K45, ""\d+""))"),500.0)</f>
        <v>500</v>
      </c>
      <c r="X45" s="4">
        <f>IFERROR(__xludf.DUMMYFUNCTION("VALUE(REGEXEXTRACT(L45, ""\d+""))"),500.0)</f>
        <v>500</v>
      </c>
    </row>
    <row r="46">
      <c r="A46" s="1" t="s">
        <v>17</v>
      </c>
      <c r="B46" s="1" t="s">
        <v>17</v>
      </c>
      <c r="C46" s="1" t="s">
        <v>17</v>
      </c>
      <c r="D46" s="1" t="s">
        <v>17</v>
      </c>
      <c r="E46" s="1" t="s">
        <v>17</v>
      </c>
      <c r="F46" s="1" t="s">
        <v>17</v>
      </c>
      <c r="G46" s="1" t="s">
        <v>17</v>
      </c>
      <c r="H46" s="1" t="s">
        <v>17</v>
      </c>
      <c r="I46" s="1" t="s">
        <v>17</v>
      </c>
      <c r="J46" s="1" t="s">
        <v>17</v>
      </c>
      <c r="K46" s="1" t="s">
        <v>17</v>
      </c>
      <c r="L46" s="1" t="s">
        <v>17</v>
      </c>
      <c r="M46" s="4">
        <f>IFERROR(__xludf.DUMMYFUNCTION("VALUE(REGEXEXTRACT(A46, ""\d+""))"),500.0)</f>
        <v>500</v>
      </c>
      <c r="N46" s="4">
        <f>IFERROR(__xludf.DUMMYFUNCTION("VALUE(REGEXEXTRACT(B46, ""\d+""))"),500.0)</f>
        <v>500</v>
      </c>
      <c r="O46" s="4">
        <f>IFERROR(__xludf.DUMMYFUNCTION("VALUE(REGEXEXTRACT(C46, ""\d+""))"),500.0)</f>
        <v>500</v>
      </c>
      <c r="P46" s="4">
        <f>IFERROR(__xludf.DUMMYFUNCTION("VALUE(REGEXEXTRACT(D46, ""\d+""))"),500.0)</f>
        <v>500</v>
      </c>
      <c r="Q46" s="4">
        <f>IFERROR(__xludf.DUMMYFUNCTION("VALUE(REGEXEXTRACT(E46, ""\d+""))"),500.0)</f>
        <v>500</v>
      </c>
      <c r="R46" s="4">
        <f>IFERROR(__xludf.DUMMYFUNCTION("VALUE(REGEXEXTRACT(F46, ""\d+""))"),500.0)</f>
        <v>500</v>
      </c>
      <c r="S46" s="4">
        <f>IFERROR(__xludf.DUMMYFUNCTION("VALUE(REGEXEXTRACT(G46, ""\d+""))"),500.0)</f>
        <v>500</v>
      </c>
      <c r="T46" s="4">
        <f>IFERROR(__xludf.DUMMYFUNCTION("VALUE(REGEXEXTRACT(H46, ""\d+""))"),500.0)</f>
        <v>500</v>
      </c>
      <c r="U46" s="4">
        <f>IFERROR(__xludf.DUMMYFUNCTION("VALUE(REGEXEXTRACT(I46, ""\d+""))"),500.0)</f>
        <v>500</v>
      </c>
      <c r="V46" s="4">
        <f>IFERROR(__xludf.DUMMYFUNCTION("VALUE(REGEXEXTRACT(J46, ""\d+""))"),500.0)</f>
        <v>500</v>
      </c>
      <c r="W46" s="4">
        <f>IFERROR(__xludf.DUMMYFUNCTION("VALUE(REGEXEXTRACT(K46, ""\d+""))"),500.0)</f>
        <v>500</v>
      </c>
      <c r="X46" s="4">
        <f>IFERROR(__xludf.DUMMYFUNCTION("VALUE(REGEXEXTRACT(L46, ""\d+""))"),500.0)</f>
        <v>500</v>
      </c>
    </row>
    <row r="47">
      <c r="A47" s="1" t="s">
        <v>446</v>
      </c>
      <c r="B47" s="1" t="s">
        <v>447</v>
      </c>
      <c r="C47" s="1" t="s">
        <v>448</v>
      </c>
      <c r="D47" s="1" t="s">
        <v>449</v>
      </c>
      <c r="E47" s="1" t="s">
        <v>450</v>
      </c>
      <c r="F47" s="1" t="s">
        <v>451</v>
      </c>
      <c r="G47" s="1" t="s">
        <v>452</v>
      </c>
      <c r="H47" s="1" t="s">
        <v>453</v>
      </c>
      <c r="I47" s="1" t="s">
        <v>454</v>
      </c>
      <c r="J47" s="1" t="s">
        <v>455</v>
      </c>
      <c r="K47" s="1" t="s">
        <v>454</v>
      </c>
      <c r="L47" s="1" t="s">
        <v>452</v>
      </c>
      <c r="M47" s="4">
        <f>IFERROR(__xludf.DUMMYFUNCTION("VALUE(REGEXEXTRACT(A47, ""\d+""))"),143.0)</f>
        <v>143</v>
      </c>
      <c r="N47" s="4">
        <f>IFERROR(__xludf.DUMMYFUNCTION("VALUE(REGEXEXTRACT(B47, ""\d+""))"),294.0)</f>
        <v>294</v>
      </c>
      <c r="O47" s="4">
        <f>IFERROR(__xludf.DUMMYFUNCTION("VALUE(REGEXEXTRACT(C47, ""\d+""))"),153.0)</f>
        <v>153</v>
      </c>
      <c r="P47" s="4">
        <f>IFERROR(__xludf.DUMMYFUNCTION("VALUE(REGEXEXTRACT(D47, ""\d+""))"),208.0)</f>
        <v>208</v>
      </c>
      <c r="Q47" s="4">
        <f>IFERROR(__xludf.DUMMYFUNCTION("VALUE(REGEXEXTRACT(E47, ""\d+""))"),184.0)</f>
        <v>184</v>
      </c>
      <c r="R47" s="4">
        <f>IFERROR(__xludf.DUMMYFUNCTION("VALUE(REGEXEXTRACT(F47, ""\d+""))"),191.0)</f>
        <v>191</v>
      </c>
      <c r="S47" s="4">
        <f>IFERROR(__xludf.DUMMYFUNCTION("VALUE(REGEXEXTRACT(G47, ""\d+""))"),130.0)</f>
        <v>130</v>
      </c>
      <c r="T47" s="4">
        <f>IFERROR(__xludf.DUMMYFUNCTION("VALUE(REGEXEXTRACT(H47, ""\d+""))"),204.0)</f>
        <v>204</v>
      </c>
      <c r="U47" s="4">
        <f>IFERROR(__xludf.DUMMYFUNCTION("VALUE(REGEXEXTRACT(I47, ""\d+""))"),177.0)</f>
        <v>177</v>
      </c>
      <c r="V47" s="4">
        <f>IFERROR(__xludf.DUMMYFUNCTION("VALUE(REGEXEXTRACT(J47, ""\d+""))"),120.0)</f>
        <v>120</v>
      </c>
      <c r="W47" s="4">
        <f>IFERROR(__xludf.DUMMYFUNCTION("VALUE(REGEXEXTRACT(K47, ""\d+""))"),177.0)</f>
        <v>177</v>
      </c>
      <c r="X47" s="4">
        <f>IFERROR(__xludf.DUMMYFUNCTION("VALUE(REGEXEXTRACT(L47, ""\d+""))"),130.0)</f>
        <v>130</v>
      </c>
    </row>
    <row r="48">
      <c r="A48" s="1" t="s">
        <v>456</v>
      </c>
      <c r="B48" s="1" t="s">
        <v>457</v>
      </c>
      <c r="C48" s="1" t="s">
        <v>458</v>
      </c>
      <c r="D48" s="1" t="s">
        <v>459</v>
      </c>
      <c r="E48" s="1" t="s">
        <v>460</v>
      </c>
      <c r="F48" s="1" t="s">
        <v>461</v>
      </c>
      <c r="G48" s="1" t="s">
        <v>462</v>
      </c>
      <c r="H48" s="1" t="s">
        <v>463</v>
      </c>
      <c r="I48" s="1" t="s">
        <v>464</v>
      </c>
      <c r="J48" s="1" t="s">
        <v>465</v>
      </c>
      <c r="K48" s="1" t="s">
        <v>466</v>
      </c>
      <c r="L48" s="1" t="s">
        <v>467</v>
      </c>
      <c r="M48" s="2">
        <f>IFERROR(__xludf.DUMMYFUNCTION("VALUE(REGEXEXTRACT(A48, ""\d+\.\d+""))"),2387.95829057693)</f>
        <v>2387.958291</v>
      </c>
      <c r="N48" s="2">
        <f>IFERROR(__xludf.DUMMYFUNCTION("VALUE(REGEXEXTRACT(B48, ""\d+\.\d+""))"),4370.36503410339)</f>
        <v>4370.365034</v>
      </c>
      <c r="O48" s="2">
        <f>IFERROR(__xludf.DUMMYFUNCTION("VALUE(REGEXEXTRACT(C48, ""\d+\.\d+""))"),1855.62597823143)</f>
        <v>1855.625978</v>
      </c>
      <c r="P48" s="2">
        <f>IFERROR(__xludf.DUMMYFUNCTION("VALUE(REGEXEXTRACT(D48, ""\d+\.\d+""))"),2734.07437491416)</f>
        <v>2734.074375</v>
      </c>
      <c r="Q48" s="2">
        <f>IFERROR(__xludf.DUMMYFUNCTION("VALUE(REGEXEXTRACT(E48, ""\d+\.\d+""))"),19087.0666728019)</f>
        <v>19087.06667</v>
      </c>
      <c r="R48" s="2">
        <f>IFERROR(__xludf.DUMMYFUNCTION("VALUE(REGEXEXTRACT(F48, ""\d+\.\d+""))"),3845.8081305027)</f>
        <v>3845.808131</v>
      </c>
      <c r="S48" s="2">
        <f>IFERROR(__xludf.DUMMYFUNCTION("VALUE(REGEXEXTRACT(G48, ""\d+\.\d+""))"),1894.59775066375)</f>
        <v>1894.597751</v>
      </c>
      <c r="T48" s="2">
        <f>IFERROR(__xludf.DUMMYFUNCTION("VALUE(REGEXEXTRACT(H48, ""\d+\.\d+""))"),2791.35428857803)</f>
        <v>2791.354289</v>
      </c>
      <c r="U48" s="2">
        <f>IFERROR(__xludf.DUMMYFUNCTION("VALUE(REGEXEXTRACT(I48, ""\d+\.\d+""))"),2336.62490630149)</f>
        <v>2336.624906</v>
      </c>
      <c r="V48" s="2">
        <f>IFERROR(__xludf.DUMMYFUNCTION("VALUE(REGEXEXTRACT(J48, ""\d+\.\d+""))"),1462.21422791481)</f>
        <v>1462.214228</v>
      </c>
      <c r="W48" s="2">
        <f>IFERROR(__xludf.DUMMYFUNCTION("VALUE(REGEXEXTRACT(K48, ""\d+\.\d+""))"),2135.71578145027)</f>
        <v>2135.715781</v>
      </c>
      <c r="X48" s="2">
        <f>IFERROR(__xludf.DUMMYFUNCTION("VALUE(REGEXEXTRACT(L48, ""\d+\.\d+""))"),6565.38207769393)</f>
        <v>6565.382078</v>
      </c>
    </row>
    <row r="49">
      <c r="A49" s="1" t="s">
        <v>468</v>
      </c>
      <c r="B49" s="1" t="s">
        <v>469</v>
      </c>
      <c r="C49" s="1" t="s">
        <v>470</v>
      </c>
      <c r="D49" s="1" t="s">
        <v>471</v>
      </c>
      <c r="E49" s="1" t="s">
        <v>472</v>
      </c>
      <c r="F49" s="1" t="s">
        <v>473</v>
      </c>
      <c r="G49" s="1" t="s">
        <v>474</v>
      </c>
      <c r="H49" s="1" t="s">
        <v>475</v>
      </c>
      <c r="I49" s="1" t="s">
        <v>476</v>
      </c>
      <c r="J49" s="1" t="s">
        <v>477</v>
      </c>
      <c r="K49" s="1" t="s">
        <v>478</v>
      </c>
      <c r="L49" s="1" t="s">
        <v>479</v>
      </c>
      <c r="M49" s="2">
        <f>IFERROR(__xludf.DUMMYFUNCTION("VALUE(REGEXEXTRACT(A49, ""\d+\.\d+""))"),0.214552104473114)</f>
        <v>0.2145521045</v>
      </c>
      <c r="N49" s="2">
        <f>IFERROR(__xludf.DUMMYFUNCTION("VALUE(REGEXEXTRACT(B49, ""\d+\.\d+""))"),0.193981856107711)</f>
        <v>0.1939818561</v>
      </c>
      <c r="O49" s="2">
        <f>IFERROR(__xludf.DUMMYFUNCTION("VALUE(REGEXEXTRACT(C49, ""\d+\.\d+""))"),0.198760315775871)</f>
        <v>0.1987603158</v>
      </c>
      <c r="P49" s="2">
        <f>IFERROR(__xludf.DUMMYFUNCTION("VALUE(REGEXEXTRACT(D49, ""\d+\.\d+""))"),0.209282472729682)</f>
        <v>0.2092824727</v>
      </c>
      <c r="Q49" s="2">
        <f>IFERROR(__xludf.DUMMYFUNCTION("VALUE(REGEXEXTRACT(E49, ""\d+\.\d+""))"),0.204073563218116)</f>
        <v>0.2040735632</v>
      </c>
      <c r="R49" s="2">
        <f>IFERROR(__xludf.DUMMYFUNCTION("VALUE(REGEXEXTRACT(F49, ""\d+\.\d+""))"),0.198537543416023)</f>
        <v>0.1985375434</v>
      </c>
      <c r="S49" s="2">
        <f>IFERROR(__xludf.DUMMYFUNCTION("VALUE(REGEXEXTRACT(G49, ""\d+\.\d+""))"),0.169270798563957)</f>
        <v>0.1692707986</v>
      </c>
      <c r="T49" s="2">
        <f>IFERROR(__xludf.DUMMYFUNCTION("VALUE(REGEXEXTRACT(H49, ""\d+\.\d+""))"),0.170073419809341)</f>
        <v>0.1700734198</v>
      </c>
      <c r="U49" s="2">
        <f>IFERROR(__xludf.DUMMYFUNCTION("VALUE(REGEXEXTRACT(I49, ""\d+\.\d+""))"),0.195707693696022)</f>
        <v>0.1957076937</v>
      </c>
      <c r="V49" s="2">
        <f>IFERROR(__xludf.DUMMYFUNCTION("VALUE(REGEXEXTRACT(J49, ""\d+\.\d+""))"),0.179784312844276)</f>
        <v>0.1797843128</v>
      </c>
      <c r="W49" s="2">
        <f>IFERROR(__xludf.DUMMYFUNCTION("VALUE(REGEXEXTRACT(K49, ""\d+\.\d+""))"),0.184792175889015)</f>
        <v>0.1847921759</v>
      </c>
      <c r="X49" s="2">
        <f>IFERROR(__xludf.DUMMYFUNCTION("VALUE(REGEXEXTRACT(L49, ""\d+\.\d+""))"),0.196459621191024)</f>
        <v>0.1964596212</v>
      </c>
    </row>
    <row r="50">
      <c r="A50" s="1" t="s">
        <v>480</v>
      </c>
      <c r="B50" s="1" t="s">
        <v>481</v>
      </c>
      <c r="C50" s="1" t="s">
        <v>482</v>
      </c>
      <c r="D50" s="1" t="s">
        <v>483</v>
      </c>
      <c r="E50" s="1" t="s">
        <v>484</v>
      </c>
      <c r="F50" s="1" t="s">
        <v>485</v>
      </c>
      <c r="G50" s="1" t="s">
        <v>486</v>
      </c>
      <c r="H50" s="1" t="s">
        <v>487</v>
      </c>
      <c r="I50" s="1" t="s">
        <v>488</v>
      </c>
      <c r="J50" s="1" t="s">
        <v>489</v>
      </c>
      <c r="K50" s="1" t="s">
        <v>490</v>
      </c>
      <c r="L50" s="1" t="s">
        <v>491</v>
      </c>
      <c r="M50" s="2">
        <f>IFERROR(__xludf.DUMMYFUNCTION("VALUE(REGEXEXTRACT(A50, ""\d+\.\d+""))"),0.898787319660186)</f>
        <v>0.8987873197</v>
      </c>
      <c r="N50" s="2">
        <f>IFERROR(__xludf.DUMMYFUNCTION("VALUE(REGEXEXTRACT(B50, ""\d+\.\d+""))"),0.905155301094055)</f>
        <v>0.9051553011</v>
      </c>
      <c r="O50" s="2">
        <f>IFERROR(__xludf.DUMMYFUNCTION("VALUE(REGEXEXTRACT(C50, ""\d+\.\d+""))"),0.902568697929382)</f>
        <v>0.9025686979</v>
      </c>
      <c r="P50" s="2">
        <f>IFERROR(__xludf.DUMMYFUNCTION("VALUE(REGEXEXTRACT(D50, ""\d+\.\d+""))"),0.901421725749969)</f>
        <v>0.9014217257</v>
      </c>
      <c r="Q50" s="2">
        <f>IFERROR(__xludf.DUMMYFUNCTION("VALUE(REGEXEXTRACT(E50, ""\d+\.\d+""))"),0.900280773639679)</f>
        <v>0.9002807736</v>
      </c>
      <c r="R50" s="2">
        <f>IFERROR(__xludf.DUMMYFUNCTION("VALUE(REGEXEXTRACT(F50, ""\d+\.\d+""))"),0.897682189941406)</f>
        <v>0.8976821899</v>
      </c>
      <c r="S50" s="2">
        <f>IFERROR(__xludf.DUMMYFUNCTION("VALUE(REGEXEXTRACT(G50, ""\d+\.\d+""))"),0.924097955226898)</f>
        <v>0.9240979552</v>
      </c>
      <c r="T50" s="2">
        <f>IFERROR(__xludf.DUMMYFUNCTION("VALUE(REGEXEXTRACT(H50, ""\d+\.\d+""))"),0.920627236366272)</f>
        <v>0.9206272364</v>
      </c>
      <c r="U50" s="2">
        <f>IFERROR(__xludf.DUMMYFUNCTION("VALUE(REGEXEXTRACT(I50, ""\d+\.\d+""))"),0.915794491767883)</f>
        <v>0.9157944918</v>
      </c>
      <c r="V50" s="2">
        <f>IFERROR(__xludf.DUMMYFUNCTION("VALUE(REGEXEXTRACT(J50, ""\d+\.\d+""))"),0.920513749122619)</f>
        <v>0.9205137491</v>
      </c>
      <c r="W50" s="2">
        <f>IFERROR(__xludf.DUMMYFUNCTION("VALUE(REGEXEXTRACT(K50, ""\d+\.\d+""))"),0.917813599109649)</f>
        <v>0.9178135991</v>
      </c>
      <c r="X50" s="2">
        <f>IFERROR(__xludf.DUMMYFUNCTION("VALUE(REGEXEXTRACT(L50, ""\d+\.\d+""))"),0.912765800952911)</f>
        <v>0.912765801</v>
      </c>
    </row>
    <row r="51">
      <c r="A51" s="1" t="s">
        <v>492</v>
      </c>
      <c r="B51" s="1" t="s">
        <v>493</v>
      </c>
      <c r="C51" s="1" t="s">
        <v>494</v>
      </c>
      <c r="D51" s="1" t="s">
        <v>495</v>
      </c>
      <c r="E51" s="1" t="s">
        <v>496</v>
      </c>
      <c r="F51" s="1" t="s">
        <v>497</v>
      </c>
      <c r="G51" s="1" t="s">
        <v>498</v>
      </c>
      <c r="H51" s="1" t="s">
        <v>499</v>
      </c>
      <c r="I51" s="1" t="s">
        <v>500</v>
      </c>
      <c r="J51" s="1" t="s">
        <v>501</v>
      </c>
      <c r="K51" s="1" t="s">
        <v>502</v>
      </c>
      <c r="L51" s="1" t="s">
        <v>503</v>
      </c>
      <c r="M51" s="2">
        <f>IFERROR(__xludf.DUMMYFUNCTION("VALUE(REGEXEXTRACT(A51, ""\d+\.\d+""))"),0.126146212220191)</f>
        <v>0.1261462122</v>
      </c>
      <c r="N51" s="2">
        <f>IFERROR(__xludf.DUMMYFUNCTION("VALUE(REGEXEXTRACT(B51, ""\d+\.\d+""))"),0.120250523090362)</f>
        <v>0.1202505231</v>
      </c>
      <c r="O51" s="2">
        <f>IFERROR(__xludf.DUMMYFUNCTION("VALUE(REGEXEXTRACT(C51, ""\d+\.\d+""))"),0.125329107046127)</f>
        <v>0.125329107</v>
      </c>
      <c r="P51" s="2">
        <f>IFERROR(__xludf.DUMMYFUNCTION("VALUE(REGEXEXTRACT(D51, ""\d+\.\d+""))"),0.128755807876586)</f>
        <v>0.1287558079</v>
      </c>
      <c r="Q51" s="2">
        <f>IFERROR(__xludf.DUMMYFUNCTION("VALUE(REGEXEXTRACT(E51, ""\d+\.\d+""))"),0.125601559877395)</f>
        <v>0.1256015599</v>
      </c>
      <c r="R51" s="2">
        <f>IFERROR(__xludf.DUMMYFUNCTION("VALUE(REGEXEXTRACT(F51, ""\d+\.\d+""))"),0.125445127487182)</f>
        <v>0.1254451275</v>
      </c>
      <c r="S51" s="2">
        <f>IFERROR(__xludf.DUMMYFUNCTION("VALUE(REGEXEXTRACT(G51, ""\d+\.\d+""))"),0.0522579327225685)</f>
        <v>0.05225793272</v>
      </c>
      <c r="T51" s="2">
        <f>IFERROR(__xludf.DUMMYFUNCTION("VALUE(REGEXEXTRACT(H51, ""\d+\.\d+""))"),0.0514349527657032)</f>
        <v>0.05143495277</v>
      </c>
      <c r="U51" s="2">
        <f>IFERROR(__xludf.DUMMYFUNCTION("VALUE(REGEXEXTRACT(I51, ""\d+\.\d+""))"),0.0630253404378891)</f>
        <v>0.06302534044</v>
      </c>
      <c r="V51" s="2">
        <f>IFERROR(__xludf.DUMMYFUNCTION("VALUE(REGEXEXTRACT(J51, ""\d+\.\d+""))"),0.0581516996026039)</f>
        <v>0.0581516996</v>
      </c>
      <c r="W51" s="2">
        <f>IFERROR(__xludf.DUMMYFUNCTION("VALUE(REGEXEXTRACT(K51, ""\d+\.\d+""))"),0.0570383369922637)</f>
        <v>0.05703833699</v>
      </c>
      <c r="X51" s="2">
        <f>IFERROR(__xludf.DUMMYFUNCTION("VALUE(REGEXEXTRACT(L51, ""\d+\.\d+""))"),0.0536050237715244)</f>
        <v>0.05360502377</v>
      </c>
    </row>
    <row r="52">
      <c r="A52" s="1" t="s">
        <v>504</v>
      </c>
      <c r="B52" s="1" t="s">
        <v>505</v>
      </c>
      <c r="C52" s="1" t="s">
        <v>506</v>
      </c>
      <c r="D52" s="1" t="s">
        <v>507</v>
      </c>
      <c r="E52" s="1" t="s">
        <v>508</v>
      </c>
      <c r="F52" s="1" t="s">
        <v>89</v>
      </c>
      <c r="G52" s="1" t="s">
        <v>101</v>
      </c>
      <c r="H52" s="1" t="s">
        <v>509</v>
      </c>
      <c r="I52" s="1" t="s">
        <v>510</v>
      </c>
      <c r="J52" s="1" t="s">
        <v>511</v>
      </c>
      <c r="K52" s="1" t="s">
        <v>512</v>
      </c>
      <c r="L52" s="1" t="s">
        <v>513</v>
      </c>
      <c r="M52" s="2">
        <f>IFERROR(__xludf.DUMMYFUNCTION("VALUE(REGEXEXTRACT(A52, ""\d+\.\d+""))"),0.945591390132904)</f>
        <v>0.9455913901</v>
      </c>
      <c r="N52" s="2">
        <f>IFERROR(__xludf.DUMMYFUNCTION("VALUE(REGEXEXTRACT(B52, ""\d+\.\d+""))"),0.946451604366302)</f>
        <v>0.9464516044</v>
      </c>
      <c r="O52" s="2">
        <f>IFERROR(__xludf.DUMMYFUNCTION("VALUE(REGEXEXTRACT(C52, ""\d+\.\d+""))"),0.94483870267868)</f>
        <v>0.9448387027</v>
      </c>
      <c r="P52" s="2">
        <f>IFERROR(__xludf.DUMMYFUNCTION("VALUE(REGEXEXTRACT(D52, ""\d+\.\d+""))"),0.942580640316009)</f>
        <v>0.9425806403</v>
      </c>
      <c r="Q52" s="2">
        <f>IFERROR(__xludf.DUMMYFUNCTION("VALUE(REGEXEXTRACT(E52, ""\d+\.\d+""))"),0.944086015224456)</f>
        <v>0.9440860152</v>
      </c>
      <c r="R52" s="2">
        <f>IFERROR(__xludf.DUMMYFUNCTION("VALUE(REGEXEXTRACT(F52, ""\d+\.\d+""))"),0.945376336574554)</f>
        <v>0.9453763366</v>
      </c>
      <c r="S52" s="2">
        <f>IFERROR(__xludf.DUMMYFUNCTION("VALUE(REGEXEXTRACT(G52, ""\d+\.\d+""))"),0.980107545852661)</f>
        <v>0.9801075459</v>
      </c>
      <c r="T52" s="2">
        <f>IFERROR(__xludf.DUMMYFUNCTION("VALUE(REGEXEXTRACT(H52, ""\d+\.\d+""))"),0.982688188552856)</f>
        <v>0.9826881886</v>
      </c>
      <c r="U52" s="2">
        <f>IFERROR(__xludf.DUMMYFUNCTION("VALUE(REGEXEXTRACT(I52, ""\d+\.\d+""))"),0.978387117385864)</f>
        <v>0.9783871174</v>
      </c>
      <c r="V52" s="2">
        <f>IFERROR(__xludf.DUMMYFUNCTION("VALUE(REGEXEXTRACT(J52, ""\d+\.\d+""))"),0.977957010269165)</f>
        <v>0.9779570103</v>
      </c>
      <c r="W52" s="2">
        <f>IFERROR(__xludf.DUMMYFUNCTION("VALUE(REGEXEXTRACT(K52, ""\d+\.\d+""))"),0.980645179748535)</f>
        <v>0.9806451797</v>
      </c>
      <c r="X52" s="2">
        <f>IFERROR(__xludf.DUMMYFUNCTION("VALUE(REGEXEXTRACT(L52, ""\d+\.\d+""))"),0.979784965515136)</f>
        <v>0.9797849655</v>
      </c>
    </row>
    <row r="53">
      <c r="A53" s="1" t="s">
        <v>110</v>
      </c>
      <c r="B53" s="1" t="s">
        <v>514</v>
      </c>
      <c r="C53" s="1" t="s">
        <v>515</v>
      </c>
      <c r="D53" s="1" t="s">
        <v>516</v>
      </c>
      <c r="E53" s="1" t="s">
        <v>517</v>
      </c>
      <c r="F53" s="1" t="s">
        <v>518</v>
      </c>
      <c r="G53" s="1" t="s">
        <v>519</v>
      </c>
      <c r="H53" s="1" t="s">
        <v>520</v>
      </c>
      <c r="I53" s="1" t="s">
        <v>521</v>
      </c>
      <c r="J53" s="1" t="s">
        <v>522</v>
      </c>
      <c r="K53" s="1" t="s">
        <v>523</v>
      </c>
      <c r="L53" s="1" t="s">
        <v>524</v>
      </c>
      <c r="M53" s="4">
        <f>IFERROR(__xludf.DUMMYFUNCTION("VALUE(REGEXEXTRACT(A53, ""\d+""))"),134.0)</f>
        <v>134</v>
      </c>
      <c r="N53" s="4">
        <f>IFERROR(__xludf.DUMMYFUNCTION("VALUE(REGEXEXTRACT(B53, ""\d+""))"),291.0)</f>
        <v>291</v>
      </c>
      <c r="O53" s="4">
        <f>IFERROR(__xludf.DUMMYFUNCTION("VALUE(REGEXEXTRACT(C53, ""\d+""))"),152.0)</f>
        <v>152</v>
      </c>
      <c r="P53" s="4">
        <f>IFERROR(__xludf.DUMMYFUNCTION("VALUE(REGEXEXTRACT(D53, ""\d+""))"),191.0)</f>
        <v>191</v>
      </c>
      <c r="Q53" s="4">
        <f>IFERROR(__xludf.DUMMYFUNCTION("VALUE(REGEXEXTRACT(E53, ""\d+""))"),181.0)</f>
        <v>181</v>
      </c>
      <c r="R53" s="4">
        <f>IFERROR(__xludf.DUMMYFUNCTION("VALUE(REGEXEXTRACT(F53, ""\d+""))"),187.0)</f>
        <v>187</v>
      </c>
      <c r="S53" s="4">
        <f>IFERROR(__xludf.DUMMYFUNCTION("VALUE(REGEXEXTRACT(G53, ""\d+""))"),89.0)</f>
        <v>89</v>
      </c>
      <c r="T53" s="4">
        <f>IFERROR(__xludf.DUMMYFUNCTION("VALUE(REGEXEXTRACT(H53, ""\d+""))"),167.0)</f>
        <v>167</v>
      </c>
      <c r="U53" s="4">
        <f>IFERROR(__xludf.DUMMYFUNCTION("VALUE(REGEXEXTRACT(I53, ""\d+""))"),161.0)</f>
        <v>161</v>
      </c>
      <c r="V53" s="4">
        <f>IFERROR(__xludf.DUMMYFUNCTION("VALUE(REGEXEXTRACT(J53, ""\d+""))"),111.0)</f>
        <v>111</v>
      </c>
      <c r="W53" s="4">
        <f>IFERROR(__xludf.DUMMYFUNCTION("VALUE(REGEXEXTRACT(K53, ""\d+""))"),168.0)</f>
        <v>168</v>
      </c>
      <c r="X53" s="4">
        <f>IFERROR(__xludf.DUMMYFUNCTION("VALUE(REGEXEXTRACT(L53, ""\d+""))"),120.0)</f>
        <v>120</v>
      </c>
    </row>
    <row r="54">
      <c r="A54" s="1" t="s">
        <v>525</v>
      </c>
      <c r="B54" s="1" t="s">
        <v>526</v>
      </c>
      <c r="C54" s="1" t="s">
        <v>527</v>
      </c>
      <c r="D54" s="1" t="s">
        <v>528</v>
      </c>
      <c r="E54" s="1" t="s">
        <v>529</v>
      </c>
      <c r="F54" s="1" t="s">
        <v>530</v>
      </c>
      <c r="G54" s="1" t="s">
        <v>128</v>
      </c>
      <c r="H54" s="1" t="s">
        <v>531</v>
      </c>
      <c r="I54" s="1" t="s">
        <v>532</v>
      </c>
      <c r="J54" s="1" t="s">
        <v>129</v>
      </c>
      <c r="K54" s="1" t="s">
        <v>533</v>
      </c>
      <c r="L54" s="1" t="s">
        <v>127</v>
      </c>
      <c r="M54" s="2">
        <f>IFERROR(__xludf.DUMMYFUNCTION("VALUE(REGEXEXTRACT(A54, ""\d+\.\d+""))"),0.948494613170623)</f>
        <v>0.9484946132</v>
      </c>
      <c r="N54" s="2">
        <f>IFERROR(__xludf.DUMMYFUNCTION("VALUE(REGEXEXTRACT(B54, ""\d+\.\d+""))"),0.949354827404022)</f>
        <v>0.9493548274</v>
      </c>
      <c r="O54" s="2">
        <f>IFERROR(__xludf.DUMMYFUNCTION("VALUE(REGEXEXTRACT(C54, ""\d+\.\d+""))"),0.9473118185997)</f>
        <v>0.9473118186</v>
      </c>
      <c r="P54" s="2">
        <f>IFERROR(__xludf.DUMMYFUNCTION("VALUE(REGEXEXTRACT(D54, ""\d+\.\d+""))"),0.946129024028778)</f>
        <v>0.946129024</v>
      </c>
      <c r="Q54" s="2">
        <f>IFERROR(__xludf.DUMMYFUNCTION("VALUE(REGEXEXTRACT(E54, ""\d+\.\d+""))"),0.949569880962371)</f>
        <v>0.949569881</v>
      </c>
      <c r="R54" s="2">
        <f>IFERROR(__xludf.DUMMYFUNCTION("VALUE(REGEXEXTRACT(F54, ""\d+\.\d+""))"),0.947096765041351)</f>
        <v>0.947096765</v>
      </c>
      <c r="S54" s="2">
        <f>IFERROR(__xludf.DUMMYFUNCTION("VALUE(REGEXEXTRACT(G54, ""\d+\.\d+""))"),0.980860233306884)</f>
        <v>0.9808602333</v>
      </c>
      <c r="T54" s="2">
        <f>IFERROR(__xludf.DUMMYFUNCTION("VALUE(REGEXEXTRACT(H54, ""\d+\.\d+""))"),0.983763456344604)</f>
        <v>0.9837634563</v>
      </c>
      <c r="U54" s="2">
        <f>IFERROR(__xludf.DUMMYFUNCTION("VALUE(REGEXEXTRACT(I54, ""\d+\.\d+""))"),0.978924751281738)</f>
        <v>0.9789247513</v>
      </c>
      <c r="V54" s="2">
        <f>IFERROR(__xludf.DUMMYFUNCTION("VALUE(REGEXEXTRACT(J54, ""\d+\.\d+""))"),0.981075286865234)</f>
        <v>0.9810752869</v>
      </c>
      <c r="W54" s="2">
        <f>IFERROR(__xludf.DUMMYFUNCTION("VALUE(REGEXEXTRACT(K54, ""\d+\.\d+""))"),0.981827974319458)</f>
        <v>0.9818279743</v>
      </c>
      <c r="X54" s="2">
        <f>IFERROR(__xludf.DUMMYFUNCTION("VALUE(REGEXEXTRACT(L54, ""\d+\.\d+""))"),0.981612920761108)</f>
        <v>0.9816129208</v>
      </c>
    </row>
    <row r="55">
      <c r="A55" s="1" t="s">
        <v>534</v>
      </c>
      <c r="B55" s="1" t="s">
        <v>535</v>
      </c>
      <c r="C55" s="1" t="s">
        <v>536</v>
      </c>
      <c r="D55" s="1" t="s">
        <v>537</v>
      </c>
      <c r="E55" s="1" t="s">
        <v>538</v>
      </c>
      <c r="F55" s="1" t="s">
        <v>539</v>
      </c>
      <c r="G55" s="1" t="s">
        <v>540</v>
      </c>
      <c r="H55" s="1" t="s">
        <v>541</v>
      </c>
      <c r="I55" s="1" t="s">
        <v>542</v>
      </c>
      <c r="J55" s="1" t="s">
        <v>543</v>
      </c>
      <c r="K55" s="1" t="s">
        <v>542</v>
      </c>
      <c r="L55" s="1" t="s">
        <v>540</v>
      </c>
      <c r="M55" s="4">
        <f>IFERROR(__xludf.DUMMYFUNCTION("VALUE(REGEXEXTRACT(A55, ""\d+""))"),92.0)</f>
        <v>92</v>
      </c>
      <c r="N55" s="4">
        <f>IFERROR(__xludf.DUMMYFUNCTION("VALUE(REGEXEXTRACT(B55, ""\d+""))"),243.0)</f>
        <v>243</v>
      </c>
      <c r="O55" s="4">
        <f>IFERROR(__xludf.DUMMYFUNCTION("VALUE(REGEXEXTRACT(C55, ""\d+""))"),102.0)</f>
        <v>102</v>
      </c>
      <c r="P55" s="4">
        <f>IFERROR(__xludf.DUMMYFUNCTION("VALUE(REGEXEXTRACT(D55, ""\d+""))"),157.0)</f>
        <v>157</v>
      </c>
      <c r="Q55" s="4">
        <f>IFERROR(__xludf.DUMMYFUNCTION("VALUE(REGEXEXTRACT(E55, ""\d+""))"),133.0)</f>
        <v>133</v>
      </c>
      <c r="R55" s="4">
        <f>IFERROR(__xludf.DUMMYFUNCTION("VALUE(REGEXEXTRACT(F55, ""\d+""))"),140.0)</f>
        <v>140</v>
      </c>
      <c r="S55" s="4">
        <f>IFERROR(__xludf.DUMMYFUNCTION("VALUE(REGEXEXTRACT(G55, ""\d+""))"),79.0)</f>
        <v>79</v>
      </c>
      <c r="T55" s="4">
        <f>IFERROR(__xludf.DUMMYFUNCTION("VALUE(REGEXEXTRACT(H55, ""\d+""))"),153.0)</f>
        <v>153</v>
      </c>
      <c r="U55" s="4">
        <f>IFERROR(__xludf.DUMMYFUNCTION("VALUE(REGEXEXTRACT(I55, ""\d+""))"),126.0)</f>
        <v>126</v>
      </c>
      <c r="V55" s="4">
        <f>IFERROR(__xludf.DUMMYFUNCTION("VALUE(REGEXEXTRACT(J55, ""\d+""))"),69.0)</f>
        <v>69</v>
      </c>
      <c r="W55" s="4">
        <f>IFERROR(__xludf.DUMMYFUNCTION("VALUE(REGEXEXTRACT(K55, ""\d+""))"),126.0)</f>
        <v>126</v>
      </c>
      <c r="X55" s="4">
        <f>IFERROR(__xludf.DUMMYFUNCTION("VALUE(REGEXEXTRACT(L55, ""\d+""))"),79.0)</f>
        <v>79</v>
      </c>
    </row>
    <row r="56">
      <c r="A56" s="1" t="s">
        <v>544</v>
      </c>
      <c r="B56" s="1" t="s">
        <v>545</v>
      </c>
      <c r="C56" s="1" t="s">
        <v>546</v>
      </c>
      <c r="D56" s="1" t="s">
        <v>547</v>
      </c>
      <c r="E56" s="1" t="s">
        <v>548</v>
      </c>
      <c r="F56" s="1" t="s">
        <v>549</v>
      </c>
      <c r="G56" s="1" t="s">
        <v>550</v>
      </c>
      <c r="H56" s="1" t="s">
        <v>551</v>
      </c>
      <c r="I56" s="1" t="s">
        <v>552</v>
      </c>
      <c r="J56" s="1" t="s">
        <v>553</v>
      </c>
      <c r="K56" s="1" t="s">
        <v>554</v>
      </c>
      <c r="L56" s="1" t="s">
        <v>555</v>
      </c>
      <c r="M56" s="2">
        <f>IFERROR(__xludf.DUMMYFUNCTION("VALUE(REGEXEXTRACT(A56, ""\d+\.\d+""))"),0.126146212220191)</f>
        <v>0.1261462122</v>
      </c>
      <c r="N56" s="2">
        <f>IFERROR(__xludf.DUMMYFUNCTION("VALUE(REGEXEXTRACT(B56, ""\d+\.\d+""))"),0.120250523090362)</f>
        <v>0.1202505231</v>
      </c>
      <c r="O56" s="2">
        <f>IFERROR(__xludf.DUMMYFUNCTION("VALUE(REGEXEXTRACT(C56, ""\d+\.\d+""))"),0.125329107046127)</f>
        <v>0.125329107</v>
      </c>
      <c r="P56" s="2">
        <f>IFERROR(__xludf.DUMMYFUNCTION("VALUE(REGEXEXTRACT(D56, ""\d+\.\d+""))"),0.128755807876586)</f>
        <v>0.1287558079</v>
      </c>
      <c r="Q56" s="2">
        <f>IFERROR(__xludf.DUMMYFUNCTION("VALUE(REGEXEXTRACT(E56, ""\d+\.\d+""))"),0.125601559877395)</f>
        <v>0.1256015599</v>
      </c>
      <c r="R56" s="2">
        <f>IFERROR(__xludf.DUMMYFUNCTION("VALUE(REGEXEXTRACT(F56, ""\d+\.\d+""))"),0.125445127487182)</f>
        <v>0.1254451275</v>
      </c>
      <c r="S56" s="2">
        <f>IFERROR(__xludf.DUMMYFUNCTION("VALUE(REGEXEXTRACT(G56, ""\d+\.\d+""))"),0.0522579327225685)</f>
        <v>0.05225793272</v>
      </c>
      <c r="T56" s="2">
        <f>IFERROR(__xludf.DUMMYFUNCTION("VALUE(REGEXEXTRACT(H56, ""\d+\.\d+""))"),0.0514349527657032)</f>
        <v>0.05143495277</v>
      </c>
      <c r="U56" s="2">
        <f>IFERROR(__xludf.DUMMYFUNCTION("VALUE(REGEXEXTRACT(I56, ""\d+\.\d+""))"),0.0630253404378891)</f>
        <v>0.06302534044</v>
      </c>
      <c r="V56" s="2">
        <f>IFERROR(__xludf.DUMMYFUNCTION("VALUE(REGEXEXTRACT(J56, ""\d+\.\d+""))"),0.0581516996026039)</f>
        <v>0.0581516996</v>
      </c>
      <c r="W56" s="2">
        <f>IFERROR(__xludf.DUMMYFUNCTION("VALUE(REGEXEXTRACT(K56, ""\d+\.\d+""))"),0.0570383369922637)</f>
        <v>0.05703833699</v>
      </c>
      <c r="X56" s="2">
        <f>IFERROR(__xludf.DUMMYFUNCTION("VALUE(REGEXEXTRACT(L56, ""\d+\.\d+""))"),0.0536050237715244)</f>
        <v>0.05360502377</v>
      </c>
    </row>
    <row r="57">
      <c r="A57" s="1" t="s">
        <v>556</v>
      </c>
      <c r="B57" s="1" t="s">
        <v>557</v>
      </c>
      <c r="C57" s="1" t="s">
        <v>558</v>
      </c>
      <c r="D57" s="1" t="s">
        <v>559</v>
      </c>
      <c r="E57" s="1" t="s">
        <v>560</v>
      </c>
      <c r="F57" s="1" t="s">
        <v>561</v>
      </c>
      <c r="G57" s="1" t="s">
        <v>562</v>
      </c>
      <c r="H57" s="1" t="s">
        <v>563</v>
      </c>
      <c r="I57" s="1" t="s">
        <v>564</v>
      </c>
      <c r="J57" s="1" t="s">
        <v>565</v>
      </c>
      <c r="K57" s="1" t="s">
        <v>168</v>
      </c>
      <c r="L57" s="1" t="s">
        <v>566</v>
      </c>
      <c r="M57" s="2">
        <f>IFERROR(__xludf.DUMMYFUNCTION("VALUE(REGEXEXTRACT(A57, ""\d+\.\d+""))"),0.948172043010752)</f>
        <v>0.948172043</v>
      </c>
      <c r="N57" s="2">
        <f>IFERROR(__xludf.DUMMYFUNCTION("VALUE(REGEXEXTRACT(B57, ""\d+\.\d+""))"),0.94752688172043)</f>
        <v>0.9475268817</v>
      </c>
      <c r="O57" s="2">
        <f>IFERROR(__xludf.DUMMYFUNCTION("VALUE(REGEXEXTRACT(C57, ""\d+\.\d+""))"),0.945698924731182)</f>
        <v>0.9456989247</v>
      </c>
      <c r="P57" s="2">
        <f>IFERROR(__xludf.DUMMYFUNCTION("VALUE(REGEXEXTRACT(D57, ""\d+\.\d+""))"),0.946021505376344)</f>
        <v>0.9460215054</v>
      </c>
      <c r="Q57" s="2">
        <f>IFERROR(__xludf.DUMMYFUNCTION("VALUE(REGEXEXTRACT(E57, ""\d+\.\d+""))"),0.948494623655914)</f>
        <v>0.9484946237</v>
      </c>
      <c r="R57" s="2">
        <f>IFERROR(__xludf.DUMMYFUNCTION("VALUE(REGEXEXTRACT(F57, ""\d+\.\d+""))"),0.945376344086021)</f>
        <v>0.9453763441</v>
      </c>
      <c r="S57" s="2">
        <f>IFERROR(__xludf.DUMMYFUNCTION("VALUE(REGEXEXTRACT(G57, ""\d+\.\d+""))"),0.98)</f>
        <v>0.98</v>
      </c>
      <c r="T57" s="2">
        <f>IFERROR(__xludf.DUMMYFUNCTION("VALUE(REGEXEXTRACT(H57, ""\d+\.\d+""))"),0.983655913978494)</f>
        <v>0.983655914</v>
      </c>
      <c r="U57" s="2">
        <f>IFERROR(__xludf.DUMMYFUNCTION("VALUE(REGEXEXTRACT(I57, ""\d+\.\d+""))"),0.978924731182795)</f>
        <v>0.9789247312</v>
      </c>
      <c r="V57" s="2">
        <f>IFERROR(__xludf.DUMMYFUNCTION("VALUE(REGEXEXTRACT(J57, ""\d+\.\d+""))"),0.980430107526881)</f>
        <v>0.9804301075</v>
      </c>
      <c r="W57" s="2">
        <f>IFERROR(__xludf.DUMMYFUNCTION("VALUE(REGEXEXTRACT(K57, ""\d+\.\d+""))"),0.982365591397849)</f>
        <v>0.9823655914</v>
      </c>
      <c r="X57" s="2">
        <f>IFERROR(__xludf.DUMMYFUNCTION("VALUE(REGEXEXTRACT(L57, ""\d+\.\d+""))"),0.98010752688172)</f>
        <v>0.9801075269</v>
      </c>
    </row>
    <row r="58">
      <c r="A58" s="1" t="s">
        <v>567</v>
      </c>
      <c r="B58" s="1" t="s">
        <v>568</v>
      </c>
      <c r="C58" s="1" t="s">
        <v>569</v>
      </c>
      <c r="D58" s="1" t="s">
        <v>570</v>
      </c>
      <c r="E58" s="1" t="s">
        <v>571</v>
      </c>
      <c r="F58" s="1" t="s">
        <v>572</v>
      </c>
      <c r="G58" s="1" t="s">
        <v>573</v>
      </c>
      <c r="H58" s="1" t="s">
        <v>574</v>
      </c>
      <c r="I58" s="1" t="s">
        <v>575</v>
      </c>
      <c r="J58" s="1" t="s">
        <v>576</v>
      </c>
      <c r="K58" s="1" t="s">
        <v>577</v>
      </c>
      <c r="L58" s="1" t="s">
        <v>578</v>
      </c>
      <c r="M58" s="2">
        <f>IFERROR(__xludf.DUMMYFUNCTION("VALUE(REGEXEXTRACT(A58, ""\d+\.\d+""))"),0.968525179856115)</f>
        <v>0.9685251799</v>
      </c>
      <c r="N58" s="2">
        <f>IFERROR(__xludf.DUMMYFUNCTION("VALUE(REGEXEXTRACT(B58, ""\d+\.\d+""))"),0.968271827182718)</f>
        <v>0.9682718272</v>
      </c>
      <c r="O58" s="2">
        <f>IFERROR(__xludf.DUMMYFUNCTION("VALUE(REGEXEXTRACT(C58, ""\d+\.\d+""))"),0.963957913588538)</f>
        <v>0.9639579136</v>
      </c>
      <c r="P58" s="2">
        <f>IFERROR(__xludf.DUMMYFUNCTION("VALUE(REGEXEXTRACT(D58, ""\d+\.\d+""))"),0.964605734767025)</f>
        <v>0.9646057348</v>
      </c>
      <c r="Q58" s="2">
        <f>IFERROR(__xludf.DUMMYFUNCTION("VALUE(REGEXEXTRACT(E58, ""\d+\.\d+""))"),0.972366930917327)</f>
        <v>0.9723669309</v>
      </c>
      <c r="R58" s="2">
        <f>IFERROR(__xludf.DUMMYFUNCTION("VALUE(REGEXEXTRACT(F58, ""\d+\.\d+""))"),0.964349775784753)</f>
        <v>0.9643497758</v>
      </c>
      <c r="S58" s="2">
        <f>IFERROR(__xludf.DUMMYFUNCTION("VALUE(REGEXEXTRACT(G58, ""\d+\.\d+""))"),0.984164859002169)</f>
        <v>0.984164859</v>
      </c>
      <c r="T58" s="2">
        <f>IFERROR(__xludf.DUMMYFUNCTION("VALUE(REGEXEXTRACT(H58, ""\d+\.\d+""))"),0.984698275862068)</f>
        <v>0.9846982759</v>
      </c>
      <c r="U58" s="2">
        <f>IFERROR(__xludf.DUMMYFUNCTION("VALUE(REGEXEXTRACT(I58, ""\d+\.\d+""))"),0.983709817549956)</f>
        <v>0.9837098175</v>
      </c>
      <c r="V58" s="2">
        <f>IFERROR(__xludf.DUMMYFUNCTION("VALUE(REGEXEXTRACT(J58, ""\d+\.\d+""))"),0.986922406277245)</f>
        <v>0.9869224063</v>
      </c>
      <c r="W58" s="2">
        <f>IFERROR(__xludf.DUMMYFUNCTION("VALUE(REGEXEXTRACT(K58, ""\d+\.\d+""))"),0.986129172084958)</f>
        <v>0.9861291721</v>
      </c>
      <c r="X58" s="2">
        <f>IFERROR(__xludf.DUMMYFUNCTION("VALUE(REGEXEXTRACT(L58, ""\d+\.\d+""))"),0.982494056624162)</f>
        <v>0.9824940566</v>
      </c>
    </row>
    <row r="59">
      <c r="A59" s="1" t="s">
        <v>579</v>
      </c>
      <c r="B59" s="1" t="s">
        <v>580</v>
      </c>
      <c r="C59" s="1" t="s">
        <v>581</v>
      </c>
      <c r="D59" s="1" t="s">
        <v>581</v>
      </c>
      <c r="E59" s="1" t="s">
        <v>582</v>
      </c>
      <c r="F59" s="1" t="s">
        <v>583</v>
      </c>
      <c r="G59" s="1" t="s">
        <v>584</v>
      </c>
      <c r="H59" s="1" t="s">
        <v>585</v>
      </c>
      <c r="I59" s="1" t="s">
        <v>586</v>
      </c>
      <c r="J59" s="1" t="s">
        <v>587</v>
      </c>
      <c r="K59" s="1" t="s">
        <v>195</v>
      </c>
      <c r="L59" s="1" t="s">
        <v>588</v>
      </c>
      <c r="M59" s="2">
        <f>IFERROR(__xludf.DUMMYFUNCTION("VALUE(REGEXEXTRACT(A59, ""\d+\.\d+""))"),0.926451612903225)</f>
        <v>0.9264516129</v>
      </c>
      <c r="N59" s="2">
        <f>IFERROR(__xludf.DUMMYFUNCTION("VALUE(REGEXEXTRACT(B59, ""\d+\.\d+""))"),0.925376344086021)</f>
        <v>0.9253763441</v>
      </c>
      <c r="O59" s="2">
        <f>IFERROR(__xludf.DUMMYFUNCTION("VALUE(REGEXEXTRACT(C59, ""\d+\.\d+""))"),0.926021505376344)</f>
        <v>0.9260215054</v>
      </c>
      <c r="P59" s="2">
        <f>IFERROR(__xludf.DUMMYFUNCTION("VALUE(REGEXEXTRACT(D59, ""\d+\.\d+""))"),0.926021505376344)</f>
        <v>0.9260215054</v>
      </c>
      <c r="Q59" s="2">
        <f>IFERROR(__xludf.DUMMYFUNCTION("VALUE(REGEXEXTRACT(E59, ""\d+\.\d+""))"),0.923225806451612)</f>
        <v>0.9232258065</v>
      </c>
      <c r="R59" s="2">
        <f>IFERROR(__xludf.DUMMYFUNCTION("VALUE(REGEXEXTRACT(F59, ""\d+\.\d+""))"),0.924946236559139)</f>
        <v>0.9249462366</v>
      </c>
      <c r="S59" s="2">
        <f>IFERROR(__xludf.DUMMYFUNCTION("VALUE(REGEXEXTRACT(G59, ""\d+\.\d+""))"),0.975698924731182)</f>
        <v>0.9756989247</v>
      </c>
      <c r="T59" s="2">
        <f>IFERROR(__xludf.DUMMYFUNCTION("VALUE(REGEXEXTRACT(H59, ""\d+\.\d+""))"),0.98258064516129)</f>
        <v>0.9825806452</v>
      </c>
      <c r="U59" s="2">
        <f>IFERROR(__xludf.DUMMYFUNCTION("VALUE(REGEXEXTRACT(I59, ""\d+\.\d+""))"),0.973978494623655)</f>
        <v>0.9739784946</v>
      </c>
      <c r="V59" s="2">
        <f>IFERROR(__xludf.DUMMYFUNCTION("VALUE(REGEXEXTRACT(J59, ""\d+\.\d+""))"),0.973763440860215)</f>
        <v>0.9737634409</v>
      </c>
      <c r="W59" s="2">
        <f>IFERROR(__xludf.DUMMYFUNCTION("VALUE(REGEXEXTRACT(K59, ""\d+\.\d+""))"),0.978494623655914)</f>
        <v>0.9784946237</v>
      </c>
      <c r="X59" s="2">
        <f>IFERROR(__xludf.DUMMYFUNCTION("VALUE(REGEXEXTRACT(L59, ""\d+\.\d+""))"),0.97763440860215)</f>
        <v>0.9776344086</v>
      </c>
    </row>
    <row r="60">
      <c r="A60" s="1" t="s">
        <v>589</v>
      </c>
      <c r="B60" s="1" t="s">
        <v>590</v>
      </c>
      <c r="C60" s="1" t="s">
        <v>591</v>
      </c>
      <c r="D60" s="1" t="s">
        <v>592</v>
      </c>
      <c r="E60" s="1" t="s">
        <v>593</v>
      </c>
      <c r="F60" s="1" t="s">
        <v>594</v>
      </c>
      <c r="G60" s="1" t="s">
        <v>595</v>
      </c>
      <c r="H60" s="1" t="s">
        <v>596</v>
      </c>
      <c r="I60" s="1" t="s">
        <v>597</v>
      </c>
      <c r="J60" s="1" t="s">
        <v>598</v>
      </c>
      <c r="K60" s="1" t="s">
        <v>599</v>
      </c>
      <c r="L60" s="1" t="s">
        <v>600</v>
      </c>
      <c r="M60" s="2">
        <f>IFERROR(__xludf.DUMMYFUNCTION("VALUE(REGEXEXTRACT(A60, ""\d+\.\d+""))"),0.947021323367773)</f>
        <v>0.9470213234</v>
      </c>
      <c r="N60" s="2">
        <f>IFERROR(__xludf.DUMMYFUNCTION("VALUE(REGEXEXTRACT(B60, ""\d+\.\d+""))"),0.946338244996701)</f>
        <v>0.946338245</v>
      </c>
      <c r="O60" s="2">
        <f>IFERROR(__xludf.DUMMYFUNCTION("VALUE(REGEXEXTRACT(C60, ""\d+\.\d+""))"),0.944608972249643)</f>
        <v>0.9446089722</v>
      </c>
      <c r="P60" s="2">
        <f>IFERROR(__xludf.DUMMYFUNCTION("VALUE(REGEXEXTRACT(D60, ""\d+\.\d+""))"),0.944919903445249)</f>
        <v>0.9449199034</v>
      </c>
      <c r="Q60" s="2">
        <f>IFERROR(__xludf.DUMMYFUNCTION("VALUE(REGEXEXTRACT(E60, ""\d+\.\d+""))"),0.947159404302261)</f>
        <v>0.9471594043</v>
      </c>
      <c r="R60" s="2">
        <f>IFERROR(__xludf.DUMMYFUNCTION("VALUE(REGEXEXTRACT(F60, ""\d+\.\d+""))"),0.94423710208562)</f>
        <v>0.9442371021</v>
      </c>
      <c r="S60" s="2">
        <f>IFERROR(__xludf.DUMMYFUNCTION("VALUE(REGEXEXTRACT(G60, ""\d+\.\d+""))"),0.979913606911447)</f>
        <v>0.9799136069</v>
      </c>
      <c r="T60" s="2">
        <f>IFERROR(__xludf.DUMMYFUNCTION("VALUE(REGEXEXTRACT(H60, ""\d+\.\d+""))"),0.983638320775026)</f>
        <v>0.9836383208</v>
      </c>
      <c r="U60" s="2">
        <f>IFERROR(__xludf.DUMMYFUNCTION("VALUE(REGEXEXTRACT(I60, ""\d+\.\d+""))"),0.978819969742814)</f>
        <v>0.9788199697</v>
      </c>
      <c r="V60" s="2">
        <f>IFERROR(__xludf.DUMMYFUNCTION("VALUE(REGEXEXTRACT(J60, ""\d+\.\d+""))"),0.980298765966659)</f>
        <v>0.980298766</v>
      </c>
      <c r="W60" s="2">
        <f>IFERROR(__xludf.DUMMYFUNCTION("VALUE(REGEXEXTRACT(K60, ""\d+\.\d+""))"),0.982297063903281)</f>
        <v>0.9822970639</v>
      </c>
      <c r="X60" s="2">
        <f>IFERROR(__xludf.DUMMYFUNCTION("VALUE(REGEXEXTRACT(L60, ""\d+\.\d+""))"),0.980058208472566)</f>
        <v>0.9800582085</v>
      </c>
    </row>
    <row r="61">
      <c r="A61" s="1" t="s">
        <v>601</v>
      </c>
      <c r="B61" s="1" t="s">
        <v>602</v>
      </c>
      <c r="C61" s="1" t="s">
        <v>603</v>
      </c>
      <c r="D61" s="1" t="s">
        <v>604</v>
      </c>
      <c r="E61" s="1" t="s">
        <v>605</v>
      </c>
      <c r="F61" s="1" t="s">
        <v>606</v>
      </c>
      <c r="G61" s="1" t="s">
        <v>607</v>
      </c>
      <c r="H61" s="1" t="s">
        <v>608</v>
      </c>
      <c r="I61" s="1" t="s">
        <v>609</v>
      </c>
      <c r="J61" s="1" t="s">
        <v>610</v>
      </c>
      <c r="K61" s="1" t="s">
        <v>611</v>
      </c>
      <c r="L61" s="1" t="s">
        <v>612</v>
      </c>
      <c r="M61" s="2">
        <f>IFERROR(__xludf.DUMMYFUNCTION("VALUE(REGEXEXTRACT(A61, ""\d+\.\d+""))"),0.990236559139784)</f>
        <v>0.9902365591</v>
      </c>
      <c r="N61" s="2">
        <f>IFERROR(__xludf.DUMMYFUNCTION("VALUE(REGEXEXTRACT(B61, ""\d+\.\d+""))"),0.990765938258758)</f>
        <v>0.9907659383</v>
      </c>
      <c r="O61" s="2">
        <f>IFERROR(__xludf.DUMMYFUNCTION("VALUE(REGEXEXTRACT(C61, ""\d+\.\d+""))"),0.990967880679847)</f>
        <v>0.9909678807</v>
      </c>
      <c r="P61" s="2">
        <f>IFERROR(__xludf.DUMMYFUNCTION("VALUE(REGEXEXTRACT(D61, ""\d+\.\d+""))"),0.989356503642039)</f>
        <v>0.9893565036</v>
      </c>
      <c r="Q61" s="2">
        <f>IFERROR(__xludf.DUMMYFUNCTION("VALUE(REGEXEXTRACT(E61, ""\d+\.\d+""))"),0.991115389062319)</f>
        <v>0.9911153891</v>
      </c>
      <c r="R61" s="2">
        <f>IFERROR(__xludf.DUMMYFUNCTION("VALUE(REGEXEXTRACT(F61, ""\d+\.\d+""))"),0.990581315759047)</f>
        <v>0.9905813158</v>
      </c>
      <c r="S61" s="2">
        <f>IFERROR(__xludf.DUMMYFUNCTION("VALUE(REGEXEXTRACT(G61, ""\d+\.\d+""))"),0.998098207885304)</f>
        <v>0.9980982079</v>
      </c>
      <c r="T61" s="2">
        <f>IFERROR(__xludf.DUMMYFUNCTION("VALUE(REGEXEXTRACT(H61, ""\d+\.\d+""))"),0.998411700774656)</f>
        <v>0.9984117008</v>
      </c>
      <c r="U61" s="2">
        <f>IFERROR(__xludf.DUMMYFUNCTION("VALUE(REGEXEXTRACT(I61, ""\d+\.\d+""))"),0.99781581685744)</f>
        <v>0.9978158169</v>
      </c>
      <c r="V61" s="2">
        <f>IFERROR(__xludf.DUMMYFUNCTION("VALUE(REGEXEXTRACT(J61, ""\d+\.\d+""))"),0.997911388599838)</f>
        <v>0.9979113886</v>
      </c>
      <c r="W61" s="2">
        <f>IFERROR(__xludf.DUMMYFUNCTION("VALUE(REGEXEXTRACT(K61, ""\d+\.\d+""))"),0.998500335298878)</f>
        <v>0.9985003353</v>
      </c>
      <c r="X61" s="2">
        <f>IFERROR(__xludf.DUMMYFUNCTION("VALUE(REGEXEXTRACT(L61, ""\d+\.\d+""))"),0.998127390449763)</f>
        <v>0.9981273904</v>
      </c>
    </row>
    <row r="62">
      <c r="A62" s="1" t="s">
        <v>613</v>
      </c>
      <c r="B62" s="1" t="s">
        <v>614</v>
      </c>
      <c r="C62" s="1" t="s">
        <v>615</v>
      </c>
      <c r="D62" s="1" t="s">
        <v>616</v>
      </c>
      <c r="E62" s="1" t="s">
        <v>617</v>
      </c>
      <c r="F62" s="1" t="s">
        <v>618</v>
      </c>
      <c r="G62" s="1" t="s">
        <v>619</v>
      </c>
      <c r="H62" s="1" t="s">
        <v>620</v>
      </c>
      <c r="I62" s="1" t="s">
        <v>621</v>
      </c>
      <c r="J62" s="1" t="s">
        <v>622</v>
      </c>
      <c r="K62" s="1" t="s">
        <v>623</v>
      </c>
      <c r="L62" s="1" t="s">
        <v>624</v>
      </c>
      <c r="M62" s="2">
        <f>IFERROR(__xludf.DUMMYFUNCTION("VALUE(REGEXEXTRACT(A62, ""\d+\.\d+""))"),0.99098584134397)</f>
        <v>0.9909858413</v>
      </c>
      <c r="N62" s="2">
        <f>IFERROR(__xludf.DUMMYFUNCTION("VALUE(REGEXEXTRACT(B62, ""\d+\.\d+""))"),0.991393252808779)</f>
        <v>0.9913932528</v>
      </c>
      <c r="O62" s="2">
        <f>IFERROR(__xludf.DUMMYFUNCTION("VALUE(REGEXEXTRACT(C62, ""\d+\.\d+""))"),0.99159704208754)</f>
        <v>0.9915970421</v>
      </c>
      <c r="P62" s="2">
        <f>IFERROR(__xludf.DUMMYFUNCTION("VALUE(REGEXEXTRACT(D62, ""\d+\.\d+""))"),0.987780711696317)</f>
        <v>0.9877807117</v>
      </c>
      <c r="Q62" s="2">
        <f>IFERROR(__xludf.DUMMYFUNCTION("VALUE(REGEXEXTRACT(E62, ""\d+\.\d+""))"),0.99178423906698)</f>
        <v>0.9917842391</v>
      </c>
      <c r="R62" s="2">
        <f>IFERROR(__xludf.DUMMYFUNCTION("VALUE(REGEXEXTRACT(F62, ""\d+\.\d+""))"),0.991294499117189)</f>
        <v>0.9912944991</v>
      </c>
      <c r="S62" s="2">
        <f>IFERROR(__xludf.DUMMYFUNCTION("VALUE(REGEXEXTRACT(G62, ""\d+\.\d+""))"),0.998183732047094)</f>
        <v>0.998183732</v>
      </c>
      <c r="T62" s="2">
        <f>IFERROR(__xludf.DUMMYFUNCTION("VALUE(REGEXEXTRACT(H62, ""\d+\.\d+""))"),0.998260055679997)</f>
        <v>0.9982600557</v>
      </c>
      <c r="U62" s="2">
        <f>IFERROR(__xludf.DUMMYFUNCTION("VALUE(REGEXEXTRACT(I62, ""\d+\.\d+""))"),0.997902706070651)</f>
        <v>0.9979027061</v>
      </c>
      <c r="V62" s="2">
        <f>IFERROR(__xludf.DUMMYFUNCTION("VALUE(REGEXEXTRACT(J62, ""\d+\.\d+""))"),0.998031942522244)</f>
        <v>0.9980319425</v>
      </c>
      <c r="W62" s="2">
        <f>IFERROR(__xludf.DUMMYFUNCTION("VALUE(REGEXEXTRACT(K62, ""\d+\.\d+""))"),0.99858084464964)</f>
        <v>0.9985808446</v>
      </c>
      <c r="X62" s="2">
        <f>IFERROR(__xludf.DUMMYFUNCTION("VALUE(REGEXEXTRACT(L62, ""\d+\.\d+""))"),0.998171431146859)</f>
        <v>0.9981714311</v>
      </c>
    </row>
    <row r="63">
      <c r="A63" s="1" t="s">
        <v>242</v>
      </c>
      <c r="B63" s="1" t="s">
        <v>242</v>
      </c>
      <c r="C63" s="1" t="s">
        <v>242</v>
      </c>
      <c r="D63" s="1" t="s">
        <v>242</v>
      </c>
      <c r="E63" s="1" t="s">
        <v>242</v>
      </c>
      <c r="F63" s="1" t="s">
        <v>242</v>
      </c>
      <c r="G63" s="1" t="s">
        <v>242</v>
      </c>
      <c r="H63" s="1" t="s">
        <v>242</v>
      </c>
      <c r="I63" s="1" t="s">
        <v>242</v>
      </c>
      <c r="J63" s="1" t="s">
        <v>242</v>
      </c>
      <c r="K63" s="1" t="s">
        <v>242</v>
      </c>
      <c r="L63" s="1" t="s">
        <v>242</v>
      </c>
    </row>
    <row r="64">
      <c r="A64" s="1" t="s">
        <v>625</v>
      </c>
      <c r="B64" s="1" t="s">
        <v>626</v>
      </c>
      <c r="C64" s="1" t="s">
        <v>627</v>
      </c>
      <c r="D64" s="1" t="s">
        <v>413</v>
      </c>
      <c r="E64" s="1" t="s">
        <v>628</v>
      </c>
      <c r="F64" s="1" t="s">
        <v>629</v>
      </c>
      <c r="G64" s="1" t="s">
        <v>630</v>
      </c>
      <c r="H64" s="1" t="s">
        <v>251</v>
      </c>
      <c r="I64" s="1" t="s">
        <v>631</v>
      </c>
      <c r="J64" s="1" t="s">
        <v>632</v>
      </c>
      <c r="K64" s="1" t="s">
        <v>633</v>
      </c>
      <c r="L64" s="1" t="s">
        <v>634</v>
      </c>
    </row>
    <row r="65">
      <c r="A65" s="1" t="s">
        <v>635</v>
      </c>
      <c r="B65" s="1" t="s">
        <v>425</v>
      </c>
      <c r="C65" s="1" t="s">
        <v>636</v>
      </c>
      <c r="D65" s="1" t="s">
        <v>636</v>
      </c>
      <c r="E65" s="1" t="s">
        <v>637</v>
      </c>
      <c r="F65" s="1" t="s">
        <v>638</v>
      </c>
      <c r="G65" s="1" t="s">
        <v>639</v>
      </c>
      <c r="H65" s="1" t="s">
        <v>640</v>
      </c>
      <c r="I65" s="1" t="s">
        <v>641</v>
      </c>
      <c r="J65" s="1" t="s">
        <v>642</v>
      </c>
      <c r="K65" s="1" t="s">
        <v>266</v>
      </c>
      <c r="L65" s="1" t="s">
        <v>643</v>
      </c>
    </row>
    <row r="67">
      <c r="A67" s="1" t="s">
        <v>271</v>
      </c>
      <c r="B67" s="1" t="s">
        <v>271</v>
      </c>
      <c r="C67" s="1" t="s">
        <v>271</v>
      </c>
      <c r="D67" s="1" t="s">
        <v>271</v>
      </c>
      <c r="E67" s="1" t="s">
        <v>271</v>
      </c>
      <c r="F67" s="1" t="s">
        <v>271</v>
      </c>
      <c r="G67" s="1" t="s">
        <v>271</v>
      </c>
      <c r="H67" s="1" t="s">
        <v>271</v>
      </c>
      <c r="I67" s="1" t="s">
        <v>271</v>
      </c>
      <c r="J67" s="1" t="s">
        <v>271</v>
      </c>
      <c r="K67" s="1" t="s">
        <v>271</v>
      </c>
      <c r="L67" s="1" t="s">
        <v>271</v>
      </c>
    </row>
    <row r="68">
      <c r="A68" s="1" t="s">
        <v>644</v>
      </c>
      <c r="B68" s="1" t="s">
        <v>645</v>
      </c>
      <c r="C68" s="1" t="s">
        <v>645</v>
      </c>
      <c r="D68" s="1" t="s">
        <v>276</v>
      </c>
      <c r="E68" s="1" t="s">
        <v>646</v>
      </c>
      <c r="F68" s="1" t="s">
        <v>647</v>
      </c>
      <c r="G68" s="1" t="s">
        <v>648</v>
      </c>
      <c r="H68" s="1" t="s">
        <v>276</v>
      </c>
      <c r="I68" s="1" t="s">
        <v>649</v>
      </c>
      <c r="J68" s="1" t="s">
        <v>650</v>
      </c>
      <c r="K68" s="1" t="s">
        <v>645</v>
      </c>
      <c r="L68" s="1" t="s">
        <v>651</v>
      </c>
      <c r="M68" s="2">
        <f>IFERROR(__xludf.DUMMYFUNCTION("VALUE(REGEXEXTRACT(A68, ""\d+\.\d+""))"),6.3)</f>
        <v>6.3</v>
      </c>
    </row>
    <row r="69">
      <c r="A69" s="1" t="s">
        <v>652</v>
      </c>
      <c r="B69" s="1" t="s">
        <v>653</v>
      </c>
      <c r="C69" s="1" t="s">
        <v>654</v>
      </c>
      <c r="D69" s="1" t="s">
        <v>655</v>
      </c>
      <c r="E69" s="1" t="s">
        <v>656</v>
      </c>
      <c r="F69" s="1" t="s">
        <v>657</v>
      </c>
      <c r="G69" s="1" t="s">
        <v>658</v>
      </c>
      <c r="H69" s="1" t="s">
        <v>659</v>
      </c>
      <c r="I69" s="1" t="s">
        <v>660</v>
      </c>
      <c r="J69" s="1" t="s">
        <v>661</v>
      </c>
      <c r="K69" s="1" t="s">
        <v>662</v>
      </c>
      <c r="L69" s="1" t="s">
        <v>663</v>
      </c>
      <c r="M69" s="4">
        <f>IFERROR(__xludf.DUMMYFUNCTION("VALUE(REGEXEXTRACT(A69, ""\d+""))"),6.395277312E9)</f>
        <v>6395277312</v>
      </c>
    </row>
    <row r="70">
      <c r="A70" s="1" t="s">
        <v>664</v>
      </c>
      <c r="B70" s="1" t="s">
        <v>665</v>
      </c>
      <c r="C70" s="1" t="s">
        <v>666</v>
      </c>
      <c r="D70" s="1" t="s">
        <v>667</v>
      </c>
      <c r="E70" s="1" t="s">
        <v>668</v>
      </c>
      <c r="F70" s="1" t="s">
        <v>669</v>
      </c>
      <c r="G70" s="1" t="s">
        <v>670</v>
      </c>
      <c r="H70" s="1" t="s">
        <v>307</v>
      </c>
      <c r="I70" s="1" t="s">
        <v>671</v>
      </c>
      <c r="J70" s="1" t="s">
        <v>672</v>
      </c>
      <c r="K70" s="1" t="s">
        <v>666</v>
      </c>
      <c r="L70" s="1" t="s">
        <v>300</v>
      </c>
      <c r="M70" s="2">
        <f>IFERROR(__xludf.DUMMYFUNCTION("VALUE(REGEXEXTRACT(A70, ""\d+\.\d+""))"),3.4)</f>
        <v>3.4</v>
      </c>
    </row>
    <row r="71">
      <c r="A71" s="1" t="s">
        <v>673</v>
      </c>
      <c r="B71" s="1" t="s">
        <v>674</v>
      </c>
      <c r="C71" s="1" t="s">
        <v>675</v>
      </c>
      <c r="D71" s="1" t="s">
        <v>676</v>
      </c>
      <c r="E71" s="1" t="s">
        <v>677</v>
      </c>
      <c r="F71" s="1" t="s">
        <v>678</v>
      </c>
      <c r="G71" s="1" t="s">
        <v>679</v>
      </c>
      <c r="H71" s="1" t="s">
        <v>680</v>
      </c>
      <c r="I71" s="1" t="s">
        <v>681</v>
      </c>
      <c r="J71" s="1" t="s">
        <v>682</v>
      </c>
      <c r="K71" s="1" t="s">
        <v>683</v>
      </c>
      <c r="L71" s="1" t="s">
        <v>684</v>
      </c>
      <c r="M71" s="4">
        <f>IFERROR(__xludf.DUMMYFUNCTION("VALUE(REGEXEXTRACT(A71, ""\d+""))"),6.39471616E9)</f>
        <v>6394716160</v>
      </c>
    </row>
    <row r="72">
      <c r="A72" s="1" t="s">
        <v>685</v>
      </c>
      <c r="B72" s="1" t="s">
        <v>686</v>
      </c>
      <c r="C72" s="1" t="s">
        <v>687</v>
      </c>
      <c r="D72" s="1" t="s">
        <v>688</v>
      </c>
      <c r="E72" s="1" t="s">
        <v>689</v>
      </c>
      <c r="F72" s="1" t="s">
        <v>690</v>
      </c>
      <c r="G72" s="1" t="s">
        <v>691</v>
      </c>
      <c r="H72" s="1" t="s">
        <v>692</v>
      </c>
      <c r="I72" s="1" t="s">
        <v>693</v>
      </c>
      <c r="J72" s="1" t="s">
        <v>694</v>
      </c>
      <c r="K72" s="1" t="s">
        <v>695</v>
      </c>
      <c r="L72" s="1" t="s">
        <v>696</v>
      </c>
      <c r="M72" s="2">
        <f>IFERROR(__xludf.DUMMYFUNCTION("VALUE(REGEXEXTRACT(A72, ""\d+\.\d+""))"),1.15713024139404)</f>
        <v>1.157130241</v>
      </c>
      <c r="N72" s="2">
        <f>IFERROR(__xludf.DUMMYFUNCTION("VALUE(REGEXEXTRACT(B72, ""\d+\.\d+""))"),0.879018068313598)</f>
        <v>0.8790180683</v>
      </c>
      <c r="O72" s="2">
        <f>IFERROR(__xludf.DUMMYFUNCTION("VALUE(REGEXEXTRACT(C72, ""\d+\.\d+""))"),0.644166707992553)</f>
        <v>0.644166708</v>
      </c>
      <c r="P72" s="2">
        <f>IFERROR(__xludf.DUMMYFUNCTION("VALUE(REGEXEXTRACT(D72, ""\d+\.\d+""))"),0.721965312957763)</f>
        <v>0.721965313</v>
      </c>
      <c r="Q72" s="2">
        <f>IFERROR(__xludf.DUMMYFUNCTION("VALUE(REGEXEXTRACT(E72, ""\d+\.\d+""))"),1.20030331611633)</f>
        <v>1.200303316</v>
      </c>
      <c r="R72" s="2">
        <f>IFERROR(__xludf.DUMMYFUNCTION("VALUE(REGEXEXTRACT(F72, ""\d+\.\d+""))"),1.13129043579101)</f>
        <v>1.131290436</v>
      </c>
      <c r="S72" s="2">
        <f>IFERROR(__xludf.DUMMYFUNCTION("VALUE(REGEXEXTRACT(G72, ""\d+\.\d+""))"),0.741146802902221)</f>
        <v>0.7411468029</v>
      </c>
      <c r="T72" s="2">
        <f>IFERROR(__xludf.DUMMYFUNCTION("VALUE(REGEXEXTRACT(H72, ""\d+\.\d+""))"),0.817104578018188)</f>
        <v>0.817104578</v>
      </c>
      <c r="U72" s="2">
        <f>IFERROR(__xludf.DUMMYFUNCTION("VALUE(REGEXEXTRACT(I72, ""\d+\.\d+""))"),0.800885438919067)</f>
        <v>0.8008854389</v>
      </c>
      <c r="V72" s="2">
        <f>IFERROR(__xludf.DUMMYFUNCTION("VALUE(REGEXEXTRACT(J72, ""\d+\.\d+""))"),0.628932476043701)</f>
        <v>0.628932476</v>
      </c>
      <c r="W72" s="2">
        <f>IFERROR(__xludf.DUMMYFUNCTION("VALUE(REGEXEXTRACT(K72, ""\d+\.\d+""))"),0.677457332611084)</f>
        <v>0.6774573326</v>
      </c>
      <c r="X72" s="2">
        <f>IFERROR(__xludf.DUMMYFUNCTION("VALUE(REGEXEXTRACT(L72, ""\d+\.\d+""))"),1.37979125976562)</f>
        <v>1.37979126</v>
      </c>
    </row>
    <row r="73">
      <c r="A73" s="1" t="s">
        <v>492</v>
      </c>
      <c r="B73" s="1" t="s">
        <v>493</v>
      </c>
      <c r="C73" s="1" t="s">
        <v>494</v>
      </c>
      <c r="D73" s="1" t="s">
        <v>495</v>
      </c>
      <c r="E73" s="1" t="s">
        <v>496</v>
      </c>
      <c r="F73" s="1" t="s">
        <v>497</v>
      </c>
      <c r="G73" s="1" t="s">
        <v>498</v>
      </c>
      <c r="H73" s="1" t="s">
        <v>499</v>
      </c>
      <c r="I73" s="1" t="s">
        <v>500</v>
      </c>
      <c r="J73" s="1" t="s">
        <v>501</v>
      </c>
      <c r="K73" s="1" t="s">
        <v>502</v>
      </c>
      <c r="L73" s="1" t="s">
        <v>503</v>
      </c>
      <c r="M73" s="2">
        <f>IFERROR(__xludf.DUMMYFUNCTION("VALUE(REGEXEXTRACT(A73, ""\d+\.\d+""))"),0.126146212220191)</f>
        <v>0.1261462122</v>
      </c>
    </row>
    <row r="74">
      <c r="A74" s="1" t="s">
        <v>504</v>
      </c>
      <c r="B74" s="1" t="s">
        <v>505</v>
      </c>
      <c r="C74" s="1" t="s">
        <v>506</v>
      </c>
      <c r="D74" s="1" t="s">
        <v>507</v>
      </c>
      <c r="E74" s="1" t="s">
        <v>508</v>
      </c>
      <c r="F74" s="1" t="s">
        <v>89</v>
      </c>
      <c r="G74" s="1" t="s">
        <v>101</v>
      </c>
      <c r="H74" s="1" t="s">
        <v>509</v>
      </c>
      <c r="I74" s="1" t="s">
        <v>510</v>
      </c>
      <c r="J74" s="1" t="s">
        <v>511</v>
      </c>
      <c r="K74" s="1" t="s">
        <v>512</v>
      </c>
      <c r="L74" s="1" t="s">
        <v>513</v>
      </c>
      <c r="M74" s="2">
        <f>IFERROR(__xludf.DUMMYFUNCTION("VALUE(REGEXEXTRACT(A74, ""\d+\.\d+""))"),0.945591390132904)</f>
        <v>0.9455913901</v>
      </c>
    </row>
    <row r="75">
      <c r="A75" s="1" t="s">
        <v>697</v>
      </c>
      <c r="B75" s="1" t="s">
        <v>698</v>
      </c>
      <c r="C75" s="1" t="s">
        <v>699</v>
      </c>
      <c r="D75" s="1" t="s">
        <v>700</v>
      </c>
      <c r="E75" s="1" t="s">
        <v>701</v>
      </c>
      <c r="F75" s="1" t="s">
        <v>702</v>
      </c>
      <c r="G75" s="1" t="s">
        <v>703</v>
      </c>
      <c r="H75" s="1" t="s">
        <v>704</v>
      </c>
      <c r="I75" s="1" t="s">
        <v>705</v>
      </c>
      <c r="J75" s="1" t="s">
        <v>706</v>
      </c>
      <c r="K75" s="1" t="s">
        <v>707</v>
      </c>
      <c r="L75" s="1" t="s">
        <v>708</v>
      </c>
      <c r="M75" s="2">
        <f>IFERROR(__xludf.DUMMYFUNCTION("VALUE(REGEXEXTRACT(A75, ""\d+\.\d+""))"),0.964782413638402)</f>
        <v>0.9647824136</v>
      </c>
    </row>
    <row r="76">
      <c r="A76" s="1" t="s">
        <v>709</v>
      </c>
      <c r="B76" s="1" t="s">
        <v>353</v>
      </c>
      <c r="C76" s="1" t="s">
        <v>710</v>
      </c>
      <c r="D76" s="1" t="s">
        <v>711</v>
      </c>
      <c r="E76" s="1" t="s">
        <v>712</v>
      </c>
      <c r="F76" s="1" t="s">
        <v>713</v>
      </c>
      <c r="G76" s="1" t="s">
        <v>714</v>
      </c>
      <c r="H76" s="1" t="s">
        <v>715</v>
      </c>
      <c r="I76" s="1" t="s">
        <v>714</v>
      </c>
      <c r="J76" s="1" t="s">
        <v>362</v>
      </c>
      <c r="K76" s="1" t="s">
        <v>716</v>
      </c>
      <c r="L76" s="1" t="s">
        <v>716</v>
      </c>
      <c r="M76" s="2">
        <f>IFERROR(__xludf.DUMMYFUNCTION("VALUE(REGEXEXTRACT(A76, ""\d+\.\d+""))"),0.924946236559139)</f>
        <v>0.9249462366</v>
      </c>
    </row>
    <row r="77">
      <c r="A77" s="1" t="s">
        <v>717</v>
      </c>
      <c r="B77" s="1" t="s">
        <v>718</v>
      </c>
      <c r="C77" s="1" t="s">
        <v>719</v>
      </c>
      <c r="D77" s="1" t="s">
        <v>720</v>
      </c>
      <c r="E77" s="1" t="s">
        <v>721</v>
      </c>
      <c r="F77" s="1" t="s">
        <v>722</v>
      </c>
      <c r="G77" s="1" t="s">
        <v>723</v>
      </c>
      <c r="H77" s="1" t="s">
        <v>724</v>
      </c>
      <c r="I77" s="1" t="s">
        <v>725</v>
      </c>
      <c r="J77" s="1" t="s">
        <v>726</v>
      </c>
      <c r="K77" s="1" t="s">
        <v>727</v>
      </c>
      <c r="L77" s="1" t="s">
        <v>728</v>
      </c>
      <c r="M77" s="2">
        <f>IFERROR(__xludf.DUMMYFUNCTION("VALUE(REGEXEXTRACT(A77, ""\d+\.\d+""))"),0.944444444444444)</f>
        <v>0.9444444444</v>
      </c>
    </row>
    <row r="78">
      <c r="A78" s="1" t="s">
        <v>729</v>
      </c>
      <c r="B78" s="1" t="s">
        <v>730</v>
      </c>
      <c r="C78" s="1" t="s">
        <v>731</v>
      </c>
      <c r="D78" s="1" t="s">
        <v>732</v>
      </c>
      <c r="E78" s="1" t="s">
        <v>733</v>
      </c>
      <c r="F78" s="1" t="s">
        <v>734</v>
      </c>
      <c r="G78" s="1" t="s">
        <v>735</v>
      </c>
      <c r="H78" s="1" t="s">
        <v>736</v>
      </c>
      <c r="I78" s="1" t="s">
        <v>737</v>
      </c>
      <c r="J78" s="1" t="s">
        <v>738</v>
      </c>
      <c r="K78" s="1" t="s">
        <v>739</v>
      </c>
      <c r="L78" s="1" t="s">
        <v>740</v>
      </c>
      <c r="M78" s="2">
        <f>IFERROR(__xludf.DUMMYFUNCTION("VALUE(REGEXEXTRACT(A78, ""\d+\.\d+""))"),0.989447936177592)</f>
        <v>0.9894479362</v>
      </c>
    </row>
    <row r="79">
      <c r="A79" s="1" t="s">
        <v>741</v>
      </c>
      <c r="B79" s="1" t="s">
        <v>742</v>
      </c>
      <c r="C79" s="1" t="s">
        <v>743</v>
      </c>
      <c r="D79" s="1" t="s">
        <v>744</v>
      </c>
      <c r="E79" s="1" t="s">
        <v>745</v>
      </c>
      <c r="F79" s="1" t="s">
        <v>746</v>
      </c>
      <c r="G79" s="1" t="s">
        <v>747</v>
      </c>
      <c r="H79" s="1" t="s">
        <v>748</v>
      </c>
      <c r="I79" s="1" t="s">
        <v>749</v>
      </c>
      <c r="J79" s="1" t="s">
        <v>750</v>
      </c>
      <c r="K79" s="1" t="s">
        <v>751</v>
      </c>
      <c r="L79" s="1" t="s">
        <v>752</v>
      </c>
      <c r="M79" s="2">
        <f>IFERROR(__xludf.DUMMYFUNCTION("VALUE(REGEXEXTRACT(A79, ""\d+\.\d+""))"),0.990248999305871)</f>
        <v>0.9902489993</v>
      </c>
    </row>
    <row r="80">
      <c r="A80" s="1" t="s">
        <v>407</v>
      </c>
      <c r="B80" s="1" t="s">
        <v>407</v>
      </c>
      <c r="C80" s="1" t="s">
        <v>407</v>
      </c>
      <c r="D80" s="1" t="s">
        <v>407</v>
      </c>
      <c r="E80" s="1" t="s">
        <v>407</v>
      </c>
      <c r="F80" s="1" t="s">
        <v>407</v>
      </c>
      <c r="G80" s="1" t="s">
        <v>407</v>
      </c>
      <c r="H80" s="1" t="s">
        <v>407</v>
      </c>
      <c r="I80" s="1" t="s">
        <v>407</v>
      </c>
      <c r="J80" s="1" t="s">
        <v>407</v>
      </c>
      <c r="K80" s="1" t="s">
        <v>407</v>
      </c>
      <c r="L80" s="1" t="s">
        <v>407</v>
      </c>
    </row>
    <row r="81">
      <c r="A81" s="1" t="s">
        <v>753</v>
      </c>
      <c r="B81" s="1" t="s">
        <v>629</v>
      </c>
      <c r="C81" s="1" t="s">
        <v>754</v>
      </c>
      <c r="D81" s="1" t="s">
        <v>755</v>
      </c>
      <c r="E81" s="1" t="s">
        <v>756</v>
      </c>
      <c r="F81" s="1" t="s">
        <v>753</v>
      </c>
      <c r="G81" s="1" t="s">
        <v>632</v>
      </c>
      <c r="H81" s="1" t="s">
        <v>757</v>
      </c>
      <c r="I81" s="1" t="s">
        <v>758</v>
      </c>
      <c r="J81" s="1" t="s">
        <v>759</v>
      </c>
      <c r="K81" s="1" t="s">
        <v>760</v>
      </c>
      <c r="L81" s="1" t="s">
        <v>761</v>
      </c>
    </row>
    <row r="82">
      <c r="A82" s="1" t="s">
        <v>638</v>
      </c>
      <c r="B82" s="1" t="s">
        <v>422</v>
      </c>
      <c r="C82" s="1" t="s">
        <v>762</v>
      </c>
      <c r="D82" s="1" t="s">
        <v>763</v>
      </c>
      <c r="E82" s="1" t="s">
        <v>764</v>
      </c>
      <c r="F82" s="1" t="s">
        <v>765</v>
      </c>
      <c r="G82" s="1" t="s">
        <v>766</v>
      </c>
      <c r="H82" s="1" t="s">
        <v>767</v>
      </c>
      <c r="I82" s="1" t="s">
        <v>766</v>
      </c>
      <c r="J82" s="1" t="s">
        <v>431</v>
      </c>
      <c r="K82" s="1" t="s">
        <v>768</v>
      </c>
      <c r="L82" s="1" t="s">
        <v>768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2.5"/>
  </cols>
  <sheetData>
    <row r="1">
      <c r="A1" s="1" t="s">
        <v>769</v>
      </c>
      <c r="B1" s="2" t="str">
        <f>Sheet1!A6</f>
        <v>Training Loss: [0.20440199971199036, 0.18214936554431915, 0.17577627301216125, 0.17208407819271088, 0.16932469606399536, 0.1671115905046463, 0.16578371822834015, 0.16510511934757233, 0.16380295157432556, 0.1628948152065277, 0.16206057369709015, 0.16056181490421295, 0.1608116179704666, 0.1599465012550354, 0.15996944904327393, 0.15940141677856445, 0.15939660370349884, 0.15871348977088928, 0.1592334359884262, 0.15871454775333405, 0.15916457772254944, 0.15805457532405853, 0.15809346735477448, 0.15864989161491394, 0.159182608127594, 0.1586601287126541, 0.1588563472032547, 0.15853548049926758, 0.15908530354499817, 0.15846669673919678, 0.15866155922412872, 0.15975160896778107, 0.1601875275373459, 0.1601114720106125, 0.15979088842868805, 0.16042053699493408, 0.16041478514671326, 0.15994900465011597, 0.16045355796813965, 0.16108566522598267, 0.1608453243970871, 0.16044725477695465, 0.16100965440273285, 0.1605379283428192, 0.16161514818668365, 0.16315513849258423, 0.16259483993053436, 0.16315172612667084, 0.1626042127609253, 0.1624288409948349, 0.16203764081001282, 0.16345492005348206, 0.16295970976352692, 0.16268587112426758, 0.16285361349582672, 0.16321301460266113, 0.16371499001979828, 0.1629886031150818, 0.1633274108171463, 0.16358418762683868, 0.16449086368083954, 0.16619789600372314, 0.16383405029773712, 0.16381794214248657, 0.16331908106803894]</v>
      </c>
    </row>
    <row r="2">
      <c r="A2" s="1" t="s">
        <v>770</v>
      </c>
      <c r="B2" s="2" t="str">
        <f>Sheet1!B6</f>
        <v>Training Loss: [0.18566186726093292, 0.16242894530296326, 0.15596605837345123, 0.15107043087482452, 0.1482950896024704, 0.14638230204582214, 0.1447451412677765, 0.14284971356391907, 0.14214953780174255, 0.14116056263446808, 0.14032241702079773, 0.13934652507305145, 0.13843901455402374, 0.13756580650806427, 0.13737010955810547, 0.13620881736278534, 0.13612216711044312, 0.13492681086063385, 0.13462194800376892, 0.13410522043704987, 0.13326168060302734, 0.13265596330165863, 0.13222965598106384, 0.13196663558483124, 0.1310027837753296, 0.13074950873851776, 0.1301504224538803, 0.1299513876438141, 0.12942646443843842, 0.12865027785301208, 0.12831173837184906, 0.1282961070537567, 0.12788479030132294, 0.1273173987865448, 0.12666384875774384, 0.12650933861732483, 0.12602099776268005, 0.1257004588842392, 0.12629887461662292, 0.12515155971050262, 0.1253000795841217, 0.1241106390953064, 0.12434904277324677, 0.12352976948022842, 0.12298434972763062, 0.12312865257263184, 0.12304747849702835, 0.12238840013742447, 0.12192177772521973, 0.12225194275379181, 0.12190636247396469, 0.12109927088022232, 0.12007343769073486, 0.1208469495177269, 0.1200801208615303, 0.1197037547826767, 0.12111286073923111, 0.1194535419344902, 0.1197231113910675, 0.11834316700696945, 0.11907599866390228, 0.11834877729415894, 0.11821557581424713, 0.11836959421634674, 0.11765988171100616, 0.11718789488077164, 0.11674201488494873, 0.11664482206106186, 0.11607726663351059, 0.1165071651339531, 0.11634445935487747, 0.11583815515041351, 0.11498518288135529, 0.11552070826292038, 0.11556606739759445, 0.11492461711168289, 0.11448820680379868, 0.11468957364559174, 0.11361517012119293, 0.11287843436002731, 0.11348539590835571, 0.11342135071754456, 0.1132102757692337, 0.11291903257369995, 0.1128683015704155, 0.11282170563936234, 0.11183178424835205, 0.11181675642728806, 0.11214040964841843, 0.11198795586824417, 0.11195535212755203, 0.11108602583408356, 0.11100701242685318, 0.11086975783109665, 0.11017023772001266, 0.11049304157495499, 0.11049007624387741, 0.11093873530626297, 0.10968655347824097, 0.11009310930967331, 0.10935238748788834, 0.10916274785995483, 0.10972201079130173, 0.10831465572118759, 0.1079215332865715, 0.10773517936468124, 0.1079443171620369, 0.10819793492555618, 0.1086060106754303, 0.1076829582452774, 0.1071959137916565, 0.1070813238620758, 0.10665350407361984, 0.10706659406423569, 0.1061796024441719, 0.10634427517652512, 0.10638134926557541, 0.10591738671064377, 0.10647203028202057, 0.10595320165157318, 0.10581650584936142, 0.10553354024887085, 0.10505978018045425, 0.10497526824474335, 0.1056053638458252, 0.10437103360891342, 0.10395703464746475, 0.1039246991276741, 0.1040780171751976, 0.10429257154464722, 0.10336759686470032, 0.1030471920967102, 0.10355794429779053, 0.10362830013036728, 0.102977454662323, 0.10290563106536865, 0.10395333170890808, 0.10264799743890762, 0.10277776420116425, 0.10247722268104553, 0.10124286264181137, 0.10231231898069382, 0.10132546722888947, 0.10141272842884064, 0.10133226960897446, 0.10079631209373474, 0.10043307393789291, 0.10156010836362839, 0.10069006681442261, 0.10095782577991486, 0.10054377466440201, 0.10080208629369736, 0.10004088282585144, 0.10042581707239151, 0.10031893849372864, 0.10105451196432114, 0.09949549287557602, 0.09888018667697906, 0.09994333982467651, 0.09949298202991486, 0.09912997484207153, 0.09917793422937393, 0.09835470467805862, 0.09888060390949249, 0.09871048480272293, 0.09685773402452469, 0.09731744229793549, 0.09785973280668259, 0.09692995250225067, 0.09740705788135529, 0.09638474136590958, 0.09693308174610138, 0.09723320603370667, 0.096128910779953, 0.09793807566165924, 0.09630116820335388, 0.09526695311069489, 0.09548082947731018, 0.09565018862485886]</v>
      </c>
    </row>
    <row r="3">
      <c r="A3" s="1" t="s">
        <v>771</v>
      </c>
      <c r="B3" s="5" t="str">
        <f>Sheet1!C6</f>
        <v>Training Loss: [0.48912519216537476, 0.30447274446487427, 0.23207809031009674, 0.2050524801015854, 0.17547422647476196, 0.16450448334217072, 0.15917523205280304, 0.1557689905166626, 0.15281277894973755, 0.1521940380334854, 0.1497688591480255, 0.1486225128173828, 0.14792780578136444, 0.14677047729492188, 0.14555402100086212, 0.14438854157924652, 0.14343535900115967, 0.142593115568161, 0.1420479267835617, 0.14319489896297455, 0.14202174544334412, 0.14024722576141357, 0.13988105952739716, 0.13883864879608154, 0.1382444053888321, 0.13802418112754822, 0.1384507268667221, 0.14033368229866028, 0.1363425999879837, 0.13511699438095093, 0.13796119391918182, 0.13615016639232635, 0.13414999842643738, 0.134184330701828, 0.13364176452159882, 0.13440926373004913, 0.13383376598358154, 0.13401834666728973, 0.1319837123155594, 0.1320067197084427, 0.1316687911748886, 0.1312868446111679, 0.13051150739192963, 0.13062448799610138, 0.13011233508586884, 0.12950392067432404, 0.13009068369865417, 0.12885189056396484, 0.12942475080490112, 0.12861016392707825, 0.12835605442523956, 0.12787283957004547, 0.1280246078968048, 0.128329336643219, 0.12685313820838928, 0.13221105933189392, 0.12681497633457184, 0.12869778275489807, 0.13111701607704163, 0.1263955533504486, 0.1267940104007721, 0.12585577368736267, 0.1251898854970932, 0.1287451684474945, 0.12778662145137787, 0.12659116089344025, 0.12513534724712372, 0.1248181164264679, 0.12546414136886597, 0.12442181259393692, 0.1245201900601387, 0.12447619438171387, 0.12330035120248795, 0.12371143698692322, 0.1225389912724495, 0.12222244590520859, 0.12209855765104294, 0.12255405634641647, 0.12238696962594986, 0.12190233916044235, 0.12146807461977005, 0.12132346630096436, 0.12108910828828812, 0.12082990258932114, 0.12040741741657257, 0.12000048905611038, 0.1207423135638237, 0.11975058913230896, 0.1194569543004036, 0.11945716291666031, 0.11834505945444107, 0.11944585293531418, 0.11824804544448853, 0.12273957580327988, 0.11869441717863083, 0.11773146688938141, 0.11846445500850677, 0.11857711523771286, 0.11772535741329193, 0.1175522729754448, 0.11764167994260788, 0.11669810861349106, 0.11777439713478088, 0.11682793498039246, 0.12382388859987259, 0.12258945405483246, 0.11656514555215836, 0.11765962094068527, 0.11722433567047119, 0.11566206812858582, 0.11548531800508499, 0.11545051634311676, 0.11554895341396332, 0.11529669165611267, 0.11350321024656296, 0.11380123347043991, 0.11414530128240585, 0.11408516019582748, 0.1146622896194458, 0.11393596976995468, 0.11360613256692886, 0.11391647160053253, 0.1128094419836998, 0.11314768344163895, 0.1123979315161705, 0.11259128898382187, 0.1124919131398201, 0.11125978082418442, 0.11244870722293854, 0.11193729192018509, 0.11178839206695557, 0.1123519167304039, 0.11296304315328598, 0.11256484687328339, 0.11234616488218307, 0.11278153210878372, 0.11147381365299225, 0.11215285956859589, 0.11261242628097534, 0.1110607460141182, 0.11184532940387726, 0.11248087882995605, 0.11165598034858704, 0.1107461228966713, 0.11079156398773193, 0.11094013601541519, 0.10986777395009995, 0.11037716269493103, 0.10929456353187561, 0.10974095016717911, 0.10984552651643753, 0.10941358655691147, 0.11072547733783722, 0.10976165533065796, 0.10756879299879074, 0.11331360042095184, 0.11150810867547989, 0.1073993667960167, 0.10764788091182709, 0.10916478931903839, 0.10790269821882248, 0.10750006139278412, 0.10687525570392609, 0.10728466510772705, 0.10695666819810867, 0.10672981292009354, 0.106159508228302, 0.10618088394403458, 0.10640398412942886, 0.10615458339452744, 0.10579873621463776, 0.1063317283987999, 0.1060100793838501, 0.10516335815191269, 0.10619299113750458, 0.10387362539768219, 0.10497084259986877, 0.10718462616205215, 0.10386842489242554, 0.1036457046866417, 0.10524789988994598, 0.10458755493164062, 0.10407228767871857, 0.10421434789896011, 0.10504672676324844, 0.10418231040239334, 0.10256719589233398, 0.10433537513017654, 0.10361640900373459, 0.10384517163038254, 0.10295507311820984, 0.10344112664461136, 0.10387502610683441, 0.1024431437253952, 0.10280442982912064, 0.10233540832996368, 0.1019933745265007, 0.10251908749341965, 0.1028582826256752, 0.10243551433086395, 0.10155106335878372, 0.10219934582710266, 0.10196015238761902, 0.1024484783411026, 0.10192278027534485, 0.1020221933722496, 0.10157730430364609, 0.10195522755384445, 0.10082855075597763, 0.10183560103178024, 0.10053073614835739, 0.09996460378170013, 0.09980560839176178, 0.10025756061077118, 0.10067066550254822, 0.09957034885883331, 0.10015618801116943, 0.10029708594083786, 0.09982043504714966, 0.0997210443019867, 0.0989152118563652, 0.09955930709838867, 0.1001955196261406, 0.09939885884523392, 0.09935951977968216, 0.09941546618938446, 0.09984422475099564, 0.0993429496884346, 0.09939491748809814, 0.09903246909379959, 0.09858830273151398, 0.09773736447095871, 0.09814401715993881, 0.09900441020727158, 0.09897352755069733, 0.09786413609981537, 0.09711950272321701, 0.09849554300308228, 0.09817904233932495, 0.09817830473184586, 0.0973799005150795, 0.09740972518920898, 0.09742224216461182, 0.097138412296772, 0.09757772088050842, 0.09809860587120056, 0.09810682386159897, 0.09663575142621994, 0.0981878787279129, 0.09727217257022858, 0.09633494168519974, 0.09788909554481506, 0.09622266888618469, 0.09631593525409698, 0.09764978289604187, 0.09650953114032745, 0.09601110965013504, 0.09540868550539017, 0.09800088405609131, 0.09599325060844421, 0.09644544124603271, 0.09610311686992645, 0.09687259048223495, 0.09563811868429184, 0.09657519310712814, 0.09566206485033035, 0.0969274565577507, 0.09679553657770157]</v>
      </c>
    </row>
    <row r="4">
      <c r="A4" s="1" t="s">
        <v>772</v>
      </c>
      <c r="B4" s="2" t="str">
        <f>Sheet1!D6</f>
        <v>Training Loss: [0.33444729447364807, 0.21849751472473145, 0.19153158366680145, 0.17571008205413818, 0.15908530354499817, 0.15559346973896027, 0.1511845588684082, 0.14925667643547058, 0.14739744365215302, 0.14558528363704681, 0.14422331750392914, 0.1434587985277176, 0.14198218286037445, 0.14122477173805237, 0.14101269841194153, 0.14079435169696808, 0.13952964544296265, 0.1391953080892563, 0.13827884197235107, 0.1372917890548706, 0.13725581765174866, 0.13733066618442535, 0.13750308752059937, 0.13628098368644714, 0.13548579812049866, 0.13699403405189514, 0.1396797001361847, 0.13434045016765594, 0.13762442767620087, 0.13684067130088806, 0.1352212131023407, 0.1358031928539276, 0.1333712786436081, 0.13364920020103455, 0.13162937760353088, 0.13133977353572845, 0.13101701438426971, 0.13107146322727203, 0.13005146384239197, 0.13037504255771637, 0.1292032152414322, 0.12873178720474243, 0.12845729291439056, 0.12822158634662628, 0.12757451832294464, 0.12725494801998138, 0.1278565376996994, 0.1274637132883072, 0.12798310816287994, 0.12525074183940887, 0.12611719965934753, 0.12511645257472992, 0.12511050701141357, 0.1243080273270607, 0.1249387338757515, 0.12453581392765045, 0.12481386959552765, 0.12372998893260956, 0.12380995601415634, 0.12310422211885452, 0.12262976169586182, 0.1230979934334755, 0.12169136852025986, 0.12227984517812729, 0.12132079899311066, 0.12153179198503494, 0.1205454021692276, 0.12066639959812164, 0.12122925370931625, 0.12086836993694305, 0.12059196084737778, 0.1203591600060463, 0.12017523497343063, 0.12015532702207565, 0.11933402717113495, 0.11917799711227417, 0.11971015483140945, 0.1197560727596283, 0.120365209877491, 0.12190597504377365, 0.1198674663901329, 0.11948515474796295, 0.11863521486520767, 0.1196562871336937, 0.11763005703687668, 0.11800289154052734, 0.11785446852445602, 0.11736880242824554, 0.11711007356643677, 0.11740075796842575, 0.1182689443230629, 0.11735756695270538, 0.11732087284326553, 0.11740542203187943, 0.11696562170982361, 0.115381620824337, 0.11572982370853424, 0.11609207838773727, 0.11656011641025543, 0.11510396748781204, 0.11497679352760315, 0.11473392695188522, 0.11529601365327835, 0.11566048860549927, 0.11442536860704422, 0.11438910663127899, 0.11533720791339874, 0.11417023837566376, 0.11453339457511902, 0.11387841403484344, 0.1135702133178711, 0.11323521286249161, 0.11272423714399338, 0.11347267776727676, 0.11294588446617126, 0.1128256693482399, 0.11360273510217667, 0.11292696744203568, 0.11301062256097794, 0.11228527128696442, 0.11072763800621033, 0.11129598319530487, 0.1108936294913292, 0.11183489114046097, 0.1112046167254448, 0.11091741174459457, 0.11107532680034637, 0.1104043573141098, 0.11041732877492905, 0.10974276810884476, 0.10935590416193008, 0.10830612480640411, 0.10816764086484909, 0.10911069810390472, 0.10833851248025894, 0.10955376923084259, 0.10848071426153183, 0.10819756984710693, 0.10788581520318985, 0.10738229006528854, 0.10683540999889374, 0.10752151161432266, 0.1080285906791687, 0.10794837027788162, 0.10708226263523102, 0.10748802125453949, 0.10589312762022018, 0.10661626607179642, 0.10727245360612869, 0.10687896609306335, 0.1069488525390625, 0.10713295638561249, 0.10688184946775436, 0.10513979941606522, 0.10729705542325974, 0.10665110498666763, 0.10674801468849182, 0.1062953844666481, 0.10536950826644897, 0.10511290282011032, 0.10539238899946213, 0.10468559712171555, 0.10462082177400589, 0.10441768169403076]</v>
      </c>
    </row>
    <row r="5">
      <c r="A5" s="1" t="s">
        <v>773</v>
      </c>
      <c r="B5" s="2" t="str">
        <f>Sheet1!E6</f>
        <v>Training Loss: [0.36372607946395874, 0.21088971197605133, 0.1806405633687973, 0.17002178728580475, 0.16377635300159454, 0.1601128727197647, 0.1569836288690567, 0.1540507823228836, 0.15167000889778137, 0.15083350241184235, 0.1490716189146042, 0.14788538217544556, 0.14755193889141083, 0.14600752294063568, 0.14495842158794403, 0.144263356924057, 0.14338357746601105, 0.14233802258968353, 0.1419956237077713, 0.1411258429288864, 0.1406647115945816, 0.14043834805488586, 0.13988223671913147, 0.1386832594871521, 0.13841985166072845, 0.13844722509384155, 0.13844992220401764, 0.13738003373146057, 0.13717125356197357, 0.13763108849525452, 0.13767549395561218, 0.13632047176361084, 0.13539813458919525, 0.13562597334384918, 0.13542479276657104, 0.135323628783226, 0.13472817838191986, 0.13466210663318634, 0.13460613787174225, 0.13421949744224548, 0.13410241901874542, 0.13361254334449768, 0.1330062747001648, 0.13275554776191711, 0.13255120813846588, 0.13172292709350586, 0.13157887756824493, 0.13135254383087158, 0.13118131458759308, 0.13031283020973206, 0.13038699328899384, 0.13022345304489136, 0.13056805729866028, 0.12986057996749878, 0.12945815920829773, 0.1292034238576889, 0.12874484062194824, 0.12849439680576324, 0.12869898974895477, 0.12819914519786835, 0.12758475542068481, 0.12783420085906982, 0.1266055703163147, 0.12650486826896667, 0.12694987654685974, 0.12658116221427917, 0.1261899769306183, 0.12667615711688995, 0.12638135254383087, 0.1258888989686966, 0.12502002716064453, 0.12481559813022614, 0.12459874898195267, 0.12421382963657379, 0.12397375702857971, 0.12436454743146896, 0.12433277815580368, 0.12395969033241272, 0.12271782010793686, 0.12391621619462967, 0.12303804606199265, 0.12356875836849213, 0.12305839359760284, 0.12229441851377487, 0.12314202636480331, 0.12187767028808594, 0.12236848473548889, 0.12219509482383728, 0.121364526450634, 0.12119763344526291, 0.12160921841859818, 0.12066683918237686, 0.12073280662298203, 0.12069448083639145, 0.12049054354429245, 0.11968471109867096, 0.1205783560872078, 0.12072549015283585, 0.11930768191814423, 0.11895455420017242, 0.11873777210712433, 0.11905372887849808, 0.11859847605228424, 0.11917050182819366, 0.11833234131336212, 0.11894012242555618, 0.11776316910982132, 0.11751878261566162, 0.11812367290258408, 0.11701025068759918, 0.11839237064123154, 0.11701524257659912, 0.11730063706636429, 0.11788634210824966, 0.1166250929236412, 0.11715436726808548, 0.11721771955490112, 0.11577922105789185, 0.11660604178905487, 0.11589466035366058, 0.11585845053195953, 0.11618393659591675, 0.11560127139091492, 0.11471277475357056, 0.11506479978561401, 0.11416248977184296, 0.11478482931852341, 0.1135539561510086, 0.11378677934408188, 0.11431650817394257, 0.11473848670721054, 0.1134580671787262, 0.11393634229898453, 0.11326925456523895, 0.1132887601852417, 0.11276610940694809, 0.1127631813287735, 0.11254231631755829, 0.11233610659837723, 0.1124565377831459, 0.11267764866352081, 0.11164867877960205, 0.11308126151561737, 0.11254117637872696, 0.11344097554683685, 0.11170558631420135, 0.11169230937957764, 0.11234935373067856, 0.11124446988105774, 0.11121566593647003, 0.111278235912323, 0.11081749200820923, 0.11100981384515762, 0.11022548377513885, 0.11037305742502213, 0.11139600723981857, 0.11148791015148163, 0.11125215888023376, 0.1114044263958931, 0.11043812334537506, 0.10879599303007126, 0.10954240709543228, 0.10980139672756195, 0.10837355256080627, 0.10937722027301788, 0.10882918536663055, 0.1085864007472992, 0.10773241519927979, 0.10800966620445251, 0.10817835479974747, 0.10795079171657562, 0.10781153291463852, 0.10715979337692261, 0.10825003683567047, 0.10697717219591141, 0.10663587599992752, 0.10713651031255722, 0.10680580884218216, 0.10669700056314468, 0.10703373700380325, 0.10705126821994781, 0.10548703372478485, 0.10596083849668503, 0.10665811598300934, 0.10561781376600266, 0.10491678863763809, 0.10522209852933884, 0.10614685714244843, 0.10615521669387817, 0.10555984824895859, 0.10555148124694824, 0.10503041744232178, 0.1058260053396225]</v>
      </c>
    </row>
    <row r="6">
      <c r="A6" s="1" t="s">
        <v>774</v>
      </c>
      <c r="B6" s="2" t="str">
        <f>Sheet1!F6</f>
        <v>Training Loss: [0.34682363271713257, 0.2037113606929779, 0.17620952427387238, 0.16611729562282562, 0.16085468232631683, 0.1565219610929489, 0.15392017364501953, 0.15163952112197876, 0.1497122049331665, 0.1476343274116516, 0.146529421210289, 0.14542309939861298, 0.1438186913728714, 0.14365482330322266, 0.14279218018054962, 0.14176490902900696, 0.14097847044467926, 0.13999542593955994, 0.13984204828739166, 0.13894915580749512, 0.13778679072856903, 0.1372600644826889, 0.13638156652450562, 0.13551820814609528, 0.13463348150253296, 0.13401058316230774, 0.1334332823753357, 0.13202999532222748, 0.13153716921806335, 0.1314663589000702, 0.1306021809577942, 0.13011778891086578, 0.13005654513835907, 0.12927238643169403, 0.12902720272541046, 0.12845471501350403, 0.1278172731399536, 0.128273144364357, 0.1275293380022049, 0.12696513533592224, 0.12646052241325378, 0.12598326802253723, 0.12593209743499756, 0.12503787875175476, 0.1258144974708557, 0.12458665668964386, 0.12414655089378357, 0.12360353022813797, 0.12430918216705322, 0.12350732833147049, 0.12295103818178177, 0.12230557203292847, 0.12231083959341049, 0.12212253361940384, 0.1215272843837738, 0.12175086885690689, 0.12131056189537048, 0.1211375966668129, 0.12023428082466125, 0.11937693506479263, 0.12056291848421097, 0.11910155415534973, 0.1195877343416214, 0.11955913156270981, 0.11845246702432632, 0.11764223873615265, 0.11817573010921478, 0.11830069869756699, 0.11809267103672028, 0.11683352291584015, 0.11690399050712585, 0.1165725588798523, 0.1159033477306366, 0.11606153845787048, 0.11573313176631927, 0.11627119779586792, 0.11552495509386063, 0.11466643214225769, 0.114920973777771, 0.11439912021160126, 0.11503177881240845, 0.1145036369562149, 0.1137952208518982, 0.11350058764219284, 0.11334070563316345, 0.1122506782412529, 0.11263184994459152, 0.11174771934747696, 0.11152707785367966, 0.1114131361246109, 0.11133622378110886, 0.11134498566389084, 0.11074037104845047, 0.11178115755319595, 0.11046254634857178, 0.11021338403224945, 0.10993260890245438, 0.10991467535495758, 0.10951356589794159, 0.10926485806703568, 0.10923434793949127, 0.10881077498197556, 0.10883083194494247, 0.10744225978851318, 0.10777974873781204, 0.10750025510787964, 0.10750246047973633, 0.10687872022390366, 0.10780936479568481, 0.10673192143440247, 0.10761046409606934, 0.10642562061548233, 0.10681476444005966, 0.10633168369531631, 0.10730809718370438, 0.10609722882509232, 0.10659825801849365, 0.10548485070466995, 0.10529061406850815, 0.1053331196308136, 0.1052289754152298, 0.10565129667520523, 0.10372335463762283, 0.10431373119354248, 0.10511906445026398, 0.10430613905191422, 0.10358066111803055, 0.10361286252737045, 0.10369682312011719, 0.1037139967083931, 0.10339131206274033, 0.10228265076875687, 0.10196145623922348, 0.10135958343744278, 0.10269149392843246, 0.10118888318538666, 0.1014266237616539, 0.10245631635189056, 0.10245106369256973, 0.1016048863530159, 0.10128878057003021, 0.1006920263171196, 0.10019850730895996, 0.10075729340314865, 0.09949272125959396, 0.10018274933099747, 0.09967254102230072, 0.09964709728956223, 0.0999959409236908, 0.0992758646607399, 0.09796243906021118, 0.09799585491418839, 0.09843578189611435, 0.09786681830883026, 0.09912414848804474, 0.09853395819664001, 0.0980229601264, 0.09703236073255539, 0.09829390794038773, 0.09767206013202667, 0.09693415462970734, 0.09807639569044113, 0.09744478762149811, 0.09788478910923004, 0.09716397523880005, 0.09697894752025604, 0.09661032259464264, 0.09644819796085358, 0.09695074707269669, 0.09549135714769363, 0.09561766684055328, 0.0970471128821373, 0.0947430282831192, 0.09563390165567398, 0.09629400074481964, 0.0956677794456482, 0.09445133060216904, 0.09498279541730881, 0.09445364773273468, 0.09483686089515686, 0.09419995546340942, 0.09475543349981308, 0.09409667551517487, 0.09293544292449951, 0.09366525709629059, 0.09565415978431702, 0.09359940886497498, 0.09414611011743546, 0.09297104179859161, 0.09291987866163254, 0.09223169833421707, 0.09399373829364777, 0.09172862768173218, 0.09188473224639893, 0.09339606761932373, 0.09279295802116394, 0.09333954751491547, 0.09235221892595291, 0.09230492264032364, 0.0921078622341156, 0.09100262075662613, 0.09423849731683731, 0.09243723750114441, 0.09225175529718399, 0.09243475645780563, 0.09077494591474533, 0.09104681015014648, 0.09143378585577011, 0.0920650064945221, 0.09109539538621902, 0.09019695967435837, 0.09176045656204224, 0.08973026275634766, 0.09078896790742874, 0.09001549333333969, 0.09038400650024414, 0.08946671336889267, 0.0898195430636406, 0.08897066116333008, 0.0901547446846962, 0.08932354301214218, 0.09036118537187576, 0.08918410539627075, 0.08919991552829742, 0.08870042860507965, 0.08958356082439423, 0.08931490033864975, 0.08892188221216202, 0.08744046837091446, 0.08966716378927231, 0.08829599618911743, 0.08793792128562927, 0.08766265213489532, 0.08793554455041885, 0.08934495598077774, 0.08790294080972672, 0.08825511485338211, 0.0867592990398407, 0.08756478875875473, 0.08682122081518173, 0.08760557323694229]</v>
      </c>
    </row>
    <row r="7">
      <c r="A7" s="1" t="s">
        <v>775</v>
      </c>
      <c r="B7" s="2" t="str">
        <f>Sheet1!G6</f>
        <v>Training Loss: [0.38652411103248596, 0.22285546362400055, 0.18306593596935272, 0.1721646934747696, 0.16261450946331024, 0.16176456212997437, 0.1602172702550888, 0.15909455716609955, 0.15674299001693726, 0.15271909534931183, 0.14954687654972076, 0.1489996463060379, 0.14508715271949768, 0.1441660374403, 0.14313776791095734, 0.1422448307275772, 0.14294078946113586, 0.1409086138010025, 0.14025120437145233, 0.1398814469575882, 0.13976341485977173, 0.13837771117687225, 0.13813099265098572, 0.13711819052696228, 0.13630442321300507, 0.13607075810432434, 0.13570329546928406, 0.13508334755897522, 0.1350836604833603, 0.13463202118873596, 0.13427889347076416, 0.13447073101997375, 0.13357117772102356, 0.13250401616096497, 0.13264277577400208, 0.13408972322940826, 0.13265159726142883, 0.13168182969093323, 0.13161495327949524, 0.1311206966638565, 0.13061080873012543, 0.1301228106021881, 0.12969288229942322, 0.13027256727218628, 0.1289731115102768, 0.1286921352148056, 0.12900835275650024, 0.12793301045894623, 0.12914761900901794, 0.12832938134670258, 0.1285502016544342, 0.12758362293243408, 0.12695319950580597, 0.12784014642238617, 0.12695980072021484, 0.12678800523281097, 0.1259433627128601, 0.12542898952960968, 0.1257437914609909, 0.12558814883232117, 0.12473678588867188, 0.1251431256532669, 0.12454025447368622, 0.12293778359889984, 0.12415304780006409, 0.12298884242773056, 0.12338252365589142, 0.12462250143289566, 0.12468761950731277, 0.12381883710622787, 0.1215735524892807, 0.12256591767072678, 0.12215367704629898, 0.1211843490600586, 0.1210877075791359, 0.12142395228147507, 0.12154195457696915, 0.12217410653829575, 0.12012539058923721, 0.12124147266149521, 0.12103766202926636, 0.12050674110651016, 0.12065178900957108, 0.11953370273113251, 0.11916112154722214, 0.1186719462275505, 0.11944982409477234, 0.11868320405483246, 0.1194329783320427, 0.11869574338197708, 0.11810127645730972, 0.11780299991369247, 0.11809860914945602, 0.11725693196058273, 0.11739616841077805, 0.11882136017084122, 0.11729972809553146, 0.11691111326217651, 0.11630288511514664, 0.11632288992404938, 0.11549216508865356, 0.11553642153739929, 0.1149824857711792, 0.1148471087217331, 0.11452934890985489, 0.11433194577693939, 0.11472567915916443, 0.11554540693759918, 0.114641472697258, 0.11495910584926605, 0.11506342142820358, 0.11489159613847733, 0.11454194784164429, 0.11368773132562637, 0.11309340596199036, 0.11344707012176514, 0.11233542859554291, 0.1129913404583931, 0.11307673156261444, 0.11204864829778671, 0.11317814141511917, 0.11245273798704147, 0.11241551488637924, 0.11143045872449875, 0.11114098876714706, 0.1105826124548912, 0.1109999418258667, 0.11032897233963013, 0.11076615005731583, 0.10979197919368744, 0.1097046285867691, 0.10952291637659073, 0.11004522442817688, 0.10914930701255798, 0.11045585572719574, 0.10928112268447876, 0.10928002744913101, 0.1088641881942749, 0.10939856618642807, 0.10843944549560547, 0.10837428271770477, 0.10861707478761673, 0.1075967326760292, 0.10773293673992157, 0.1080169826745987, 0.10843057930469513, 0.10800793021917343, 0.10654933750629425, 0.10719593614339828, 0.10662311315536499, 0.10588829964399338, 0.10595573484897614, 0.10514256358146667, 0.10645119100809097, 0.10551375150680542, 0.10563156008720398, 0.10525327920913696, 0.10568166524171829, 0.10641320049762726, 0.10571824759244919, 0.10503628849983215, 0.10383941978216171, 0.10495375841856003, 0.10375955700874329, 0.10359062254428864, 0.10511046648025513, 0.10381262749433517, 0.10396894812583923, 0.10358595848083496, 0.10375265032052994, 0.1028975322842598, 0.10347209125757217, 0.10278107970952988, 0.1026882752776146, 0.10277683287858963, 0.10281779617071152, 0.10359878093004227, 0.10269851237535477, 0.10355362296104431, 0.10252997279167175, 0.10198821127414703, 0.10280530154705048, 0.1008831039071083, 0.1016353890299797, 0.10156586021184921, 0.10046544671058655, 0.10138805210590363, 0.10050858557224274, 0.10106102377176285, 0.10041258484125137, 0.10137572884559631, 0.10111135244369507, 0.09950804710388184, 0.10025876015424728, 0.10043539106845856, 0.10040013492107391, 0.09983599185943604, 0.09999635070562363, 0.10019487142562866, 0.09902597218751907, 0.0998208224773407, 0.10002581030130386, 0.09880445152521133, 0.09983687847852707, 0.09840217977762222, 0.09880273789167404, 0.09925587475299835, 0.09921249747276306, 0.0986773818731308, 0.0991659164428711, 0.09815943986177444, 0.09918209910392761, 0.09776375442743301, 0.09785566478967667, 0.09712250530719757, 0.09790331870317459]</v>
      </c>
    </row>
    <row r="8">
      <c r="A8" s="1" t="s">
        <v>776</v>
      </c>
      <c r="B8" s="2" t="str">
        <f>Sheet1!H6</f>
        <v>Training Loss: [0.3099476397037506, 0.1902962327003479, 0.17682334780693054, 0.17071357369422913, 0.16650785505771637, 0.16275298595428467, 0.16113296151161194, 0.15926745533943176, 0.15845991671085358, 0.1567770391702652, 0.15481173992156982, 0.1539156287908554, 0.15226785838603973, 0.1515483409166336, 0.15029974281787872, 0.14933963119983673, 0.1481310874223709, 0.14732204377651215, 0.1468077301979065, 0.1452893763780594, 0.14467692375183105, 0.14517159759998322, 0.14593461155891418, 0.1457861363887787, 0.14327359199523926, 0.14398105442523956, 0.1442476361989975, 0.142410546541214, 0.141950786113739, 0.1419297754764557, 0.14254434406757355, 0.14210288226604462, 0.14204400777816772, 0.14150798320770264, 0.14071546494960785, 0.13982439041137695, 0.14027437567710876, 0.14061002433300018, 0.1407986730337143, 0.1394217610359192, 0.13970039784908295, 0.13955403864383698, 0.13880330324172974, 0.1391090452671051, 0.13873188197612762, 0.1380525380373001, 0.13839374482631683, 0.1371508538722992, 0.13752855360507965, 0.13768494129180908, 0.13761629164218903, 0.13730491697788239, 0.13677603006362915, 0.13614337146282196, 0.13581308722496033, 0.1354430466890335, 0.13525842130184174, 0.1344475895166397, 0.13492684066295624, 0.13531425595283508, 0.1345345377922058, 0.13242830336093903, 0.13210660219192505, 0.13134896755218506, 0.132388174533844, 0.13243833184242249, 0.1317044198513031, 0.13166020810604095, 0.13064256310462952, 0.13100415468215942, 0.13141879439353943, 0.13034996390342712, 0.13008520007133484, 0.12994833290576935, 0.12963491678237915, 0.12941692769527435, 0.12928816676139832, 0.1291755586862564, 0.12888315320014954, 0.12876830995082855, 0.12825700640678406, 0.12812021374702454, 0.12755395472049713, 0.1277950257062912, 0.12745171785354614, 0.12786121666431427, 0.12716731429100037, 0.1264830231666565, 0.1268371343612671, 0.12687043845653534, 0.1266266405582428, 0.1262267529964447, 0.12575651705265045, 0.12638311088085175, 0.12579604983329773, 0.12526723742485046, 0.12483835965394974, 0.124199777841568, 0.12507134675979614, 0.1242617592215538, 0.12437696009874344, 0.12400148063898087, 0.12390758097171783, 0.12434807419776917, 0.12347216159105301, 0.12412024289369583, 0.12296967208385468, 0.12275496870279312, 0.12383592873811722, 0.12301076203584671, 0.12210586667060852, 0.12158304452896118, 0.12263336777687073, 0.12124285101890564, 0.1219496950507164, 0.12225205451250076, 0.1209602952003479, 0.12094728648662567, 0.12109028548002243, 0.121761254966259, 0.12101492285728455, 0.12134601175785065, 0.12131696194410324, 0.11960761249065399, 0.12036900222301483, 0.1198238804936409, 0.11945325136184692, 0.11938899755477905, 0.11996614187955856, 0.1191171407699585, 0.11891283094882965, 0.11905781924724579, 0.11881637573242188, 0.11835544556379318, 0.11742234975099564, 0.1178833544254303, 0.11755732446908951, 0.11789520829916, 0.11684362590312958, 0.11731396615505219, 0.11749162524938583, 0.1161591112613678, 0.11677166074514389, 0.11698687821626663, 0.11642175912857056, 0.11638382822275162, 0.11500725895166397, 0.11623132228851318, 0.11523304134607315, 0.11622519791126251, 0.11562376469373703, 0.11560976505279541, 0.1146356388926506, 0.11514243483543396, 0.11569780111312866, 0.11447979509830475, 0.11416848748922348, 0.11392133682966232, 0.11428502947092056, 0.11427555978298187, 0.11438259482383728, 0.11410228908061981, 0.11426886171102524, 0.11403371393680573, 0.11440049111843109, 0.11370769143104553, 0.11317834258079529, 0.11335806548595428, 0.11347649246454239, 0.11261982470750809, 0.11288608610630035, 0.11260250955820084, 0.11362634599208832, 0.11404454708099365, 0.11320582032203674, 0.11257743835449219, 0.11241652071475983, 0.11245090514421463, 0.11275633424520493, 0.11196215450763702, 0.11214112490415573, 0.11155008524656296, 0.11147813498973846, 0.11133267730474472, 0.11106456071138382, 0.11151553690433502, 0.11243872344493866, 0.11158354580402374, 0.11067721247673035, 0.11138026416301727, 0.11111875623464584, 0.11185875535011292, 0.11073510348796844, 0.1108199879527092, 0.11085742712020874, 0.11023569107055664, 0.11031988263130188, 0.11061640083789825, 0.11082930862903595, 0.10993790626525879, 0.1101485937833786, 0.1105976551771164, 0.10977894812822342, 0.10909581929445267, 0.10911261290311813, 0.10899164527654648, 0.10844489932060242, 0.10959343612194061, 0.10806507617235184, 0.1090766191482544, 0.10813141614198685, 0.10809104889631271, 0.1071620061993599, 0.10892529040575027, 0.10789113491773605, 0.1068095937371254, 0.10757575929164886, 0.10790318995714188, 0.10749495774507523, 0.10785465687513351, 0.10724121332168579, 0.10792180895805359, 0.10695745050907135, 0.107451431453228, 0.10688693821430206]</v>
      </c>
    </row>
    <row r="11">
      <c r="A11" s="1" t="s">
        <v>777</v>
      </c>
      <c r="B11" s="2" t="str">
        <f>Sheet1!A7</f>
        <v>Training Accuracy: [0.8997371792793274, 0.9129928350448608, 0.9176762104034424, 0.9203106164932251, 0.9221206903457642, 0.9231003522872925, 0.9244862794876099, 0.9257048964500427, 0.9256809949874878, 0.9257646203041077, 0.9271385669708252, 0.9277777671813965, 0.9278613924980164, 0.9279569983482361, 0.9285005927085876, 0.92857825756073, 0.9291278123855591, 0.9290441870689392, 0.9296833872795105, 0.9296714663505554, 0.929713249206543, 0.9300298690795898, 0.930788516998291, 0.9311589002609253, 0.9303106069564819, 0.9303703904151917, 0.9312723875045776, 0.9312245845794678, 0.9314695596694946, 0.9312186241149902, 0.9316607117652893, 0.9316965341567993, 0.9316607117652893, 0.9316368103027344, 0.9317084550857544, 0.9318339228630066, 0.931057333946228, 0.9319175481796265, 0.9316487312316895, 0.9311469793319702, 0.9319534301757812, 0.9316785931587219, 0.9319713115692139, 0.9320071935653687, 0.9320370554924011, 0.9319653511047363, 0.9320191144943237, 0.9315710663795471, 0.9323715567588806, 0.9317981004714966, 0.9319175481796265, 0.9320967793464661, 0.9318159818649292, 0.9316368103027344, 0.9326105117797852, 0.9322819709777832, 0.9318159818649292, 0.9323416948318481, 0.933022677898407, 0.9326642751693726, 0.9320489764213562, 0.9321804046630859, 0.9326463341712952, 0.9327359795570374, 0.9327120780944824]</v>
      </c>
    </row>
    <row r="12">
      <c r="A12" s="1" t="s">
        <v>778</v>
      </c>
      <c r="B12" s="2" t="str">
        <f>Sheet1!B7</f>
        <v>Training Accuracy: [0.9071385860443115, 0.9221087098121643, 0.9261947274208069, 0.9281421899795532, 0.9303942918777466, 0.931117057800293, 0.9325925707817078, 0.933464765548706, 0.9334349036216736, 0.9338828921318054, 0.9343787431716919, 0.9344623684883118, 0.9356570839881897, 0.9354420304298401, 0.935931921005249, 0.9363859295845032, 0.9363679885864258, 0.9374492168426514, 0.9370131492614746, 0.9377478957176208, 0.9382497072219849, 0.9387515187263489, 0.9385483860969543, 0.9388470649719238, 0.9390740990638733, 0.9394803047180176, 0.9397491216659546, 0.9394086003303528, 0.9399760961532593, 0.9404540061950684, 0.9404599666595459, 0.9403823018074036, 0.940412163734436, 0.941170871257782, 0.941242516040802, 0.941170871257782, 0.9416846036911011, 0.9415173530578613, 0.9416427612304688, 0.9420788288116455, 0.941744327545166, 0.9428673982620239, 0.9421744346618652, 0.9429271221160889, 0.9434886574745178, 0.9430167078971863, 0.9431362152099609, 0.9436021447181702, 0.9435125589370728, 0.9436678886413574, 0.9436379671096802, 0.943918764591217, 0.9444563984870911, 0.943882942199707, 0.9443787336349487, 0.9443787336349487, 0.9437634348869324, 0.9446057081222534, 0.9446535110473633, 0.9451314210891724, 0.9447550773620605, 0.9449820518493652, 0.9455973505973816, 0.9454838633537292, 0.9458542466163635, 0.9458602070808411, 0.9464934468269348, 0.9463500380516052, 0.9463500380516052, 0.9463022947311401, 0.946445643901825, 0.9465233087539673, 0.9466069340705872, 0.9466248750686646, 0.9469773173332214, 0.9468757510185242, 0.9469175338745117, 0.94642174243927, 0.9474910497665405, 0.9477777481079102, 0.9478673934936523, 0.9477478861808777, 0.9479749202728271, 0.9476642608642578, 0.9479211568832397, 0.9478793144226074, 0.9484826922416687, 0.9485902190208435, 0.9481541514396667, 0.9484468102455139, 0.9482975006103516, 0.9489486217498779, 0.9486917853355408, 0.9488470554351807, 0.9493727684020996, 0.9492294192314148, 0.9491338133811951, 0.949253261089325, 0.9492951035499573, 0.9491039514541626, 0.9494324922561646, 0.9499044418334961, 0.9496176838874817, 0.9499402642250061, 0.950059711933136, 0.9504480361938477, 0.9502867460250854, 0.9503046870231628, 0.9495400190353394, 0.949988067150116, 0.9510453939437866, 0.9506093263626099, 0.9510334730148315, 0.9510812163352966, 0.9512305855751038, 0.9509319067001343, 0.9512604475021362, 0.9514515995979309, 0.9506152868270874, 0.9510394334793091, 0.9512485265731812, 0.9513381123542786, 0.9519474506378174, 0.9520071744918823, 0.9516905546188354, 0.9524014592170715, 0.9525507688522339, 0.9520907998085022, 0.9526463747024536, 0.9525328278541565, 0.9526582956314087, 0.9531003832817078, 0.9527478814125061, 0.952431321144104, 0.9526821970939636, 0.9532138705253601, 0.9525746703147888, 0.9531959295272827, 0.9527478814125061, 0.9531302452087402, 0.9538112282752991, 0.9536260366439819, 0.9535603523254395, 0.9538769125938416, 0.9536857604980469, 0.9543190002441406, 0.954139769077301, 0.9533094167709351, 0.9537813663482666, 0.9539964199066162, 0.9539605975151062, 0.9542114734649658, 0.954468309879303, 0.9544922113418579, 0.9544205665588379, 0.9542233943939209, 0.9545519948005676, 0.9547192454338074, 0.9546595215797424, 0.954396665096283, 0.9548566341400146, 0.9553763270378113, 0.9549940228462219, 0.9553883075714111, 0.9554898738861084, 0.955764651298523, 0.9556690454483032, 0.955531656742096, 0.9559139609336853, 0.9560812711715698, 0.9559378623962402, 0.9563201665878296, 0.9556929469108582, 0.9564695358276367, 0.9554300904273987, 0.9566189050674438, 0.9567204117774963, 0.9568638205528259, 0.9565232992172241]</v>
      </c>
    </row>
    <row r="13">
      <c r="A13" s="1" t="s">
        <v>779</v>
      </c>
      <c r="B13" s="2" t="str">
        <f>Sheet1!C7</f>
        <v>Training Accuracy: [0.8829749226570129, 0.9074492454528809, 0.9143070578575134, 0.9185185432434082, 0.926636815071106, 0.9295459985733032, 0.9303763508796692, 0.9311051368713379, 0.9322699904441833, 0.9322998523712158, 0.9327000975608826, 0.9328076243400574, 0.9334766864776611, 0.9339486360549927, 0.9345818161964417, 0.9347252249717712, 0.9353106617927551, 0.9353823065757751, 0.9354719519615173, 0.9353046417236328, 0.936027467250824, 0.9358602166175842, 0.9364277124404907, 0.9371923804283142, 0.9370967745780945, 0.9367263913154602, 0.9371564984321594, 0.9367861151695251, 0.9372938871383667, 0.9379569888114929, 0.9370609521865845, 0.937640368938446, 0.938739538192749, 0.9386917352676392, 0.9393429160118103, 0.9385543465614319, 0.9385244846343994, 0.938763439655304, 0.939605712890625, 0.9395519495010376, 0.9398267865180969, 0.9397610425949097, 0.9404898285865784, 0.9398984313011169, 0.9406152963638306, 0.9406750202178955, 0.9407108426094055, 0.9409319162368774, 0.941146969795227, 0.9410812258720398, 0.9411290287971497, 0.9413739442825317, 0.9415650963783264, 0.9410693049430847, 0.9417980909347534, 0.940340518951416, 0.9419713020324707, 0.9415711164474487, 0.9412365555763245, 0.9424731135368347, 0.9422999024391174, 0.9427300095558167, 0.9425328373908997, 0.9423715472221375, 0.9422042965888977, 0.9425626993179321, 0.942783772945404, 0.9427001476287842, 0.9428912997245789, 0.9432198405265808, 0.9427658319473267, 0.9432556629180908, 0.943416953086853, 0.9438650012016296, 0.9441756010055542, 0.944480299949646, 0.9446893930435181, 0.9440262913703918, 0.9446356296539307, 0.9447132349014282, 0.9453703761100769, 0.9451493620872498, 0.9448506832122803, 0.9451493620872498, 0.9451553225517273, 0.9455734491348267, 0.9449223279953003, 0.9452747702598572, 0.9454241394996643, 0.9456809759140015, 0.9461947679519653, 0.9460872411727905, 0.9461827874183655, 0.9451851844787598, 0.94638592004776, 0.9464038014411926, 0.9463201761245728, 0.9459259510040283, 0.9467682242393494, 0.946714460849762, 0.9466606974601746, 0.9468100070953369, 0.94638592004776, 0.9467324018478394, 0.9455674886703491, 0.946152925491333, 0.9475626945495605, 0.9464038014411926, 0.9473954439163208, 0.9472998976707458, 0.9475507736206055, 0.9477001428604126, 0.9477598667144775, 0.9481063485145569, 0.9490262866020203, 0.9484169483184814, 0.9485722780227661, 0.9478554129600525, 0.9481840133666992, 0.9486141204833984, 0.9489545822143555, 0.9483751654624939, 0.9490621089935303, 0.9488948583602905, 0.9490860104560852, 0.9488231539726257, 0.9496236443519592, 0.9495161175727844, 0.949253261089325, 0.9496296048164368, 0.9492353796958923, 0.9495758414268494, 0.9488470554351807, 0.9492831826210022, 0.9491696357727051, 0.9490919709205627, 0.9496714472770691, 0.9495280981063843, 0.9491636753082275, 0.9496236443519592, 0.9496475458145142, 0.9491397738456726, 0.9497610330581665, 0.949964165687561, 0.9496714472770691, 0.9498327374458313, 0.9502688050270081, 0.9506152868270874, 0.9510812163352966, 0.9504002332687378, 0.9507228136062622, 0.9505735039710999, 0.9506272673606873, 0.9506511092185974, 0.9516547322273254, 0.9504002332687378, 0.9503942728042603, 0.9512724280357361, 0.9513978362083435, 0.9504898190498352, 0.9514396786689758, 0.9518817067146301, 0.9518160223960876, 0.9514337182044983, 0.9518279433250427, 0.9518817067146301, 0.9525448083877563, 0.9521386027336121, 0.9519534111022949, 0.9521684646606445, 0.9521864056587219, 0.9522401690483093, 0.9526343941688538, 0.953004777431488, 0.9521684646606445, 0.9531123042106628, 0.95329749584198, 0.9531182646751404, 0.9532018899917603, 0.9537395238876343, 0.9524014592170715, 0.9534826874732971, 0.9536917805671692, 0.9534408450126648, 0.9528673887252808, 0.9531481266021729, 0.9539904594421387, 0.9534050226211548, 0.9536618590354919, 0.9537932872772217, 0.9542055130004883, 0.9538888931274414, 0.9533213973045349, 0.9540023803710938, 0.9537813663482666, 0.953894853591919, 0.9540740847587585, 0.9537574648857117, 0.9542711973190308, 0.953894853591919, 0.9546117186546326, 0.9545101523399353, 0.9545639157295227, 0.9542353749275208, 0.9545639157295227, 0.9542174339294434, 0.9542652368545532, 0.9542114734649658, 0.9549641609191895, 0.9546475410461426, 0.9549163579940796, 0.9552090764045715, 0.9556152820587158, 0.955531656742096, 0.9550776481628418, 0.9552807807922363, 0.9551194906234741, 0.9549821019172668, 0.9551851749420166, 0.9554838538169861, 0.9558303356170654, 0.9555436372756958, 0.9547550678253174, 0.9555017948150635, 0.9556033611297607, 0.9560573697090149, 0.9554599523544312, 0.9556451439857483, 0.9554838538169861, 0.9556272625923157, 0.95606929063797, 0.9566547274589539, 0.9561588764190674, 0.955800473690033, 0.955973744392395, 0.9564576148986816, 0.9566845893859863, 0.9564754962921143, 0.9562305808067322, 0.956278383731842, 0.9571923613548279, 0.956278383731842, 0.9568279385566711, 0.9565232992172241, 0.9566487669944763, 0.9563918709754944, 0.9561350345611572, 0.9564754962921143, 0.956511378288269, 0.9564635753631592, 0.9569892287254333, 0.9562007188796997, 0.9575328826904297, 0.9576104879379272, 0.9567682147026062, 0.9569713473320007, 0.9574671387672424, 0.957413375377655, 0.9566666483879089, 0.9575268626213074, 0.9570490121841431, 0.9580346345901489, 0.9575268626213074, 0.9572759866714478, 0.9572580456733704, 0.9574791193008423, 0.9570012092590332, 0.9572998881340027]</v>
      </c>
    </row>
    <row r="14">
      <c r="A14" s="1" t="s">
        <v>780</v>
      </c>
      <c r="B14" s="2" t="str">
        <f>Sheet1!D7</f>
        <v>Training Accuracy: [0.8942294120788574, 0.9120967984199524, 0.9173954725265503, 0.9216427803039551, 0.9279390573501587, 0.9295818209648132, 0.9310991764068604, 0.9311469793319702, 0.9323416948318481, 0.933255672454834, 0.9333572387695312, 0.9344803094863892, 0.9345818161964417, 0.9349163770675659, 0.9350597262382507, 0.9351493716239929, 0.9358243942260742, 0.936272382736206, 0.936224639415741, 0.9366905689239502, 0.9369115829467773, 0.936762273311615, 0.9370728731155396, 0.937162458896637, 0.937431275844574, 0.9375388026237488, 0.936296284198761, 0.9384408593177795, 0.937066912651062, 0.9372938871383667, 0.9375388026237488, 0.9377419352531433, 0.9386618733406067, 0.9382616281509399, 0.9395878314971924, 0.9397909045219421, 0.9397491216659546, 0.9398446679115295, 0.9398685693740845, 0.9401493668556213, 0.9408004879951477, 0.940973699092865, 0.9408183693885803, 0.9408004879951477, 0.9410573244094849, 0.9411051273345947, 0.9405615329742432, 0.9418637752532959, 0.941439688205719, 0.9425448179244995, 0.9424790740013123, 0.9427061080932617, 0.9431840181350708, 0.9426881670951843, 0.9422401189804077, 0.9430047869682312, 0.9428195953369141, 0.9432676434516907, 0.9433572292327881, 0.943942666053772, 0.9437037110328674, 0.9435005784034729, 0.9442771673202515, 0.94364994764328, 0.9444444179534912, 0.9441457390785217, 0.9445281028747559, 0.9444981813430786, 0.9448387026786804, 0.9447192549705505, 0.9443787336349487, 0.9445459842681885, 0.9449402689933777, 0.944844663143158, 0.9453345537185669, 0.9453942775726318, 0.9451195001602173, 0.9451732635498047, 0.94501793384552, 0.9446475505828857, 0.9453405141830444, 0.9450597167015076, 0.9459319114685059, 0.9453703761100769, 0.9466308355331421, 0.9460872411727905, 0.9463918805122375, 0.9459736943244934, 0.9465531706809998, 0.9466128945350647, 0.9458124041557312, 0.9465591311454773, 0.9465830326080322, 0.9463918805122375, 0.9470370411872864, 0.9473954439163208, 0.9475806355476379, 0.9467024803161621, 0.9466606974601746, 0.9472938776016235, 0.9474432468414307, 0.9473536610603333, 0.9474372863769531, 0.9468518495559692, 0.9475268721580505, 0.9476941227912903, 0.9468876719474792, 0.9479271173477173, 0.9479450583457947, 0.9482018947601318, 0.947885274887085, 0.9482735991477966, 0.9485722780227661, 0.9482855200767517, 0.9487037062644958, 0.9485902190208435, 0.9481959342956543, 0.9486857652664185, 0.9484946131706238, 0.9487455487251282, 0.949731171131134, 0.9489964246749878, 0.9495101571083069, 0.9491158723831177, 0.9493668079376221, 0.949390709400177, 0.9493548274040222, 0.9503046870231628, 0.9493846893310547, 0.9496833682060242, 0.9500059485435486, 0.9506033658981323, 0.9509558081626892, 0.9505376219749451, 0.9508423209190369, 0.9504838585853577, 0.9507048726081848, 0.9511051177978516, 0.9510155320167542, 0.9506750106811523, 0.9513859152793884, 0.951158881187439, 0.9513739347457886, 0.9507526755332947, 0.9514934420585632, 0.9515650868415833, 0.9517263770103455, 0.9516786336898804, 0.9513620138168335, 0.9516487717628479, 0.9513201713562012, 0.9515531659126282, 0.9514575600624084, 0.9519354701042175, 0.9515412449836731, 0.951063334941864, 0.9515292644500732, 0.9520251154899597, 0.9523596167564392, 0.9524552226066589, 0.9519713521003723, 0.9531003832817078, 0.9525985717773438, 0.9530943632125854]</v>
      </c>
    </row>
    <row r="15">
      <c r="A15" s="1" t="s">
        <v>781</v>
      </c>
      <c r="B15" s="2" t="str">
        <f>Sheet1!E7</f>
        <v>Training Accuracy: [0.8914098143577576, 0.9189366698265076, 0.9242353439331055, 0.9264097809791565, 0.928016722202301, 0.9286320209503174, 0.9295101761817932, 0.9308303594589233, 0.9314934015274048, 0.9313560128211975, 0.9323715567588806, 0.9328435063362122, 0.933219850063324, 0.9332675933837891, 0.9341099262237549, 0.9339366555213928, 0.9347849488258362, 0.9350956082344055, 0.935394287109375, 0.9356272220611572, 0.9358602166175842, 0.9360633492469788, 0.935967743396759, 0.9366009831428528, 0.9374133944511414, 0.9364396929740906, 0.937102735042572, 0.937162458896637, 0.9373118281364441, 0.9372521042823792, 0.9375627040863037, 0.937933087348938, 0.9379808902740479, 0.9375925660133362, 0.938506543636322, 0.9382317662239075, 0.9384588003158569, 0.9384109973907471, 0.9387215971946716, 0.939032256603241, 0.9386379718780518, 0.9388948678970337, 0.9392174482345581, 0.9392592310905457, 0.9397849440574646, 0.9399282932281494, 0.9394086003303528, 0.9398984313011169, 0.9398207664489746, 0.9408602118492126, 0.9408004879951477, 0.9406870007514954, 0.9404301047325134, 0.9406033158302307, 0.9407885074615479, 0.9412903189659119, 0.9410274624824524, 0.9416427612304688, 0.9413082599639893, 0.9413440823554993, 0.9419354796409607, 0.9415650963783264, 0.9423297643661499, 0.9425926208496094, 0.9426762461662292, 0.9425209164619446, 0.9425926208496094, 0.9427658319473267, 0.9425626993179321, 0.9431242346763611, 0.943112313747406, 0.9429152011871338, 0.9433094263076782, 0.9435902237892151, 0.9435125589370728, 0.943405032157898, 0.9434707164764404, 0.943978488445282, 0.9440919756889343, 0.943709671497345, 0.9443070292472839, 0.9435065984725952, 0.9444384574890137, 0.9445579648017883, 0.9436917304992676, 0.9446833729743958, 0.9443727731704712, 0.9444683194160461, 0.9446296095848083, 0.9448745250701904, 0.9450119733810425, 0.9448387026786804, 0.9454300999641418, 0.9448745250701904, 0.9456989169120789, 0.9457228183746338, 0.9456451535224915, 0.9451075196266174, 0.9462186098098755, 0.9458661675453186, 0.9466308355331421, 0.9460991621017456, 0.9463620185852051, 0.9454958438873291, 0.946188747882843, 0.9458363056182861, 0.9465113282203674, 0.9470908045768738, 0.9464277029037476, 0.9467383623123169, 0.9466188549995422, 0.9468339085578918, 0.9470250606536865, 0.9461708664894104, 0.9469295144081116, 0.9466845989227295, 0.9471325874328613, 0.9471744298934937, 0.9473177790641785, 0.9477061033248901, 0.9480764865875244, 0.9475626945495605, 0.9479330778121948, 0.9484886527061462, 0.9479808807373047, 0.948351263999939, 0.9481779932975769, 0.9489844441413879, 0.9481242299079895, 0.9481601119041443, 0.9480466246604919, 0.9486857652664185, 0.9482257962226868, 0.9492353796958923, 0.9488649964332581, 0.9490561485290527, 0.9495459794998169, 0.9490083456039429, 0.9493966698646545, 0.949462354183197, 0.9492294192314148, 0.9495937824249268, 0.9487216472625732, 0.9495459794998169, 0.9489008188247681, 0.9501433968544006, 0.9498446583747864, 0.9494026303291321, 0.9497849345207214, 0.9498028755187988, 0.949695348739624, 0.949964165687561, 0.9501134753227234, 0.9506332278251648, 0.9505735039710999, 0.9499821066856384, 0.9497730135917664, 0.9495639204978943, 0.949390709400177, 0.9501732587814331, 0.9511947631835938, 0.9509139657020569, 0.9510513544082642, 0.951367974281311, 0.9511827826499939, 0.9508004784584045, 0.9510513544082642, 0.9518578052520752, 0.9513022899627686, 0.9516905546188354, 0.9517323970794678, 0.9518339037895203, 0.9520429968833923, 0.9515412449836731, 0.9517443180084229, 0.9524133801460266, 0.9523954391479492, 0.9522102475166321, 0.9524790644645691, 0.9518399238586426, 0.9521445631980896, 0.9528793096542358, 0.9525806307792664, 0.9523655772209167, 0.9532556533813477, 0.9535483717918396, 0.9529510140419006, 0.952724039554596, 0.9524552226066589, 0.9523476958274841, 0.9528853297233582, 0.9528255462646484, 0.9524492025375366]</v>
      </c>
    </row>
    <row r="16">
      <c r="A16" s="1" t="s">
        <v>782</v>
      </c>
      <c r="B16" s="2" t="str">
        <f>Sheet1!F7</f>
        <v>Training Accuracy: [0.8941099047660828, 0.9195221066474915, 0.9237634539604187, 0.9263978600502014, 0.9282078742980957, 0.9292592406272888, 0.9306331872940063, 0.9315292835235596, 0.9327419400215149, 0.9327897429466248, 0.9337395429611206, 0.9341099262237549, 0.9347909092903137, 0.9347252249717712, 0.9347730278968811, 0.9353524446487427, 0.9353524446487427, 0.9364874362945557, 0.936565101146698, 0.9365113377571106, 0.9375507831573486, 0.9372521042823792, 0.9377120733261108, 0.9385185241699219, 0.9388172030448914, 0.938703715801239, 0.9393548369407654, 0.9398805499076843, 0.9397550821304321, 0.9398446679115295, 0.9402329921722412, 0.9404420256614685, 0.9408721327781677, 0.9408183693885803, 0.9410573244094849, 0.9412186145782471, 0.9418876767158508, 0.9412126541137695, 0.941780149936676, 0.9425448179244995, 0.9418876767158508, 0.9424313306808472, 0.9423536658287048, 0.942514955997467, 0.9428016543388367, 0.942783772945404, 0.943172037601471, 0.9440262913703918, 0.9432377815246582, 0.9435961842536926, 0.9436559081077576, 0.94368577003479, 0.943954586982727, 0.9447610378265381, 0.9445698857307434, 0.9442592859268188, 0.944784939289093, 0.9448327422142029, 0.9451911449432373, 0.9453763365745544, 0.94501793384552, 0.9459558129310608, 0.9455674886703491, 0.9454300999641418, 0.94638592004776, 0.9460155367851257, 0.9461349844932556, 0.9465531706809998, 0.9460214972496033, 0.946983277797699, 0.9470967650413513, 0.9473118185997009, 0.9476941227912903, 0.9474372863769531, 0.9476463794708252, 0.9470728635787964, 0.9481123089790344, 0.948327362537384, 0.947885274887085, 0.9482735991477966, 0.948315441608429, 0.9487515091896057, 0.9486618638038635, 0.9491158723831177, 0.9486081004142761, 0.9494085907936096, 0.9491099119186401, 0.9496117234230042, 0.9494743347167969, 0.9496236443519592, 0.9499701261520386, 0.9498685598373413, 0.9502210021018982, 0.9500059485435486, 0.9501612782478333, 0.9502150416374207, 0.9506391882896423, 0.9500657320022583, 0.9508423209190369, 0.9508064389228821, 0.950890064239502, 0.9511290192604065, 0.9510812163352966, 0.951624870300293, 0.9523835182189941, 0.9516427516937256, 0.9517801403999329, 0.9522222280502319, 0.9518757462501526, 0.9520012140274048, 0.9516666531562805, 0.9520489573478699, 0.9524372816085815, 0.9521386027336121, 0.9517323970794678, 0.9528016448020935, 0.9520310759544373, 0.9527778029441833, 0.9527120590209961, 0.952735960483551, 0.952759861946106, 0.9528733491897583, 0.9538829326629639, 0.9536380171775818, 0.9532676339149475, 0.9539366960525513, 0.9538410902023315, 0.9533870816230774, 0.9536558985710144, 0.9539426565170288, 0.9536558985710144, 0.9540860056877136, 0.9542771577835083, 0.9549999833106995, 0.9540919661521912, 0.9547132849693298, 0.9545161128044128, 0.9543190002441406, 0.9546595215797424, 0.9546535015106201, 0.955203115940094, 0.9550238847732544, 0.9551493525505066, 0.9550657272338867, 0.9560573697090149, 0.9557108879089355, 0.9552150368690491, 0.9560633301734924, 0.9551792144775391, 0.9554181694984436, 0.956606924533844, 0.9562305808067322, 0.9560872316360474, 0.9568697810173035, 0.9560931921005249, 0.9564157724380493, 0.9562903046607971, 0.9565531611442566, 0.9563799500465393, 0.9570012092590332, 0.9566128849983215, 0.9565173387527466, 0.9568160176277161, 0.9567861557006836, 0.957108736038208, 0.9567682147026062, 0.9573357105255127, 0.9570071697235107, 0.9568817019462585, 0.9575985670089722, 0.9578016996383667, 0.9566606879234314, 0.9580585360527039, 0.9571326375007629, 0.9575209021568298, 0.9576642513275146, 0.9579271078109741, 0.9576343894004822, 0.9580286741256714, 0.9578912854194641, 0.9585782289505005, 0.9582018852233887, 0.9584169387817383, 0.95884108543396, 0.9585304856300354, 0.9575746655464172, 0.9587335586547852, 0.9582257866859436, 0.9586081504821777, 0.9588948488235474, 0.9587395191192627, 0.9587873220443726, 0.9601433873176575, 0.9595997333526611, 0.958745539188385, 0.959038257598877, 0.958476722240448, 0.959342896938324, 0.9591875672340393, 0.9591995477676392, 0.9593667984008789, 0.9588112235069275, 0.9594623446464539, 0.9595280885696411, 0.9597670435905457, 0.9597252011299133, 0.9598506689071655, 0.9602031111717224, 0.959587812423706, 0.9599402546882629, 0.9605734944343567, 0.9598147869110107, 0.9604241251945496, 0.9597909450531006, 0.9601612687110901, 0.9599820971488953, 0.9606810212135315, 0.9599223136901855, 0.9609438180923462, 0.9604300856590271, 0.9609079957008362, 0.9601194858551025, 0.9608781337738037, 0.9605615139007568, 0.9610036015510559, 0.9609318971633911, 0.9608840942382812, 0.9611947536468506, 0.9614217281341553, 0.9606451392173767, 0.9612066745758057, 0.961845874786377, 0.9614874720573425, 0.9617204070091248, 0.9605256915092468, 0.9613620042800903, 0.9610872268676758, 0.9616965055465698, 0.9617084860801697, 0.9617682099342346, 0.9616069197654724]</v>
      </c>
    </row>
    <row r="17">
      <c r="A17" s="1" t="s">
        <v>783</v>
      </c>
      <c r="B17" s="2" t="str">
        <f>Sheet1!G7</f>
        <v>Training Accuracy: [0.8893846869468689, 0.9145997762680054, 0.9217861294746399, 0.924940288066864, 0.927514910697937, 0.9285005927085876, 0.9294862747192383, 0.9299283027648926, 0.930519700050354, 0.9321983456611633, 0.9329151511192322, 0.9331481456756592, 0.9342532753944397, 0.9341875910758972, 0.9349163770675659, 0.9352688193321228, 0.9347491264343262, 0.9353345036506653, 0.9358422756195068, 0.9360513687133789, 0.9360573291778564, 0.9367204308509827, 0.9367323517799377, 0.937066912651062, 0.9379450678825378, 0.9378315210342407, 0.9378255605697632, 0.9383751749992371, 0.9383691549301147, 0.9383392930030823, 0.938763439655304, 0.9384468197822571, 0.9385663270950317, 0.9398805499076843, 0.9397730231285095, 0.9388112425804138, 0.9393846988677979, 0.9398148059844971, 0.9396714568138123, 0.940364420413971, 0.9404540061950684, 0.940364420413971, 0.9406272172927856, 0.9407825469970703, 0.9407526850700378, 0.9414874315261841, 0.941146969795227, 0.9413679838180542, 0.9405794739723206, 0.9415770769119263, 0.9416427612304688, 0.9417921304702759, 0.9417263865470886, 0.941768229007721, 0.9422580599784851, 0.9424910545349121, 0.9428614377975464, 0.9429928064346313, 0.9431779980659485, 0.9432138800621033, 0.9431779980659485, 0.9433034658432007, 0.9430465698242188, 0.9440262913703918, 0.9435961842536926, 0.9440083503723145, 0.9440561532974243, 0.9438052773475647, 0.943918764591217, 0.9438410997390747, 0.94505375623703, 0.9441696405410767, 0.9447550773620605, 0.9452329874038696, 0.944784939289093, 0.9445698857307434, 0.9449343085289001, 0.9450477957725525, 0.9454958438873291, 0.9445698857307434, 0.9453883171081543, 0.9451851844787598, 0.945919930934906, 0.9461410045623779, 0.9458542466163635, 0.9457825422286987, 0.9461947679519653, 0.9465472102165222, 0.9457287788391113, 0.946212649345398, 0.9464755058288574, 0.9465053677558899, 0.9468578100204468, 0.9466248750686646, 0.9471983313560486, 0.9466487169265747, 0.9472042918205261, 0.9469773173332214, 0.9477239847183228, 0.9471983313560486, 0.9476403594017029, 0.9472759962081909, 0.9480466246604919, 0.9479450583457947, 0.9482377767562866, 0.9484468102455139, 0.948351263999939, 0.9475806355476379, 0.9479151964187622, 0.9478614330291748, 0.9480406045913696, 0.9482317566871643, 0.9480107426643372, 0.9488351345062256, 0.948560357093811, 0.9484767317771912, 0.9491816163063049, 0.9492413401603699, 0.9493190050125122, 0.9491696357727051, 0.9490501880645752, 0.9493429064750671, 0.9492473006248474, 0.949928343296051, 0.9501851797103882, 0.9501433968544006, 0.9498506784439087, 0.9502688050270081, 0.9499044418334961, 0.9504002332687378, 0.9509975910186768, 0.9505197405815125, 0.9502867460250854, 0.9512186646461487, 0.9505435824394226, 0.9505017995834351, 0.9511170983314514, 0.951158881187439, 0.9506690502166748, 0.9513082504272461, 0.951427698135376, 0.9514755010604858, 0.9516487717628479, 0.9515531659126282, 0.9511290192604065, 0.9510095715522766, 0.9512783885002136, 0.9518996477127075, 0.951869785785675, 0.9521564841270447, 0.9525627493858337, 0.9522461295127869, 0.9529091715812683, 0.9522520899772644, 0.9531421661376953, 0.9526941180229187, 0.9531481266021729, 0.9528375267982483, 0.9521864056587219, 0.9526224732398987, 0.9531601071357727, 0.9537873268127441, 0.9529330730438232, 0.9534348845481873, 0.9537037014961243, 0.9532257914543152, 0.9536141157150269, 0.9534468054771423, 0.9539725184440613, 0.9537395238876343, 0.9542413353919983, 0.9537216424942017, 0.9545937776565552, 0.9543429017066956, 0.9542950987815857, 0.9544982314109802, 0.9534767270088196, 0.9536857604980469, 0.9537754058837891, 0.9544743299484253, 0.9546535015106201, 0.9542592763900757, 0.9548805356025696, 0.9548685550689697, 0.9546535015106201, 0.9554420709609985, 0.9546296000480652, 0.9550477862358093, 0.9546893835067749, 0.9553464651107788, 0.9547610282897949, 0.9553285837173462, 0.9558900594711304, 0.9552807807922363, 0.9551792144775391, 0.9558303356170654, 0.9558064341545105, 0.9557526707649231, 0.9554838538169861, 0.9563261866569519, 0.9555854201316833, 0.9560155272483826, 0.9566786289215088, 0.9555017948150635, 0.9562544822692871, 0.9562664031982422, 0.956009566783905, 0.9560513496398926, 0.9560991525650024, 0.9562186598777771, 0.956839919090271, 0.9558900594711304, 0.9566248655319214, 0.9561588764190674, 0.9573058485984802, 0.9571983218193054]</v>
      </c>
    </row>
    <row r="18">
      <c r="A18" s="1" t="s">
        <v>784</v>
      </c>
      <c r="B18" s="2" t="str">
        <f>Sheet1!H7</f>
        <v>Training Accuracy: [0.8937634229660034, 0.9099342823028564, 0.91475510597229, 0.9166965484619141, 0.9187813401222229, 0.9211828112602234, 0.9218279719352722, 0.9230943918228149, 0.9240860342979431, 0.9247371554374695, 0.9262067079544067, 0.9269115924835205, 0.9278733730316162, 0.9277598857879639, 0.9290561676025391, 0.928811252117157, 0.9304718971252441, 0.9306809902191162, 0.9315412044525146, 0.9324731230735779, 0.9327598810195923, 0.9322401285171509, 0.9309976100921631, 0.9316009283065796, 0.9329330921173096, 0.9320131540298462, 0.9315352439880371, 0.9338828921318054, 0.9334588050842285, 0.9333751201629639, 0.9329211711883545, 0.9331242442131042, 0.9336977005004883, 0.9332975149154663, 0.9344683289527893, 0.9347670078277588, 0.9347491264343262, 0.9336618781089783, 0.9336499571800232, 0.9351911544799805, 0.9346296191215515, 0.9347371459007263, 0.9345758557319641, 0.9347610473632812, 0.9353225827217102, 0.9352150559425354, 0.935125470161438, 0.9360155463218689, 0.9353882670402527, 0.9359080195426941, 0.9356332421302795, 0.9354480504989624, 0.9358243942260742, 0.9361469745635986, 0.9372580647468567, 0.9368398785591125, 0.9373118281364441, 0.9376224875450134, 0.9370011687278748, 0.9372341632843018, 0.9379569888114929, 0.9396714568138123, 0.9402031302452087, 0.9400119185447693, 0.9391039609909058, 0.9389605522155762, 0.939605712890625, 0.9402090907096863, 0.9401373863220215, 0.9402807354927063, 0.939241349697113, 0.9401612877845764, 0.9401971101760864, 0.9404779076576233, 0.9411827921867371, 0.9412843585014343, 0.9404480457305908, 0.9411171078681946, 0.9411051273345947, 0.9413022994995117, 0.9418817162513733, 0.9410513639450073, 0.9418578147888184, 0.9416368007659912, 0.9421803951263428, 0.9416905641555786, 0.9420549869537354, 0.9424074292182922, 0.9417263865470886, 0.9421803951263428, 0.9422999024391174, 0.9420071840286255, 0.9427419304847717, 0.9424193501472473, 0.9426344037055969, 0.9426045417785645, 0.9431242346763611, 0.943345308303833, 0.9430525898933411, 0.9433034658432007, 0.9435244798660278, 0.9434707164764404, 0.9435125589370728, 0.9433870911598206, 0.9437693953514099, 0.9437515139579773, 0.9438889026641846, 0.9442293643951416, 0.9434587955474854, 0.9442592859268188, 0.9445997476577759, 0.9447669982910156, 0.9439605474472046, 0.9448924660682678, 0.9446535110473633, 0.944516122341156, 0.9452568888664246, 0.94501793384552, 0.9446057081222534, 0.9445997476577759, 0.9448805451393127, 0.9441338181495667, 0.9447908997535706, 0.9455973505973816, 0.9450955986976624, 0.9456093311309814, 0.9458721876144409, 0.9458303451538086, 0.9451195001602173, 0.9458363056182861, 0.9462604522705078, 0.9461648464202881, 0.9457825422286987, 0.9467324018478394, 0.946690559387207, 0.9462664127349854, 0.9465472102165222, 0.9468040466308594, 0.9473536610603333, 0.946959376335144, 0.946750283241272, 0.9477777481079102, 0.9477061033248901, 0.94642174243927, 0.9475926160812378, 0.9472700357437134, 0.9481063485145569, 0.9475149512290955, 0.9479450583457947, 0.9472938776016235, 0.9477777481079102, 0.9477239847183228, 0.9482855200767517, 0.9477001428604126, 0.9473655819892883, 0.9482735991477966, 0.948315441608429, 0.9488171935081482, 0.948387086391449, 0.9479868412017822, 0.9484408497810364, 0.9486021399497986, 0.9486618638038635, 0.9490322470664978, 0.9485424160957336, 0.9488410949707031, 0.9489127993583679, 0.9488948583602905, 0.9489784836769104, 0.9489306807518005, 0.9487096667289734, 0.9492951035499573, 0.9483990669250488, 0.94915771484375, 0.9495101571083069, 0.9493787288665771, 0.9492891430854797, 0.9495101571083069, 0.9496117234230042, 0.9495997428894043, 0.9492771625518799, 0.9502867460250854, 0.9497670531272888, 0.949928343296051, 0.9497371315956116, 0.9494085907936096, 0.9493668079376221, 0.9498984217643738, 0.9508363008499146, 0.9500418305397034, 0.9501254558563232, 0.9498685598373413, 0.9505854249000549, 0.9499760866165161, 0.9503703713417053, 0.9504122138023376, 0.9507885575294495, 0.9503345489501953, 0.9502210021018982, 0.9512305855751038, 0.9507168531417847, 0.9503524303436279, 0.9508960843086243, 0.951134979724884, 0.9510812163352966, 0.9513440728187561, 0.9515531659126282, 0.9508482813835144, 0.9512246251106262, 0.9514337182044983, 0.9515233039855957, 0.9517383575439453, 0.9518817067146301, 0.951696515083313, 0.9520788788795471, 0.952234148979187, 0.9520609378814697, 0.9516069293022156, 0.9520489573478699, 0.9514515995979309, 0.9518279433250427, 0.95189368724823, 0.9522879123687744, 0.9517682194709778, 0.952526867389679]</v>
      </c>
    </row>
    <row r="21">
      <c r="A21" s="1" t="s">
        <v>785</v>
      </c>
      <c r="B21" s="2" t="str">
        <f>Sheet1!I6</f>
        <v>Training Loss: [0.5075995326042175, 0.28139418363571167, 0.1745893359184265, 0.12535852193832397, 0.10692524909973145, 0.0968700721859932, 0.09072492271661758, 0.08711504191160202, 0.08329584449529648, 0.07985077798366547, 0.07814576476812363, 0.07666522264480591, 0.07462161034345627, 0.07212270051240921, 0.07136771827936172, 0.07006316632032394, 0.06885337084531784, 0.06778595596551895, 0.0672081932425499, 0.0652369037270546, 0.06539559364318848, 0.06424668431282043, 0.06330090016126633, 0.062310487031936646, 0.06175758317112923, 0.06134166568517685, 0.06021927297115326, 0.059496935456991196, 0.05937730520963669, 0.0591106154024601, 0.05790160968899727, 0.05697321146726608, 0.056332122534513474, 0.05640328675508499, 0.055529769510030746, 0.055149395018815994, 0.054765503853559494, 0.05387036129832268, 0.05324969068169594, 0.0527435764670372, 0.05313443765044212, 0.05223595350980759, 0.051438573747873306, 0.051011886447668076, 0.05122539773583412, 0.05056779459118843, 0.049992840737104416, 0.049650028347969055, 0.048730846494436264, 0.04854220151901245, 0.04755990207195282, 0.04861346259713173, 0.048318251967430115, 0.04779195040464401, 0.0473436675965786, 0.048201072961091995, 0.04872383922338486, 0.046970877796411514, 0.04778161272406578, 0.04677480459213257, 0.04567858576774597, 0.04521910101175308, 0.04570072144269943, 0.04434235394001007, 0.04433104768395424, 0.043433867394924164, 0.043529193848371506, 0.04272960126399994, 0.04239155724644661, 0.04209612309932709, 0.04291415959596634, 0.04275202378630638, 0.04276242107152939, 0.041935406625270844, 0.041135191917419434, 0.04095436632633209, 0.0404152013361454, 0.04115743190050125, 0.040816981345415115, 0.039942748844623566, 0.04014287516474724, 0.03944293037056923, 0.03955446928739548, 0.04009910300374031, 0.03844393044710159, 0.0401155911386013, 0.03863608092069626, 0.03789738938212395, 0.03893997147679329, 0.03884296864271164, 0.03774626553058624, 0.038702573627233505, 0.03841332346200943, 0.037303727120161057, 0.037676334381103516, 0.037059228867292404, 0.03627103194594383, 0.03719157353043556, 0.03677290305495262, 0.035761669278144836, 0.035247478634119034, 0.036294806748628616, 0.03495822846889496, 0.03475179150700569, 0.03476428613066673, 0.035312335938215256, 0.03511079028248787, 0.03530989587306976, 0.03466900438070297, 0.033996522426605225, 0.03411836549639702, 0.03480541706085205, 0.033769942820072174, 0.03353380411863327, 0.03474101424217224, 0.034341245889663696, 0.03374740853905678, 0.03425882011651993, 0.034077100455760956, 0.0335056446492672, 0.03462595120072365, 0.03404533490538597, 0.03308047726750374, 0.0317051075398922, 0.03339970484375954, 0.03222447261214256, 0.03278530389070511, 0.03258725255727768, 0.032123859971761703, 0.031866781413555145, 0.032254304736852646, 0.031517233699560165, 0.03173307701945305, 0.031975310295820236, 0.031772322952747345, 0.031093187630176544, 0.03085140325129032, 0.031596485525369644, 0.031055159866809845, 0.030933378264307976, 0.030750935897231102]</v>
      </c>
    </row>
    <row r="22">
      <c r="A22" s="1" t="s">
        <v>786</v>
      </c>
      <c r="B22" s="2" t="str">
        <f>Sheet1!J6</f>
        <v>Training Loss: [0.36378300189971924, 0.17711125314235687, 0.11727803945541382, 0.10076893121004105, 0.09176628291606903, 0.08725506067276001, 0.0830468162894249, 0.08024574816226959, 0.07730229943990707, 0.07472573220729828, 0.0728398859500885, 0.0716722384095192, 0.06988079845905304, 0.06876435875892639, 0.06804785877466202, 0.06699831038713455, 0.06637419760227203, 0.06425424665212631, 0.06353671103715897, 0.06311557441949844, 0.061254795640707016, 0.06156010925769806, 0.06006092205643654, 0.05939958244562149, 0.058875348418951035, 0.05837138742208481, 0.05789382755756378, 0.056550249457359314, 0.055805739015340805, 0.05513289198279381, 0.05522026866674423, 0.05366174876689911, 0.05373896285891533, 0.054173458367586136, 0.05379084125161171, 0.053102876991033554, 0.052524711936712265, 0.05249138921499252, 0.051910124719142914, 0.051223274320364, 0.051327262073755264, 0.05057201161980629, 0.050020914524793625, 0.049202363938093185, 0.04923311993479729, 0.04891635850071907, 0.04902868717908859, 0.04863302782177925, 0.04849516600370407, 0.04720737785100937, 0.04731932282447815, 0.04645933583378792, 0.04710814356803894, 0.04697345942258835, 0.046080369502305984, 0.04590877145528793, 0.045794565230607986, 0.04539375379681587, 0.044915713369846344, 0.04439779371023178, 0.0451284721493721, 0.04469046741724014, 0.04463372752070427, 0.04378415271639824, 0.04393291845917702, 0.04321840777993202, 0.042838867753744125, 0.04253952577710152, 0.04239528626203537, 0.04200703650712967, 0.04222554340958595, 0.04209298640489578, 0.04180976003408432, 0.041932109743356705, 0.04026608169078827, 0.04064079746603966, 0.04020369425415993, 0.03932007774710655, 0.04064793139696121, 0.039141133427619934, 0.04023946076631546, 0.039290137588977814, 0.03936292231082916, 0.038549259305000305, 0.038306258618831635, 0.03863575682044029, 0.03774423897266388, 0.037818972021341324, 0.03754022344946861, 0.03796616941690445, 0.03711042180657387, 0.03747599571943283, 0.03790867701172829, 0.0373658761382103, 0.036899566650390625, 0.0376962386071682, 0.036248788237571716, 0.03591778874397278, 0.03697873651981354, 0.03583521023392677, 0.035812169313430786]</v>
      </c>
    </row>
    <row r="23">
      <c r="A23" s="1" t="s">
        <v>787</v>
      </c>
      <c r="B23" s="2" t="str">
        <f>Sheet1!K6</f>
        <v>Training Loss: [0.41477370262145996, 0.22392338514328003, 0.18782579898834229, 0.15828831493854523, 0.11017510294914246, 0.09641473740339279, 0.0901995599269867, 0.08754228800535202, 0.08425412327051163, 0.08094115555286407, 0.07812076061964035, 0.07701024413108826, 0.07299364358186722, 0.07205899059772491, 0.07076362520456314, 0.06958334892988205, 0.06835141777992249, 0.06748652458190918, 0.06696741282939911, 0.06574507802724838, 0.06514587253332138, 0.06464516371488571, 0.06362035870552063, 0.06353338062763214, 0.06264086067676544, 0.06178762763738632, 0.060676850378513336, 0.060986652970314026, 0.06002561002969742, 0.05964319780468941, 0.058823440223932266, 0.058294814079999924, 0.05764647200703621, 0.05778507515788078, 0.05819816142320633, 0.05647428333759308, 0.05658324062824249, 0.05648347735404968, 0.05464881658554077, 0.05560161918401718, 0.05429958924651146, 0.05505743250250816, 0.05360725522041321, 0.05321972072124481, 0.05262145772576332, 0.05237074941396713, 0.05241551622748375, 0.05123472586274147, 0.05143653228878975, 0.05170627683401108, 0.05102178454399109, 0.050488315522670746, 0.04945754259824753, 0.04928378015756607, 0.048746589571237564, 0.04865282028913498, 0.048411961644887924, 0.047922924160957336, 0.04808541014790535, 0.047945186495780945, 0.046750254929065704, 0.04664595425128937, 0.045834314078092575, 0.04672930762171745, 0.04674097150564194, 0.046087414026260376, 0.04551418125629425, 0.04623190313577652, 0.044434357434511185, 0.045823123306035995, 0.0445353239774704, 0.045033201575279236, 0.0439036563038826, 0.04404241591691971, 0.043764859437942505, 0.04285399988293648, 0.042954254895448685, 0.04378155246376991, 0.043076954782009125, 0.04298282042145729, 0.04214989393949509, 0.04371773451566696, 0.04267433285713196, 0.0416036918759346, 0.041115593165159225, 0.04158264398574829, 0.040296126157045364, 0.041525375097990036, 0.04023225978016853, 0.04002480208873749, 0.04026417434215546, 0.03970576450228691, 0.039678238332271576, 0.03989212587475777, 0.03914262726902962, 0.03887991979718208, 0.03954290598630905, 0.039188358932733536, 0.0390024296939373, 0.039296336472034454, 0.03871983662247658, 0.03871757909655571, 0.037969768047332764, 0.037850458174943924, 0.03727377951145172, 0.03803040459752083, 0.03673292696475983, 0.03793545812368393, 0.036665286868810654, 0.03726811707019806, 0.036770522594451904, 0.036344099789857864, 0.03568262234330177, 0.035965632647275925, 0.03652545064687729, 0.035379309207201004, 0.035046085715293884, 0.03481478989124298, 0.034694042056798935, 0.03540937602519989, 0.034933701157569885, 0.034744445234537125, 0.033556047827005386, 0.03378956764936447, 0.034534554928541183, 0.033654410392045975, 0.03354256600141525, 0.03407300263643265, 0.03254689276218414, 0.03357887268066406, 0.033277228474617004, 0.03261438384652138]</v>
      </c>
    </row>
    <row r="24">
      <c r="A24" s="1" t="s">
        <v>788</v>
      </c>
      <c r="B24" s="2" t="str">
        <f>Sheet1!L6</f>
        <v>Training Loss: [0.1636117696762085, 0.10343488305807114, 0.0917905867099762, 0.0840553417801857, 0.08025631308555603, 0.07636547833681107, 0.07484613358974457, 0.07262884825468063, 0.07107546180486679, 0.07009557634592056, 0.0676494911313057, 0.06675935536623001, 0.06571023911237717, 0.06579344719648361, 0.06326735019683838, 0.0632457435131073, 0.06178893521428108, 0.061114851385354996, 0.06026671826839447, 0.06037811189889908, 0.05963512510061264, 0.0591093972325325, 0.05893890559673309, 0.05772775411605835, 0.05745083466172218, 0.056542571634054184, 0.05602308735251427, 0.055771227926015854, 0.055473651736974716, 0.05518702417612076, 0.05471125617623329, 0.05380016565322876, 0.05326619744300842, 0.05287918448448181, 0.05125084146857262, 0.05211706832051277, 0.052080925554037094, 0.05073809251189232, 0.0507391057908535, 0.04967636242508888, 0.0496240071952343, 0.04911793768405914, 0.049252044409513474, 0.04856027662754059, 0.047812748700380325, 0.04820387437939644, 0.04753904417157173, 0.04692384973168373, 0.04657990112900734, 0.04642614722251892, 0.04653044790029526, 0.04610765352845192, 0.04592067748308182, 0.04533710330724716, 0.044707756489515305, 0.04525739327073097, 0.043885067105293274, 0.044597554951906204, 0.04304761439561844, 0.043315235525369644, 0.04329114034771919, 0.042372893542051315, 0.04225635901093483, 0.04260903224349022, 0.0415160171687603, 0.04149831086397171, 0.04212943837046623, 0.042418863624334335, 0.04140571504831314, 0.041282180696725845, 0.04002021625638008, 0.03957780823111534, 0.03911098837852478, 0.039960820227861404, 0.039174336940050125, 0.03875492140650749, 0.04147613048553467, 0.040794674307107925, 0.03882942721247673, 0.038884468376636505, 0.03764762356877327, 0.0382855124771595, 0.037064146250486374, 0.03789340704679489, 0.03854512795805931, 0.03776825591921806, 0.037376102060079575, 0.03656693547964096, 0.03729824349284172, 0.03735862672328949, 0.036988239735364914, 0.037364546209573746, 0.03572526201605797, 0.03607553243637085, 0.03678184002637863, 0.03574236482381821, 0.03554860129952431, 0.03569257631897926, 0.034516483545303345, 0.035354480147361755, 0.035845089703798294, 0.03452472388744354, 0.03465821221470833, 0.03433508798480034, 0.034754011780023575, 0.033854421228170395, 0.03328876569867134, 0.03411109372973442, 0.033139266073703766, 0.03376913443207741, 0.0329991951584816, 0.03321719914674759, 0.03209351748228073, 0.032549481838941574, 0.033089108765125275, 0.032626017928123474, 0.032106783241033554, 0.03154122456908226, 0.03225874900817871, 0.03228247910737991, 0.03194914013147354, 0.03234202787280083, 0.031512461602687836, 0.03164304792881012, 0.031199967488646507]</v>
      </c>
    </row>
    <row r="25">
      <c r="A25" s="1" t="s">
        <v>789</v>
      </c>
      <c r="B25" s="5" t="str">
        <f>Sheet1!M6</f>
        <v>Training Loss: [0.401078999042511, 0.2031215876340866, 0.15326161682605743, 0.124310702085495, 0.10349489003419876, 0.09401858597993851, 0.0898904949426651, 0.0860590934753418, 0.08397478610277176, 0.08097393810749054, 0.0794815868139267, 0.07762525230646133, 0.07559289038181305, 0.07424232363700867, 0.07306171208620071, 0.07250956445932388, 0.07152160257101059, 0.07029429078102112, 0.06854882091283798, 0.06884271651506424, 0.06728504598140717, 0.06690414249897003, 0.06613830476999283, 0.06623200327157974, 0.06543261557817459, 0.06409960240125656, 0.06453008949756622, 0.06439358741044998, 0.06302205473184586, 0.06253084540367126, 0.06187080964446068, 0.062269702553749084, 0.06103610619902611, 0.06087827682495117, 0.05976158380508423, 0.05926939845085144, 0.0592714287340641, 0.058677539229393005, 0.05836120620369911, 0.058300700038671494, 0.058122362941503525, 0.057380083948373795, 0.057655055075883865, 0.05629448965191841, 0.055933043360710144, 0.056530170142650604, 0.05573512986302376, 0.05557004734873772, 0.05412236973643303, 0.054749056696891785, 0.054375309497117996, 0.053504109382629395, 0.053408920764923096, 0.05320942401885986, 0.0531616285443306, 0.05318605154752731, 0.053037069737911224, 0.05230801925063133, 0.0522269606590271, 0.051869556307792664, 0.05135306343436241, 0.05181141942739487, 0.05133366584777832, 0.05180857330560684, 0.05107199773192406, 0.051114220172166824, 0.050629254430532455, 0.05056526139378548, 0.050392311066389084, 0.050169721245765686, 0.0497358962893486, 0.04972189664840698, 0.04925542697310448, 0.04894191026687622, 0.04880889132618904, 0.048341963440179825, 0.04868760704994202, 0.048386380076408386, 0.04805179312825203, 0.047497186809778214, 0.047835007309913635, 0.047155216336250305, 0.04740360751748085, 0.04759538918733597, 0.04714371636509895, 0.046119559556245804, 0.04621583968400955, 0.04595441371202469, 0.04534279555082321, 0.04621917009353638, 0.04615344852209091, 0.04471626132726669, 0.04545164108276367, 0.04527582600712776, 0.04500337317585945, 0.04579165205359459, 0.04511569067835808, 0.04438566789031029, 0.044314123690128326, 0.04436825215816498, 0.044174086302518845, 0.044461414217948914, 0.043314531445503235, 0.04306293651461601, 0.04342154040932655, 0.042495232075452805, 0.04260201379656792, 0.04264597222208977, 0.04231822490692139, 0.0424870103597641, 0.04281868413090706, 0.04269589111208916, 0.04267498478293419, 0.04190291836857796, 0.0422186478972435, 0.04230187088251114, 0.041618380695581436, 0.04067301005125046, 0.0408131442964077, 0.04084676876664162, 0.04119274765253067, 0.041897814720869064, 0.04135870188474655, 0.04096249118447304, 0.040457338094711304, 0.04096828028559685, 0.039608340710401535, 0.04003116860985756, 0.03889762610197067, 0.0393090546131134, 0.040347661823034286, 0.03894100710749626, 0.038974568247795105, 0.039120614528656006, 0.0388188511133194, 0.03873953968286514, 0.038722798228263855, 0.03808091953396797, 0.0381326749920845, 0.03713684529066086, 0.037669114768505096, 0.037831276655197144, 0.03776736930012703, 0.03803900629281998, 0.0380847230553627, 0.03754002973437309, 0.0376083143055439, 0.03816387429833412, 0.037351518869400024, 0.03632058575749397, 0.03631264343857765, 0.03680857643485069, 0.036175332963466644, 0.0368131585419178, 0.03656971827149391, 0.036129679530858994, 0.036361802369356155, 0.036637015640735626, 0.035718757659196854, 0.03644563630223274, 0.03620383143424988, 0.03565368428826332, 0.03594795987010002, 0.03585495799779892, 0.03634541481733322, 0.034728411585092545, 0.03563521057367325, 0.035341568291187286, 0.0354544036090374, 0.03534039855003357, 0.03515048697590828, 0.035429488867521286, 0.0343373566865921, 0.034049853682518005, 0.03424279764294624, 0.03532569482922554, 0.03377031534910202, 0.03445493429899216, 0.0332602821290493, 0.033721666783094406, 0.03249608352780342, 0.03263815864920616]</v>
      </c>
    </row>
    <row r="26">
      <c r="A26" s="1" t="s">
        <v>776</v>
      </c>
      <c r="B26" s="2" t="str">
        <f>Sheet1!N6</f>
        <v>Training Loss: [0.213677316904068, 0.12567344307899475, 0.10938823968172073, 0.10100826621055603, 0.09567932039499283, 0.09153081476688385, 0.08837555348873138, 0.08590283244848251, 0.08471646904945374, 0.08172744512557983, 0.08102639019489288, 0.07814501225948334, 0.07702331244945526, 0.07602331042289734, 0.07527145743370056, 0.07424382120370865, 0.07286863774061203, 0.0713830292224884, 0.07104724645614624, 0.06976093351840973, 0.06969525665044785, 0.06851273030042648, 0.06727959215641022, 0.06681399047374725, 0.06577030569314957, 0.06527630239725113, 0.06544949114322662, 0.0644916445016861, 0.06322828680276871, 0.06303049623966217, 0.06170244887471199, 0.061901215463876724, 0.06099407374858856, 0.06040116772055626, 0.06046721711754799, 0.059836357831954956, 0.05944494530558586, 0.05940384790301323, 0.05841453745961189, 0.057875312864780426, 0.05739341676235199, 0.057747699320316315, 0.05708613991737366, 0.05725354328751564, 0.05599958077073097, 0.05543642118573189, 0.05511440336704254, 0.054549213498830795, 0.054324615746736526, 0.054617974907159805, 0.0531732551753521, 0.05249009281396866, 0.05228296294808388, 0.05225773900747299, 0.05209054425358772, 0.05151475593447685, 0.051584772765636444, 0.05149750038981438, 0.05131327360868454, 0.05095447599887848, 0.04999786615371704, 0.050182145088911057, 0.04922260716557503, 0.049168456345796585, 0.050046518445014954, 0.0491427443921566, 0.04950759932398796, 0.04831240326166153, 0.0480230338871479, 0.047690775245428085, 0.04799279570579529, 0.046961892396211624, 0.047220416367053986, 0.04633517935872078, 0.04573279991745949, 0.04652359336614609, 0.04596386477351189, 0.045444123446941376, 0.0461043044924736, 0.04487057402729988, 0.04511024057865143, 0.044525496661663055, 0.04503694921731949, 0.04440983757376671, 0.043918266892433167, 0.04348086193203926, 0.044455185532569885, 0.043424781411886215, 0.043059322983026505, 0.04292207583785057, 0.04233117401599884, 0.04308687523007393, 0.04218614101409912, 0.04258120059967041, 0.04186902195215225, 0.041846778243780136, 0.04198149964213371, 0.04189387336373329, 0.04118121787905693, 0.040901314467191696, 0.0407240092754364, 0.041413769125938416, 0.04061604663729668, 0.03987783193588257, 0.0396013967692852, 0.03934330493211746, 0.039824437350034714, 0.03932883217930794, 0.03950262814760208, 0.03916815295815468, 0.03872188925743103, 0.038830872625112534, 0.03904099389910698, 0.03820901736617088, 0.03941069170832634, 0.03813953697681427, 0.038737740367650986, 0.0385880172252655, 0.03772406280040741, 0.03725932911038399, 0.038580868393182755, 0.03724268823862076, 0.03701026737689972, 0.03634949401021004, 0.03613724187016487, 0.036226335912942886, 0.03573279082775116, 0.036325011402368546, 0.03606105223298073, 0.03555988147854805, 0.03566537797451019, 0.03613763302564621, 0.03600266948342323, 0.03527809679508209, 0.03526676818728447, 0.035686951130628586, 0.03448069840669632, 0.03548640385270119, 0.03550583869218826, 0.03505466878414154, 0.03402778133749962, 0.03416048362851143, 0.03361954167485237, 0.03351583331823349, 0.03324881196022034, 0.03378969430923462, 0.03387048467993736, 0.03404431790113449, 0.0339987650513649, 0.03429972752928734, 0.033101823180913925, 0.033409420400857925, 0.032504379749298096, 0.03319712355732918, 0.0327608585357666, 0.03197460621595383, 0.03291875123977661, 0.03180214390158653, 0.03197493031620979, 0.03218373283743858, 0.032294221222400665, 0.031654469668865204, 0.03190828487277031, 0.031138652935624123, 0.03181086853146553, 0.03092106059193611, 0.03170813247561455, 0.03182772174477577, 0.030498193576931953, 0.031212789937853813, 0.031226107850670815, 0.029947545379400253, 0.03040802665054798, 0.030287547037005424, 0.030026456341147423, 0.029926588758826256, 0.029522977769374847, 0.029509902000427246, 0.029802115634083748, 0.029263515025377274, 0.02873421087861061, 0.02874632738530636, 0.02978399768471718, 0.029537443071603775, 0.028536777943372726, 0.029592186212539673, 0.030052069574594498, 0.028541941195726395, 0.028889305889606476, 0.028930312022566795, 0.02831694856286049, 0.02865195833146572]</v>
      </c>
    </row>
    <row r="29">
      <c r="A29" s="1" t="s">
        <v>790</v>
      </c>
      <c r="B29" s="2" t="str">
        <f>Sheet1!I7</f>
        <v>Training Accuracy: [0.8854480385780334, 0.9292831420898438, 0.9491875767707825, 0.9597550630569458, 0.963249683380127, 0.9651493430137634, 0.9668040871620178, 0.9679331183433533, 0.9693966507911682, 0.9703046679496765, 0.9707765579223633, 0.9714576005935669, 0.971935510635376, 0.9726582765579224, 0.9727060794830322, 0.973082423210144, 0.9735722541809082, 0.9737036824226379, 0.9743189811706543, 0.9751135110855103, 0.9746654629707336, 0.9750836491584778, 0.9754599928855896, 0.9756152629852295, 0.976051390171051, 0.9762783646583557, 0.9768697619438171, 0.9768697619438171, 0.9769832491874695, 0.9769713282585144, 0.9775508046150208, 0.9779748916625977, 0.9779151678085327, 0.9778673648834229, 0.9787275791168213, 0.9784468412399292, 0.9786678552627563, 0.9790024161338806, 0.9788709878921509, 0.9794145822525024, 0.9792831540107727, 0.979862630367279, 0.9800776839256287, 0.9800836443901062, 0.9800358414649963, 0.980262815952301, 0.980262815952301, 0.9805495738983154, 0.9810095429420471, 0.9810155034065247, 0.9810095429420471, 0.9812484979629517, 0.981057345867157, 0.9814277291297913, 0.9814456105232239, 0.9814575910568237, 0.9810872077941895, 0.9816965460777283, 0.981326162815094, 0.9818159937858582, 0.9818578362464905, 0.9823417067527771, 0.9820609092712402, 0.982461154460907, 0.982425332069397, 0.982998788356781, 0.9832377433776855, 0.9834229350090027, 0.9832556843757629, 0.9835842251777649, 0.9834229350090027, 0.9830525517463684, 0.983500599861145, 0.983500599861145, 0.9839904308319092, 0.9838590025901794, 0.9843189716339111, 0.9840143322944641, 0.9843548536300659, 0.9845340251922607, 0.9845280647277832, 0.9844922423362732, 0.984832763671875, 0.9844384789466858, 0.9851254224777222, 0.984695315361023, 0.9850298762321472, 0.9853285551071167, 0.9847849607467651, 0.9850417971611023, 0.9853524565696716, 0.9847610592842102, 0.9852927327156067, 0.985501766204834, 0.9854719042778015, 0.9856451749801636, 0.9860155582427979, 0.9853345155715942, 0.985734760761261, 0.9864217638969421, 0.9862484931945801, 0.9861111044883728, 0.9864157438278198, 0.9865531921386719, 0.986505389213562, 0.9866129159927368, 0.9866607189178467, 0.9861230850219727, 0.9864635467529297, 0.9869952201843262, 0.9864755272865295, 0.9868518710136414, 0.9870848059654236, 0.9871326088905334, 0.9866427779197693, 0.986869752407074, 0.9869295358657837, 0.9867861270904541, 0.9866307973861694, 0.9871505498886108, 0.9867861270904541, 0.9866487383842468, 0.9872282147407532, 0.988213837146759, 0.987407386302948, 0.9876105189323425, 0.9874432682991028, 0.9873656034469604, 0.9877120852470398, 0.9878076314926147, 0.9874312877655029, 0.9876284599304199, 0.9878255724906921, 0.987945020198822, 0.9878554344177246, 0.988142192363739, 0.9882676005363464, 0.9878435134887695, 0.9878435134887695, 0.9878494739532471, 0.9882198572158813]</v>
      </c>
    </row>
    <row r="30">
      <c r="A30" s="1" t="s">
        <v>791</v>
      </c>
      <c r="B30" s="2" t="str">
        <f>Sheet1!J7</f>
        <v>Training Accuracy: [0.9032377600669861, 0.9415233135223389, 0.9587335586547852, 0.9629808664321899, 0.9656093120574951, 0.9672759771347046, 0.968464732170105, 0.9689964056015015, 0.9697073101997375, 0.9710155129432678, 0.9717622399330139, 0.9723237752914429, 0.9729987978935242, 0.973142147064209, 0.9737036824226379, 0.9742891192436218, 0.9739247560501099, 0.9750537872314453, 0.9751851558685303, 0.9752867221832275, 0.9759976267814636, 0.9761051535606384, 0.9766786098480225, 0.9767981171607971, 0.9771983027458191, 0.9772819876670837, 0.977246105670929, 0.9783572554588318, 0.9780704975128174, 0.9786977171897888, 0.9786559343338013, 0.9791576862335205, 0.9789068102836609, 0.9784886240959167, 0.9788411259651184, 0.9792293906211853, 0.9792234301567078, 0.9796236753463745, 0.9796833992004395, 0.9802927374839783, 0.9798566102981567, 0.9803106188774109, 0.9803165793418884, 0.9807407259941101, 0.9803404808044434, 0.9811708331108093, 0.9809498190879822, 0.9809079766273499, 0.9810394048690796, 0.9816666841506958, 0.9816845655441284, 0.9817861318588257, 0.9815890192985535, 0.9816905856132507, 0.9822043180465698, 0.9820131659507751, 0.9820609092712402, 0.9821505546569824, 0.982425332069397, 0.9826523065567017, 0.9824970364570618, 0.9821505546569824, 0.9826403856277466, 0.982962965965271, 0.9828554391860962, 0.9832019209861755, 0.9834049940109253, 0.9832736253738403, 0.9830943942070007, 0.9834468364715576, 0.9836081266403198, 0.9836618900299072, 0.9836678504943848, 0.9836798310279846, 0.9842771887779236, 0.9842174649238586, 0.9846296310424805, 0.9844503998756409, 0.9840083718299866, 0.9845221042633057, 0.9842054843902588, 0.9845877885818481, 0.9845818281173706, 0.98492830991745, 0.9848387241363525, 0.9848984479904175, 0.9852747917175293, 0.9852628707885742, 0.9852210283279419, 0.9851493239402771, 0.9855555295944214, 0.9854241609573364, 0.985232949256897, 0.9854241609573364, 0.9855316877365112, 0.9853942394256592, 0.9860095381736755, 0.9861887693405151, 0.9855734705924988, 0.9861947298049927, 0.9858243465423584]</v>
      </c>
    </row>
    <row r="31">
      <c r="A31" s="1" t="s">
        <v>792</v>
      </c>
      <c r="B31" s="5" t="str">
        <f>Sheet1!K7</f>
        <v>Training Accuracy: [0.8974611759185791, 0.92580646276474, 0.9327419400215149, 0.9452807903289795, 0.9591875672340393, 0.9644982218742371, 0.9663202166557312, 0.9673954844474792, 0.9683213829994202, 0.9689844846725464, 0.9696654677391052, 0.9705137610435486, 0.9719593524932861, 0.97247314453125, 0.972837507724762, 0.9732138514518738, 0.9740681052207947, 0.9741875529289246, 0.9743966460227966, 0.9747909307479858, 0.9748864769935608, 0.9753763675689697, 0.9754301309585571, 0.9756989479064941, 0.9759916663169861, 0.9761409759521484, 0.9767981171607971, 0.9767920970916748, 0.9771027565002441, 0.9770549535751343, 0.9775508046150208, 0.9774372577667236, 0.9781242609024048, 0.9776583313941956, 0.9775508046150208, 0.9781183004379272, 0.9781242609024048, 0.9783810973167419, 0.9789068102836609, 0.9788769483566284, 0.9792532920837402, 0.979115903377533, 0.9791457653045654, 0.979396641254425, 0.9794802665710449, 0.9794982075691223, 0.9796355962753296, 0.9802389740943909, 0.9800716638565063, 0.9799641370773315, 0.9800657033920288, 0.9804241061210632, 0.9808064699172974, 0.9811230301856995, 0.9809438586235046, 0.9813918471336365, 0.9809378981590271, 0.9814695119857788, 0.9814635515213013, 0.9814097881317139, 0.9821445345878601, 0.9820489883422852, 0.9822819828987122, 0.9822341799736023, 0.9823954701423645, 0.9822043180465698, 0.9825686812400818, 0.9825925827026367, 0.982962965965271, 0.9824910163879395, 0.9826284050941467, 0.9826105237007141, 0.9829151630401611, 0.9834468364715576, 0.9832736253738403, 0.9832855463027954, 0.9834946393966675, 0.9833871126174927, 0.9835185408592224, 0.9833811521530151, 0.983805239200592, 0.9833572506904602, 0.983500599861145, 0.9839844703674316, 0.9841457605361938, 0.9840680956840515, 0.9845280647277832, 0.9841517210006714, 0.9844623804092407, 0.9846774339675903, 0.9843548536300659, 0.9846415519714355, 0.984635591506958, 0.984832763671875, 0.9850239157676697, 0.9849581718444824, 0.98492830991745, 0.9848626255989075, 0.9853584170341492, 0.9847790002822876, 0.9851672649383545, 0.984868586063385, 0.9854002594947815, 0.9853225946426392, 0.9855256676673889, 0.9854719042778015, 0.986039400100708, 0.9854958057403564, 0.9856809973716736, 0.9857407212257385, 0.9857885241508484, 0.9858124256134033, 0.9863381385803223, 0.9861708283424377, 0.9857168197631836, 0.9862484931945801, 0.9863022565841675, 0.9866546988487244, 0.9867204427719116, 0.9862903356552124, 0.9866188764572144, 0.9865232706069946, 0.9870489835739136, 0.9870011806488037, 0.9864755272865295, 0.9871087074279785, 0.9867861270904541, 0.986833930015564, 0.9873178005218506, 0.9873297214508057, 0.987078845500946, 0.9873237609863281]</v>
      </c>
    </row>
    <row r="32">
      <c r="A32" s="1" t="s">
        <v>793</v>
      </c>
      <c r="B32" s="2" t="str">
        <f>Sheet1!L7</f>
        <v>Training Accuracy: [0.9261887669563293, 0.9574970006942749, 0.9626105427742004, 0.966230571269989, 0.9680107235908508, 0.9695937633514404, 0.9702090620994568, 0.9709259271621704, 0.9716606736183167, 0.9723715782165527, 0.9729151725769043, 0.9734647274017334, 0.9736021757125854, 0.9738829135894775, 0.9747909307479858, 0.9743906855583191, 0.9756272435188293, 0.9755973815917969, 0.9761290550231934, 0.9760155081748962, 0.9762544631958008, 0.9764097929000854, 0.9768159985542297, 0.977514922618866, 0.9771206974983215, 0.9778315424919128, 0.9779689311981201, 0.977783739566803, 0.9781003594398499, 0.9777957201004028, 0.9782377481460571, 0.9785245060920715, 0.9789127707481384, 0.979056179523468, 0.9795758724212646, 0.9795280694961548, 0.97945636510849, 0.9799044132232666, 0.9798566102981567, 0.9800537824630737, 0.9805436134338379, 0.9804002642631531, 0.9804360866546631, 0.980555534362793, 0.9811170697212219, 0.9813022613525391, 0.9815113544464111, 0.9815113544464111, 0.9814874529838562, 0.9816905856132507, 0.981654703617096, 0.9818040728569031, 0.9821027517318726, 0.9822700023651123, 0.9823417067527771, 0.9824073910713196, 0.982962965965271, 0.9825627207756042, 0.9831361770629883, 0.9830764532089233, 0.9831780195236206, 0.9835484027862549, 0.9836499691009521, 0.983536422252655, 0.984026312828064, 0.9841876029968262, 0.9836857914924622, 0.9836081266403198, 0.983757495880127, 0.9840680956840515, 0.9844623804092407, 0.9845340251922607, 0.984635591506958, 0.9845041632652283, 0.9847431182861328, 0.9847311973571777, 0.9841517210006714, 0.9844564199447632, 0.985232949256897, 0.9849940538406372, 0.9853584170341492, 0.9852210283279419, 0.9857885241508484, 0.9850119352340698, 0.9850239157676697, 0.9854599833488464, 0.9855914115905762, 0.9855436086654663, 0.9854480028152466, 0.9853404760360718, 0.9857527017593384, 0.9858661890029907, 0.9863919019699097, 0.9861828088760376, 0.9862664341926575, 0.9863201975822449, 0.986577033996582, 0.9862664341926575, 0.9868040680885315, 0.9866368174552917, 0.9866129159927368, 0.9869593977928162, 0.9864635467529297, 0.9865949749946594, 0.9868398904800415, 0.9871863722801208, 0.9873596429824829, 0.9866965413093567, 0.9871087074279785, 0.9869533777236938, 0.9873476624488831, 0.9873058795928955, 0.9874910116195679, 0.9873656034469604, 0.9874312877655029, 0.9877240061759949, 0.9878912568092346, 0.9879032373428345, 0.9878196120262146, 0.9876344203948975, 0.9878613948822021, 0.9877598285675049, 0.987909197807312, 0.9879510402679443, 0.9883034825325012]</v>
      </c>
    </row>
    <row r="33">
      <c r="A33" s="1" t="s">
        <v>794</v>
      </c>
      <c r="B33" s="2" t="str">
        <f>Sheet1!M7</f>
        <v>Training Accuracy: [0.8894743323326111, 0.9313918948173523, 0.9405734539031982, 0.9513500332832336, 0.9608900547027588, 0.9648327231407166, 0.9659677147865295, 0.9671624898910522, 0.9677359461784363, 0.9688172340393066, 0.9693847298622131, 0.9704778790473938, 0.9706152677536011, 0.9715292453765869, 0.9718279838562012, 0.9721027612686157, 0.9726881980895996, 0.9732676148414612, 0.9736140966415405, 0.9739785194396973, 0.97391277551651, 0.9741995334625244, 0.9743548631668091, 0.9744922518730164, 0.9750537872314453, 0.9754539728164673, 0.9753524661064148, 0.9754898548126221, 0.9754539728164673, 0.9759557843208313, 0.976415753364563, 0.9762126803398132, 0.9767562747001648, 0.9766726493835449, 0.9769294857978821, 0.9772580862045288, 0.9772401452064514, 0.977419376373291, 0.9776105284690857, 0.9778434634208679, 0.9774671196937561, 0.9780406355857849, 0.9782915115356445, 0.9781899452209473, 0.9786021709442139, 0.9784289002418518, 0.9785842299461365, 0.9786917567253113, 0.9792592525482178, 0.978787362575531, 0.9794265031814575, 0.9797132611274719, 0.9796236753463745, 0.9795699119567871, 0.9797610640525818, 0.9795101284980774, 0.9795101284980774, 0.9797670245170593, 0.9801672697067261, 0.9802030920982361, 0.9805137515068054, 0.9802986979484558, 0.980495810508728, 0.9802090525627136, 0.980519711971283, 0.9805137515068054, 0.9809438586235046, 0.98075270652771, 0.9809617400169373, 0.9810095429420471, 0.9811230301856995, 0.9813202023506165, 0.9815232753753662, 0.9818040728569031, 0.9818040728569031, 0.9819594025611877, 0.9816188812255859, 0.9814814925193787, 0.981923520565033, 0.9818578362464905, 0.9819474220275879, 0.9825208783149719, 0.982401430606842, 0.9821505546569824, 0.9820848107337952, 0.9827837347984314, 0.9827479124069214, 0.9829868674278259, 0.9829570055007935, 0.9825328588485718, 0.9828315377235413, 0.9832377433776855, 0.9830764532089233, 0.9832556843757629, 0.9832497239112854, 0.9825089573860168, 0.9829092025756836, 0.9834707379341125, 0.9831541180610657, 0.9835543632507324, 0.9835125207901001, 0.9838470816612244, 0.9840202927589417, 0.984295129776001, 0.983769416809082, 0.9843369126319885, 0.9843130111694336, 0.984295129776001, 0.9845579266548157, 0.984307050704956, 0.9839785099029541, 0.9841935634613037, 0.9845041632652283, 0.9846296310424805, 0.984330952167511, 0.9844683408737183, 0.984599769115448, 0.9850358366966248, 0.9850298762321472, 0.9849462509155273, 0.9849940538406372, 0.984599769115448, 0.9846116900444031, 0.9848148226737976, 0.985173225402832, 0.9849342703819275, 0.9850478172302246, 0.9850955605506897, 0.9857825636863708, 0.9857944846153259, 0.9852269887924194, 0.9859318733215332, 0.9858781099319458, 0.9855555295944214, 0.985675036907196, 0.9858542680740356, 0.9858781099319458, 0.9860573410987854, 0.9861529469490051, 0.9864336848258972, 0.9861887693405151, 0.9862067103385925, 0.9860991835594177, 0.9860693216323853, 0.9862783551216125, 0.9862604737281799, 0.9861887693405151, 0.9859199523925781, 0.9862783551216125, 0.9869056344032288, 0.9868518710136414, 0.9865113496780396, 0.9869354963302612, 0.9867264032363892, 0.986798107624054, 0.9869593977928162, 0.9867264032363892, 0.9867503046989441, 0.986845850944519, 0.9867025017738342, 0.986774206161499, 0.9867622256278992, 0.9868159890174866, 0.9869235157966614, 0.9869474172592163, 0.9875507950782776, 0.9872460961341858, 0.9873178005218506, 0.9872521162033081, 0.9869952201843262, 0.9873834848403931, 0.9870310425758362, 0.9875507950782776, 0.9878255724906921, 0.987604558467865, 0.9870011806488037, 0.9877598285675049, 0.9875686764717102, 0.9878255724906921, 0.9876583218574524, 0.9880585670471191, 0.9882915019989014]</v>
      </c>
    </row>
    <row r="34">
      <c r="A34" s="1" t="s">
        <v>795</v>
      </c>
      <c r="B34" s="2" t="str">
        <f>Sheet1!N7</f>
        <v>Training Accuracy: [0.9185125231742859, 0.9480406045913696, 0.955764651298523, 0.9590620994567871, 0.9612963199615479, 0.9630047678947449, 0.9642652273178101, 0.9654420614242554, 0.9658243656158447, 0.9668399095535278, 0.96696537733078, 0.9683273434638977, 0.9690143465995789, 0.9695878028869629, 0.969528079032898, 0.9699223637580872, 0.9706451892852783, 0.97110515832901, 0.9716188907623291, 0.9720968008041382, 0.9721565246582031, 0.9725269079208374, 0.9733871221542358, 0.9731839895248413, 0.9740083813667297, 0.9742114543914795, 0.9737873077392578, 0.9745519757270813, 0.9751791954040527, 0.9750597476959229, 0.9756511449813843, 0.9752508997917175, 0.9759438633918762, 0.9760095477104187, 0.9759079813957214, 0.9767681956291199, 0.9764993786811829, 0.9766308069229126, 0.9767681956291199, 0.9770430326461792, 0.9775985479354858, 0.9774073958396912, 0.977479100227356, 0.9774731397628784, 0.9778733849525452, 0.9776284098625183, 0.977957010269165, 0.9784049987792969, 0.9785961508750916, 0.9783154129981995, 0.9791218638420105, 0.979151725769043, 0.9794862866401672, 0.97942054271698, 0.9797073006629944, 0.9797849655151367, 0.9796116948127747, 0.9798745512962341, 0.9798984527587891, 0.9799163937568665, 0.9803106188774109, 0.9802927374839783, 0.9806092977523804, 0.980531632900238, 0.9805376529693604, 0.9807466864585876, 0.980495810508728, 0.9809557795524597, 0.9812544584274292, 0.9813799262046814, 0.9810752868652344, 0.9814277291297913, 0.9814516305923462, 0.9818757176399231, 0.9818518757820129, 0.981654703617096, 0.9819474220275879, 0.9821385741233826, 0.9819952249526978, 0.9826224446296692, 0.9824073910713196, 0.982670247554779, 0.9822759628295898, 0.9823178052902222, 0.9827001094818115, 0.9826523065567017, 0.9825985431671143, 0.9828374981880188, 0.9828912615776062, 0.9831541180610657, 0.9832855463027954, 0.9829092025756836, 0.9833930730819702, 0.9833632111549377, 0.9837096929550171, 0.9836738109588623, 0.9834349155426025, 0.9838112592697144, 0.9841099381446838, 0.9840800762176514, 0.9843369126319885, 0.984002411365509, 0.9840441942214966, 0.9843727350234985, 0.9845699071884155, 0.9845161437988281, 0.9843727350234985, 0.9845221042633057, 0.9847909212112427, 0.984832763671875, 0.9850298762321472, 0.9848805069923401, 0.9848984479904175, 0.9853942394256592, 0.9847968816757202, 0.9849940538406372, 0.9850298762321472, 0.9852449297904968, 0.9853942394256592, 0.9854181408882141, 0.9854181408882141, 0.9858661890029907, 0.985734760761261, 0.9858781099319458, 0.9860095381736755, 0.9862067103385925, 0.986003577709198, 0.9860215187072754, 0.9858482480049133, 0.9864814877510071, 0.9859438538551331, 0.9860633015632629, 0.9859916567802429, 0.9862783551216125, 0.9861290454864502, 0.9864575862884521, 0.9868936538696289, 0.9863440990447998, 0.9859557747840881, 0.9864217638969421, 0.9868876934051514, 0.9867025017738342, 0.9870310425758362, 0.9868757724761963, 0.9871266484260559, 0.9868817329406738, 0.986869752407074, 0.9870250821113586, 0.9869354963302612, 0.9866546988487244, 0.987311840057373, 0.9871684312820435, 0.987371563911438, 0.9869533777236938, 0.9873058795928955, 0.9875149130821228, 0.9872998595237732, 0.9875447750091553, 0.9877180457115173, 0.9875985383987427, 0.9875209331512451, 0.9878554344177246, 0.9876463413238525, 0.9879330992698669, 0.9877060651779175, 0.9880585670471191, 0.9879271388053894, 0.9875507950782776, 0.988178014755249, 0.9879330992698669, 0.9880048036575317, 0.9882915019989014, 0.9882736206054688, 0.9882915019989014, 0.9883990287780762, 0.9887216091156006, 0.9888470768928528, 0.9888589978218079, 0.9883751273155212, 0.9887694120407104, 0.9888828992843628, 0.9889785051345825, 0.9883871078491211, 0.9888709783554077, 0.9889963865280151, 0.9887216091156006, 0.9886439442634583, 0.9890800714492798, 0.9890143275260925, 0.9889068007469177, 0.9892114400863647, 0.9891338348388672]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3" width="10.75"/>
    <col customWidth="1" min="12" max="12" width="18.38"/>
    <col customWidth="1" min="13" max="13" width="8.75"/>
    <col customWidth="1" min="14" max="14" width="6.88"/>
    <col customWidth="1" min="15" max="15" width="8.75"/>
    <col customWidth="1" min="16" max="16" width="6.88"/>
    <col customWidth="1" min="17" max="18" width="8.13"/>
    <col customWidth="1" min="19" max="20" width="10.13"/>
    <col customWidth="1" min="21" max="21" width="9.63"/>
  </cols>
  <sheetData>
    <row r="1">
      <c r="A1" s="1" t="s">
        <v>796</v>
      </c>
      <c r="B1" s="1">
        <v>186000.0</v>
      </c>
      <c r="C1" s="1"/>
      <c r="D1" s="1"/>
      <c r="E1" s="1"/>
      <c r="F1" s="1"/>
      <c r="G1" s="1"/>
      <c r="H1" s="1"/>
      <c r="I1" s="1"/>
      <c r="J1" s="1"/>
    </row>
    <row r="2">
      <c r="A2" s="1" t="s">
        <v>797</v>
      </c>
      <c r="B2" s="1" t="s">
        <v>798</v>
      </c>
      <c r="C2" s="1" t="s">
        <v>799</v>
      </c>
      <c r="D2" s="1" t="s">
        <v>800</v>
      </c>
      <c r="E2" s="1" t="s">
        <v>801</v>
      </c>
      <c r="F2" s="1" t="s">
        <v>802</v>
      </c>
      <c r="G2" s="1" t="s">
        <v>803</v>
      </c>
      <c r="H2" s="1" t="s">
        <v>804</v>
      </c>
      <c r="I2" s="1" t="s">
        <v>805</v>
      </c>
      <c r="J2" s="1" t="s">
        <v>806</v>
      </c>
      <c r="L2" s="1" t="s">
        <v>796</v>
      </c>
      <c r="M2" s="1">
        <f>B1/20</f>
        <v>9300</v>
      </c>
      <c r="N2" s="1"/>
      <c r="O2" s="1"/>
      <c r="P2" s="1"/>
      <c r="Q2" s="1"/>
      <c r="R2" s="1"/>
      <c r="S2" s="1"/>
      <c r="T2" s="1"/>
      <c r="U2" s="1"/>
    </row>
    <row r="3">
      <c r="A3" s="1" t="s">
        <v>807</v>
      </c>
      <c r="B3" s="1">
        <v>13.0270829200744</v>
      </c>
      <c r="C3" s="1">
        <v>16.3361046314239</v>
      </c>
      <c r="D3" s="1">
        <v>9.43492889404296</v>
      </c>
      <c r="E3" s="1">
        <v>10.8208236694335</v>
      </c>
      <c r="F3" s="1">
        <v>13.9134013652801</v>
      </c>
      <c r="G3" s="1">
        <v>17.182566165924</v>
      </c>
      <c r="H3" s="1">
        <v>14.0964987277984</v>
      </c>
      <c r="I3" s="1">
        <v>14.6387176513671</v>
      </c>
      <c r="J3" s="1">
        <v>13.9547991752624</v>
      </c>
      <c r="L3" s="6"/>
      <c r="M3" s="7" t="s">
        <v>798</v>
      </c>
      <c r="N3" s="7" t="s">
        <v>799</v>
      </c>
      <c r="O3" s="7" t="s">
        <v>800</v>
      </c>
      <c r="P3" s="7" t="s">
        <v>801</v>
      </c>
      <c r="Q3" s="7" t="s">
        <v>802</v>
      </c>
      <c r="R3" s="7" t="s">
        <v>803</v>
      </c>
      <c r="S3" s="7" t="s">
        <v>804</v>
      </c>
      <c r="T3" s="7" t="s">
        <v>805</v>
      </c>
      <c r="U3" s="7" t="s">
        <v>806</v>
      </c>
    </row>
    <row r="4">
      <c r="A4" s="1" t="s">
        <v>808</v>
      </c>
      <c r="B4" s="1">
        <v>5.92</v>
      </c>
      <c r="C4" s="1">
        <v>5.31</v>
      </c>
      <c r="D4" s="1">
        <v>6.75</v>
      </c>
      <c r="E4" s="1">
        <v>6.59</v>
      </c>
      <c r="F4" s="1">
        <v>3.72</v>
      </c>
      <c r="G4" s="1">
        <v>4.35</v>
      </c>
      <c r="H4" s="1">
        <v>5.28</v>
      </c>
      <c r="I4" s="1">
        <v>6.28</v>
      </c>
      <c r="J4" s="8">
        <v>7.2</v>
      </c>
      <c r="L4" s="7" t="s">
        <v>809</v>
      </c>
      <c r="M4" s="9">
        <f t="shared" ref="M4:U4" si="1">B3/20</f>
        <v>0.651354146</v>
      </c>
      <c r="N4" s="9">
        <f t="shared" si="1"/>
        <v>0.8168052316</v>
      </c>
      <c r="O4" s="9">
        <f t="shared" si="1"/>
        <v>0.4717464447</v>
      </c>
      <c r="P4" s="9">
        <f t="shared" si="1"/>
        <v>0.5410411835</v>
      </c>
      <c r="Q4" s="9">
        <f t="shared" si="1"/>
        <v>0.6956700683</v>
      </c>
      <c r="R4" s="9">
        <f t="shared" si="1"/>
        <v>0.8591283083</v>
      </c>
      <c r="S4" s="9">
        <f t="shared" si="1"/>
        <v>0.7048249364</v>
      </c>
      <c r="T4" s="9">
        <f t="shared" si="1"/>
        <v>0.7319358826</v>
      </c>
      <c r="U4" s="9">
        <f t="shared" si="1"/>
        <v>0.6977399588</v>
      </c>
    </row>
    <row r="5">
      <c r="A5" s="1" t="s">
        <v>810</v>
      </c>
      <c r="B5" s="1">
        <v>575812.0</v>
      </c>
      <c r="C5" s="1">
        <v>573436.0</v>
      </c>
      <c r="D5" s="1">
        <v>643904.0</v>
      </c>
      <c r="E5" s="1">
        <v>609804.0</v>
      </c>
      <c r="F5" s="1">
        <v>595112.0</v>
      </c>
      <c r="G5" s="1">
        <v>653968.0</v>
      </c>
      <c r="H5" s="1">
        <v>594276.0</v>
      </c>
      <c r="I5" s="1">
        <v>622308.0</v>
      </c>
      <c r="J5" s="1">
        <v>641460.0</v>
      </c>
      <c r="L5" s="7" t="s">
        <v>811</v>
      </c>
      <c r="M5" s="9">
        <f t="shared" ref="M5:U5" si="2">B4/20</f>
        <v>0.296</v>
      </c>
      <c r="N5" s="9">
        <f t="shared" si="2"/>
        <v>0.2655</v>
      </c>
      <c r="O5" s="9">
        <f t="shared" si="2"/>
        <v>0.3375</v>
      </c>
      <c r="P5" s="9">
        <f t="shared" si="2"/>
        <v>0.3295</v>
      </c>
      <c r="Q5" s="9">
        <f t="shared" si="2"/>
        <v>0.186</v>
      </c>
      <c r="R5" s="9">
        <f t="shared" si="2"/>
        <v>0.2175</v>
      </c>
      <c r="S5" s="9">
        <f t="shared" si="2"/>
        <v>0.264</v>
      </c>
      <c r="T5" s="9">
        <f t="shared" si="2"/>
        <v>0.314</v>
      </c>
      <c r="U5" s="9">
        <f t="shared" si="2"/>
        <v>0.36</v>
      </c>
    </row>
    <row r="6">
      <c r="A6" s="1" t="s">
        <v>812</v>
      </c>
      <c r="B6" s="1">
        <v>407708.0</v>
      </c>
      <c r="C6" s="1">
        <v>404108.0</v>
      </c>
      <c r="D6" s="1">
        <v>473632.0</v>
      </c>
      <c r="E6" s="1">
        <v>442068.0</v>
      </c>
      <c r="F6" s="1">
        <v>425528.0</v>
      </c>
      <c r="G6" s="1">
        <v>483300.0</v>
      </c>
      <c r="H6" s="1">
        <v>415060.0</v>
      </c>
      <c r="I6" s="1">
        <v>455036.0</v>
      </c>
      <c r="J6" s="1">
        <v>472676.0</v>
      </c>
      <c r="L6" s="7" t="s">
        <v>813</v>
      </c>
      <c r="M6" s="9">
        <f t="shared" ref="M6:U6" si="3">(B5/( 20 *1024))</f>
        <v>28.11582031</v>
      </c>
      <c r="N6" s="9">
        <f t="shared" si="3"/>
        <v>27.99980469</v>
      </c>
      <c r="O6" s="9">
        <f t="shared" si="3"/>
        <v>31.440625</v>
      </c>
      <c r="P6" s="9">
        <f t="shared" si="3"/>
        <v>29.77558594</v>
      </c>
      <c r="Q6" s="9">
        <f t="shared" si="3"/>
        <v>29.05820313</v>
      </c>
      <c r="R6" s="9">
        <f t="shared" si="3"/>
        <v>31.93203125</v>
      </c>
      <c r="S6" s="9">
        <f t="shared" si="3"/>
        <v>29.01738281</v>
      </c>
      <c r="T6" s="9">
        <f t="shared" si="3"/>
        <v>30.38613281</v>
      </c>
      <c r="U6" s="9">
        <f t="shared" si="3"/>
        <v>31.32128906</v>
      </c>
    </row>
    <row r="7">
      <c r="L7" s="7" t="s">
        <v>814</v>
      </c>
      <c r="M7" s="9">
        <f t="shared" ref="M7:U7" si="4">(B6/( 20 *1024))</f>
        <v>19.90761719</v>
      </c>
      <c r="N7" s="9">
        <f t="shared" si="4"/>
        <v>19.73183594</v>
      </c>
      <c r="O7" s="9">
        <f t="shared" si="4"/>
        <v>23.1265625</v>
      </c>
      <c r="P7" s="9">
        <f t="shared" si="4"/>
        <v>21.58535156</v>
      </c>
      <c r="Q7" s="9">
        <f t="shared" si="4"/>
        <v>20.77773438</v>
      </c>
      <c r="R7" s="9">
        <f t="shared" si="4"/>
        <v>23.59863281</v>
      </c>
      <c r="S7" s="9">
        <f t="shared" si="4"/>
        <v>20.26660156</v>
      </c>
      <c r="T7" s="9">
        <f t="shared" si="4"/>
        <v>22.21855469</v>
      </c>
      <c r="U7" s="9">
        <f t="shared" si="4"/>
        <v>23.07988281</v>
      </c>
    </row>
    <row r="8">
      <c r="L8" s="7" t="s">
        <v>815</v>
      </c>
      <c r="M8" s="7">
        <v>110.0</v>
      </c>
      <c r="N8" s="7">
        <v>648.0</v>
      </c>
      <c r="O8" s="7">
        <v>190.0</v>
      </c>
      <c r="P8" s="7">
        <v>708.0</v>
      </c>
      <c r="Q8" s="7">
        <v>794.0</v>
      </c>
      <c r="R8" s="7">
        <v>794.0</v>
      </c>
      <c r="S8" s="7">
        <v>788.0</v>
      </c>
      <c r="T8" s="7">
        <v>1086.0</v>
      </c>
      <c r="U8" s="7">
        <v>968.0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1" t="s">
        <v>816</v>
      </c>
      <c r="B2" s="2" t="str">
        <f>Sheet1!O1</f>
        <v>Shallow_20 </v>
      </c>
      <c r="C2" s="2" t="str">
        <f>Sheet1!P1</f>
        <v>Deep_20 </v>
      </c>
      <c r="D2" s="2" t="str">
        <f>Sheet1!Q1</f>
        <v>WgtAv_20 </v>
      </c>
      <c r="E2" s="2" t="str">
        <f>Sheet1!R1</f>
        <v>Concat_20</v>
      </c>
      <c r="F2" s="2" t="str">
        <f>Sheet1!S1</f>
        <v>Minimum_20</v>
      </c>
      <c r="G2" s="2" t="str">
        <f>Sheet1!T1</f>
        <v>Maximum_20</v>
      </c>
      <c r="H2" s="2" t="str">
        <f>Sheet1!U1</f>
        <v>Multiply_20</v>
      </c>
      <c r="I2" s="2" t="str">
        <f>Sheet1!V1</f>
        <v>Subtract_20</v>
      </c>
      <c r="J2" s="2" t="str">
        <f>Sheet1!W1</f>
        <v>WgtAv_40 </v>
      </c>
      <c r="K2" s="2" t="str">
        <f>Sheet1!X1</f>
        <v>Concat_40 </v>
      </c>
      <c r="L2" s="2" t="str">
        <f>Sheet1!Y1</f>
        <v>Minimum_40</v>
      </c>
      <c r="M2" s="2" t="str">
        <f>Sheet1!Z1</f>
        <v>Maximum_40</v>
      </c>
      <c r="N2" s="2" t="str">
        <f>Sheet1!AA1</f>
        <v>Multiply_40</v>
      </c>
      <c r="O2" s="2" t="str">
        <f>Sheet1!AB1</f>
        <v>Subtract_40</v>
      </c>
    </row>
    <row r="3">
      <c r="A3" s="1" t="s">
        <v>817</v>
      </c>
      <c r="B3" s="2">
        <f>Sheet1!O12</f>
        <v>14</v>
      </c>
      <c r="C3" s="2">
        <f>Sheet1!P12</f>
        <v>128</v>
      </c>
      <c r="D3" s="2">
        <f>Sheet1!Q12</f>
        <v>217</v>
      </c>
      <c r="E3" s="2">
        <f>Sheet1!R12</f>
        <v>113</v>
      </c>
      <c r="F3" s="2">
        <f>Sheet1!S12</f>
        <v>142</v>
      </c>
      <c r="G3" s="2">
        <f>Sheet1!T12</f>
        <v>190</v>
      </c>
      <c r="H3" s="2">
        <f>Sheet1!U12</f>
        <v>165</v>
      </c>
      <c r="I3" s="2">
        <f>Sheet1!V12</f>
        <v>174</v>
      </c>
      <c r="J3" s="2">
        <f>Sheet1!W12</f>
        <v>90</v>
      </c>
      <c r="K3" s="2">
        <f>Sheet1!X12</f>
        <v>50</v>
      </c>
      <c r="L3" s="2">
        <f>Sheet1!Y12</f>
        <v>81</v>
      </c>
      <c r="M3" s="2">
        <f>Sheet1!Z12</f>
        <v>74</v>
      </c>
      <c r="N3" s="2">
        <f>Sheet1!AA12</f>
        <v>131</v>
      </c>
      <c r="O3" s="2">
        <f>Sheet1!AB12</f>
        <v>141</v>
      </c>
    </row>
    <row r="4">
      <c r="A4" s="1" t="s">
        <v>818</v>
      </c>
      <c r="B4" s="10">
        <f>Sheet1!O5/60</f>
        <v>7.276129417</v>
      </c>
      <c r="C4" s="10">
        <f>Sheet1!P5/60</f>
        <v>29.53637476</v>
      </c>
      <c r="D4" s="10">
        <f>Sheet1!Q5/60</f>
        <v>74.23068161</v>
      </c>
      <c r="E4" s="10">
        <f>Sheet1!R5/60</f>
        <v>40.88681656</v>
      </c>
      <c r="F4" s="10">
        <f>Sheet1!S5/60</f>
        <v>60.08654704</v>
      </c>
      <c r="G4" s="10">
        <f>Sheet1!T5/60</f>
        <v>48.7056941</v>
      </c>
      <c r="H4" s="10">
        <f>Sheet1!U5/60</f>
        <v>48.69397471</v>
      </c>
      <c r="I4" s="10">
        <f>Sheet1!V5/60</f>
        <v>71.89357049</v>
      </c>
      <c r="J4" s="10">
        <f>Sheet1!W5/60</f>
        <v>28.86167595</v>
      </c>
      <c r="K4" s="10">
        <f>Sheet1!X5/60</f>
        <v>18.90771868</v>
      </c>
      <c r="L4" s="10">
        <f>Sheet1!Y5/60</f>
        <v>24.88197827</v>
      </c>
      <c r="M4" s="10">
        <f>Sheet1!Z5/60</f>
        <v>38.25695733</v>
      </c>
      <c r="N4" s="10">
        <f>Sheet1!AA5/60</f>
        <v>57.80503337</v>
      </c>
      <c r="O4" s="10">
        <f>Sheet1!AB5/60</f>
        <v>70.18270434</v>
      </c>
      <c r="P4" s="2" t="str">
        <f>Sheet1!AC1</f>
        <v/>
      </c>
    </row>
    <row r="5">
      <c r="A5" s="11" t="s">
        <v>819</v>
      </c>
      <c r="B5" s="10">
        <f>Sheet1!O8</f>
        <v>0.1672222465</v>
      </c>
      <c r="C5" s="10">
        <f>Sheet1!P8</f>
        <v>0.1230661049</v>
      </c>
      <c r="D5" s="10">
        <f>Sheet1!Q8</f>
        <v>0.1237745062</v>
      </c>
      <c r="E5" s="10">
        <f>Sheet1!R8</f>
        <v>0.1255670041</v>
      </c>
      <c r="F5" s="10">
        <f>Sheet1!S8</f>
        <v>0.1290879846</v>
      </c>
      <c r="G5" s="10">
        <f>Sheet1!T8</f>
        <v>0.1262873113</v>
      </c>
      <c r="H5" s="10">
        <f>Sheet1!U8</f>
        <v>0.1264203042</v>
      </c>
      <c r="I5" s="10">
        <f>Sheet1!V8</f>
        <v>0.1286741942</v>
      </c>
      <c r="J5" s="10">
        <f>Sheet1!W8</f>
        <v>0.05402064323</v>
      </c>
      <c r="K5" s="10">
        <f>Sheet1!X8</f>
        <v>0.05256651714</v>
      </c>
      <c r="L5" s="10">
        <f>Sheet1!Y8</f>
        <v>0.05583661422</v>
      </c>
      <c r="M5" s="10">
        <f>Sheet1!Z8</f>
        <v>0.05383501574</v>
      </c>
      <c r="N5" s="10">
        <f>Sheet1!AA8</f>
        <v>0.05675575137</v>
      </c>
      <c r="O5" s="10">
        <f>Sheet1!AB8</f>
        <v>0.05791929737</v>
      </c>
      <c r="P5" s="2" t="str">
        <f>Sheet1!AC12</f>
        <v/>
      </c>
    </row>
    <row r="6">
      <c r="A6" s="12" t="s">
        <v>820</v>
      </c>
      <c r="B6" s="13">
        <f>Sheet1!O14</f>
        <v>0.9339784946</v>
      </c>
      <c r="C6" s="13">
        <f>Sheet1!P14</f>
        <v>0.9470967742</v>
      </c>
      <c r="D6" s="13">
        <f>Sheet1!Q14</f>
        <v>0.9479569892</v>
      </c>
      <c r="E6" s="13">
        <f>Sheet1!R14</f>
        <v>0.9477419355</v>
      </c>
      <c r="F6" s="13">
        <f>Sheet1!S14</f>
        <v>0.9468817204</v>
      </c>
      <c r="G6" s="13">
        <f>Sheet1!T14</f>
        <v>0.9512903226</v>
      </c>
      <c r="H6" s="13">
        <f>Sheet1!U14</f>
        <v>0.9467741935</v>
      </c>
      <c r="I6" s="13">
        <f>Sheet1!V14</f>
        <v>0.9490322581</v>
      </c>
      <c r="J6" s="13">
        <f>Sheet1!W14</f>
        <v>0.9807526882</v>
      </c>
      <c r="K6" s="13">
        <f>Sheet1!X14</f>
        <v>0.9817204301</v>
      </c>
      <c r="L6" s="13">
        <f>Sheet1!Y14</f>
        <v>0.9823655914</v>
      </c>
      <c r="M6" s="13">
        <f>Sheet1!Z14</f>
        <v>0.9822580645</v>
      </c>
      <c r="N6" s="13">
        <f>Sheet1!AA14</f>
        <v>0.9812903226</v>
      </c>
      <c r="O6" s="13">
        <f>Sheet1!AB14</f>
        <v>0.9806451613</v>
      </c>
      <c r="P6" s="10">
        <f>Sheet1!AC5/60</f>
        <v>0</v>
      </c>
    </row>
    <row r="7">
      <c r="A7" s="1" t="s">
        <v>821</v>
      </c>
      <c r="B7" s="10">
        <f>Sheet1!O15</f>
        <v>0.9542998649</v>
      </c>
      <c r="C7" s="10">
        <f>Sheet1!P15</f>
        <v>0.9651006711</v>
      </c>
      <c r="D7" s="10">
        <f>Sheet1!Q15</f>
        <v>0.9574000878</v>
      </c>
      <c r="E7" s="10">
        <f>Sheet1!R15</f>
        <v>0.9632843792</v>
      </c>
      <c r="F7" s="10">
        <f>Sheet1!S15</f>
        <v>0.9655017921</v>
      </c>
      <c r="G7" s="10">
        <f>Sheet1!T15</f>
        <v>0.9674760526</v>
      </c>
      <c r="H7" s="10">
        <f>Sheet1!U15</f>
        <v>0.9617692821</v>
      </c>
      <c r="I7" s="10">
        <f>Sheet1!V15</f>
        <v>0.9576939939</v>
      </c>
      <c r="J7" s="10">
        <f>Sheet1!W15</f>
        <v>0.9846087145</v>
      </c>
      <c r="K7" s="10">
        <f>Sheet1!X15</f>
        <v>0.9848484848</v>
      </c>
      <c r="L7" s="10">
        <f>Sheet1!Y15</f>
        <v>0.987396784</v>
      </c>
      <c r="M7" s="10">
        <f>Sheet1!Z15</f>
        <v>0.9844458846</v>
      </c>
      <c r="N7" s="10">
        <f>Sheet1!AA15</f>
        <v>0.9905743095</v>
      </c>
      <c r="O7" s="10">
        <f>Sheet1!AB15</f>
        <v>0.9816810345</v>
      </c>
      <c r="P7" s="14" t="str">
        <f>Sheet1!AC8</f>
        <v/>
      </c>
    </row>
    <row r="8">
      <c r="A8" s="1" t="s">
        <v>822</v>
      </c>
      <c r="B8" s="10">
        <f>Sheet1!O16</f>
        <v>0.9116129032</v>
      </c>
      <c r="C8" s="10">
        <f>Sheet1!P16</f>
        <v>0.9277419355</v>
      </c>
      <c r="D8" s="10">
        <f>Sheet1!Q16</f>
        <v>0.9376344086</v>
      </c>
      <c r="E8" s="10">
        <f>Sheet1!R16</f>
        <v>0.9309677419</v>
      </c>
      <c r="F8" s="10">
        <f>Sheet1!S16</f>
        <v>0.9268817204</v>
      </c>
      <c r="G8" s="10">
        <f>Sheet1!T16</f>
        <v>0.9339784946</v>
      </c>
      <c r="H8" s="10">
        <f>Sheet1!U16</f>
        <v>0.9305376344</v>
      </c>
      <c r="I8" s="10">
        <f>Sheet1!V16</f>
        <v>0.9395698925</v>
      </c>
      <c r="J8" s="10">
        <f>Sheet1!W16</f>
        <v>0.9767741935</v>
      </c>
      <c r="K8" s="10">
        <f>Sheet1!X16</f>
        <v>0.9784946237</v>
      </c>
      <c r="L8" s="10">
        <f>Sheet1!Y16</f>
        <v>0.9772043011</v>
      </c>
      <c r="M8" s="10">
        <f>Sheet1!Z16</f>
        <v>0.98</v>
      </c>
      <c r="N8" s="10">
        <f>Sheet1!AA16</f>
        <v>0.971827957</v>
      </c>
      <c r="O8" s="10">
        <f>Sheet1!AB16</f>
        <v>0.9795698925</v>
      </c>
      <c r="P8" s="15" t="str">
        <f>Sheet1!AC14</f>
        <v/>
      </c>
    </row>
    <row r="9">
      <c r="A9" s="1" t="s">
        <v>823</v>
      </c>
      <c r="B9" s="10">
        <f>Sheet1!O17</f>
        <v>0.9324681038</v>
      </c>
      <c r="C9" s="10">
        <f>Sheet1!P17</f>
        <v>0.9460526316</v>
      </c>
      <c r="D9" s="10">
        <f>Sheet1!Q17</f>
        <v>0.9474141678</v>
      </c>
      <c r="E9" s="10">
        <f>Sheet1!R17</f>
        <v>0.9468503937</v>
      </c>
      <c r="F9" s="10">
        <f>Sheet1!S17</f>
        <v>0.9457976739</v>
      </c>
      <c r="G9" s="10">
        <f>Sheet1!T17</f>
        <v>0.9504322136</v>
      </c>
      <c r="H9" s="10">
        <f>Sheet1!U17</f>
        <v>0.9458957263</v>
      </c>
      <c r="I9" s="10">
        <f>Sheet1!V17</f>
        <v>0.9485453756</v>
      </c>
      <c r="J9" s="10">
        <f>Sheet1!W17</f>
        <v>0.980675807</v>
      </c>
      <c r="K9" s="10">
        <f>Sheet1!X17</f>
        <v>0.9816612729</v>
      </c>
      <c r="L9" s="10">
        <f>Sheet1!Y17</f>
        <v>0.9822741029</v>
      </c>
      <c r="M9" s="10">
        <f>Sheet1!Z17</f>
        <v>0.9822179114</v>
      </c>
      <c r="N9" s="10">
        <f>Sheet1!AA17</f>
        <v>0.9811115936</v>
      </c>
      <c r="O9" s="10">
        <f>Sheet1!AB17</f>
        <v>0.9806243272</v>
      </c>
      <c r="P9" s="14" t="str">
        <f>Sheet1!AC15</f>
        <v/>
      </c>
    </row>
    <row r="10">
      <c r="A10" s="1" t="s">
        <v>824</v>
      </c>
      <c r="B10" s="10">
        <f>Sheet1!O18</f>
        <v>0.9856453232</v>
      </c>
      <c r="C10" s="10">
        <f>Sheet1!P18</f>
        <v>0.9906009943</v>
      </c>
      <c r="D10" s="10">
        <f>Sheet1!Q18</f>
        <v>0.990519112</v>
      </c>
      <c r="E10" s="10">
        <f>Sheet1!R18</f>
        <v>0.9905339114</v>
      </c>
      <c r="F10" s="10">
        <f>Sheet1!S18</f>
        <v>0.9902158631</v>
      </c>
      <c r="G10" s="10">
        <f>Sheet1!T18</f>
        <v>0.9912918488</v>
      </c>
      <c r="H10" s="10">
        <f>Sheet1!U18</f>
        <v>0.9903684819</v>
      </c>
      <c r="I10" s="10">
        <f>Sheet1!V18</f>
        <v>0.990997017</v>
      </c>
      <c r="J10" s="10">
        <f>Sheet1!W18</f>
        <v>0.9983866574</v>
      </c>
      <c r="K10" s="10">
        <f>Sheet1!X18</f>
        <v>0.9984170424</v>
      </c>
      <c r="L10" s="10">
        <f>Sheet1!Y18</f>
        <v>0.9984688866</v>
      </c>
      <c r="M10" s="10">
        <f>Sheet1!Z18</f>
        <v>0.9981861718</v>
      </c>
      <c r="N10" s="10">
        <f>Sheet1!AA18</f>
        <v>0.9973139785</v>
      </c>
      <c r="O10" s="10">
        <f>Sheet1!AB18</f>
        <v>0.9981760666</v>
      </c>
      <c r="P10" s="14" t="str">
        <f>Sheet1!AC16</f>
        <v/>
      </c>
    </row>
    <row r="11">
      <c r="A11" s="16" t="s">
        <v>807</v>
      </c>
      <c r="B11" s="17">
        <f>Sheet1!O29</f>
        <v>0.5187523365</v>
      </c>
      <c r="C11" s="17">
        <f>Sheet1!P29</f>
        <v>0.6199347973</v>
      </c>
      <c r="D11" s="17">
        <f>Sheet1!Q29</f>
        <v>0.7060763836</v>
      </c>
      <c r="E11" s="17">
        <f>Sheet1!R29</f>
        <v>0.8642880917</v>
      </c>
      <c r="F11" s="17">
        <f>Sheet1!S29</f>
        <v>0.7065107822</v>
      </c>
      <c r="G11" s="17">
        <f>Sheet1!T29</f>
        <v>0.7144200802</v>
      </c>
      <c r="H11" s="17">
        <f>Sheet1!U29</f>
        <v>0.6906919479</v>
      </c>
      <c r="I11" s="17">
        <f>Sheet1!V29</f>
        <v>0.9883289337</v>
      </c>
      <c r="J11" s="17">
        <f>Sheet1!W29</f>
        <v>0.8164901733</v>
      </c>
      <c r="K11" s="17">
        <f>Sheet1!X29</f>
        <v>0.7071824074</v>
      </c>
      <c r="L11" s="17">
        <f>Sheet1!Y29</f>
        <v>0.6264240742</v>
      </c>
      <c r="M11" s="17">
        <f>Sheet1!Z29</f>
        <v>1.251701593</v>
      </c>
      <c r="N11" s="17">
        <f>Sheet1!AA29</f>
        <v>1.290491819</v>
      </c>
      <c r="O11" s="17">
        <f>Sheet1!AB29</f>
        <v>1.168678761</v>
      </c>
      <c r="P11" s="14" t="str">
        <f>Sheet1!AC17</f>
        <v/>
      </c>
    </row>
    <row r="12">
      <c r="P12" s="14" t="str">
        <f>Sheet1!AC18</f>
        <v/>
      </c>
    </row>
    <row r="13">
      <c r="P13" s="18" t="str">
        <f>Sheet1!AC29</f>
        <v/>
      </c>
      <c r="Q13" s="19"/>
      <c r="R13" s="19"/>
      <c r="S13" s="19"/>
      <c r="T13" s="19"/>
      <c r="U13" s="19"/>
      <c r="V13" s="19"/>
    </row>
    <row r="14">
      <c r="B14" s="20">
        <f>Sheet1!O29</f>
        <v>0.5187523365</v>
      </c>
      <c r="C14" s="20">
        <f>Sheet1!T28-Sheet1!T26</f>
        <v>-4603904</v>
      </c>
      <c r="D14" s="20">
        <f>Sheet1!U28-Sheet1!U26</f>
        <v>-3354624</v>
      </c>
      <c r="E14" s="20">
        <f>Sheet1!V28-Sheet1!V26</f>
        <v>16547840</v>
      </c>
      <c r="F14" s="20"/>
      <c r="G14" s="20">
        <f>Sheet1!W28-Sheet1!W26</f>
        <v>-6602752</v>
      </c>
      <c r="H14" s="20">
        <f>Sheet1!X28-Sheet1!X26</f>
        <v>-7593984</v>
      </c>
      <c r="I14" s="20">
        <f>Sheet1!Y28-Sheet1!Y26</f>
        <v>1208320</v>
      </c>
      <c r="J14" s="20" t="str">
        <f>#REF!-#REF!</f>
        <v>#REF!</v>
      </c>
      <c r="K14" s="20">
        <f>Sheet1!Z28-Sheet1!Z26</f>
        <v>-12201984</v>
      </c>
      <c r="L14" s="20">
        <f>Sheet1!AA28-Sheet1!AA26</f>
        <v>-10121216</v>
      </c>
      <c r="M14" s="20">
        <f>Sheet1!AC28-Sheet1!AC26</f>
        <v>0</v>
      </c>
      <c r="N14" s="20">
        <f>Sheet1!AD28-Sheet1!AD26</f>
        <v>0</v>
      </c>
      <c r="O14" s="20">
        <f>Sheet1!AE28-Sheet1!AE26</f>
        <v>0</v>
      </c>
      <c r="P14" s="20">
        <f>Sheet1!AF28-Sheet1!AF26</f>
        <v>0</v>
      </c>
    </row>
    <row r="15">
      <c r="A15" s="1" t="s">
        <v>816</v>
      </c>
      <c r="B15" s="2" t="str">
        <f>Sheet1!M44</f>
        <v>WgtAv_201</v>
      </c>
      <c r="C15" s="2" t="str">
        <f>Sheet1!N44</f>
        <v>Concat_201</v>
      </c>
      <c r="D15" s="2" t="str">
        <f>Sheet1!O44</f>
        <v>Minimum_201</v>
      </c>
      <c r="E15" s="2" t="str">
        <f>Sheet1!P44</f>
        <v>Maximum_201</v>
      </c>
      <c r="F15" s="2" t="str">
        <f>Sheet1!Q44</f>
        <v>Multiply_201</v>
      </c>
      <c r="G15" s="2" t="str">
        <f>Sheet1!R44</f>
        <v>Subtract_201</v>
      </c>
      <c r="H15" s="2" t="str">
        <f>Sheet1!S44</f>
        <v>WgtAv_401</v>
      </c>
      <c r="I15" s="2" t="str">
        <f>Sheet1!T44</f>
        <v>Concat_401</v>
      </c>
      <c r="J15" s="2" t="str">
        <f>Sheet1!U44</f>
        <v>Minimum_401</v>
      </c>
      <c r="K15" s="2" t="str">
        <f>Sheet1!V44</f>
        <v>Maximum_401</v>
      </c>
      <c r="L15" s="2" t="str">
        <f>Sheet1!W44</f>
        <v>Multiply_401</v>
      </c>
      <c r="M15" s="2" t="str">
        <f>Sheet1!X44</f>
        <v>Subtract_401</v>
      </c>
    </row>
    <row r="16">
      <c r="A16" s="1" t="s">
        <v>817</v>
      </c>
      <c r="B16" s="2">
        <f>Sheet1!M55</f>
        <v>92</v>
      </c>
      <c r="C16" s="2">
        <f>Sheet1!N55</f>
        <v>243</v>
      </c>
      <c r="D16" s="2">
        <f>Sheet1!O55</f>
        <v>102</v>
      </c>
      <c r="E16" s="2">
        <f>Sheet1!P55</f>
        <v>157</v>
      </c>
      <c r="F16" s="2">
        <f>Sheet1!Q55</f>
        <v>133</v>
      </c>
      <c r="G16" s="2">
        <f>Sheet1!R55</f>
        <v>140</v>
      </c>
      <c r="H16" s="2">
        <f>Sheet1!S55</f>
        <v>79</v>
      </c>
      <c r="I16" s="2">
        <f>Sheet1!T55</f>
        <v>153</v>
      </c>
      <c r="J16" s="2">
        <f>Sheet1!U55</f>
        <v>126</v>
      </c>
      <c r="K16" s="2">
        <f>Sheet1!V55</f>
        <v>69</v>
      </c>
      <c r="L16" s="2">
        <f>Sheet1!W55</f>
        <v>126</v>
      </c>
      <c r="M16" s="2">
        <f>Sheet1!X55</f>
        <v>79</v>
      </c>
    </row>
    <row r="17">
      <c r="A17" s="1" t="s">
        <v>818</v>
      </c>
      <c r="B17" s="2">
        <f>Sheet1!M48/60</f>
        <v>39.79930484</v>
      </c>
      <c r="C17" s="2">
        <f>Sheet1!N48/60</f>
        <v>72.83941724</v>
      </c>
      <c r="D17" s="2">
        <f>Sheet1!O48/60</f>
        <v>30.92709964</v>
      </c>
      <c r="E17" s="2">
        <f>Sheet1!P48/60</f>
        <v>45.56790625</v>
      </c>
      <c r="F17" s="2">
        <f>Sheet1!Q48/60</f>
        <v>318.1177779</v>
      </c>
      <c r="G17" s="2">
        <f>Sheet1!R48/60</f>
        <v>64.09680218</v>
      </c>
      <c r="H17" s="2">
        <f>Sheet1!S48/60</f>
        <v>31.57662918</v>
      </c>
      <c r="I17" s="2">
        <f>Sheet1!T48/60</f>
        <v>46.52257148</v>
      </c>
      <c r="J17" s="2">
        <f>Sheet1!U48/60</f>
        <v>38.94374844</v>
      </c>
      <c r="K17" s="2">
        <f>Sheet1!V48/60</f>
        <v>24.37023713</v>
      </c>
      <c r="L17" s="2">
        <f>Sheet1!W48/60</f>
        <v>35.59526302</v>
      </c>
      <c r="M17" s="2">
        <f>Sheet1!X48/60</f>
        <v>109.4230346</v>
      </c>
    </row>
    <row r="18">
      <c r="A18" s="11" t="s">
        <v>819</v>
      </c>
      <c r="B18" s="2">
        <f>Sheet1!M51</f>
        <v>0.1261462122</v>
      </c>
      <c r="C18" s="2">
        <f>Sheet1!N51</f>
        <v>0.1202505231</v>
      </c>
      <c r="D18" s="2">
        <f>Sheet1!O51</f>
        <v>0.125329107</v>
      </c>
      <c r="E18" s="2">
        <f>Sheet1!P51</f>
        <v>0.1287558079</v>
      </c>
      <c r="F18" s="2">
        <f>Sheet1!Q51</f>
        <v>0.1256015599</v>
      </c>
      <c r="G18" s="2">
        <f>Sheet1!R51</f>
        <v>0.1254451275</v>
      </c>
      <c r="H18" s="2">
        <f>Sheet1!S51</f>
        <v>0.05225793272</v>
      </c>
      <c r="I18" s="2">
        <f>Sheet1!T51</f>
        <v>0.05143495277</v>
      </c>
      <c r="J18" s="2">
        <f>Sheet1!U51</f>
        <v>0.06302534044</v>
      </c>
      <c r="K18" s="2">
        <f>Sheet1!V51</f>
        <v>0.0581516996</v>
      </c>
      <c r="L18" s="2">
        <f>Sheet1!W51</f>
        <v>0.05703833699</v>
      </c>
      <c r="M18" s="2">
        <f>Sheet1!X51</f>
        <v>0.05360502377</v>
      </c>
    </row>
    <row r="19">
      <c r="A19" s="12" t="s">
        <v>820</v>
      </c>
      <c r="B19" s="2">
        <f>Sheet1!M57</f>
        <v>0.948172043</v>
      </c>
      <c r="C19" s="2">
        <f>Sheet1!N57</f>
        <v>0.9475268817</v>
      </c>
      <c r="D19" s="2">
        <f>Sheet1!O57</f>
        <v>0.9456989247</v>
      </c>
      <c r="E19" s="2">
        <f>Sheet1!P57</f>
        <v>0.9460215054</v>
      </c>
      <c r="F19" s="2">
        <f>Sheet1!Q57</f>
        <v>0.9484946237</v>
      </c>
      <c r="G19" s="2">
        <f>Sheet1!R57</f>
        <v>0.9453763441</v>
      </c>
      <c r="H19" s="2">
        <f>Sheet1!S57</f>
        <v>0.98</v>
      </c>
      <c r="I19" s="2">
        <f>Sheet1!T57</f>
        <v>0.983655914</v>
      </c>
      <c r="J19" s="2">
        <f>Sheet1!U57</f>
        <v>0.9789247312</v>
      </c>
      <c r="K19" s="2">
        <f>Sheet1!V57</f>
        <v>0.9804301075</v>
      </c>
      <c r="L19" s="2">
        <f>Sheet1!W57</f>
        <v>0.9823655914</v>
      </c>
      <c r="M19" s="2">
        <f>Sheet1!X57</f>
        <v>0.9801075269</v>
      </c>
    </row>
    <row r="20">
      <c r="A20" s="1" t="s">
        <v>821</v>
      </c>
      <c r="B20" s="2">
        <f>Sheet1!M58</f>
        <v>0.9685251799</v>
      </c>
      <c r="C20" s="2">
        <f>Sheet1!N58</f>
        <v>0.9682718272</v>
      </c>
      <c r="D20" s="2">
        <f>Sheet1!O58</f>
        <v>0.9639579136</v>
      </c>
      <c r="E20" s="2">
        <f>Sheet1!P58</f>
        <v>0.9646057348</v>
      </c>
      <c r="F20" s="2">
        <f>Sheet1!Q58</f>
        <v>0.9723669309</v>
      </c>
      <c r="G20" s="2">
        <f>Sheet1!R58</f>
        <v>0.9643497758</v>
      </c>
      <c r="H20" s="2">
        <f>Sheet1!S58</f>
        <v>0.984164859</v>
      </c>
      <c r="I20" s="2">
        <f>Sheet1!T58</f>
        <v>0.9846982759</v>
      </c>
      <c r="J20" s="2">
        <f>Sheet1!U58</f>
        <v>0.9837098175</v>
      </c>
      <c r="K20" s="2">
        <f>Sheet1!V58</f>
        <v>0.9869224063</v>
      </c>
      <c r="L20" s="2">
        <f>Sheet1!W58</f>
        <v>0.9861291721</v>
      </c>
      <c r="M20" s="2">
        <f>Sheet1!X58</f>
        <v>0.9824940566</v>
      </c>
    </row>
    <row r="21">
      <c r="A21" s="1" t="s">
        <v>822</v>
      </c>
      <c r="B21" s="2">
        <f>Sheet1!M59</f>
        <v>0.9264516129</v>
      </c>
      <c r="C21" s="2">
        <f>Sheet1!N59</f>
        <v>0.9253763441</v>
      </c>
      <c r="D21" s="2">
        <f>Sheet1!O59</f>
        <v>0.9260215054</v>
      </c>
      <c r="E21" s="2">
        <f>Sheet1!P59</f>
        <v>0.9260215054</v>
      </c>
      <c r="F21" s="2">
        <f>Sheet1!Q59</f>
        <v>0.9232258065</v>
      </c>
      <c r="G21" s="2">
        <f>Sheet1!R59</f>
        <v>0.9249462366</v>
      </c>
      <c r="H21" s="2">
        <f>Sheet1!S59</f>
        <v>0.9756989247</v>
      </c>
      <c r="I21" s="2">
        <f>Sheet1!T59</f>
        <v>0.9825806452</v>
      </c>
      <c r="J21" s="2">
        <f>Sheet1!U59</f>
        <v>0.9739784946</v>
      </c>
      <c r="K21" s="2">
        <f>Sheet1!V59</f>
        <v>0.9737634409</v>
      </c>
      <c r="L21" s="2">
        <f>Sheet1!W59</f>
        <v>0.9784946237</v>
      </c>
      <c r="M21" s="2">
        <f>Sheet1!X59</f>
        <v>0.9776344086</v>
      </c>
    </row>
    <row r="22">
      <c r="A22" s="1" t="s">
        <v>823</v>
      </c>
      <c r="B22" s="2">
        <f>Sheet1!M60</f>
        <v>0.9470213234</v>
      </c>
      <c r="C22" s="2">
        <f>Sheet1!N60</f>
        <v>0.946338245</v>
      </c>
      <c r="D22" s="2">
        <f>Sheet1!O60</f>
        <v>0.9446089722</v>
      </c>
      <c r="E22" s="2">
        <f>Sheet1!P60</f>
        <v>0.9449199034</v>
      </c>
      <c r="F22" s="2">
        <f>Sheet1!Q60</f>
        <v>0.9471594043</v>
      </c>
      <c r="G22" s="2">
        <f>Sheet1!R60</f>
        <v>0.9442371021</v>
      </c>
      <c r="H22" s="2">
        <f>Sheet1!S60</f>
        <v>0.9799136069</v>
      </c>
      <c r="I22" s="2">
        <f>Sheet1!T60</f>
        <v>0.9836383208</v>
      </c>
      <c r="J22" s="2">
        <f>Sheet1!U60</f>
        <v>0.9788199697</v>
      </c>
      <c r="K22" s="2">
        <f>Sheet1!V60</f>
        <v>0.980298766</v>
      </c>
      <c r="L22" s="2">
        <f>Sheet1!W60</f>
        <v>0.9822970639</v>
      </c>
      <c r="M22" s="2">
        <f>Sheet1!X60</f>
        <v>0.9800582085</v>
      </c>
    </row>
    <row r="23">
      <c r="A23" s="1" t="s">
        <v>824</v>
      </c>
      <c r="B23" s="2">
        <f>Sheet1!M61</f>
        <v>0.9902365591</v>
      </c>
      <c r="C23" s="2">
        <f>Sheet1!N61</f>
        <v>0.9907659383</v>
      </c>
      <c r="D23" s="2">
        <f>Sheet1!O61</f>
        <v>0.9909678807</v>
      </c>
      <c r="E23" s="2">
        <f>Sheet1!P61</f>
        <v>0.9893565036</v>
      </c>
      <c r="F23" s="2">
        <f>Sheet1!Q61</f>
        <v>0.9911153891</v>
      </c>
      <c r="G23" s="2">
        <f>Sheet1!R61</f>
        <v>0.9905813158</v>
      </c>
      <c r="H23" s="2">
        <f>Sheet1!S61</f>
        <v>0.9980982079</v>
      </c>
      <c r="I23" s="2">
        <f>Sheet1!T61</f>
        <v>0.9984117008</v>
      </c>
      <c r="J23" s="2">
        <f>Sheet1!U61</f>
        <v>0.9978158169</v>
      </c>
      <c r="K23" s="2">
        <f>Sheet1!V61</f>
        <v>0.9979113886</v>
      </c>
      <c r="L23" s="2">
        <f>Sheet1!W61</f>
        <v>0.9985003353</v>
      </c>
      <c r="M23" s="2">
        <f>Sheet1!X61</f>
        <v>0.9981273904</v>
      </c>
    </row>
    <row r="24">
      <c r="A24" s="16" t="s">
        <v>807</v>
      </c>
      <c r="B24" s="2">
        <f>Sheet1!M72</f>
        <v>1.157130241</v>
      </c>
      <c r="C24" s="2">
        <f>Sheet1!N72</f>
        <v>0.8790180683</v>
      </c>
      <c r="D24" s="2">
        <f>Sheet1!O72</f>
        <v>0.644166708</v>
      </c>
      <c r="E24" s="2">
        <f>Sheet1!P72</f>
        <v>0.721965313</v>
      </c>
      <c r="F24" s="2">
        <f>Sheet1!Q72</f>
        <v>1.200303316</v>
      </c>
      <c r="G24" s="2">
        <f>Sheet1!R72</f>
        <v>1.131290436</v>
      </c>
      <c r="H24" s="2">
        <f>Sheet1!S72</f>
        <v>0.7411468029</v>
      </c>
      <c r="I24" s="2">
        <f>Sheet1!T72</f>
        <v>0.817104578</v>
      </c>
      <c r="J24" s="2">
        <f>Sheet1!U72</f>
        <v>0.8008854389</v>
      </c>
      <c r="K24" s="2">
        <f>Sheet1!V72</f>
        <v>0.628932476</v>
      </c>
      <c r="L24" s="2">
        <f>Sheet1!W72</f>
        <v>0.6774573326</v>
      </c>
      <c r="M24" s="2">
        <f>Sheet1!X72</f>
        <v>1.37979126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3" width="9.63"/>
    <col customWidth="1" min="4" max="4" width="11.75"/>
    <col customWidth="1" min="5" max="5" width="11.5"/>
    <col customWidth="1" min="6" max="6" width="11.0"/>
    <col customWidth="1" min="7" max="7" width="12.63"/>
    <col customWidth="1" min="8" max="8" width="10.0"/>
  </cols>
  <sheetData>
    <row r="2">
      <c r="A2" s="6" t="str">
        <f>Sheet2!A2</f>
        <v>Model</v>
      </c>
      <c r="B2" s="6" t="str">
        <f>Sheet2!B2</f>
        <v>Shallow_20 </v>
      </c>
      <c r="C2" s="6" t="str">
        <f>Sheet2!C2</f>
        <v>Deep_20 </v>
      </c>
      <c r="D2" s="6" t="str">
        <f>Sheet2!D2</f>
        <v>WgtAv_20 </v>
      </c>
      <c r="E2" s="6" t="str">
        <f>Sheet2!E2</f>
        <v>Concat_20</v>
      </c>
      <c r="F2" s="6" t="str">
        <f>Sheet2!F2</f>
        <v>Minimum_20</v>
      </c>
      <c r="G2" s="6" t="str">
        <f>Sheet2!G2</f>
        <v>Maximum_20</v>
      </c>
      <c r="H2" s="6" t="str">
        <f>Sheet2!H2</f>
        <v>Multiply_20</v>
      </c>
      <c r="I2" s="6" t="str">
        <f>Sheet2!I2</f>
        <v>Subtract_20</v>
      </c>
      <c r="K2" s="6"/>
      <c r="L2" s="6" t="str">
        <f t="shared" ref="L2:S2" si="1">SUBSTITUTE(B2, "_", "")</f>
        <v>Shallow20 </v>
      </c>
      <c r="M2" s="6" t="str">
        <f t="shared" si="1"/>
        <v>Deep20 </v>
      </c>
      <c r="N2" s="6" t="str">
        <f t="shared" si="1"/>
        <v>WgtAv20 </v>
      </c>
      <c r="O2" s="6" t="str">
        <f t="shared" si="1"/>
        <v>Concat20</v>
      </c>
      <c r="P2" s="6" t="str">
        <f t="shared" si="1"/>
        <v>Minimum20</v>
      </c>
      <c r="Q2" s="6" t="str">
        <f t="shared" si="1"/>
        <v>Maximum20</v>
      </c>
      <c r="R2" s="6" t="str">
        <f t="shared" si="1"/>
        <v>Multiply20</v>
      </c>
      <c r="S2" s="6" t="str">
        <f t="shared" si="1"/>
        <v>Subtract20</v>
      </c>
      <c r="T2" s="6" t="str">
        <f t="shared" ref="T2:Y2" si="2">SUBSTITUTE(B14, "_", "")</f>
        <v>WgtAv40 </v>
      </c>
      <c r="U2" s="6" t="str">
        <f t="shared" si="2"/>
        <v>Concat40 </v>
      </c>
      <c r="V2" s="6" t="str">
        <f t="shared" si="2"/>
        <v>Minimum40</v>
      </c>
      <c r="W2" s="6" t="str">
        <f t="shared" si="2"/>
        <v>Maximum40</v>
      </c>
      <c r="X2" s="6" t="str">
        <f t="shared" si="2"/>
        <v>Multiply40</v>
      </c>
      <c r="Y2" s="6" t="str">
        <f t="shared" si="2"/>
        <v>Subtract40</v>
      </c>
    </row>
    <row r="3">
      <c r="A3" s="6" t="str">
        <f>Sheet2!A3</f>
        <v>End epoch</v>
      </c>
      <c r="B3" s="6">
        <f>Sheet2!B3</f>
        <v>14</v>
      </c>
      <c r="C3" s="6">
        <f>Sheet2!C3</f>
        <v>128</v>
      </c>
      <c r="D3" s="6">
        <f>Sheet2!D3</f>
        <v>217</v>
      </c>
      <c r="E3" s="6">
        <f>Sheet2!E3</f>
        <v>113</v>
      </c>
      <c r="F3" s="6">
        <f>Sheet2!F3</f>
        <v>142</v>
      </c>
      <c r="G3" s="6">
        <f>Sheet2!G3</f>
        <v>190</v>
      </c>
      <c r="H3" s="6">
        <f>Sheet2!H3</f>
        <v>165</v>
      </c>
      <c r="I3" s="6">
        <f>Sheet2!I3</f>
        <v>174</v>
      </c>
      <c r="K3" s="6" t="str">
        <f t="shared" ref="K3:S3" si="3">A4</f>
        <v>Training time (M)</v>
      </c>
      <c r="L3" s="21">
        <f t="shared" si="3"/>
        <v>7.276129417</v>
      </c>
      <c r="M3" s="21">
        <f t="shared" si="3"/>
        <v>29.53637476</v>
      </c>
      <c r="N3" s="21">
        <f t="shared" si="3"/>
        <v>74.23068161</v>
      </c>
      <c r="O3" s="21">
        <f t="shared" si="3"/>
        <v>40.88681656</v>
      </c>
      <c r="P3" s="21">
        <f t="shared" si="3"/>
        <v>60.08654704</v>
      </c>
      <c r="Q3" s="21">
        <f t="shared" si="3"/>
        <v>48.7056941</v>
      </c>
      <c r="R3" s="21">
        <f t="shared" si="3"/>
        <v>48.69397471</v>
      </c>
      <c r="S3" s="21">
        <f t="shared" si="3"/>
        <v>71.89357049</v>
      </c>
      <c r="T3" s="21">
        <f t="shared" ref="T3:Y3" si="4">B16</f>
        <v>28.86167595</v>
      </c>
      <c r="U3" s="21">
        <f t="shared" si="4"/>
        <v>18.90771868</v>
      </c>
      <c r="V3" s="21">
        <f t="shared" si="4"/>
        <v>24.88197827</v>
      </c>
      <c r="W3" s="21">
        <f t="shared" si="4"/>
        <v>38.25695733</v>
      </c>
      <c r="X3" s="21">
        <f t="shared" si="4"/>
        <v>57.80503337</v>
      </c>
      <c r="Y3" s="21">
        <f t="shared" si="4"/>
        <v>70.18270434</v>
      </c>
    </row>
    <row r="4">
      <c r="A4" s="6" t="str">
        <f>Sheet2!A4</f>
        <v>Training time (M)</v>
      </c>
      <c r="B4" s="21">
        <f>Sheet2!B4</f>
        <v>7.276129417</v>
      </c>
      <c r="C4" s="21">
        <f>Sheet2!C4</f>
        <v>29.53637476</v>
      </c>
      <c r="D4" s="21">
        <f>Sheet2!D4</f>
        <v>74.23068161</v>
      </c>
      <c r="E4" s="21">
        <f>Sheet2!E4</f>
        <v>40.88681656</v>
      </c>
      <c r="F4" s="21">
        <f>Sheet2!F4</f>
        <v>60.08654704</v>
      </c>
      <c r="G4" s="21">
        <f>Sheet2!G4</f>
        <v>48.7056941</v>
      </c>
      <c r="H4" s="21">
        <f>Sheet2!H4</f>
        <v>48.69397471</v>
      </c>
      <c r="I4" s="21">
        <f>Sheet2!I4</f>
        <v>71.89357049</v>
      </c>
    </row>
    <row r="5">
      <c r="A5" s="6" t="str">
        <f>Sheet2!A5</f>
        <v>Validation Loss</v>
      </c>
      <c r="B5" s="21">
        <f>Sheet2!B5</f>
        <v>0.1672222465</v>
      </c>
      <c r="C5" s="21">
        <f>Sheet2!C5</f>
        <v>0.1230661049</v>
      </c>
      <c r="D5" s="21">
        <f>Sheet2!D5</f>
        <v>0.1237745062</v>
      </c>
      <c r="E5" s="21">
        <f>Sheet2!E5</f>
        <v>0.1255670041</v>
      </c>
      <c r="F5" s="21">
        <f>Sheet2!F5</f>
        <v>0.1290879846</v>
      </c>
      <c r="G5" s="21">
        <f>Sheet2!G5</f>
        <v>0.1262873113</v>
      </c>
      <c r="H5" s="21">
        <f>Sheet2!H5</f>
        <v>0.1264203042</v>
      </c>
      <c r="I5" s="21">
        <f>Sheet2!I5</f>
        <v>0.1286741942</v>
      </c>
      <c r="K5" s="6"/>
      <c r="L5" s="6" t="str">
        <f t="shared" ref="L5:S5" si="5">L2</f>
        <v>Shallow20 </v>
      </c>
      <c r="M5" s="6" t="str">
        <f t="shared" si="5"/>
        <v>Deep20 </v>
      </c>
      <c r="N5" s="6" t="str">
        <f t="shared" si="5"/>
        <v>WgtAv20 </v>
      </c>
      <c r="O5" s="6" t="str">
        <f t="shared" si="5"/>
        <v>Concat20</v>
      </c>
      <c r="P5" s="6" t="str">
        <f t="shared" si="5"/>
        <v>Minimum20</v>
      </c>
      <c r="Q5" s="6" t="str">
        <f t="shared" si="5"/>
        <v>Maximum20</v>
      </c>
      <c r="R5" s="6" t="str">
        <f t="shared" si="5"/>
        <v>Multiply20</v>
      </c>
      <c r="S5" s="6" t="str">
        <f t="shared" si="5"/>
        <v>Subtract20</v>
      </c>
      <c r="T5" s="6" t="str">
        <f t="shared" ref="T5:Y5" si="6">SUBSTITUTE(B14, "_", "")</f>
        <v>WgtAv40 </v>
      </c>
      <c r="U5" s="6" t="str">
        <f t="shared" si="6"/>
        <v>Concat40 </v>
      </c>
      <c r="V5" s="6" t="str">
        <f t="shared" si="6"/>
        <v>Minimum40</v>
      </c>
      <c r="W5" s="6" t="str">
        <f t="shared" si="6"/>
        <v>Maximum40</v>
      </c>
      <c r="X5" s="6" t="str">
        <f t="shared" si="6"/>
        <v>Multiply40</v>
      </c>
      <c r="Y5" s="6" t="str">
        <f t="shared" si="6"/>
        <v>Subtract40</v>
      </c>
    </row>
    <row r="6">
      <c r="A6" s="6" t="str">
        <f>Sheet2!A6</f>
        <v>Test Accuracy</v>
      </c>
      <c r="B6" s="22">
        <f>Sheet2!B6</f>
        <v>0.9339784946</v>
      </c>
      <c r="C6" s="22">
        <f>Sheet2!C6</f>
        <v>0.9470967742</v>
      </c>
      <c r="D6" s="22">
        <f>Sheet2!D6</f>
        <v>0.9479569892</v>
      </c>
      <c r="E6" s="22">
        <f>Sheet2!E6</f>
        <v>0.9477419355</v>
      </c>
      <c r="F6" s="22">
        <f>Sheet2!F6</f>
        <v>0.9468817204</v>
      </c>
      <c r="G6" s="22">
        <f>Sheet2!G6</f>
        <v>0.9512903226</v>
      </c>
      <c r="H6" s="22">
        <f>Sheet2!H6</f>
        <v>0.9467741935</v>
      </c>
      <c r="I6" s="22">
        <f>Sheet2!I6</f>
        <v>0.9490322581</v>
      </c>
      <c r="K6" s="6" t="str">
        <f t="shared" ref="K6:S6" si="7">A11</f>
        <v>Prediction Time</v>
      </c>
      <c r="L6" s="21">
        <f t="shared" si="7"/>
        <v>0.5187523365</v>
      </c>
      <c r="M6" s="21">
        <f t="shared" si="7"/>
        <v>0.6199347973</v>
      </c>
      <c r="N6" s="21">
        <f t="shared" si="7"/>
        <v>0.7060763836</v>
      </c>
      <c r="O6" s="21">
        <f t="shared" si="7"/>
        <v>0.8642880917</v>
      </c>
      <c r="P6" s="21">
        <f t="shared" si="7"/>
        <v>0.7065107822</v>
      </c>
      <c r="Q6" s="21">
        <f t="shared" si="7"/>
        <v>0.7144200802</v>
      </c>
      <c r="R6" s="21">
        <f t="shared" si="7"/>
        <v>0.6906919479</v>
      </c>
      <c r="S6" s="21">
        <f t="shared" si="7"/>
        <v>0.9883289337</v>
      </c>
      <c r="T6" s="21">
        <f t="shared" ref="T6:Y6" si="8">B23</f>
        <v>0.8164901733</v>
      </c>
      <c r="U6" s="21">
        <f t="shared" si="8"/>
        <v>0.7071824074</v>
      </c>
      <c r="V6" s="21">
        <f t="shared" si="8"/>
        <v>0.6264240742</v>
      </c>
      <c r="W6" s="21">
        <f t="shared" si="8"/>
        <v>1.251701593</v>
      </c>
      <c r="X6" s="21">
        <f t="shared" si="8"/>
        <v>1.290491819</v>
      </c>
      <c r="Y6" s="21">
        <f t="shared" si="8"/>
        <v>1.168678761</v>
      </c>
    </row>
    <row r="7">
      <c r="A7" s="6" t="str">
        <f>Sheet2!A7</f>
        <v>Precision</v>
      </c>
      <c r="B7" s="22">
        <f>Sheet2!B7</f>
        <v>0.9542998649</v>
      </c>
      <c r="C7" s="22">
        <f>Sheet2!C7</f>
        <v>0.9651006711</v>
      </c>
      <c r="D7" s="22">
        <f>Sheet2!D7</f>
        <v>0.9574000878</v>
      </c>
      <c r="E7" s="22">
        <f>Sheet2!E7</f>
        <v>0.9632843792</v>
      </c>
      <c r="F7" s="22">
        <f>Sheet2!F7</f>
        <v>0.9655017921</v>
      </c>
      <c r="G7" s="22">
        <f>Sheet2!G7</f>
        <v>0.9674760526</v>
      </c>
      <c r="H7" s="22">
        <f>Sheet2!H7</f>
        <v>0.9617692821</v>
      </c>
      <c r="I7" s="22">
        <f>Sheet2!I7</f>
        <v>0.9576939939</v>
      </c>
    </row>
    <row r="8">
      <c r="A8" s="6" t="str">
        <f>Sheet2!A8</f>
        <v>Recall</v>
      </c>
      <c r="B8" s="22">
        <f>Sheet2!B8</f>
        <v>0.9116129032</v>
      </c>
      <c r="C8" s="22">
        <f>Sheet2!C8</f>
        <v>0.9277419355</v>
      </c>
      <c r="D8" s="22">
        <f>Sheet2!D8</f>
        <v>0.9376344086</v>
      </c>
      <c r="E8" s="22">
        <f>Sheet2!E8</f>
        <v>0.9309677419</v>
      </c>
      <c r="F8" s="22">
        <f>Sheet2!F8</f>
        <v>0.9268817204</v>
      </c>
      <c r="G8" s="22">
        <f>Sheet2!G8</f>
        <v>0.9339784946</v>
      </c>
      <c r="H8" s="22">
        <f>Sheet2!H8</f>
        <v>0.9305376344</v>
      </c>
      <c r="I8" s="22">
        <f>Sheet2!I8</f>
        <v>0.9395698925</v>
      </c>
    </row>
    <row r="9">
      <c r="A9" s="6" t="str">
        <f>Sheet2!A9</f>
        <v>F1 Score</v>
      </c>
      <c r="B9" s="22">
        <f>Sheet2!B9</f>
        <v>0.9324681038</v>
      </c>
      <c r="C9" s="22">
        <f>Sheet2!C9</f>
        <v>0.9460526316</v>
      </c>
      <c r="D9" s="22">
        <f>Sheet2!D9</f>
        <v>0.9474141678</v>
      </c>
      <c r="E9" s="22">
        <f>Sheet2!E9</f>
        <v>0.9468503937</v>
      </c>
      <c r="F9" s="22">
        <f>Sheet2!F9</f>
        <v>0.9457976739</v>
      </c>
      <c r="G9" s="22">
        <f>Sheet2!G9</f>
        <v>0.9504322136</v>
      </c>
      <c r="H9" s="22">
        <f>Sheet2!H9</f>
        <v>0.9458957263</v>
      </c>
      <c r="I9" s="22">
        <f>Sheet2!I9</f>
        <v>0.9485453756</v>
      </c>
    </row>
    <row r="10">
      <c r="A10" s="6" t="str">
        <f>Sheet2!A10</f>
        <v>ROC AUC Score</v>
      </c>
      <c r="B10" s="22">
        <f>Sheet2!B10</f>
        <v>0.9856453232</v>
      </c>
      <c r="C10" s="22">
        <f>Sheet2!C10</f>
        <v>0.9906009943</v>
      </c>
      <c r="D10" s="22">
        <f>Sheet2!D10</f>
        <v>0.990519112</v>
      </c>
      <c r="E10" s="22">
        <f>Sheet2!E10</f>
        <v>0.9905339114</v>
      </c>
      <c r="F10" s="22">
        <f>Sheet2!F10</f>
        <v>0.9902158631</v>
      </c>
      <c r="G10" s="22">
        <f>Sheet2!G10</f>
        <v>0.9912918488</v>
      </c>
      <c r="H10" s="22">
        <f>Sheet2!H10</f>
        <v>0.9903684819</v>
      </c>
      <c r="I10" s="22">
        <f>Sheet2!I10</f>
        <v>0.990997017</v>
      </c>
    </row>
    <row r="11">
      <c r="A11" s="6" t="str">
        <f>Sheet2!A11</f>
        <v>Prediction Time</v>
      </c>
      <c r="B11" s="21">
        <f>Sheet2!B11</f>
        <v>0.5187523365</v>
      </c>
      <c r="C11" s="21">
        <f>Sheet2!C11</f>
        <v>0.6199347973</v>
      </c>
      <c r="D11" s="21">
        <f>Sheet2!D11</f>
        <v>0.7060763836</v>
      </c>
      <c r="E11" s="21">
        <f>Sheet2!E11</f>
        <v>0.8642880917</v>
      </c>
      <c r="F11" s="21">
        <f>Sheet2!F11</f>
        <v>0.7065107822</v>
      </c>
      <c r="G11" s="21">
        <f>Sheet2!G11</f>
        <v>0.7144200802</v>
      </c>
      <c r="H11" s="21">
        <f>Sheet2!H11</f>
        <v>0.6906919479</v>
      </c>
      <c r="I11" s="21">
        <f>Sheet2!I11</f>
        <v>0.9883289337</v>
      </c>
    </row>
    <row r="12">
      <c r="B12" s="23">
        <f t="shared" ref="B12:I12" si="9">AVERAGE(B6:B10)</f>
        <v>0.943600938</v>
      </c>
      <c r="C12" s="23">
        <f t="shared" si="9"/>
        <v>0.9553186013</v>
      </c>
      <c r="D12" s="23">
        <f t="shared" si="9"/>
        <v>0.9561849531</v>
      </c>
      <c r="E12" s="24">
        <f t="shared" si="9"/>
        <v>0.9558756723</v>
      </c>
      <c r="F12" s="23">
        <f t="shared" si="9"/>
        <v>0.955055754</v>
      </c>
      <c r="G12" s="24">
        <f t="shared" si="9"/>
        <v>0.9588937864</v>
      </c>
      <c r="H12" s="23">
        <f t="shared" si="9"/>
        <v>0.9550690636</v>
      </c>
      <c r="I12" s="23">
        <f t="shared" si="9"/>
        <v>0.9571677074</v>
      </c>
    </row>
    <row r="14">
      <c r="A14" s="6" t="str">
        <f>Sheet2!A2</f>
        <v>Model</v>
      </c>
      <c r="B14" s="6" t="str">
        <f>Sheet2!J2</f>
        <v>WgtAv_40 </v>
      </c>
      <c r="C14" s="6" t="str">
        <f>Sheet2!K2</f>
        <v>Concat_40 </v>
      </c>
      <c r="D14" s="6" t="str">
        <f>Sheet2!L2</f>
        <v>Minimum_40</v>
      </c>
      <c r="E14" s="6" t="str">
        <f>Sheet2!M2</f>
        <v>Maximum_40</v>
      </c>
      <c r="F14" s="6" t="str">
        <f>Sheet2!N2</f>
        <v>Multiply_40</v>
      </c>
      <c r="G14" s="6" t="str">
        <f>Sheet2!O2</f>
        <v>Subtract_40</v>
      </c>
      <c r="H14" s="2" t="str">
        <f>Sheet2!P2</f>
        <v/>
      </c>
    </row>
    <row r="15">
      <c r="A15" s="6" t="str">
        <f>Sheet2!A3</f>
        <v>End epoch</v>
      </c>
      <c r="B15" s="6">
        <f>Sheet2!J3</f>
        <v>90</v>
      </c>
      <c r="C15" s="6">
        <f>Sheet2!K3</f>
        <v>50</v>
      </c>
      <c r="D15" s="6">
        <f>Sheet2!L3</f>
        <v>81</v>
      </c>
      <c r="E15" s="6">
        <f>Sheet2!M3</f>
        <v>74</v>
      </c>
      <c r="F15" s="6">
        <f>Sheet2!N3</f>
        <v>131</v>
      </c>
      <c r="G15" s="6">
        <f>Sheet2!O3</f>
        <v>141</v>
      </c>
    </row>
    <row r="16">
      <c r="A16" s="6" t="str">
        <f>Sheet2!A4</f>
        <v>Training time (M)</v>
      </c>
      <c r="B16" s="21">
        <f>Sheet2!J4</f>
        <v>28.86167595</v>
      </c>
      <c r="C16" s="21">
        <f>Sheet2!K4</f>
        <v>18.90771868</v>
      </c>
      <c r="D16" s="21">
        <f>Sheet2!L4</f>
        <v>24.88197827</v>
      </c>
      <c r="E16" s="21">
        <f>Sheet2!M4</f>
        <v>38.25695733</v>
      </c>
      <c r="F16" s="21">
        <f>Sheet2!N4</f>
        <v>57.80503337</v>
      </c>
      <c r="G16" s="21">
        <f>Sheet2!O4</f>
        <v>70.18270434</v>
      </c>
    </row>
    <row r="17">
      <c r="A17" s="6" t="str">
        <f>Sheet2!A5</f>
        <v>Validation Loss</v>
      </c>
      <c r="B17" s="21">
        <f>Sheet2!J5</f>
        <v>0.05402064323</v>
      </c>
      <c r="C17" s="21">
        <f>Sheet2!K5</f>
        <v>0.05256651714</v>
      </c>
      <c r="D17" s="21">
        <f>Sheet2!L5</f>
        <v>0.05583661422</v>
      </c>
      <c r="E17" s="21">
        <f>Sheet2!M5</f>
        <v>0.05383501574</v>
      </c>
      <c r="F17" s="21">
        <f>Sheet2!N5</f>
        <v>0.05675575137</v>
      </c>
      <c r="G17" s="21">
        <f>Sheet2!O5</f>
        <v>0.05791929737</v>
      </c>
    </row>
    <row r="18">
      <c r="A18" s="6" t="str">
        <f>Sheet2!A6</f>
        <v>Test Accuracy</v>
      </c>
      <c r="B18" s="21">
        <f>Sheet2!J6</f>
        <v>0.9807526882</v>
      </c>
      <c r="C18" s="21">
        <f>Sheet2!K6</f>
        <v>0.9817204301</v>
      </c>
      <c r="D18" s="21">
        <f>Sheet2!L6</f>
        <v>0.9823655914</v>
      </c>
      <c r="E18" s="21">
        <f>Sheet2!M6</f>
        <v>0.9822580645</v>
      </c>
      <c r="F18" s="21">
        <f>Sheet2!N6</f>
        <v>0.9812903226</v>
      </c>
      <c r="G18" s="21">
        <f>Sheet2!O6</f>
        <v>0.9806451613</v>
      </c>
    </row>
    <row r="19">
      <c r="A19" s="6" t="str">
        <f>Sheet2!A7</f>
        <v>Precision</v>
      </c>
      <c r="B19" s="21">
        <f>Sheet2!J7</f>
        <v>0.9846087145</v>
      </c>
      <c r="C19" s="21">
        <f>Sheet2!K7</f>
        <v>0.9848484848</v>
      </c>
      <c r="D19" s="21">
        <f>Sheet2!L7</f>
        <v>0.987396784</v>
      </c>
      <c r="E19" s="21">
        <f>Sheet2!M7</f>
        <v>0.9844458846</v>
      </c>
      <c r="F19" s="21">
        <f>Sheet2!N7</f>
        <v>0.9905743095</v>
      </c>
      <c r="G19" s="21">
        <f>Sheet2!O7</f>
        <v>0.9816810345</v>
      </c>
    </row>
    <row r="20">
      <c r="A20" s="6" t="str">
        <f>Sheet2!A8</f>
        <v>Recall</v>
      </c>
      <c r="B20" s="21">
        <f>Sheet2!J8</f>
        <v>0.9767741935</v>
      </c>
      <c r="C20" s="21">
        <f>Sheet2!K8</f>
        <v>0.9784946237</v>
      </c>
      <c r="D20" s="21">
        <f>Sheet2!L8</f>
        <v>0.9772043011</v>
      </c>
      <c r="E20" s="21">
        <f>Sheet2!M8</f>
        <v>0.98</v>
      </c>
      <c r="F20" s="21">
        <f>Sheet2!N8</f>
        <v>0.971827957</v>
      </c>
      <c r="G20" s="21">
        <f>Sheet2!O8</f>
        <v>0.9795698925</v>
      </c>
    </row>
    <row r="21">
      <c r="A21" s="6" t="str">
        <f>Sheet2!A9</f>
        <v>F1 Score</v>
      </c>
      <c r="B21" s="21">
        <f>Sheet2!J9</f>
        <v>0.980675807</v>
      </c>
      <c r="C21" s="21">
        <f>Sheet2!K9</f>
        <v>0.9816612729</v>
      </c>
      <c r="D21" s="21">
        <f>Sheet2!L9</f>
        <v>0.9822741029</v>
      </c>
      <c r="E21" s="21">
        <f>Sheet2!M9</f>
        <v>0.9822179114</v>
      </c>
      <c r="F21" s="21">
        <f>Sheet2!N9</f>
        <v>0.9811115936</v>
      </c>
      <c r="G21" s="21">
        <f>Sheet2!O9</f>
        <v>0.9806243272</v>
      </c>
    </row>
    <row r="22">
      <c r="A22" s="6" t="str">
        <f>Sheet2!A10</f>
        <v>ROC AUC Score</v>
      </c>
      <c r="B22" s="21">
        <f>Sheet2!J10</f>
        <v>0.9983866574</v>
      </c>
      <c r="C22" s="21">
        <f>Sheet2!K10</f>
        <v>0.9984170424</v>
      </c>
      <c r="D22" s="21">
        <f>Sheet2!L10</f>
        <v>0.9984688866</v>
      </c>
      <c r="E22" s="21">
        <f>Sheet2!M10</f>
        <v>0.9981861718</v>
      </c>
      <c r="F22" s="21">
        <f>Sheet2!N10</f>
        <v>0.9973139785</v>
      </c>
      <c r="G22" s="21">
        <f>Sheet2!O10</f>
        <v>0.9981760666</v>
      </c>
    </row>
    <row r="23">
      <c r="A23" s="6" t="str">
        <f>Sheet2!A11</f>
        <v>Prediction Time</v>
      </c>
      <c r="B23" s="21">
        <f>Sheet2!J11</f>
        <v>0.8164901733</v>
      </c>
      <c r="C23" s="21">
        <f>Sheet2!K11</f>
        <v>0.7071824074</v>
      </c>
      <c r="D23" s="21">
        <f>Sheet2!L11</f>
        <v>0.6264240742</v>
      </c>
      <c r="E23" s="21">
        <f>Sheet2!M11</f>
        <v>1.251701593</v>
      </c>
      <c r="F23" s="21">
        <f>Sheet2!N11</f>
        <v>1.290491819</v>
      </c>
      <c r="G23" s="21">
        <f>Sheet2!O11</f>
        <v>1.168678761</v>
      </c>
    </row>
    <row r="24">
      <c r="B24" s="23">
        <f t="shared" ref="B24:G24" si="10">AVERAGE(B18:B22)</f>
        <v>0.9842396121</v>
      </c>
      <c r="C24" s="23">
        <f t="shared" si="10"/>
        <v>0.9850283708</v>
      </c>
      <c r="D24" s="23">
        <f t="shared" si="10"/>
        <v>0.9855419332</v>
      </c>
      <c r="E24" s="24">
        <f t="shared" si="10"/>
        <v>0.9854216065</v>
      </c>
      <c r="F24" s="23">
        <f t="shared" si="10"/>
        <v>0.9844236322</v>
      </c>
      <c r="G24" s="24">
        <f t="shared" si="10"/>
        <v>0.9841392964</v>
      </c>
      <c r="H24" s="23"/>
      <c r="I24" s="23"/>
    </row>
    <row r="26">
      <c r="A26" s="6" t="str">
        <f t="shared" ref="A26:A35" si="12">A14</f>
        <v>Model</v>
      </c>
      <c r="B26" s="6" t="str">
        <f>SUBSTITUTE(Sheet2!B15, "_", "")</f>
        <v>WgtAv201</v>
      </c>
      <c r="C26" s="6" t="str">
        <f>SUBSTITUTE(Sheet2!C15, "_", "")</f>
        <v>Concat201</v>
      </c>
      <c r="D26" s="6" t="str">
        <f>SUBSTITUTE(Sheet2!D15, "_", "")</f>
        <v>Minimum201</v>
      </c>
      <c r="E26" s="6" t="str">
        <f>SUBSTITUTE(Sheet2!E15, "_", "")</f>
        <v>Maximum201</v>
      </c>
      <c r="F26" s="6" t="str">
        <f>SUBSTITUTE(Sheet2!F15, "_", "")</f>
        <v>Multiply201</v>
      </c>
      <c r="G26" s="6" t="str">
        <f>SUBSTITUTE(Sheet2!G15, "_", "")</f>
        <v>Subtract201</v>
      </c>
      <c r="H26" s="2" t="str">
        <f t="shared" ref="H26:M26" si="11">B26</f>
        <v>WgtAv201</v>
      </c>
      <c r="I26" s="2" t="str">
        <f t="shared" si="11"/>
        <v>Concat201</v>
      </c>
      <c r="J26" s="2" t="str">
        <f t="shared" si="11"/>
        <v>Minimum201</v>
      </c>
      <c r="K26" s="2" t="str">
        <f t="shared" si="11"/>
        <v>Maximum201</v>
      </c>
      <c r="L26" s="2" t="str">
        <f t="shared" si="11"/>
        <v>Multiply201</v>
      </c>
      <c r="M26" s="2" t="str">
        <f t="shared" si="11"/>
        <v>Subtract201</v>
      </c>
    </row>
    <row r="27">
      <c r="A27" s="6" t="str">
        <f t="shared" si="12"/>
        <v>End epoch</v>
      </c>
      <c r="B27" s="6">
        <f>Sheet2!B16</f>
        <v>92</v>
      </c>
      <c r="C27" s="6">
        <f>Sheet2!C16</f>
        <v>243</v>
      </c>
      <c r="D27" s="6">
        <f>Sheet2!D16</f>
        <v>102</v>
      </c>
      <c r="E27" s="6">
        <f>Sheet2!E16</f>
        <v>157</v>
      </c>
      <c r="F27" s="6">
        <f>Sheet2!F16</f>
        <v>133</v>
      </c>
      <c r="G27" s="6">
        <f>Sheet2!G16</f>
        <v>140</v>
      </c>
      <c r="H27" s="2">
        <f t="shared" ref="H27:M27" si="13">B27-B3</f>
        <v>78</v>
      </c>
      <c r="I27" s="2">
        <f t="shared" si="13"/>
        <v>115</v>
      </c>
      <c r="J27" s="2">
        <f t="shared" si="13"/>
        <v>-115</v>
      </c>
      <c r="K27" s="2">
        <f t="shared" si="13"/>
        <v>44</v>
      </c>
      <c r="L27" s="2">
        <f t="shared" si="13"/>
        <v>-9</v>
      </c>
      <c r="M27" s="2">
        <f t="shared" si="13"/>
        <v>-50</v>
      </c>
      <c r="N27" s="2">
        <f t="shared" ref="N27:N35" si="15">sum(H27:M27)</f>
        <v>63</v>
      </c>
    </row>
    <row r="28">
      <c r="A28" s="6" t="str">
        <f t="shared" si="12"/>
        <v>Training time (M)</v>
      </c>
      <c r="B28" s="21">
        <f>Sheet2!B17</f>
        <v>39.79930484</v>
      </c>
      <c r="C28" s="21">
        <f>Sheet2!C17</f>
        <v>72.83941724</v>
      </c>
      <c r="D28" s="21">
        <f>Sheet2!D17</f>
        <v>30.92709964</v>
      </c>
      <c r="E28" s="21">
        <f>Sheet2!E17</f>
        <v>45.56790625</v>
      </c>
      <c r="F28" s="21">
        <f>Sheet2!F17</f>
        <v>318.1177779</v>
      </c>
      <c r="G28" s="21">
        <f>Sheet2!G17</f>
        <v>64.09680218</v>
      </c>
      <c r="H28" s="10">
        <f t="shared" ref="H28:H35" si="16">B28 -B4</f>
        <v>32.52317543</v>
      </c>
      <c r="I28" s="10">
        <f t="shared" ref="I28:M28" si="14">C28-C4</f>
        <v>43.30304248</v>
      </c>
      <c r="J28" s="10">
        <f t="shared" si="14"/>
        <v>-43.30358197</v>
      </c>
      <c r="K28" s="10">
        <f t="shared" si="14"/>
        <v>4.681089691</v>
      </c>
      <c r="L28" s="10">
        <f t="shared" si="14"/>
        <v>258.0312308</v>
      </c>
      <c r="M28" s="10">
        <f t="shared" si="14"/>
        <v>15.39110808</v>
      </c>
      <c r="N28" s="10">
        <f t="shared" si="15"/>
        <v>310.6260645</v>
      </c>
    </row>
    <row r="29">
      <c r="A29" s="6" t="str">
        <f t="shared" si="12"/>
        <v>Validation Loss</v>
      </c>
      <c r="B29" s="21">
        <f>Sheet2!B18</f>
        <v>0.1261462122</v>
      </c>
      <c r="C29" s="21">
        <f>Sheet2!C18</f>
        <v>0.1202505231</v>
      </c>
      <c r="D29" s="21">
        <f>Sheet2!D18</f>
        <v>0.125329107</v>
      </c>
      <c r="E29" s="21">
        <f>Sheet2!E18</f>
        <v>0.1287558079</v>
      </c>
      <c r="F29" s="21">
        <f>Sheet2!F18</f>
        <v>0.1256015599</v>
      </c>
      <c r="G29" s="21">
        <f>Sheet2!G18</f>
        <v>0.1254451275</v>
      </c>
      <c r="H29" s="10">
        <f t="shared" si="16"/>
        <v>-0.04107603431</v>
      </c>
      <c r="I29" s="10">
        <f t="shared" ref="I29:M29" si="17">C29-C5</f>
        <v>-0.002815581858</v>
      </c>
      <c r="J29" s="10">
        <f t="shared" si="17"/>
        <v>0.001554600894</v>
      </c>
      <c r="K29" s="10">
        <f t="shared" si="17"/>
        <v>0.003188803792</v>
      </c>
      <c r="L29" s="10">
        <f t="shared" si="17"/>
        <v>-0.003486424685</v>
      </c>
      <c r="M29" s="10">
        <f t="shared" si="17"/>
        <v>-0.0008421838284</v>
      </c>
      <c r="N29" s="10">
        <f t="shared" si="15"/>
        <v>-0.04347681999</v>
      </c>
    </row>
    <row r="30">
      <c r="A30" s="6" t="str">
        <f t="shared" si="12"/>
        <v>Test Accuracy</v>
      </c>
      <c r="B30" s="22">
        <f>Sheet2!B19</f>
        <v>0.948172043</v>
      </c>
      <c r="C30" s="22">
        <f>Sheet2!C19</f>
        <v>0.9475268817</v>
      </c>
      <c r="D30" s="22">
        <f>Sheet2!D19</f>
        <v>0.9456989247</v>
      </c>
      <c r="E30" s="22">
        <f>Sheet2!E19</f>
        <v>0.9460215054</v>
      </c>
      <c r="F30" s="22">
        <f>Sheet2!F19</f>
        <v>0.9484946237</v>
      </c>
      <c r="G30" s="22">
        <f>Sheet2!G19</f>
        <v>0.9453763441</v>
      </c>
      <c r="H30" s="22">
        <f t="shared" si="16"/>
        <v>0.01419354839</v>
      </c>
      <c r="I30" s="25">
        <f t="shared" ref="I30:M30" si="18">C30-C6</f>
        <v>0.0004301075269</v>
      </c>
      <c r="J30" s="25">
        <f t="shared" si="18"/>
        <v>-0.002258064516</v>
      </c>
      <c r="K30" s="25">
        <f t="shared" si="18"/>
        <v>-0.001720430108</v>
      </c>
      <c r="L30" s="25">
        <f t="shared" si="18"/>
        <v>0.001612903226</v>
      </c>
      <c r="M30" s="25">
        <f t="shared" si="18"/>
        <v>-0.005913978495</v>
      </c>
      <c r="N30" s="25">
        <f t="shared" si="15"/>
        <v>0.006344086022</v>
      </c>
    </row>
    <row r="31">
      <c r="A31" s="6" t="str">
        <f t="shared" si="12"/>
        <v>Precision</v>
      </c>
      <c r="B31" s="22">
        <f>Sheet2!B20</f>
        <v>0.9685251799</v>
      </c>
      <c r="C31" s="22">
        <f>Sheet2!C20</f>
        <v>0.9682718272</v>
      </c>
      <c r="D31" s="22">
        <f>Sheet2!D20</f>
        <v>0.9639579136</v>
      </c>
      <c r="E31" s="22">
        <f>Sheet2!E20</f>
        <v>0.9646057348</v>
      </c>
      <c r="F31" s="22">
        <f>Sheet2!F20</f>
        <v>0.9723669309</v>
      </c>
      <c r="G31" s="22">
        <f>Sheet2!G20</f>
        <v>0.9643497758</v>
      </c>
      <c r="H31" s="22">
        <f t="shared" si="16"/>
        <v>0.01422531493</v>
      </c>
      <c r="I31" s="25">
        <f t="shared" ref="I31:M31" si="19">C31-C7</f>
        <v>0.003171156042</v>
      </c>
      <c r="J31" s="25">
        <f t="shared" si="19"/>
        <v>0.006557825754</v>
      </c>
      <c r="K31" s="25">
        <f t="shared" si="19"/>
        <v>0.001321355595</v>
      </c>
      <c r="L31" s="25">
        <f t="shared" si="19"/>
        <v>0.006865138803</v>
      </c>
      <c r="M31" s="25">
        <f t="shared" si="19"/>
        <v>-0.003126276788</v>
      </c>
      <c r="N31" s="25">
        <f t="shared" si="15"/>
        <v>0.02901451434</v>
      </c>
    </row>
    <row r="32">
      <c r="A32" s="6" t="str">
        <f t="shared" si="12"/>
        <v>Recall</v>
      </c>
      <c r="B32" s="22">
        <f>Sheet2!B21</f>
        <v>0.9264516129</v>
      </c>
      <c r="C32" s="22">
        <f>Sheet2!C21</f>
        <v>0.9253763441</v>
      </c>
      <c r="D32" s="22">
        <f>Sheet2!D21</f>
        <v>0.9260215054</v>
      </c>
      <c r="E32" s="22">
        <f>Sheet2!E21</f>
        <v>0.9260215054</v>
      </c>
      <c r="F32" s="22">
        <f>Sheet2!F21</f>
        <v>0.9232258065</v>
      </c>
      <c r="G32" s="22">
        <f>Sheet2!G21</f>
        <v>0.9249462366</v>
      </c>
      <c r="H32" s="22">
        <f t="shared" si="16"/>
        <v>0.01483870968</v>
      </c>
      <c r="I32" s="25">
        <f t="shared" ref="I32:M32" si="20">C32-C8</f>
        <v>-0.002365591398</v>
      </c>
      <c r="J32" s="25">
        <f t="shared" si="20"/>
        <v>-0.01161290323</v>
      </c>
      <c r="K32" s="25">
        <f t="shared" si="20"/>
        <v>-0.004946236559</v>
      </c>
      <c r="L32" s="25">
        <f t="shared" si="20"/>
        <v>-0.003655913978</v>
      </c>
      <c r="M32" s="25">
        <f t="shared" si="20"/>
        <v>-0.009032258065</v>
      </c>
      <c r="N32" s="25">
        <f t="shared" si="15"/>
        <v>-0.01677419355</v>
      </c>
    </row>
    <row r="33">
      <c r="A33" s="6" t="str">
        <f t="shared" si="12"/>
        <v>F1 Score</v>
      </c>
      <c r="B33" s="22">
        <f>Sheet2!B22</f>
        <v>0.9470213234</v>
      </c>
      <c r="C33" s="22">
        <f>Sheet2!C22</f>
        <v>0.946338245</v>
      </c>
      <c r="D33" s="22">
        <f>Sheet2!D22</f>
        <v>0.9446089722</v>
      </c>
      <c r="E33" s="22">
        <f>Sheet2!E22</f>
        <v>0.9449199034</v>
      </c>
      <c r="F33" s="22">
        <f>Sheet2!F22</f>
        <v>0.9471594043</v>
      </c>
      <c r="G33" s="22">
        <f>Sheet2!G22</f>
        <v>0.9442371021</v>
      </c>
      <c r="H33" s="22">
        <f t="shared" si="16"/>
        <v>0.01455321954</v>
      </c>
      <c r="I33" s="25">
        <f t="shared" ref="I33:M33" si="21">C33-C9</f>
        <v>0.0002856134178</v>
      </c>
      <c r="J33" s="25">
        <f t="shared" si="21"/>
        <v>-0.002805195504</v>
      </c>
      <c r="K33" s="25">
        <f t="shared" si="21"/>
        <v>-0.001930490256</v>
      </c>
      <c r="L33" s="25">
        <f t="shared" si="21"/>
        <v>0.001361730394</v>
      </c>
      <c r="M33" s="25">
        <f t="shared" si="21"/>
        <v>-0.006195111504</v>
      </c>
      <c r="N33" s="25">
        <f t="shared" si="15"/>
        <v>0.005269766088</v>
      </c>
    </row>
    <row r="34">
      <c r="A34" s="6" t="str">
        <f t="shared" si="12"/>
        <v>ROC AUC Score</v>
      </c>
      <c r="B34" s="22">
        <f>Sheet2!B23</f>
        <v>0.9902365591</v>
      </c>
      <c r="C34" s="22">
        <f>Sheet2!C23</f>
        <v>0.9907659383</v>
      </c>
      <c r="D34" s="22">
        <f>Sheet2!D23</f>
        <v>0.9909678807</v>
      </c>
      <c r="E34" s="22">
        <f>Sheet2!E23</f>
        <v>0.9893565036</v>
      </c>
      <c r="F34" s="22">
        <f>Sheet2!F23</f>
        <v>0.9911153891</v>
      </c>
      <c r="G34" s="22">
        <f>Sheet2!G23</f>
        <v>0.9905813158</v>
      </c>
      <c r="H34" s="22">
        <f t="shared" si="16"/>
        <v>0.004591235981</v>
      </c>
      <c r="I34" s="25">
        <f t="shared" ref="I34:M34" si="22">C34-C10</f>
        <v>0.0001649439242</v>
      </c>
      <c r="J34" s="25">
        <f t="shared" si="22"/>
        <v>0.0004487686438</v>
      </c>
      <c r="K34" s="25">
        <f t="shared" si="22"/>
        <v>-0.001177407793</v>
      </c>
      <c r="L34" s="25">
        <f t="shared" si="22"/>
        <v>0.0008995259568</v>
      </c>
      <c r="M34" s="25">
        <f t="shared" si="22"/>
        <v>-0.0007105330096</v>
      </c>
      <c r="N34" s="25">
        <f t="shared" si="15"/>
        <v>0.004216533703</v>
      </c>
    </row>
    <row r="35">
      <c r="A35" s="6" t="str">
        <f t="shared" si="12"/>
        <v>Prediction Time</v>
      </c>
      <c r="B35" s="21">
        <f>Sheet2!B24</f>
        <v>1.157130241</v>
      </c>
      <c r="C35" s="21">
        <f>Sheet2!C24</f>
        <v>0.8790180683</v>
      </c>
      <c r="D35" s="21">
        <f>Sheet2!D24</f>
        <v>0.644166708</v>
      </c>
      <c r="E35" s="21">
        <f>Sheet2!E24</f>
        <v>0.721965313</v>
      </c>
      <c r="F35" s="21">
        <f>Sheet2!F24</f>
        <v>1.200303316</v>
      </c>
      <c r="G35" s="21">
        <f>Sheet2!G24</f>
        <v>1.131290436</v>
      </c>
      <c r="H35" s="21">
        <f t="shared" si="16"/>
        <v>0.6383779049</v>
      </c>
      <c r="I35" s="10">
        <f t="shared" ref="I35:M35" si="23">C35-C11</f>
        <v>0.259083271</v>
      </c>
      <c r="J35" s="10">
        <f t="shared" si="23"/>
        <v>-0.0619096756</v>
      </c>
      <c r="K35" s="10">
        <f t="shared" si="23"/>
        <v>-0.1423227787</v>
      </c>
      <c r="L35" s="10">
        <f t="shared" si="23"/>
        <v>0.4937925339</v>
      </c>
      <c r="M35" s="10">
        <f t="shared" si="23"/>
        <v>0.4168703556</v>
      </c>
      <c r="N35" s="10">
        <f t="shared" si="15"/>
        <v>1.603891611</v>
      </c>
    </row>
    <row r="36">
      <c r="H36" s="25">
        <f t="shared" ref="H36:N36" si="24">SUM(H30:H35)</f>
        <v>0.7007799334</v>
      </c>
      <c r="I36" s="25">
        <f t="shared" si="24"/>
        <v>0.2607695005</v>
      </c>
      <c r="J36" s="25">
        <f t="shared" si="24"/>
        <v>-0.07157924445</v>
      </c>
      <c r="K36" s="25">
        <f t="shared" si="24"/>
        <v>-0.1507759878</v>
      </c>
      <c r="L36" s="25">
        <f t="shared" si="24"/>
        <v>0.5008759183</v>
      </c>
      <c r="M36" s="25">
        <f t="shared" si="24"/>
        <v>0.3918921977</v>
      </c>
      <c r="N36" s="25">
        <f t="shared" si="24"/>
        <v>1.631962318</v>
      </c>
    </row>
    <row r="38">
      <c r="A38" s="6" t="str">
        <f t="shared" ref="A38:A47" si="26">A26</f>
        <v>Model</v>
      </c>
      <c r="B38" s="6" t="str">
        <f>SUBSTITUTE(Sheet2!H15, "_", "")</f>
        <v>WgtAv401</v>
      </c>
      <c r="C38" s="6" t="str">
        <f>SUBSTITUTE(Sheet2!I15, "_", "")</f>
        <v>Concat401</v>
      </c>
      <c r="D38" s="6" t="str">
        <f>SUBSTITUTE(Sheet2!J15, "_", "")</f>
        <v>Minimum401</v>
      </c>
      <c r="E38" s="6" t="str">
        <f>SUBSTITUTE(Sheet2!K15, "_", "")</f>
        <v>Maximum401</v>
      </c>
      <c r="F38" s="6" t="str">
        <f>SUBSTITUTE(Sheet2!L15, "_", "")</f>
        <v>Multiply401</v>
      </c>
      <c r="G38" s="6" t="str">
        <f>SUBSTITUTE(Sheet2!M15, "_", "")</f>
        <v>Subtract401</v>
      </c>
      <c r="H38" s="2" t="str">
        <f t="shared" ref="H38:M38" si="25">B38</f>
        <v>WgtAv401</v>
      </c>
      <c r="I38" s="2" t="str">
        <f t="shared" si="25"/>
        <v>Concat401</v>
      </c>
      <c r="J38" s="2" t="str">
        <f t="shared" si="25"/>
        <v>Minimum401</v>
      </c>
      <c r="K38" s="2" t="str">
        <f t="shared" si="25"/>
        <v>Maximum401</v>
      </c>
      <c r="L38" s="2" t="str">
        <f t="shared" si="25"/>
        <v>Multiply401</v>
      </c>
      <c r="M38" s="2" t="str">
        <f t="shared" si="25"/>
        <v>Subtract401</v>
      </c>
    </row>
    <row r="39">
      <c r="A39" s="6" t="str">
        <f t="shared" si="26"/>
        <v>End epoch</v>
      </c>
      <c r="B39" s="6">
        <f>Sheet2!H16</f>
        <v>79</v>
      </c>
      <c r="C39" s="6">
        <f>Sheet2!I16</f>
        <v>153</v>
      </c>
      <c r="D39" s="6">
        <f>Sheet2!J16</f>
        <v>126</v>
      </c>
      <c r="E39" s="6">
        <f>Sheet2!K16</f>
        <v>69</v>
      </c>
      <c r="F39" s="6">
        <f>Sheet2!L16</f>
        <v>126</v>
      </c>
      <c r="G39" s="6">
        <f>Sheet2!M16</f>
        <v>79</v>
      </c>
      <c r="H39" s="19">
        <f t="shared" ref="H39:H47" si="28">B39 -B15</f>
        <v>-11</v>
      </c>
      <c r="I39" s="19">
        <f t="shared" ref="I39:M39" si="27">if(C39 &lt; C15, 1, -1)</f>
        <v>-1</v>
      </c>
      <c r="J39" s="19">
        <f t="shared" si="27"/>
        <v>-1</v>
      </c>
      <c r="K39" s="19">
        <f t="shared" si="27"/>
        <v>1</v>
      </c>
      <c r="L39" s="19">
        <f t="shared" si="27"/>
        <v>1</v>
      </c>
      <c r="M39" s="19">
        <f t="shared" si="27"/>
        <v>1</v>
      </c>
      <c r="N39" s="2">
        <f t="shared" ref="N39:N47" si="30">sum(H39:M39)</f>
        <v>-10</v>
      </c>
    </row>
    <row r="40">
      <c r="A40" s="6" t="str">
        <f t="shared" si="26"/>
        <v>Training time (M)</v>
      </c>
      <c r="B40" s="21">
        <f>Sheet2!H17</f>
        <v>31.57662918</v>
      </c>
      <c r="C40" s="21">
        <f>Sheet2!I17</f>
        <v>46.52257148</v>
      </c>
      <c r="D40" s="21">
        <f>Sheet2!J17</f>
        <v>38.94374844</v>
      </c>
      <c r="E40" s="21">
        <f>Sheet2!K17</f>
        <v>24.37023713</v>
      </c>
      <c r="F40" s="21">
        <f>Sheet2!L17</f>
        <v>35.59526302</v>
      </c>
      <c r="G40" s="21">
        <f>Sheet2!M17</f>
        <v>109.4230346</v>
      </c>
      <c r="H40" s="17">
        <f t="shared" si="28"/>
        <v>2.714953232</v>
      </c>
      <c r="I40" s="2">
        <f t="shared" ref="I40:M40" si="29">if(C40 &lt; C16, 1, -1)</f>
        <v>-1</v>
      </c>
      <c r="J40" s="2">
        <f t="shared" si="29"/>
        <v>-1</v>
      </c>
      <c r="K40" s="2">
        <f t="shared" si="29"/>
        <v>1</v>
      </c>
      <c r="L40" s="2">
        <f t="shared" si="29"/>
        <v>1</v>
      </c>
      <c r="M40" s="2">
        <f t="shared" si="29"/>
        <v>-1</v>
      </c>
      <c r="N40" s="10">
        <f t="shared" si="30"/>
        <v>1.714953232</v>
      </c>
    </row>
    <row r="41">
      <c r="A41" s="6" t="str">
        <f t="shared" si="26"/>
        <v>Validation Loss</v>
      </c>
      <c r="B41" s="22">
        <f>Sheet2!H18</f>
        <v>0.05225793272</v>
      </c>
      <c r="C41" s="22">
        <f>Sheet2!I18</f>
        <v>0.05143495277</v>
      </c>
      <c r="D41" s="22">
        <f>Sheet2!J18</f>
        <v>0.06302534044</v>
      </c>
      <c r="E41" s="22">
        <f>Sheet2!K18</f>
        <v>0.0581516996</v>
      </c>
      <c r="F41" s="22">
        <f>Sheet2!L18</f>
        <v>0.05703833699</v>
      </c>
      <c r="G41" s="22">
        <f>Sheet2!M18</f>
        <v>0.05360502377</v>
      </c>
      <c r="H41" s="26">
        <f t="shared" si="28"/>
        <v>-0.001762710512</v>
      </c>
      <c r="I41" s="19">
        <f t="shared" ref="I41:M41" si="31">if(C41 &lt; C17, 1, -1)</f>
        <v>1</v>
      </c>
      <c r="J41" s="19">
        <f t="shared" si="31"/>
        <v>-1</v>
      </c>
      <c r="K41" s="19">
        <f t="shared" si="31"/>
        <v>-1</v>
      </c>
      <c r="L41" s="19">
        <f t="shared" si="31"/>
        <v>-1</v>
      </c>
      <c r="M41" s="19">
        <f t="shared" si="31"/>
        <v>1</v>
      </c>
      <c r="N41" s="25">
        <f t="shared" si="30"/>
        <v>-1.001762711</v>
      </c>
    </row>
    <row r="42">
      <c r="A42" s="6" t="str">
        <f t="shared" si="26"/>
        <v>Test Accuracy</v>
      </c>
      <c r="B42" s="22">
        <f>Sheet2!H19</f>
        <v>0.98</v>
      </c>
      <c r="C42" s="22">
        <f>Sheet2!I19</f>
        <v>0.983655914</v>
      </c>
      <c r="D42" s="22">
        <f>Sheet2!J19</f>
        <v>0.9789247312</v>
      </c>
      <c r="E42" s="22">
        <f>Sheet2!K19</f>
        <v>0.9804301075</v>
      </c>
      <c r="F42" s="22">
        <f>Sheet2!L19</f>
        <v>0.9823655914</v>
      </c>
      <c r="G42" s="22">
        <f>Sheet2!M19</f>
        <v>0.9801075269</v>
      </c>
      <c r="H42" s="26">
        <f t="shared" si="28"/>
        <v>-0.000752688172</v>
      </c>
      <c r="I42" s="26">
        <f t="shared" ref="I42:M42" si="32">C42 -C18</f>
        <v>0.001935483871</v>
      </c>
      <c r="J42" s="26">
        <f t="shared" si="32"/>
        <v>-0.003440860215</v>
      </c>
      <c r="K42" s="26">
        <f t="shared" si="32"/>
        <v>-0.001827956989</v>
      </c>
      <c r="L42" s="26">
        <f t="shared" si="32"/>
        <v>0.001075268817</v>
      </c>
      <c r="M42" s="26">
        <f t="shared" si="32"/>
        <v>-0.0005376344086</v>
      </c>
      <c r="N42" s="25">
        <f t="shared" si="30"/>
        <v>-0.003548387097</v>
      </c>
    </row>
    <row r="43">
      <c r="A43" s="6" t="str">
        <f t="shared" si="26"/>
        <v>Precision</v>
      </c>
      <c r="B43" s="22">
        <f>Sheet2!H20</f>
        <v>0.984164859</v>
      </c>
      <c r="C43" s="22">
        <f>Sheet2!I20</f>
        <v>0.9846982759</v>
      </c>
      <c r="D43" s="22">
        <f>Sheet2!J20</f>
        <v>0.9837098175</v>
      </c>
      <c r="E43" s="22">
        <f>Sheet2!K20</f>
        <v>0.9869224063</v>
      </c>
      <c r="F43" s="22">
        <f>Sheet2!L20</f>
        <v>0.9861291721</v>
      </c>
      <c r="G43" s="22">
        <f>Sheet2!M20</f>
        <v>0.9824940566</v>
      </c>
      <c r="H43" s="26">
        <f t="shared" si="28"/>
        <v>-0.0004438555003</v>
      </c>
      <c r="I43" s="19">
        <f t="shared" ref="I43:M43" si="33">if(C43 &lt; C19, 1, -1)</f>
        <v>1</v>
      </c>
      <c r="J43" s="19">
        <f t="shared" si="33"/>
        <v>1</v>
      </c>
      <c r="K43" s="19">
        <f t="shared" si="33"/>
        <v>-1</v>
      </c>
      <c r="L43" s="19">
        <f t="shared" si="33"/>
        <v>1</v>
      </c>
      <c r="M43" s="19">
        <f t="shared" si="33"/>
        <v>-1</v>
      </c>
      <c r="N43" s="25">
        <f t="shared" si="30"/>
        <v>0.9995561445</v>
      </c>
    </row>
    <row r="44">
      <c r="A44" s="6" t="str">
        <f t="shared" si="26"/>
        <v>Recall</v>
      </c>
      <c r="B44" s="22">
        <f>Sheet2!H21</f>
        <v>0.9756989247</v>
      </c>
      <c r="C44" s="22">
        <f>Sheet2!I21</f>
        <v>0.9825806452</v>
      </c>
      <c r="D44" s="22">
        <f>Sheet2!J21</f>
        <v>0.9739784946</v>
      </c>
      <c r="E44" s="22">
        <f>Sheet2!K21</f>
        <v>0.9737634409</v>
      </c>
      <c r="F44" s="22">
        <f>Sheet2!L21</f>
        <v>0.9784946237</v>
      </c>
      <c r="G44" s="22">
        <f>Sheet2!M21</f>
        <v>0.9776344086</v>
      </c>
      <c r="H44" s="26">
        <f t="shared" si="28"/>
        <v>-0.001075268817</v>
      </c>
      <c r="I44" s="19">
        <f t="shared" ref="I44:M44" si="34">if(C44 &lt; C20, 1, -1)</f>
        <v>-1</v>
      </c>
      <c r="J44" s="19">
        <f t="shared" si="34"/>
        <v>1</v>
      </c>
      <c r="K44" s="19">
        <f t="shared" si="34"/>
        <v>1</v>
      </c>
      <c r="L44" s="19">
        <f t="shared" si="34"/>
        <v>-1</v>
      </c>
      <c r="M44" s="19">
        <f t="shared" si="34"/>
        <v>1</v>
      </c>
      <c r="N44" s="25">
        <f t="shared" si="30"/>
        <v>0.9989247312</v>
      </c>
    </row>
    <row r="45">
      <c r="A45" s="6" t="str">
        <f t="shared" si="26"/>
        <v>F1 Score</v>
      </c>
      <c r="B45" s="22">
        <f>Sheet2!H22</f>
        <v>0.9799136069</v>
      </c>
      <c r="C45" s="22">
        <f>Sheet2!I22</f>
        <v>0.9836383208</v>
      </c>
      <c r="D45" s="22">
        <f>Sheet2!J22</f>
        <v>0.9788199697</v>
      </c>
      <c r="E45" s="22">
        <f>Sheet2!K22</f>
        <v>0.980298766</v>
      </c>
      <c r="F45" s="22">
        <f>Sheet2!L22</f>
        <v>0.9822970639</v>
      </c>
      <c r="G45" s="22">
        <f>Sheet2!M22</f>
        <v>0.9800582085</v>
      </c>
      <c r="H45" s="26">
        <f t="shared" si="28"/>
        <v>-0.0007622000625</v>
      </c>
      <c r="I45" s="19">
        <f t="shared" ref="I45:M45" si="35">if(C45 &lt; C21, 1, -1)</f>
        <v>-1</v>
      </c>
      <c r="J45" s="19">
        <f t="shared" si="35"/>
        <v>1</v>
      </c>
      <c r="K45" s="19">
        <f t="shared" si="35"/>
        <v>1</v>
      </c>
      <c r="L45" s="19">
        <f t="shared" si="35"/>
        <v>-1</v>
      </c>
      <c r="M45" s="19">
        <f t="shared" si="35"/>
        <v>1</v>
      </c>
      <c r="N45" s="25">
        <f t="shared" si="30"/>
        <v>0.9992377999</v>
      </c>
    </row>
    <row r="46">
      <c r="A46" s="6" t="str">
        <f t="shared" si="26"/>
        <v>ROC AUC Score</v>
      </c>
      <c r="B46" s="22">
        <f>Sheet2!H23</f>
        <v>0.9980982079</v>
      </c>
      <c r="C46" s="22">
        <f>Sheet2!I23</f>
        <v>0.9984117008</v>
      </c>
      <c r="D46" s="22">
        <f>Sheet2!J23</f>
        <v>0.9978158169</v>
      </c>
      <c r="E46" s="22">
        <f>Sheet2!K23</f>
        <v>0.9979113886</v>
      </c>
      <c r="F46" s="22">
        <f>Sheet2!L23</f>
        <v>0.9985003353</v>
      </c>
      <c r="G46" s="22">
        <f>Sheet2!M23</f>
        <v>0.9981273904</v>
      </c>
      <c r="H46" s="26">
        <f t="shared" si="28"/>
        <v>-0.0002884495317</v>
      </c>
      <c r="I46" s="19">
        <f t="shared" ref="I46:M46" si="36">if(C46 &lt; C22, 1, -1)</f>
        <v>1</v>
      </c>
      <c r="J46" s="19">
        <f t="shared" si="36"/>
        <v>1</v>
      </c>
      <c r="K46" s="19">
        <f t="shared" si="36"/>
        <v>1</v>
      </c>
      <c r="L46" s="19">
        <f t="shared" si="36"/>
        <v>-1</v>
      </c>
      <c r="M46" s="19">
        <f t="shared" si="36"/>
        <v>1</v>
      </c>
      <c r="N46" s="25">
        <f t="shared" si="30"/>
        <v>2.99971155</v>
      </c>
    </row>
    <row r="47">
      <c r="A47" s="6" t="str">
        <f t="shared" si="26"/>
        <v>Prediction Time</v>
      </c>
      <c r="B47" s="22">
        <f>Sheet2!H24</f>
        <v>0.7411468029</v>
      </c>
      <c r="C47" s="22">
        <f>Sheet2!I24</f>
        <v>0.817104578</v>
      </c>
      <c r="D47" s="22">
        <f>Sheet2!J24</f>
        <v>0.8008854389</v>
      </c>
      <c r="E47" s="22">
        <f>Sheet2!K24</f>
        <v>0.628932476</v>
      </c>
      <c r="F47" s="22">
        <f>Sheet2!L24</f>
        <v>0.6774573326</v>
      </c>
      <c r="G47" s="22">
        <f>Sheet2!M24</f>
        <v>1.37979126</v>
      </c>
      <c r="H47" s="26">
        <f t="shared" si="28"/>
        <v>-0.07534337044</v>
      </c>
      <c r="I47" s="19">
        <f t="shared" ref="I47:M47" si="37">if(C47 &lt; C23, 1, -1)</f>
        <v>-1</v>
      </c>
      <c r="J47" s="19">
        <f t="shared" si="37"/>
        <v>-1</v>
      </c>
      <c r="K47" s="19">
        <f t="shared" si="37"/>
        <v>1</v>
      </c>
      <c r="L47" s="19">
        <f t="shared" si="37"/>
        <v>1</v>
      </c>
      <c r="M47" s="19">
        <f t="shared" si="37"/>
        <v>-1</v>
      </c>
      <c r="N47" s="25">
        <f t="shared" si="30"/>
        <v>-1.07534337</v>
      </c>
    </row>
    <row r="48">
      <c r="H48" s="25">
        <f>SUM(H41:H47)</f>
        <v>-0.08042854303</v>
      </c>
      <c r="I48" s="2">
        <f t="shared" ref="I48:M48" si="38">SUM(I39:I47)</f>
        <v>-1.998064516</v>
      </c>
      <c r="J48" s="2">
        <f t="shared" si="38"/>
        <v>-0.003440860215</v>
      </c>
      <c r="K48" s="2">
        <f t="shared" si="38"/>
        <v>3.998172043</v>
      </c>
      <c r="L48" s="2">
        <f t="shared" si="38"/>
        <v>0.001075268817</v>
      </c>
      <c r="M48" s="2">
        <f t="shared" si="38"/>
        <v>1.999462366</v>
      </c>
    </row>
  </sheetData>
  <drawing r:id="rId1"/>
</worksheet>
</file>