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farleycap-my.sharepoint.com/personal/nmakam_farleycap_com/Documents/00 Industry Data/01 Aerospace &amp; Defence Sector/Database/"/>
    </mc:Choice>
  </mc:AlternateContent>
  <xr:revisionPtr revIDLastSave="448" documentId="8_{E2BD8900-D9D7-404D-81DB-ABEB9008815E}" xr6:coauthVersionLast="47" xr6:coauthVersionMax="47" xr10:uidLastSave="{F02EC579-C0A1-45F4-8CB7-B5796EE45650}"/>
  <bookViews>
    <workbookView xWindow="-120" yWindow="-120" windowWidth="29040" windowHeight="15720" tabRatio="445" firstSheet="1" activeTab="1" xr2:uid="{130245C8-BA94-498F-809F-7B08F38538CA}"/>
  </bookViews>
  <sheets>
    <sheet name="Summary" sheetId="4" state="hidden" r:id="rId1"/>
    <sheet name="CCA_Defense" sheetId="1" r:id="rId2"/>
    <sheet name="Conviction List" sheetId="8" r:id="rId3"/>
    <sheet name="Financial Summary" sheetId="15" r:id="rId4"/>
    <sheet name="BBdata" sheetId="13" state="hidden" r:id="rId5"/>
    <sheet name="PE_Projections" sheetId="11" r:id="rId6"/>
    <sheet name="Company Map" sheetId="10" r:id="rId7"/>
    <sheet name="Glossary" sheetId="3" r:id="rId8"/>
    <sheet name="Chart Data" sheetId="5" state="hidden" r:id="rId9"/>
    <sheet name="Defence_Data" sheetId="2" state="hidden" r:id="rId10"/>
    <sheet name="BB_Input" sheetId="14" r:id="rId11"/>
  </sheets>
  <definedNames>
    <definedName name="_xlnm._FilterDatabase" localSheetId="1" hidden="1">CCA_Defense!$B$2:$CK$84</definedName>
    <definedName name="_xlnm._FilterDatabase" localSheetId="5" hidden="1">PE_Projections!$B$2:$AR$80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1" l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F81" i="1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C15" i="11"/>
  <c r="AD53" i="11"/>
  <c r="AC53" i="11"/>
  <c r="AD69" i="11"/>
  <c r="AE69" i="11" s="1"/>
  <c r="AF69" i="11" s="1"/>
  <c r="AG69" i="11" s="1"/>
  <c r="AD78" i="11"/>
  <c r="AE78" i="11" s="1"/>
  <c r="AF78" i="11" s="1"/>
  <c r="AG78" i="11" s="1"/>
  <c r="AD52" i="11"/>
  <c r="AE52" i="11" s="1"/>
  <c r="AF52" i="11" s="1"/>
  <c r="AG52" i="11" s="1"/>
  <c r="AC50" i="11"/>
  <c r="AD50" i="11" s="1"/>
  <c r="AE50" i="11" s="1"/>
  <c r="AF50" i="11" s="1"/>
  <c r="AG50" i="11" s="1"/>
  <c r="AD46" i="11"/>
  <c r="AE46" i="11" s="1"/>
  <c r="AF46" i="11" s="1"/>
  <c r="AG46" i="11" s="1"/>
  <c r="AD37" i="11"/>
  <c r="AE37" i="11" s="1"/>
  <c r="AF37" i="11" s="1"/>
  <c r="AG37" i="11" s="1"/>
  <c r="AD36" i="11"/>
  <c r="AE36" i="11" s="1"/>
  <c r="AF36" i="11" s="1"/>
  <c r="AG36" i="11" s="1"/>
  <c r="AC35" i="11"/>
  <c r="AD35" i="11" s="1"/>
  <c r="AE35" i="11" s="1"/>
  <c r="AF35" i="11" s="1"/>
  <c r="AG35" i="11" s="1"/>
  <c r="AG26" i="11"/>
  <c r="AF26" i="11"/>
  <c r="AE26" i="11"/>
  <c r="AD26" i="11"/>
  <c r="AC26" i="11"/>
  <c r="AE24" i="11"/>
  <c r="AF24" i="11" s="1"/>
  <c r="AG24" i="11" s="1"/>
  <c r="AC24" i="11"/>
  <c r="AD24" i="11" s="1"/>
  <c r="AC22" i="11"/>
  <c r="AD22" i="11" s="1"/>
  <c r="AE22" i="11" s="1"/>
  <c r="AF22" i="11" s="1"/>
  <c r="AG22" i="11" s="1"/>
  <c r="AD16" i="11"/>
  <c r="AE16" i="11" s="1"/>
  <c r="AF16" i="11" s="1"/>
  <c r="AG16" i="11" s="1"/>
  <c r="AC16" i="11"/>
  <c r="AC14" i="11"/>
  <c r="AD14" i="11" s="1"/>
  <c r="AE14" i="11" s="1"/>
  <c r="AF14" i="11" s="1"/>
  <c r="AG14" i="11" s="1"/>
  <c r="AC13" i="11"/>
  <c r="AD13" i="11" s="1"/>
  <c r="AE13" i="11" s="1"/>
  <c r="AF13" i="11" s="1"/>
  <c r="AG13" i="11" s="1"/>
  <c r="CK81" i="1"/>
  <c r="AC20" i="11" l="1"/>
  <c r="AD20" i="11" s="1"/>
  <c r="AE20" i="11" s="1"/>
  <c r="AF20" i="11" s="1"/>
  <c r="AG20" i="11" s="1"/>
  <c r="F80" i="1" l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N3" i="15"/>
  <c r="N4" i="15"/>
  <c r="N5" i="15"/>
  <c r="N6" i="15"/>
  <c r="N7" i="15"/>
  <c r="N8" i="15"/>
  <c r="N9" i="15"/>
  <c r="N10" i="15"/>
  <c r="N11" i="15"/>
  <c r="N12" i="15"/>
  <c r="N15" i="15"/>
  <c r="N16" i="15"/>
  <c r="N17" i="15"/>
  <c r="N18" i="15"/>
  <c r="N19" i="15"/>
  <c r="N80" i="15"/>
  <c r="N79" i="15"/>
  <c r="N78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P50" i="15" s="1"/>
  <c r="Q50" i="15" s="1"/>
  <c r="R50" i="15" s="1"/>
  <c r="S50" i="15" s="1"/>
  <c r="T50" i="15" s="1"/>
  <c r="N49" i="15"/>
  <c r="N48" i="15"/>
  <c r="N47" i="15"/>
  <c r="N46" i="15"/>
  <c r="N45" i="15"/>
  <c r="N44" i="15"/>
  <c r="N43" i="15"/>
  <c r="N42" i="15"/>
  <c r="N41" i="15"/>
  <c r="N40" i="15"/>
  <c r="N39" i="15"/>
  <c r="N38" i="15"/>
  <c r="N36" i="15"/>
  <c r="N35" i="15"/>
  <c r="P35" i="15" s="1"/>
  <c r="Q35" i="15" s="1"/>
  <c r="R35" i="15" s="1"/>
  <c r="S35" i="15" s="1"/>
  <c r="T35" i="15" s="1"/>
  <c r="N34" i="15"/>
  <c r="N33" i="15"/>
  <c r="N32" i="15"/>
  <c r="N31" i="15"/>
  <c r="N30" i="15"/>
  <c r="N29" i="15"/>
  <c r="N28" i="15"/>
  <c r="N27" i="15"/>
  <c r="N26" i="15"/>
  <c r="N25" i="15"/>
  <c r="N24" i="15"/>
  <c r="P24" i="15" s="1"/>
  <c r="Q24" i="15" s="1"/>
  <c r="R24" i="15" s="1"/>
  <c r="S24" i="15" s="1"/>
  <c r="T24" i="15" s="1"/>
  <c r="N23" i="15"/>
  <c r="N22" i="15"/>
  <c r="P22" i="15" s="1"/>
  <c r="Q22" i="15" s="1"/>
  <c r="R22" i="15" s="1"/>
  <c r="S22" i="15" s="1"/>
  <c r="T22" i="15" s="1"/>
  <c r="N21" i="15"/>
  <c r="N20" i="15"/>
  <c r="N14" i="15"/>
  <c r="P14" i="15" s="1"/>
  <c r="Q14" i="15" s="1"/>
  <c r="R14" i="15" s="1"/>
  <c r="S14" i="15" s="1"/>
  <c r="T14" i="15" s="1"/>
  <c r="N13" i="15"/>
  <c r="P13" i="15" s="1"/>
  <c r="Q13" i="15" s="1"/>
  <c r="R13" i="15" s="1"/>
  <c r="S13" i="15" s="1"/>
  <c r="T13" i="15" s="1"/>
  <c r="G54" i="15"/>
  <c r="G80" i="15"/>
  <c r="G79" i="15"/>
  <c r="G78" i="15"/>
  <c r="G77" i="15"/>
  <c r="G69" i="15"/>
  <c r="G68" i="15"/>
  <c r="G53" i="15"/>
  <c r="G52" i="15"/>
  <c r="G51" i="15"/>
  <c r="G50" i="15"/>
  <c r="G49" i="15"/>
  <c r="G48" i="15"/>
  <c r="G46" i="15"/>
  <c r="G45" i="15"/>
  <c r="G44" i="15"/>
  <c r="G43" i="15"/>
  <c r="G42" i="15"/>
  <c r="G41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B4" i="15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U77" i="1"/>
  <c r="N77" i="15" s="1"/>
  <c r="U37" i="1"/>
  <c r="N37" i="15" s="1"/>
  <c r="P37" i="15" s="1"/>
  <c r="Q37" i="15" s="1"/>
  <c r="R37" i="15" s="1"/>
  <c r="S37" i="15" s="1"/>
  <c r="T37" i="15" s="1"/>
  <c r="AI53" i="11"/>
  <c r="AJ53" i="11" s="1"/>
  <c r="G54" i="11"/>
  <c r="P80" i="11"/>
  <c r="AV69" i="1"/>
  <c r="AW69" i="1"/>
  <c r="AX69" i="1"/>
  <c r="T80" i="1"/>
  <c r="M80" i="15" s="1"/>
  <c r="P80" i="15" s="1"/>
  <c r="Q80" i="15" s="1"/>
  <c r="R80" i="15" s="1"/>
  <c r="S80" i="15" s="1"/>
  <c r="T80" i="15" s="1"/>
  <c r="T79" i="1"/>
  <c r="T79" i="11" s="1"/>
  <c r="T78" i="1"/>
  <c r="T35" i="1"/>
  <c r="M35" i="15" s="1"/>
  <c r="T76" i="1"/>
  <c r="M76" i="15" s="1"/>
  <c r="T75" i="1"/>
  <c r="M75" i="15" s="1"/>
  <c r="T74" i="1"/>
  <c r="M74" i="15" s="1"/>
  <c r="P74" i="15" s="1"/>
  <c r="Q74" i="15" s="1"/>
  <c r="R74" i="15" s="1"/>
  <c r="S74" i="15" s="1"/>
  <c r="T74" i="15" s="1"/>
  <c r="T73" i="1"/>
  <c r="M73" i="15" s="1"/>
  <c r="P73" i="15" s="1"/>
  <c r="Q73" i="15" s="1"/>
  <c r="R73" i="15" s="1"/>
  <c r="S73" i="15" s="1"/>
  <c r="T73" i="15" s="1"/>
  <c r="T72" i="1"/>
  <c r="M72" i="15" s="1"/>
  <c r="P72" i="15" s="1"/>
  <c r="Q72" i="15" s="1"/>
  <c r="R72" i="15" s="1"/>
  <c r="S72" i="15" s="1"/>
  <c r="T72" i="15" s="1"/>
  <c r="T71" i="1"/>
  <c r="M71" i="15" s="1"/>
  <c r="P71" i="15" s="1"/>
  <c r="Q71" i="15" s="1"/>
  <c r="R71" i="15" s="1"/>
  <c r="S71" i="15" s="1"/>
  <c r="T71" i="15" s="1"/>
  <c r="T70" i="1"/>
  <c r="M70" i="15" s="1"/>
  <c r="P70" i="15" s="1"/>
  <c r="Q70" i="15" s="1"/>
  <c r="R70" i="15" s="1"/>
  <c r="S70" i="15" s="1"/>
  <c r="T70" i="15" s="1"/>
  <c r="T22" i="1"/>
  <c r="M22" i="15" s="1"/>
  <c r="T68" i="1"/>
  <c r="M68" i="15" s="1"/>
  <c r="P68" i="15" s="1"/>
  <c r="Q68" i="15" s="1"/>
  <c r="R68" i="15" s="1"/>
  <c r="S68" i="15" s="1"/>
  <c r="T68" i="15" s="1"/>
  <c r="T67" i="1"/>
  <c r="M67" i="15" s="1"/>
  <c r="P67" i="15" s="1"/>
  <c r="Q67" i="15" s="1"/>
  <c r="R67" i="15" s="1"/>
  <c r="S67" i="15" s="1"/>
  <c r="T67" i="15" s="1"/>
  <c r="T66" i="1"/>
  <c r="M66" i="15" s="1"/>
  <c r="P66" i="15" s="1"/>
  <c r="Q66" i="15" s="1"/>
  <c r="R66" i="15" s="1"/>
  <c r="S66" i="15" s="1"/>
  <c r="T66" i="15" s="1"/>
  <c r="T65" i="1"/>
  <c r="M65" i="15" s="1"/>
  <c r="P65" i="15" s="1"/>
  <c r="Q65" i="15" s="1"/>
  <c r="R65" i="15" s="1"/>
  <c r="S65" i="15" s="1"/>
  <c r="T65" i="15" s="1"/>
  <c r="T64" i="1"/>
  <c r="M64" i="15" s="1"/>
  <c r="T63" i="1"/>
  <c r="M63" i="15" s="1"/>
  <c r="T62" i="1"/>
  <c r="M62" i="15" s="1"/>
  <c r="P62" i="15" s="1"/>
  <c r="Q62" i="15" s="1"/>
  <c r="R62" i="15" s="1"/>
  <c r="S62" i="15" s="1"/>
  <c r="T62" i="15" s="1"/>
  <c r="T61" i="1"/>
  <c r="M61" i="15" s="1"/>
  <c r="P61" i="15" s="1"/>
  <c r="Q61" i="15" s="1"/>
  <c r="R61" i="15" s="1"/>
  <c r="S61" i="15" s="1"/>
  <c r="T61" i="15" s="1"/>
  <c r="T60" i="1"/>
  <c r="M60" i="15" s="1"/>
  <c r="P60" i="15" s="1"/>
  <c r="Q60" i="15" s="1"/>
  <c r="R60" i="15" s="1"/>
  <c r="S60" i="15" s="1"/>
  <c r="T60" i="15" s="1"/>
  <c r="T59" i="1"/>
  <c r="M59" i="15" s="1"/>
  <c r="P59" i="15" s="1"/>
  <c r="Q59" i="15" s="1"/>
  <c r="R59" i="15" s="1"/>
  <c r="S59" i="15" s="1"/>
  <c r="T59" i="15" s="1"/>
  <c r="T58" i="1"/>
  <c r="M58" i="15" s="1"/>
  <c r="P58" i="15" s="1"/>
  <c r="Q58" i="15" s="1"/>
  <c r="R58" i="15" s="1"/>
  <c r="S58" i="15" s="1"/>
  <c r="T58" i="15" s="1"/>
  <c r="T57" i="1"/>
  <c r="M57" i="15" s="1"/>
  <c r="P57" i="15" s="1"/>
  <c r="Q57" i="15" s="1"/>
  <c r="R57" i="15" s="1"/>
  <c r="S57" i="15" s="1"/>
  <c r="T57" i="15" s="1"/>
  <c r="T56" i="1"/>
  <c r="M56" i="15" s="1"/>
  <c r="P56" i="15" s="1"/>
  <c r="Q56" i="15" s="1"/>
  <c r="R56" i="15" s="1"/>
  <c r="S56" i="15" s="1"/>
  <c r="T56" i="15" s="1"/>
  <c r="T55" i="1"/>
  <c r="M55" i="15" s="1"/>
  <c r="P55" i="15" s="1"/>
  <c r="Q55" i="15" s="1"/>
  <c r="R55" i="15" s="1"/>
  <c r="S55" i="15" s="1"/>
  <c r="T55" i="15" s="1"/>
  <c r="T54" i="1"/>
  <c r="M54" i="15" s="1"/>
  <c r="P54" i="15" s="1"/>
  <c r="Q54" i="15" s="1"/>
  <c r="R54" i="15" s="1"/>
  <c r="S54" i="15" s="1"/>
  <c r="T54" i="15" s="1"/>
  <c r="T53" i="1"/>
  <c r="M53" i="15" s="1"/>
  <c r="P53" i="15" s="1"/>
  <c r="Q53" i="15" s="1"/>
  <c r="R53" i="15" s="1"/>
  <c r="S53" i="15" s="1"/>
  <c r="T53" i="15" s="1"/>
  <c r="T52" i="1"/>
  <c r="M52" i="15" s="1"/>
  <c r="T51" i="1"/>
  <c r="M51" i="15" s="1"/>
  <c r="T37" i="1"/>
  <c r="M37" i="15" s="1"/>
  <c r="T49" i="1"/>
  <c r="M49" i="15" s="1"/>
  <c r="P49" i="15" s="1"/>
  <c r="Q49" i="15" s="1"/>
  <c r="R49" i="15" s="1"/>
  <c r="S49" i="15" s="1"/>
  <c r="T49" i="15" s="1"/>
  <c r="T48" i="1"/>
  <c r="M48" i="15" s="1"/>
  <c r="P48" i="15" s="1"/>
  <c r="Q48" i="15" s="1"/>
  <c r="R48" i="15" s="1"/>
  <c r="S48" i="15" s="1"/>
  <c r="T48" i="15" s="1"/>
  <c r="T47" i="1"/>
  <c r="M47" i="15" s="1"/>
  <c r="P47" i="15" s="1"/>
  <c r="Q47" i="15" s="1"/>
  <c r="R47" i="15" s="1"/>
  <c r="S47" i="15" s="1"/>
  <c r="T47" i="15" s="1"/>
  <c r="T28" i="1"/>
  <c r="M28" i="15" s="1"/>
  <c r="T44" i="1"/>
  <c r="M44" i="15" s="1"/>
  <c r="P44" i="15" s="1"/>
  <c r="Q44" i="15" s="1"/>
  <c r="R44" i="15" s="1"/>
  <c r="S44" i="15" s="1"/>
  <c r="T44" i="15" s="1"/>
  <c r="T43" i="1"/>
  <c r="M43" i="15" s="1"/>
  <c r="P43" i="15" s="1"/>
  <c r="Q43" i="15" s="1"/>
  <c r="R43" i="15" s="1"/>
  <c r="S43" i="15" s="1"/>
  <c r="T43" i="15" s="1"/>
  <c r="T42" i="1"/>
  <c r="M42" i="15" s="1"/>
  <c r="P42" i="15" s="1"/>
  <c r="Q42" i="15" s="1"/>
  <c r="R42" i="15" s="1"/>
  <c r="S42" i="15" s="1"/>
  <c r="T42" i="15" s="1"/>
  <c r="T41" i="1"/>
  <c r="M41" i="15" s="1"/>
  <c r="P41" i="15" s="1"/>
  <c r="Q41" i="15" s="1"/>
  <c r="R41" i="15" s="1"/>
  <c r="S41" i="15" s="1"/>
  <c r="T41" i="15" s="1"/>
  <c r="T40" i="1"/>
  <c r="M40" i="15" s="1"/>
  <c r="P40" i="15" s="1"/>
  <c r="Q40" i="15" s="1"/>
  <c r="R40" i="15" s="1"/>
  <c r="S40" i="15" s="1"/>
  <c r="T40" i="15" s="1"/>
  <c r="T39" i="1"/>
  <c r="M39" i="15" s="1"/>
  <c r="T38" i="1"/>
  <c r="M38" i="15" s="1"/>
  <c r="P38" i="15" s="1"/>
  <c r="Q38" i="15" s="1"/>
  <c r="R38" i="15" s="1"/>
  <c r="S38" i="15" s="1"/>
  <c r="T38" i="15" s="1"/>
  <c r="T50" i="1"/>
  <c r="M50" i="15" s="1"/>
  <c r="T36" i="1"/>
  <c r="M36" i="15" s="1"/>
  <c r="P36" i="15" s="1"/>
  <c r="Q36" i="15" s="1"/>
  <c r="R36" i="15" s="1"/>
  <c r="S36" i="15" s="1"/>
  <c r="T36" i="15" s="1"/>
  <c r="T14" i="1"/>
  <c r="M14" i="15" s="1"/>
  <c r="T34" i="1"/>
  <c r="M34" i="15" s="1"/>
  <c r="P34" i="15" s="1"/>
  <c r="Q34" i="15" s="1"/>
  <c r="R34" i="15" s="1"/>
  <c r="S34" i="15" s="1"/>
  <c r="T34" i="15" s="1"/>
  <c r="T33" i="1"/>
  <c r="M33" i="15" s="1"/>
  <c r="P33" i="15" s="1"/>
  <c r="Q33" i="15" s="1"/>
  <c r="R33" i="15" s="1"/>
  <c r="S33" i="15" s="1"/>
  <c r="T33" i="15" s="1"/>
  <c r="T32" i="1"/>
  <c r="M32" i="15" s="1"/>
  <c r="P32" i="15" s="1"/>
  <c r="Q32" i="15" s="1"/>
  <c r="R32" i="15" s="1"/>
  <c r="S32" i="15" s="1"/>
  <c r="T32" i="15" s="1"/>
  <c r="T31" i="1"/>
  <c r="M31" i="15" s="1"/>
  <c r="P31" i="15" s="1"/>
  <c r="Q31" i="15" s="1"/>
  <c r="R31" i="15" s="1"/>
  <c r="S31" i="15" s="1"/>
  <c r="T31" i="15" s="1"/>
  <c r="T30" i="1"/>
  <c r="M30" i="15" s="1"/>
  <c r="P30" i="15" s="1"/>
  <c r="Q30" i="15" s="1"/>
  <c r="R30" i="15" s="1"/>
  <c r="S30" i="15" s="1"/>
  <c r="T30" i="15" s="1"/>
  <c r="T29" i="1"/>
  <c r="M29" i="15" s="1"/>
  <c r="P29" i="15" s="1"/>
  <c r="Q29" i="15" s="1"/>
  <c r="R29" i="15" s="1"/>
  <c r="S29" i="15" s="1"/>
  <c r="T29" i="15" s="1"/>
  <c r="T25" i="1"/>
  <c r="M25" i="15" s="1"/>
  <c r="P25" i="15" s="1"/>
  <c r="Q25" i="15" s="1"/>
  <c r="R25" i="15" s="1"/>
  <c r="S25" i="15" s="1"/>
  <c r="T25" i="15" s="1"/>
  <c r="T27" i="1"/>
  <c r="M27" i="15" s="1"/>
  <c r="T26" i="1"/>
  <c r="M26" i="15" s="1"/>
  <c r="P26" i="15" s="1"/>
  <c r="Q26" i="15" s="1"/>
  <c r="R26" i="15" s="1"/>
  <c r="S26" i="15" s="1"/>
  <c r="T26" i="15" s="1"/>
  <c r="T20" i="1"/>
  <c r="M20" i="15" s="1"/>
  <c r="T24" i="1"/>
  <c r="M24" i="15" s="1"/>
  <c r="T46" i="1"/>
  <c r="M46" i="15" s="1"/>
  <c r="T77" i="1"/>
  <c r="T77" i="11" s="1"/>
  <c r="X77" i="11" s="1"/>
  <c r="Y77" i="11" s="1"/>
  <c r="Z77" i="11" s="1"/>
  <c r="AA77" i="11" s="1"/>
  <c r="AB77" i="11" s="1"/>
  <c r="T21" i="1"/>
  <c r="M21" i="15" s="1"/>
  <c r="P21" i="15" s="1"/>
  <c r="Q21" i="15" s="1"/>
  <c r="R21" i="15" s="1"/>
  <c r="S21" i="15" s="1"/>
  <c r="T21" i="15" s="1"/>
  <c r="T69" i="1"/>
  <c r="M69" i="15" s="1"/>
  <c r="P69" i="15" s="1"/>
  <c r="Q69" i="15" s="1"/>
  <c r="R69" i="15" s="1"/>
  <c r="S69" i="15" s="1"/>
  <c r="T69" i="15" s="1"/>
  <c r="T19" i="1"/>
  <c r="M19" i="15" s="1"/>
  <c r="P19" i="15" s="1"/>
  <c r="Q19" i="15" s="1"/>
  <c r="R19" i="15" s="1"/>
  <c r="S19" i="15" s="1"/>
  <c r="T19" i="15" s="1"/>
  <c r="T18" i="1"/>
  <c r="M18" i="15" s="1"/>
  <c r="P18" i="15" s="1"/>
  <c r="Q18" i="15" s="1"/>
  <c r="R18" i="15" s="1"/>
  <c r="S18" i="15" s="1"/>
  <c r="T18" i="15" s="1"/>
  <c r="T17" i="1"/>
  <c r="M17" i="15" s="1"/>
  <c r="P17" i="15" s="1"/>
  <c r="Q17" i="15" s="1"/>
  <c r="R17" i="15" s="1"/>
  <c r="S17" i="15" s="1"/>
  <c r="T17" i="15" s="1"/>
  <c r="T16" i="1"/>
  <c r="M16" i="15" s="1"/>
  <c r="P16" i="15" s="1"/>
  <c r="Q16" i="15" s="1"/>
  <c r="R16" i="15" s="1"/>
  <c r="S16" i="15" s="1"/>
  <c r="T16" i="15" s="1"/>
  <c r="T15" i="1"/>
  <c r="M15" i="15" s="1"/>
  <c r="T23" i="1"/>
  <c r="M23" i="15" s="1"/>
  <c r="T13" i="1"/>
  <c r="M13" i="15" s="1"/>
  <c r="T11" i="1"/>
  <c r="M11" i="15" s="1"/>
  <c r="P11" i="15" s="1"/>
  <c r="Q11" i="15" s="1"/>
  <c r="R11" i="15" s="1"/>
  <c r="S11" i="15" s="1"/>
  <c r="T11" i="15" s="1"/>
  <c r="T10" i="1"/>
  <c r="M10" i="15" s="1"/>
  <c r="P10" i="15" s="1"/>
  <c r="Q10" i="15" s="1"/>
  <c r="R10" i="15" s="1"/>
  <c r="S10" i="15" s="1"/>
  <c r="T10" i="15" s="1"/>
  <c r="T9" i="1"/>
  <c r="M9" i="15" s="1"/>
  <c r="P9" i="15" s="1"/>
  <c r="Q9" i="15" s="1"/>
  <c r="R9" i="15" s="1"/>
  <c r="S9" i="15" s="1"/>
  <c r="T9" i="15" s="1"/>
  <c r="T8" i="1"/>
  <c r="M8" i="15" s="1"/>
  <c r="P8" i="15" s="1"/>
  <c r="Q8" i="15" s="1"/>
  <c r="R8" i="15" s="1"/>
  <c r="S8" i="15" s="1"/>
  <c r="T8" i="15" s="1"/>
  <c r="T7" i="1"/>
  <c r="M7" i="15" s="1"/>
  <c r="P7" i="15" s="1"/>
  <c r="Q7" i="15" s="1"/>
  <c r="R7" i="15" s="1"/>
  <c r="S7" i="15" s="1"/>
  <c r="T7" i="15" s="1"/>
  <c r="T6" i="1"/>
  <c r="M6" i="15" s="1"/>
  <c r="P6" i="15" s="1"/>
  <c r="Q6" i="15" s="1"/>
  <c r="R6" i="15" s="1"/>
  <c r="S6" i="15" s="1"/>
  <c r="T6" i="15" s="1"/>
  <c r="T5" i="1"/>
  <c r="M5" i="15" s="1"/>
  <c r="P5" i="15" s="1"/>
  <c r="Q5" i="15" s="1"/>
  <c r="R5" i="15" s="1"/>
  <c r="S5" i="15" s="1"/>
  <c r="T5" i="15" s="1"/>
  <c r="T4" i="1"/>
  <c r="M4" i="15" s="1"/>
  <c r="P4" i="15" s="1"/>
  <c r="Q4" i="15" s="1"/>
  <c r="R4" i="15" s="1"/>
  <c r="S4" i="15" s="1"/>
  <c r="T4" i="15" s="1"/>
  <c r="T3" i="1"/>
  <c r="M3" i="15" s="1"/>
  <c r="P3" i="15" s="1"/>
  <c r="Q3" i="15" s="1"/>
  <c r="R3" i="15" s="1"/>
  <c r="S3" i="15" s="1"/>
  <c r="T3" i="15" s="1"/>
  <c r="C80" i="11"/>
  <c r="D80" i="11"/>
  <c r="E80" i="11"/>
  <c r="F66" i="11"/>
  <c r="F65" i="11"/>
  <c r="F58" i="11"/>
  <c r="F57" i="11"/>
  <c r="AX78" i="1"/>
  <c r="AW78" i="1"/>
  <c r="AV78" i="1"/>
  <c r="AX79" i="1"/>
  <c r="AW79" i="1"/>
  <c r="AV79" i="1"/>
  <c r="E79" i="11"/>
  <c r="E78" i="11"/>
  <c r="E77" i="11"/>
  <c r="D79" i="11"/>
  <c r="D78" i="11"/>
  <c r="D77" i="11"/>
  <c r="D76" i="11"/>
  <c r="D75" i="11"/>
  <c r="D74" i="11"/>
  <c r="D73" i="11"/>
  <c r="D72" i="11"/>
  <c r="D71" i="11"/>
  <c r="D70" i="11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F85" i="15"/>
  <c r="P28" i="15" l="1"/>
  <c r="Q28" i="15" s="1"/>
  <c r="R28" i="15" s="1"/>
  <c r="S28" i="15" s="1"/>
  <c r="T28" i="15" s="1"/>
  <c r="P23" i="15"/>
  <c r="Q23" i="15" s="1"/>
  <c r="R23" i="15" s="1"/>
  <c r="S23" i="15" s="1"/>
  <c r="T23" i="15" s="1"/>
  <c r="P51" i="15"/>
  <c r="Q51" i="15" s="1"/>
  <c r="R51" i="15" s="1"/>
  <c r="S51" i="15" s="1"/>
  <c r="T51" i="15" s="1"/>
  <c r="P63" i="15"/>
  <c r="Q63" i="15" s="1"/>
  <c r="R63" i="15" s="1"/>
  <c r="S63" i="15" s="1"/>
  <c r="T63" i="15" s="1"/>
  <c r="P75" i="15"/>
  <c r="Q75" i="15" s="1"/>
  <c r="R75" i="15" s="1"/>
  <c r="S75" i="15" s="1"/>
  <c r="T75" i="15" s="1"/>
  <c r="P20" i="15"/>
  <c r="Q20" i="15" s="1"/>
  <c r="R20" i="15" s="1"/>
  <c r="S20" i="15" s="1"/>
  <c r="T20" i="15" s="1"/>
  <c r="P15" i="15"/>
  <c r="Q15" i="15" s="1"/>
  <c r="R15" i="15" s="1"/>
  <c r="S15" i="15" s="1"/>
  <c r="T15" i="15" s="1"/>
  <c r="P27" i="15"/>
  <c r="Q27" i="15" s="1"/>
  <c r="R27" i="15" s="1"/>
  <c r="S27" i="15" s="1"/>
  <c r="T27" i="15" s="1"/>
  <c r="P39" i="15"/>
  <c r="Q39" i="15" s="1"/>
  <c r="R39" i="15" s="1"/>
  <c r="S39" i="15" s="1"/>
  <c r="T39" i="15" s="1"/>
  <c r="P52" i="15"/>
  <c r="Q52" i="15" s="1"/>
  <c r="R52" i="15" s="1"/>
  <c r="S52" i="15" s="1"/>
  <c r="T52" i="15" s="1"/>
  <c r="P64" i="15"/>
  <c r="Q64" i="15" s="1"/>
  <c r="R64" i="15" s="1"/>
  <c r="S64" i="15" s="1"/>
  <c r="T64" i="15" s="1"/>
  <c r="P76" i="15"/>
  <c r="Q76" i="15" s="1"/>
  <c r="R76" i="15" s="1"/>
  <c r="S76" i="15" s="1"/>
  <c r="T76" i="15" s="1"/>
  <c r="P77" i="15"/>
  <c r="Q77" i="15" s="1"/>
  <c r="R77" i="15" s="1"/>
  <c r="S77" i="15" s="1"/>
  <c r="T77" i="15" s="1"/>
  <c r="P46" i="15"/>
  <c r="Q46" i="15" s="1"/>
  <c r="R46" i="15" s="1"/>
  <c r="S46" i="15" s="1"/>
  <c r="T46" i="15" s="1"/>
  <c r="T80" i="11"/>
  <c r="M78" i="15"/>
  <c r="P78" i="15" s="1"/>
  <c r="Q78" i="15" s="1"/>
  <c r="R78" i="15" s="1"/>
  <c r="S78" i="15" s="1"/>
  <c r="T78" i="15" s="1"/>
  <c r="T78" i="11"/>
  <c r="X78" i="11" s="1"/>
  <c r="M77" i="15"/>
  <c r="F77" i="11"/>
  <c r="F79" i="11"/>
  <c r="P79" i="11" s="1"/>
  <c r="F72" i="11"/>
  <c r="M79" i="15"/>
  <c r="P79" i="15" s="1"/>
  <c r="Q79" i="15" s="1"/>
  <c r="R79" i="15" s="1"/>
  <c r="S79" i="15" s="1"/>
  <c r="T79" i="15" s="1"/>
  <c r="CK3" i="1"/>
  <c r="CK17" i="1"/>
  <c r="CK18" i="1"/>
  <c r="CK68" i="1"/>
  <c r="CK74" i="1"/>
  <c r="F89" i="1"/>
  <c r="CK55" i="1"/>
  <c r="CK73" i="1"/>
  <c r="CK21" i="1"/>
  <c r="CK32" i="1"/>
  <c r="CK80" i="1"/>
  <c r="CK12" i="1"/>
  <c r="CK47" i="1"/>
  <c r="CK37" i="1"/>
  <c r="CK31" i="1"/>
  <c r="CK66" i="1"/>
  <c r="CK76" i="1"/>
  <c r="CK72" i="1"/>
  <c r="CK59" i="1"/>
  <c r="CK65" i="1"/>
  <c r="CK7" i="1"/>
  <c r="CK10" i="1"/>
  <c r="CK20" i="1"/>
  <c r="CK42" i="1"/>
  <c r="CK50" i="1"/>
  <c r="CK11" i="1"/>
  <c r="CK25" i="1"/>
  <c r="CK13" i="1"/>
  <c r="CK34" i="1"/>
  <c r="CK24" i="1"/>
  <c r="CK71" i="1"/>
  <c r="CK38" i="1"/>
  <c r="CK35" i="1"/>
  <c r="CK39" i="1"/>
  <c r="CK60" i="1"/>
  <c r="CK63" i="1"/>
  <c r="CK26" i="1"/>
  <c r="Y78" i="11" l="1"/>
  <c r="AK53" i="11"/>
  <c r="M80" i="11"/>
  <c r="AH77" i="11"/>
  <c r="AH78" i="11"/>
  <c r="AI78" i="11" s="1"/>
  <c r="AJ78" i="11" s="1"/>
  <c r="AK78" i="11" s="1"/>
  <c r="AL78" i="11" s="1"/>
  <c r="AH80" i="11"/>
  <c r="O72" i="11"/>
  <c r="L72" i="11"/>
  <c r="N72" i="11"/>
  <c r="N80" i="11"/>
  <c r="I79" i="11"/>
  <c r="N79" i="11" s="1"/>
  <c r="G79" i="11"/>
  <c r="L79" i="11" s="1"/>
  <c r="H79" i="11"/>
  <c r="M79" i="11" s="1"/>
  <c r="J79" i="11"/>
  <c r="O79" i="11" s="1"/>
  <c r="F78" i="11"/>
  <c r="O80" i="11"/>
  <c r="F75" i="11"/>
  <c r="P75" i="11" s="1"/>
  <c r="F76" i="11"/>
  <c r="N76" i="11" s="1"/>
  <c r="L80" i="11"/>
  <c r="F70" i="11"/>
  <c r="P70" i="11" s="1"/>
  <c r="F71" i="11"/>
  <c r="P71" i="11" s="1"/>
  <c r="F73" i="11"/>
  <c r="P73" i="11" s="1"/>
  <c r="F74" i="11"/>
  <c r="O74" i="11" s="1"/>
  <c r="V24" i="1"/>
  <c r="V26" i="1"/>
  <c r="V29" i="1"/>
  <c r="V30" i="1"/>
  <c r="V32" i="1"/>
  <c r="V34" i="1"/>
  <c r="V41" i="1"/>
  <c r="V42" i="1"/>
  <c r="V45" i="1"/>
  <c r="V28" i="1"/>
  <c r="V48" i="1"/>
  <c r="V49" i="1"/>
  <c r="V52" i="1"/>
  <c r="V51" i="1"/>
  <c r="V54" i="1"/>
  <c r="V36" i="1"/>
  <c r="V21" i="1"/>
  <c r="V14" i="1"/>
  <c r="V25" i="1"/>
  <c r="V20" i="1"/>
  <c r="V46" i="1"/>
  <c r="V77" i="1"/>
  <c r="V15" i="1"/>
  <c r="V19" i="1"/>
  <c r="V23" i="1"/>
  <c r="V27" i="1"/>
  <c r="V13" i="1"/>
  <c r="V12" i="1"/>
  <c r="V17" i="1"/>
  <c r="V16" i="1"/>
  <c r="V10" i="1"/>
  <c r="P72" i="11"/>
  <c r="M72" i="11"/>
  <c r="P66" i="11"/>
  <c r="O66" i="11"/>
  <c r="N66" i="11"/>
  <c r="M66" i="11"/>
  <c r="L66" i="11"/>
  <c r="P65" i="11"/>
  <c r="O65" i="11"/>
  <c r="N65" i="11"/>
  <c r="M65" i="11"/>
  <c r="L65" i="11"/>
  <c r="P58" i="11"/>
  <c r="O58" i="11"/>
  <c r="N58" i="11"/>
  <c r="M58" i="11"/>
  <c r="L58" i="11"/>
  <c r="P57" i="11"/>
  <c r="O57" i="11"/>
  <c r="N57" i="11"/>
  <c r="M57" i="11"/>
  <c r="L57" i="11"/>
  <c r="C76" i="11"/>
  <c r="T76" i="11" s="1"/>
  <c r="C75" i="11"/>
  <c r="T75" i="11" s="1"/>
  <c r="C74" i="11"/>
  <c r="T74" i="11" s="1"/>
  <c r="C73" i="11"/>
  <c r="T73" i="11" s="1"/>
  <c r="C72" i="11"/>
  <c r="T72" i="11" s="1"/>
  <c r="C71" i="11"/>
  <c r="T71" i="11" s="1"/>
  <c r="C70" i="11"/>
  <c r="T70" i="11" s="1"/>
  <c r="E69" i="11"/>
  <c r="D69" i="11"/>
  <c r="C69" i="11"/>
  <c r="T69" i="11" s="1"/>
  <c r="X69" i="11" s="1"/>
  <c r="Y69" i="11" s="1"/>
  <c r="Z69" i="11" s="1"/>
  <c r="AA69" i="11" s="1"/>
  <c r="AB69" i="11" s="1"/>
  <c r="E68" i="11"/>
  <c r="D68" i="11"/>
  <c r="C68" i="11"/>
  <c r="T68" i="11" s="1"/>
  <c r="D67" i="11"/>
  <c r="C67" i="11"/>
  <c r="T67" i="11" s="1"/>
  <c r="C66" i="11"/>
  <c r="T66" i="11" s="1"/>
  <c r="C65" i="11"/>
  <c r="T65" i="11" s="1"/>
  <c r="D64" i="11"/>
  <c r="C64" i="11"/>
  <c r="T64" i="11" s="1"/>
  <c r="D63" i="11"/>
  <c r="C63" i="11"/>
  <c r="T63" i="11" s="1"/>
  <c r="D62" i="11"/>
  <c r="C62" i="11"/>
  <c r="T62" i="11" s="1"/>
  <c r="D61" i="11"/>
  <c r="C61" i="11"/>
  <c r="T61" i="11" s="1"/>
  <c r="D60" i="11"/>
  <c r="C60" i="11"/>
  <c r="T60" i="11" s="1"/>
  <c r="D59" i="11"/>
  <c r="C59" i="11"/>
  <c r="T59" i="11" s="1"/>
  <c r="C58" i="11"/>
  <c r="T58" i="11" s="1"/>
  <c r="C57" i="11"/>
  <c r="T57" i="11" s="1"/>
  <c r="D56" i="11"/>
  <c r="C56" i="11"/>
  <c r="D55" i="11"/>
  <c r="C55" i="11"/>
  <c r="E54" i="11"/>
  <c r="D54" i="11"/>
  <c r="C54" i="11"/>
  <c r="E53" i="11"/>
  <c r="D53" i="11"/>
  <c r="C53" i="11"/>
  <c r="E52" i="11"/>
  <c r="D52" i="11"/>
  <c r="C52" i="11"/>
  <c r="E51" i="11"/>
  <c r="D51" i="11"/>
  <c r="C51" i="11"/>
  <c r="E50" i="11"/>
  <c r="D50" i="11"/>
  <c r="AH50" i="11" s="1"/>
  <c r="AI50" i="11" s="1"/>
  <c r="AJ50" i="11" s="1"/>
  <c r="AK50" i="11" s="1"/>
  <c r="AL50" i="11" s="1"/>
  <c r="C50" i="11"/>
  <c r="E49" i="11"/>
  <c r="D49" i="11"/>
  <c r="C49" i="11"/>
  <c r="E48" i="11"/>
  <c r="D48" i="11"/>
  <c r="C48" i="11"/>
  <c r="D47" i="11"/>
  <c r="C47" i="11"/>
  <c r="E46" i="11"/>
  <c r="D46" i="11"/>
  <c r="C46" i="11"/>
  <c r="E45" i="11"/>
  <c r="D45" i="11"/>
  <c r="C45" i="11"/>
  <c r="E44" i="11"/>
  <c r="D44" i="11"/>
  <c r="C44" i="11"/>
  <c r="E43" i="11"/>
  <c r="D43" i="11"/>
  <c r="C43" i="11"/>
  <c r="E42" i="11"/>
  <c r="D42" i="11"/>
  <c r="C42" i="11"/>
  <c r="E41" i="11"/>
  <c r="D41" i="11"/>
  <c r="C41" i="11"/>
  <c r="D40" i="11"/>
  <c r="C40" i="11"/>
  <c r="D39" i="11"/>
  <c r="C39" i="11"/>
  <c r="E38" i="11"/>
  <c r="D38" i="11"/>
  <c r="C38" i="11"/>
  <c r="E37" i="11"/>
  <c r="D37" i="11"/>
  <c r="C37" i="11"/>
  <c r="E36" i="11"/>
  <c r="D36" i="11"/>
  <c r="C36" i="11"/>
  <c r="E35" i="11"/>
  <c r="D35" i="11"/>
  <c r="C35" i="11"/>
  <c r="E34" i="11"/>
  <c r="D34" i="11"/>
  <c r="C34" i="11"/>
  <c r="E33" i="11"/>
  <c r="D33" i="11"/>
  <c r="C33" i="11"/>
  <c r="E32" i="11"/>
  <c r="D32" i="11"/>
  <c r="C32" i="11"/>
  <c r="E31" i="11"/>
  <c r="D31" i="11"/>
  <c r="C31" i="11"/>
  <c r="E30" i="11"/>
  <c r="D30" i="11"/>
  <c r="C30" i="11"/>
  <c r="E29" i="11"/>
  <c r="D29" i="11"/>
  <c r="C29" i="11"/>
  <c r="E28" i="11"/>
  <c r="D28" i="11"/>
  <c r="C28" i="11"/>
  <c r="E27" i="11"/>
  <c r="D27" i="11"/>
  <c r="C27" i="11"/>
  <c r="E26" i="11"/>
  <c r="D26" i="11"/>
  <c r="C26" i="11"/>
  <c r="E25" i="11"/>
  <c r="D25" i="11"/>
  <c r="C25" i="11"/>
  <c r="E24" i="11"/>
  <c r="D24" i="11"/>
  <c r="C24" i="11"/>
  <c r="E23" i="11"/>
  <c r="D23" i="11"/>
  <c r="C23" i="11"/>
  <c r="E22" i="11"/>
  <c r="D22" i="11"/>
  <c r="C22" i="11"/>
  <c r="E21" i="11"/>
  <c r="D21" i="11"/>
  <c r="C21" i="11"/>
  <c r="E20" i="11"/>
  <c r="D20" i="11"/>
  <c r="C20" i="11"/>
  <c r="E19" i="11"/>
  <c r="D19" i="11"/>
  <c r="C19" i="11"/>
  <c r="E18" i="11"/>
  <c r="D18" i="11"/>
  <c r="C18" i="11"/>
  <c r="E17" i="11"/>
  <c r="D17" i="11"/>
  <c r="C17" i="11"/>
  <c r="E16" i="11"/>
  <c r="D16" i="11"/>
  <c r="C16" i="11"/>
  <c r="E15" i="11"/>
  <c r="D15" i="11"/>
  <c r="E14" i="11"/>
  <c r="D14" i="11"/>
  <c r="C14" i="11"/>
  <c r="E13" i="11"/>
  <c r="D13" i="11"/>
  <c r="AH13" i="11" s="1"/>
  <c r="C13" i="11"/>
  <c r="E12" i="11"/>
  <c r="D12" i="11"/>
  <c r="C12" i="11"/>
  <c r="U12" i="11" s="1"/>
  <c r="E11" i="11"/>
  <c r="D11" i="11"/>
  <c r="C11" i="11"/>
  <c r="E10" i="11"/>
  <c r="D10" i="11"/>
  <c r="C10" i="11"/>
  <c r="E9" i="11"/>
  <c r="D9" i="11"/>
  <c r="C9" i="11"/>
  <c r="E8" i="11"/>
  <c r="D8" i="11"/>
  <c r="C8" i="11"/>
  <c r="E7" i="11"/>
  <c r="D7" i="11"/>
  <c r="C7" i="11"/>
  <c r="E6" i="11"/>
  <c r="D6" i="11"/>
  <c r="C6" i="11"/>
  <c r="E5" i="11"/>
  <c r="D5" i="11"/>
  <c r="C5" i="11"/>
  <c r="E4" i="11"/>
  <c r="D4" i="11"/>
  <c r="C4" i="11"/>
  <c r="E3" i="11"/>
  <c r="D3" i="11"/>
  <c r="C3" i="11"/>
  <c r="B3" i="11"/>
  <c r="V3" i="1"/>
  <c r="V9" i="1"/>
  <c r="V8" i="1"/>
  <c r="AY45" i="1"/>
  <c r="T45" i="1" s="1"/>
  <c r="M45" i="15" s="1"/>
  <c r="P45" i="15" s="1"/>
  <c r="Q45" i="15" s="1"/>
  <c r="R45" i="15" s="1"/>
  <c r="S45" i="15" s="1"/>
  <c r="T45" i="15" s="1"/>
  <c r="G8" i="8"/>
  <c r="CK9" i="1"/>
  <c r="CK64" i="1"/>
  <c r="CK52" i="1"/>
  <c r="CK41" i="1"/>
  <c r="CK43" i="1"/>
  <c r="CK49" i="1"/>
  <c r="CK48" i="1"/>
  <c r="CK44" i="1"/>
  <c r="CK79" i="1"/>
  <c r="CK70" i="1"/>
  <c r="CK8" i="1"/>
  <c r="CK14" i="1"/>
  <c r="CK5" i="1"/>
  <c r="CK69" i="1"/>
  <c r="CK29" i="1"/>
  <c r="CK6" i="1"/>
  <c r="CK77" i="1"/>
  <c r="CK62" i="1"/>
  <c r="CK45" i="1"/>
  <c r="CK61" i="1"/>
  <c r="CK33" i="1"/>
  <c r="CK58" i="1"/>
  <c r="CK28" i="1"/>
  <c r="CK27" i="1"/>
  <c r="CK36" i="1"/>
  <c r="CK30" i="1"/>
  <c r="CK16" i="1"/>
  <c r="CK46" i="1"/>
  <c r="CK4" i="1"/>
  <c r="CK15" i="1"/>
  <c r="CK57" i="1"/>
  <c r="CK19" i="1"/>
  <c r="CK40" i="1"/>
  <c r="CK53" i="1"/>
  <c r="CK75" i="1"/>
  <c r="CK51" i="1"/>
  <c r="CK56" i="1"/>
  <c r="CK54" i="1"/>
  <c r="CK78" i="1"/>
  <c r="CK23" i="1"/>
  <c r="CK22" i="1"/>
  <c r="CK67" i="1"/>
  <c r="T3" i="11" l="1"/>
  <c r="U3" i="11"/>
  <c r="U39" i="11"/>
  <c r="T39" i="11"/>
  <c r="T15" i="11"/>
  <c r="U15" i="11"/>
  <c r="T31" i="11"/>
  <c r="U31" i="11"/>
  <c r="T44" i="11"/>
  <c r="X44" i="11" s="1"/>
  <c r="U44" i="11"/>
  <c r="T16" i="11"/>
  <c r="X16" i="11" s="1"/>
  <c r="Y16" i="11" s="1"/>
  <c r="Z16" i="11" s="1"/>
  <c r="AA16" i="11" s="1"/>
  <c r="AB16" i="11" s="1"/>
  <c r="U16" i="11"/>
  <c r="T20" i="11"/>
  <c r="U20" i="11"/>
  <c r="X20" i="11" s="1"/>
  <c r="Y20" i="11" s="1"/>
  <c r="Z20" i="11" s="1"/>
  <c r="AA20" i="11" s="1"/>
  <c r="AB20" i="11" s="1"/>
  <c r="U24" i="11"/>
  <c r="X24" i="11" s="1"/>
  <c r="Y24" i="11" s="1"/>
  <c r="Z24" i="11" s="1"/>
  <c r="AA24" i="11" s="1"/>
  <c r="AB24" i="11" s="1"/>
  <c r="T24" i="11"/>
  <c r="U28" i="11"/>
  <c r="T28" i="11"/>
  <c r="T32" i="11"/>
  <c r="U32" i="11"/>
  <c r="T36" i="11"/>
  <c r="X36" i="11" s="1"/>
  <c r="U36" i="11"/>
  <c r="T49" i="11"/>
  <c r="X49" i="11" s="1"/>
  <c r="U49" i="11"/>
  <c r="U53" i="11"/>
  <c r="T53" i="11"/>
  <c r="X53" i="11" s="1"/>
  <c r="Y53" i="11" s="1"/>
  <c r="Z53" i="11" s="1"/>
  <c r="AA53" i="11" s="1"/>
  <c r="AB53" i="11" s="1"/>
  <c r="T11" i="11"/>
  <c r="U11" i="11"/>
  <c r="U52" i="11"/>
  <c r="T52" i="11"/>
  <c r="X52" i="11" s="1"/>
  <c r="U41" i="11"/>
  <c r="T41" i="11"/>
  <c r="T45" i="11"/>
  <c r="U45" i="11"/>
  <c r="T27" i="11"/>
  <c r="X27" i="11" s="1"/>
  <c r="U27" i="11"/>
  <c r="T48" i="11"/>
  <c r="U48" i="11"/>
  <c r="T35" i="11"/>
  <c r="U35" i="11"/>
  <c r="X35" i="11" s="1"/>
  <c r="Y35" i="11" s="1"/>
  <c r="Z35" i="11" s="1"/>
  <c r="AA35" i="11" s="1"/>
  <c r="AB35" i="11" s="1"/>
  <c r="T19" i="11"/>
  <c r="X19" i="11" s="1"/>
  <c r="Y19" i="11" s="1"/>
  <c r="Z19" i="11" s="1"/>
  <c r="AA19" i="11" s="1"/>
  <c r="AB19" i="11" s="1"/>
  <c r="U19" i="11"/>
  <c r="U40" i="11"/>
  <c r="T40" i="11"/>
  <c r="T4" i="11"/>
  <c r="U4" i="11"/>
  <c r="T8" i="11"/>
  <c r="U8" i="11"/>
  <c r="T5" i="11"/>
  <c r="U5" i="11"/>
  <c r="T9" i="11"/>
  <c r="U9" i="11"/>
  <c r="T13" i="11"/>
  <c r="U13" i="11"/>
  <c r="X13" i="11" s="1"/>
  <c r="Y13" i="11" s="1"/>
  <c r="Z13" i="11" s="1"/>
  <c r="AA13" i="11" s="1"/>
  <c r="AB13" i="11" s="1"/>
  <c r="T17" i="11"/>
  <c r="U17" i="11"/>
  <c r="T21" i="11"/>
  <c r="U21" i="11"/>
  <c r="U25" i="11"/>
  <c r="T25" i="11"/>
  <c r="T29" i="11"/>
  <c r="U29" i="11"/>
  <c r="U33" i="11"/>
  <c r="T33" i="11"/>
  <c r="T37" i="11"/>
  <c r="U37" i="11"/>
  <c r="X37" i="11" s="1"/>
  <c r="Y37" i="11" s="1"/>
  <c r="Z37" i="11" s="1"/>
  <c r="AA37" i="11" s="1"/>
  <c r="AB37" i="11" s="1"/>
  <c r="U50" i="11"/>
  <c r="X50" i="11" s="1"/>
  <c r="Y50" i="11" s="1"/>
  <c r="Z50" i="11" s="1"/>
  <c r="AA50" i="11" s="1"/>
  <c r="AB50" i="11" s="1"/>
  <c r="T50" i="11"/>
  <c r="U54" i="11"/>
  <c r="T54" i="11"/>
  <c r="X54" i="11" s="1"/>
  <c r="Y54" i="11" s="1"/>
  <c r="T6" i="11"/>
  <c r="U6" i="11"/>
  <c r="T22" i="11"/>
  <c r="U22" i="11"/>
  <c r="X22" i="11" s="1"/>
  <c r="Y22" i="11" s="1"/>
  <c r="Z22" i="11" s="1"/>
  <c r="AA22" i="11" s="1"/>
  <c r="AB22" i="11" s="1"/>
  <c r="T34" i="11"/>
  <c r="U34" i="11"/>
  <c r="T55" i="11"/>
  <c r="U55" i="11"/>
  <c r="U14" i="11"/>
  <c r="X14" i="11" s="1"/>
  <c r="Y14" i="11" s="1"/>
  <c r="Z14" i="11" s="1"/>
  <c r="AA14" i="11" s="1"/>
  <c r="AB14" i="11" s="1"/>
  <c r="T14" i="11"/>
  <c r="U18" i="11"/>
  <c r="T18" i="11"/>
  <c r="T26" i="11"/>
  <c r="X26" i="11" s="1"/>
  <c r="Y26" i="11" s="1"/>
  <c r="Z26" i="11" s="1"/>
  <c r="AA26" i="11" s="1"/>
  <c r="AB26" i="11" s="1"/>
  <c r="U26" i="11"/>
  <c r="T30" i="11"/>
  <c r="U30" i="11"/>
  <c r="U38" i="11"/>
  <c r="T38" i="11"/>
  <c r="U51" i="11"/>
  <c r="T51" i="11"/>
  <c r="T43" i="11"/>
  <c r="X43" i="11" s="1"/>
  <c r="U43" i="11"/>
  <c r="T47" i="11"/>
  <c r="U47" i="11"/>
  <c r="AH51" i="11"/>
  <c r="AI51" i="11" s="1"/>
  <c r="AJ51" i="11" s="1"/>
  <c r="AK51" i="11" s="1"/>
  <c r="AL51" i="11" s="1"/>
  <c r="T7" i="11"/>
  <c r="U7" i="11"/>
  <c r="U23" i="11"/>
  <c r="T23" i="11"/>
  <c r="U42" i="11"/>
  <c r="T42" i="11"/>
  <c r="T46" i="11"/>
  <c r="U46" i="11"/>
  <c r="X46" i="11" s="1"/>
  <c r="Y46" i="11" s="1"/>
  <c r="Z46" i="11" s="1"/>
  <c r="AA46" i="11" s="1"/>
  <c r="AB46" i="11" s="1"/>
  <c r="T10" i="11"/>
  <c r="U10" i="11"/>
  <c r="T56" i="11"/>
  <c r="U56" i="11"/>
  <c r="AH69" i="11"/>
  <c r="AI69" i="11" s="1"/>
  <c r="AJ69" i="11" s="1"/>
  <c r="AK69" i="11" s="1"/>
  <c r="AL69" i="11" s="1"/>
  <c r="F10" i="11"/>
  <c r="P10" i="11" s="1"/>
  <c r="R10" i="1" s="1"/>
  <c r="L10" i="15" s="1"/>
  <c r="F62" i="11"/>
  <c r="P62" i="11" s="1"/>
  <c r="R62" i="1" s="1"/>
  <c r="F7" i="11"/>
  <c r="P7" i="11" s="1"/>
  <c r="R7" i="1" s="1"/>
  <c r="L7" i="15" s="1"/>
  <c r="F23" i="11"/>
  <c r="P23" i="11" s="1"/>
  <c r="R23" i="1" s="1"/>
  <c r="F48" i="11"/>
  <c r="P48" i="11" s="1"/>
  <c r="R48" i="1" s="1"/>
  <c r="L48" i="15" s="1"/>
  <c r="F4" i="11"/>
  <c r="P4" i="11" s="1"/>
  <c r="R4" i="1" s="1"/>
  <c r="L4" i="15" s="1"/>
  <c r="F8" i="11"/>
  <c r="P8" i="11" s="1"/>
  <c r="R8" i="1" s="1"/>
  <c r="L8" i="15" s="1"/>
  <c r="F12" i="11"/>
  <c r="P12" i="11" s="1"/>
  <c r="R12" i="1" s="1"/>
  <c r="L12" i="15" s="1"/>
  <c r="F28" i="11"/>
  <c r="P28" i="11" s="1"/>
  <c r="R28" i="1" s="1"/>
  <c r="F32" i="11"/>
  <c r="P32" i="11" s="1"/>
  <c r="R32" i="1" s="1"/>
  <c r="L32" i="15" s="1"/>
  <c r="F59" i="11"/>
  <c r="P59" i="11" s="1"/>
  <c r="R59" i="1" s="1"/>
  <c r="F5" i="11"/>
  <c r="P5" i="11" s="1"/>
  <c r="R5" i="1" s="1"/>
  <c r="L5" i="15" s="1"/>
  <c r="F9" i="11"/>
  <c r="P9" i="11" s="1"/>
  <c r="F17" i="11"/>
  <c r="P17" i="11" s="1"/>
  <c r="R17" i="1" s="1"/>
  <c r="L17" i="15" s="1"/>
  <c r="F21" i="11"/>
  <c r="P21" i="11" s="1"/>
  <c r="R21" i="1" s="1"/>
  <c r="L21" i="15" s="1"/>
  <c r="F25" i="11"/>
  <c r="P25" i="11" s="1"/>
  <c r="R25" i="1" s="1"/>
  <c r="L25" i="15" s="1"/>
  <c r="F29" i="11"/>
  <c r="P29" i="11" s="1"/>
  <c r="R29" i="1" s="1"/>
  <c r="L29" i="15" s="1"/>
  <c r="F33" i="11"/>
  <c r="P33" i="11" s="1"/>
  <c r="R33" i="1" s="1"/>
  <c r="L33" i="15" s="1"/>
  <c r="F61" i="11"/>
  <c r="P61" i="11" s="1"/>
  <c r="R61" i="1" s="1"/>
  <c r="F68" i="11"/>
  <c r="P68" i="11" s="1"/>
  <c r="R68" i="1" s="1"/>
  <c r="L68" i="15" s="1"/>
  <c r="F6" i="11"/>
  <c r="P6" i="11" s="1"/>
  <c r="R6" i="1" s="1"/>
  <c r="L6" i="15" s="1"/>
  <c r="F18" i="11"/>
  <c r="P18" i="11" s="1"/>
  <c r="R18" i="1" s="1"/>
  <c r="L18" i="15" s="1"/>
  <c r="F30" i="11"/>
  <c r="P30" i="11" s="1"/>
  <c r="R30" i="1" s="1"/>
  <c r="L30" i="15" s="1"/>
  <c r="F34" i="11"/>
  <c r="P34" i="11" s="1"/>
  <c r="R34" i="1" s="1"/>
  <c r="L34" i="15" s="1"/>
  <c r="F38" i="11"/>
  <c r="P38" i="11" s="1"/>
  <c r="R38" i="1" s="1"/>
  <c r="L38" i="15" s="1"/>
  <c r="F55" i="11"/>
  <c r="P55" i="11" s="1"/>
  <c r="R55" i="1" s="1"/>
  <c r="F47" i="11"/>
  <c r="P47" i="11" s="1"/>
  <c r="R47" i="1" s="1"/>
  <c r="F56" i="11"/>
  <c r="P56" i="11" s="1"/>
  <c r="R56" i="1" s="1"/>
  <c r="F63" i="11"/>
  <c r="P63" i="11" s="1"/>
  <c r="R63" i="1" s="1"/>
  <c r="F11" i="11"/>
  <c r="P11" i="11" s="1"/>
  <c r="R11" i="1" s="1"/>
  <c r="L11" i="15" s="1"/>
  <c r="F15" i="11"/>
  <c r="P15" i="11" s="1"/>
  <c r="R15" i="1" s="1"/>
  <c r="L15" i="15" s="1"/>
  <c r="F31" i="11"/>
  <c r="P31" i="11" s="1"/>
  <c r="R31" i="1" s="1"/>
  <c r="L31" i="15" s="1"/>
  <c r="F39" i="11"/>
  <c r="P39" i="11" s="1"/>
  <c r="R39" i="1" s="1"/>
  <c r="F64" i="11"/>
  <c r="P64" i="11" s="1"/>
  <c r="R64" i="1" s="1"/>
  <c r="F60" i="11"/>
  <c r="P60" i="11" s="1"/>
  <c r="R60" i="1" s="1"/>
  <c r="F67" i="11"/>
  <c r="P67" i="11" s="1"/>
  <c r="R67" i="1" s="1"/>
  <c r="F40" i="11"/>
  <c r="P40" i="11" s="1"/>
  <c r="R40" i="1" s="1"/>
  <c r="F3" i="11"/>
  <c r="P3" i="11" s="1"/>
  <c r="R3" i="1" s="1"/>
  <c r="Q80" i="1"/>
  <c r="K80" i="15" s="1"/>
  <c r="R75" i="1"/>
  <c r="O66" i="1"/>
  <c r="P80" i="1"/>
  <c r="J80" i="15" s="1"/>
  <c r="R70" i="1"/>
  <c r="N66" i="1"/>
  <c r="R58" i="1"/>
  <c r="O80" i="1"/>
  <c r="I80" i="15" s="1"/>
  <c r="R65" i="1"/>
  <c r="Q58" i="1"/>
  <c r="N80" i="1"/>
  <c r="H80" i="15" s="1"/>
  <c r="R72" i="1"/>
  <c r="Q65" i="1"/>
  <c r="P58" i="1"/>
  <c r="O79" i="1"/>
  <c r="I79" i="15" s="1"/>
  <c r="N72" i="1"/>
  <c r="Q57" i="1"/>
  <c r="N79" i="1"/>
  <c r="H79" i="15" s="1"/>
  <c r="R71" i="1"/>
  <c r="P57" i="1"/>
  <c r="P76" i="1"/>
  <c r="R80" i="1"/>
  <c r="L80" i="15" s="1"/>
  <c r="R79" i="1"/>
  <c r="L79" i="15" s="1"/>
  <c r="Q74" i="1"/>
  <c r="Q79" i="1"/>
  <c r="K79" i="15" s="1"/>
  <c r="R73" i="1"/>
  <c r="O58" i="1"/>
  <c r="P79" i="1"/>
  <c r="J79" i="15" s="1"/>
  <c r="N58" i="1"/>
  <c r="Q72" i="1"/>
  <c r="R57" i="1"/>
  <c r="P72" i="1"/>
  <c r="R66" i="1"/>
  <c r="O57" i="1"/>
  <c r="O72" i="1"/>
  <c r="Q66" i="1"/>
  <c r="N57" i="1"/>
  <c r="R9" i="1"/>
  <c r="L9" i="15" s="1"/>
  <c r="P66" i="1"/>
  <c r="P65" i="1"/>
  <c r="O65" i="1"/>
  <c r="N65" i="1"/>
  <c r="F14" i="11"/>
  <c r="AH14" i="11"/>
  <c r="AI14" i="11" s="1"/>
  <c r="AJ14" i="11" s="1"/>
  <c r="AK14" i="11" s="1"/>
  <c r="AL14" i="11" s="1"/>
  <c r="F46" i="11"/>
  <c r="AH46" i="11"/>
  <c r="AI46" i="11" s="1"/>
  <c r="AJ46" i="11" s="1"/>
  <c r="AK46" i="11" s="1"/>
  <c r="AL46" i="11" s="1"/>
  <c r="F22" i="11"/>
  <c r="AH22" i="11"/>
  <c r="AI22" i="11" s="1"/>
  <c r="AJ22" i="11" s="1"/>
  <c r="AK22" i="11" s="1"/>
  <c r="AL22" i="11" s="1"/>
  <c r="F35" i="11"/>
  <c r="AH35" i="11"/>
  <c r="AI35" i="11" s="1"/>
  <c r="AJ35" i="11" s="1"/>
  <c r="AK35" i="11" s="1"/>
  <c r="AL35" i="11" s="1"/>
  <c r="F24" i="11"/>
  <c r="AH24" i="11"/>
  <c r="F13" i="11"/>
  <c r="AI13" i="11"/>
  <c r="AJ13" i="11" s="1"/>
  <c r="AK13" i="11" s="1"/>
  <c r="AL13" i="11" s="1"/>
  <c r="AI77" i="11"/>
  <c r="AM77" i="11"/>
  <c r="G77" i="11" s="1"/>
  <c r="L77" i="11" s="1"/>
  <c r="AM78" i="11"/>
  <c r="G78" i="11" s="1"/>
  <c r="L78" i="11" s="1"/>
  <c r="AI80" i="11"/>
  <c r="AM80" i="11"/>
  <c r="Z78" i="11"/>
  <c r="AN78" i="11"/>
  <c r="H78" i="11" s="1"/>
  <c r="M78" i="11" s="1"/>
  <c r="O78" i="1" s="1"/>
  <c r="AL53" i="11"/>
  <c r="F54" i="11"/>
  <c r="L54" i="11" s="1"/>
  <c r="N54" i="1" s="1"/>
  <c r="AH54" i="11"/>
  <c r="AI54" i="11" s="1"/>
  <c r="AJ54" i="11" s="1"/>
  <c r="AK54" i="11" s="1"/>
  <c r="AL54" i="11" s="1"/>
  <c r="F27" i="11"/>
  <c r="AH27" i="11"/>
  <c r="AI27" i="11" s="1"/>
  <c r="AJ27" i="11" s="1"/>
  <c r="AK27" i="11" s="1"/>
  <c r="AL27" i="11" s="1"/>
  <c r="F52" i="11"/>
  <c r="AH52" i="11"/>
  <c r="AI52" i="11" s="1"/>
  <c r="AJ52" i="11" s="1"/>
  <c r="AK52" i="11" s="1"/>
  <c r="AL52" i="11" s="1"/>
  <c r="F26" i="11"/>
  <c r="AH26" i="11"/>
  <c r="AI26" i="11" s="1"/>
  <c r="AJ26" i="11" s="1"/>
  <c r="AK26" i="11" s="1"/>
  <c r="AL26" i="11" s="1"/>
  <c r="F51" i="11"/>
  <c r="P51" i="11" s="1"/>
  <c r="F43" i="11"/>
  <c r="AH43" i="11"/>
  <c r="AI43" i="11" s="1"/>
  <c r="AJ43" i="11" s="1"/>
  <c r="AK43" i="11" s="1"/>
  <c r="AL43" i="11" s="1"/>
  <c r="F19" i="11"/>
  <c r="AH19" i="11"/>
  <c r="AI19" i="11" s="1"/>
  <c r="AJ19" i="11" s="1"/>
  <c r="AK19" i="11" s="1"/>
  <c r="AL19" i="11" s="1"/>
  <c r="F44" i="11"/>
  <c r="AH44" i="11"/>
  <c r="AI44" i="11" s="1"/>
  <c r="AJ44" i="11" s="1"/>
  <c r="AK44" i="11" s="1"/>
  <c r="AL44" i="11" s="1"/>
  <c r="F16" i="11"/>
  <c r="AH16" i="11"/>
  <c r="AI16" i="11" s="1"/>
  <c r="AJ16" i="11" s="1"/>
  <c r="AK16" i="11" s="1"/>
  <c r="F20" i="11"/>
  <c r="AH20" i="11"/>
  <c r="AI20" i="11" s="1"/>
  <c r="AJ20" i="11" s="1"/>
  <c r="F36" i="11"/>
  <c r="AH36" i="11"/>
  <c r="AI36" i="11" s="1"/>
  <c r="AJ36" i="11" s="1"/>
  <c r="AK36" i="11" s="1"/>
  <c r="AL36" i="11" s="1"/>
  <c r="F49" i="11"/>
  <c r="AH49" i="11"/>
  <c r="AI49" i="11" s="1"/>
  <c r="AJ49" i="11" s="1"/>
  <c r="AK49" i="11" s="1"/>
  <c r="AL49" i="11" s="1"/>
  <c r="F37" i="11"/>
  <c r="AH37" i="11"/>
  <c r="AI37" i="11" s="1"/>
  <c r="AJ37" i="11" s="1"/>
  <c r="AK37" i="11" s="1"/>
  <c r="AL37" i="11" s="1"/>
  <c r="F50" i="11"/>
  <c r="F42" i="11"/>
  <c r="X42" i="11"/>
  <c r="AH42" i="11"/>
  <c r="AI42" i="11" s="1"/>
  <c r="AJ42" i="11" s="1"/>
  <c r="AK42" i="11" s="1"/>
  <c r="AL42" i="11" s="1"/>
  <c r="F69" i="11"/>
  <c r="F41" i="11"/>
  <c r="P41" i="11" s="1"/>
  <c r="AH41" i="11"/>
  <c r="AI41" i="11" s="1"/>
  <c r="AJ41" i="11" s="1"/>
  <c r="AK41" i="11" s="1"/>
  <c r="AL41" i="11" s="1"/>
  <c r="F45" i="11"/>
  <c r="P45" i="11" s="1"/>
  <c r="R45" i="1" s="1"/>
  <c r="L76" i="11"/>
  <c r="N76" i="1" s="1"/>
  <c r="L75" i="11"/>
  <c r="N75" i="1" s="1"/>
  <c r="O75" i="11"/>
  <c r="Q75" i="1" s="1"/>
  <c r="M75" i="11"/>
  <c r="O75" i="1" s="1"/>
  <c r="N75" i="11"/>
  <c r="P75" i="1" s="1"/>
  <c r="M76" i="11"/>
  <c r="O76" i="1" s="1"/>
  <c r="N74" i="11"/>
  <c r="P74" i="1" s="1"/>
  <c r="L74" i="11"/>
  <c r="N74" i="1" s="1"/>
  <c r="O71" i="11"/>
  <c r="Q71" i="1" s="1"/>
  <c r="L71" i="11"/>
  <c r="N71" i="1" s="1"/>
  <c r="P76" i="11"/>
  <c r="R76" i="1" s="1"/>
  <c r="O76" i="11"/>
  <c r="Q76" i="1" s="1"/>
  <c r="N71" i="11"/>
  <c r="P71" i="1" s="1"/>
  <c r="M71" i="11"/>
  <c r="O71" i="1" s="1"/>
  <c r="M74" i="11"/>
  <c r="O74" i="1" s="1"/>
  <c r="O70" i="11"/>
  <c r="Q70" i="1" s="1"/>
  <c r="P74" i="11"/>
  <c r="R74" i="1" s="1"/>
  <c r="L70" i="11"/>
  <c r="N70" i="1" s="1"/>
  <c r="M70" i="11"/>
  <c r="O70" i="1" s="1"/>
  <c r="N70" i="11"/>
  <c r="P70" i="1" s="1"/>
  <c r="L73" i="11"/>
  <c r="N73" i="1" s="1"/>
  <c r="M73" i="11"/>
  <c r="O73" i="1" s="1"/>
  <c r="N73" i="11"/>
  <c r="P73" i="1" s="1"/>
  <c r="O73" i="11"/>
  <c r="Q73" i="1" s="1"/>
  <c r="CI66" i="1"/>
  <c r="CI73" i="1"/>
  <c r="CI76" i="1"/>
  <c r="CI72" i="1"/>
  <c r="CI79" i="1"/>
  <c r="CI75" i="1"/>
  <c r="CI71" i="1"/>
  <c r="CI78" i="1"/>
  <c r="CI74" i="1"/>
  <c r="CI70" i="1"/>
  <c r="CI35" i="1"/>
  <c r="J18" i="11"/>
  <c r="H18" i="11"/>
  <c r="G18" i="11"/>
  <c r="I18" i="11"/>
  <c r="H68" i="11"/>
  <c r="G68" i="11"/>
  <c r="I68" i="11"/>
  <c r="J68" i="11"/>
  <c r="J21" i="11"/>
  <c r="I21" i="11"/>
  <c r="H21" i="11"/>
  <c r="G21" i="11"/>
  <c r="J15" i="11"/>
  <c r="I15" i="11"/>
  <c r="H15" i="11"/>
  <c r="G15" i="11"/>
  <c r="J48" i="11"/>
  <c r="G48" i="11"/>
  <c r="I48" i="11"/>
  <c r="H48" i="11"/>
  <c r="J9" i="11"/>
  <c r="I9" i="11"/>
  <c r="H9" i="11"/>
  <c r="G9" i="11"/>
  <c r="J6" i="11"/>
  <c r="G6" i="11"/>
  <c r="I6" i="11"/>
  <c r="H6" i="11"/>
  <c r="J33" i="11"/>
  <c r="I33" i="11"/>
  <c r="H33" i="11"/>
  <c r="G33" i="11"/>
  <c r="J30" i="11"/>
  <c r="H30" i="11"/>
  <c r="G30" i="11"/>
  <c r="I30" i="11"/>
  <c r="J12" i="11"/>
  <c r="H12" i="11"/>
  <c r="G12" i="11"/>
  <c r="I12" i="11"/>
  <c r="J3" i="11"/>
  <c r="H3" i="11"/>
  <c r="I3" i="11"/>
  <c r="G3" i="11"/>
  <c r="J4" i="11"/>
  <c r="H4" i="11"/>
  <c r="G4" i="11"/>
  <c r="I4" i="11"/>
  <c r="J7" i="11"/>
  <c r="I7" i="11"/>
  <c r="H7" i="11"/>
  <c r="G7" i="11"/>
  <c r="J10" i="11"/>
  <c r="O10" i="11" s="1"/>
  <c r="H10" i="11"/>
  <c r="M10" i="11" s="1"/>
  <c r="O10" i="1" s="1"/>
  <c r="G10" i="11"/>
  <c r="I10" i="11"/>
  <c r="J25" i="11"/>
  <c r="H25" i="11"/>
  <c r="I25" i="11"/>
  <c r="G25" i="11"/>
  <c r="J28" i="11"/>
  <c r="H28" i="11"/>
  <c r="G28" i="11"/>
  <c r="I28" i="11"/>
  <c r="J31" i="11"/>
  <c r="H31" i="11"/>
  <c r="G31" i="11"/>
  <c r="I31" i="11"/>
  <c r="J34" i="11"/>
  <c r="I34" i="11"/>
  <c r="H34" i="11"/>
  <c r="G34" i="11"/>
  <c r="J5" i="11"/>
  <c r="I5" i="11"/>
  <c r="H5" i="11"/>
  <c r="G5" i="11"/>
  <c r="I8" i="11"/>
  <c r="G8" i="11"/>
  <c r="H8" i="11"/>
  <c r="J8" i="11"/>
  <c r="H11" i="11"/>
  <c r="J11" i="11"/>
  <c r="I11" i="11"/>
  <c r="G11" i="11"/>
  <c r="G17" i="11"/>
  <c r="H17" i="11"/>
  <c r="J17" i="11"/>
  <c r="O17" i="11" s="1"/>
  <c r="I17" i="11"/>
  <c r="J23" i="11"/>
  <c r="I23" i="11"/>
  <c r="H23" i="11"/>
  <c r="G23" i="11"/>
  <c r="J29" i="11"/>
  <c r="I29" i="11"/>
  <c r="H29" i="11"/>
  <c r="G29" i="11"/>
  <c r="J32" i="11"/>
  <c r="I32" i="11"/>
  <c r="H32" i="11"/>
  <c r="G32" i="11"/>
  <c r="H38" i="11"/>
  <c r="J38" i="11"/>
  <c r="I38" i="11"/>
  <c r="G38" i="11"/>
  <c r="CI22" i="1"/>
  <c r="CI39" i="1"/>
  <c r="CI42" i="1"/>
  <c r="CI45" i="1"/>
  <c r="CI37" i="1"/>
  <c r="CI57" i="1"/>
  <c r="CI64" i="1"/>
  <c r="CI44" i="1"/>
  <c r="CI51" i="1"/>
  <c r="CI54" i="1"/>
  <c r="CI61" i="1"/>
  <c r="CI67" i="1"/>
  <c r="CI40" i="1"/>
  <c r="CI28" i="1"/>
  <c r="CI48" i="1"/>
  <c r="CI52" i="1"/>
  <c r="CI55" i="1"/>
  <c r="CI59" i="1"/>
  <c r="CI62" i="1"/>
  <c r="CI65" i="1"/>
  <c r="CI68" i="1"/>
  <c r="CI41" i="1"/>
  <c r="CI43" i="1"/>
  <c r="CI47" i="1"/>
  <c r="CI49" i="1"/>
  <c r="CI53" i="1"/>
  <c r="CI56" i="1"/>
  <c r="CI60" i="1"/>
  <c r="CI63" i="1"/>
  <c r="AY12" i="1"/>
  <c r="G31" i="8"/>
  <c r="G30" i="8"/>
  <c r="G29" i="8"/>
  <c r="G28" i="8"/>
  <c r="G27" i="8"/>
  <c r="G26" i="8"/>
  <c r="G25" i="8"/>
  <c r="G24" i="8"/>
  <c r="F31" i="8"/>
  <c r="F30" i="8"/>
  <c r="F29" i="8"/>
  <c r="F28" i="8"/>
  <c r="F27" i="8"/>
  <c r="F26" i="8"/>
  <c r="F25" i="8"/>
  <c r="F24" i="8"/>
  <c r="E31" i="8"/>
  <c r="E30" i="8"/>
  <c r="E29" i="8"/>
  <c r="E28" i="8"/>
  <c r="E27" i="8"/>
  <c r="E26" i="8"/>
  <c r="E25" i="8"/>
  <c r="E24" i="8"/>
  <c r="B31" i="8"/>
  <c r="B30" i="8"/>
  <c r="B29" i="8"/>
  <c r="B28" i="8"/>
  <c r="B27" i="8"/>
  <c r="B26" i="8"/>
  <c r="B25" i="8"/>
  <c r="B24" i="8"/>
  <c r="C9" i="8"/>
  <c r="C8" i="8"/>
  <c r="C7" i="8"/>
  <c r="C6" i="8"/>
  <c r="C5" i="8"/>
  <c r="C4" i="8"/>
  <c r="G7" i="8"/>
  <c r="CI50" i="1" s="1"/>
  <c r="G9" i="8"/>
  <c r="CI26" i="1" s="1"/>
  <c r="CI38" i="1"/>
  <c r="G6" i="8"/>
  <c r="CI36" i="1" s="1"/>
  <c r="G5" i="8"/>
  <c r="CI8" i="1" s="1"/>
  <c r="G4" i="8"/>
  <c r="CI14" i="1" s="1"/>
  <c r="F9" i="8"/>
  <c r="CH26" i="1" s="1"/>
  <c r="F8" i="8"/>
  <c r="F7" i="8"/>
  <c r="CH50" i="1" s="1"/>
  <c r="F6" i="8"/>
  <c r="CH36" i="1" s="1"/>
  <c r="F5" i="8"/>
  <c r="CH6" i="1" s="1"/>
  <c r="F4" i="8"/>
  <c r="CH34" i="1" s="1"/>
  <c r="E9" i="8"/>
  <c r="CG10" i="1" s="1"/>
  <c r="E8" i="8"/>
  <c r="E7" i="8"/>
  <c r="CG50" i="1" s="1"/>
  <c r="E6" i="8"/>
  <c r="CG36" i="1" s="1"/>
  <c r="E5" i="8"/>
  <c r="CG6" i="1" s="1"/>
  <c r="E4" i="8"/>
  <c r="CG14" i="1" s="1"/>
  <c r="CE38" i="1"/>
  <c r="D31" i="8" s="1"/>
  <c r="CE50" i="1"/>
  <c r="CF50" i="1" s="1"/>
  <c r="CE36" i="1"/>
  <c r="CE14" i="1"/>
  <c r="CE34" i="1"/>
  <c r="CE33" i="1"/>
  <c r="CE32" i="1"/>
  <c r="CE31" i="1"/>
  <c r="CE30" i="1"/>
  <c r="CE29" i="1"/>
  <c r="CE25" i="1"/>
  <c r="CE27" i="1"/>
  <c r="CE26" i="1"/>
  <c r="CE20" i="1"/>
  <c r="CE24" i="1"/>
  <c r="D29" i="8" s="1"/>
  <c r="CE46" i="1"/>
  <c r="CE77" i="1"/>
  <c r="D28" i="8" s="1"/>
  <c r="CE21" i="1"/>
  <c r="D27" i="8" s="1"/>
  <c r="CE69" i="1"/>
  <c r="CE19" i="1"/>
  <c r="CE18" i="1"/>
  <c r="CE17" i="1"/>
  <c r="CE16" i="1"/>
  <c r="CE15" i="1"/>
  <c r="CE23" i="1"/>
  <c r="CE13" i="1"/>
  <c r="CE11" i="1"/>
  <c r="CE10" i="1"/>
  <c r="CE9" i="1"/>
  <c r="CE8" i="1"/>
  <c r="D26" i="8" s="1"/>
  <c r="CE7" i="1"/>
  <c r="CE6" i="1"/>
  <c r="CE5" i="1"/>
  <c r="D25" i="8" s="1"/>
  <c r="CE4" i="1"/>
  <c r="CE3" i="1"/>
  <c r="D24" i="8" s="1"/>
  <c r="B4" i="1"/>
  <c r="M31" i="11" l="1"/>
  <c r="O31" i="1" s="1"/>
  <c r="I31" i="15" s="1"/>
  <c r="L15" i="11"/>
  <c r="N15" i="1" s="1"/>
  <c r="H15" i="15" s="1"/>
  <c r="N15" i="11"/>
  <c r="P15" i="1" s="1"/>
  <c r="J15" i="15" s="1"/>
  <c r="O15" i="11"/>
  <c r="Q15" i="1" s="1"/>
  <c r="K15" i="15" s="1"/>
  <c r="O9" i="11"/>
  <c r="L38" i="11"/>
  <c r="N38" i="1" s="1"/>
  <c r="H38" i="15" s="1"/>
  <c r="N10" i="11"/>
  <c r="P10" i="1" s="1"/>
  <c r="J10" i="15" s="1"/>
  <c r="L10" i="11"/>
  <c r="N10" i="1" s="1"/>
  <c r="H10" i="15" s="1"/>
  <c r="L12" i="11"/>
  <c r="N12" i="1" s="1"/>
  <c r="H12" i="15" s="1"/>
  <c r="M15" i="11"/>
  <c r="O15" i="1" s="1"/>
  <c r="I15" i="15" s="1"/>
  <c r="N12" i="11"/>
  <c r="P12" i="1" s="1"/>
  <c r="J12" i="15" s="1"/>
  <c r="M9" i="11"/>
  <c r="O9" i="1" s="1"/>
  <c r="I9" i="15" s="1"/>
  <c r="N9" i="11"/>
  <c r="P9" i="1" s="1"/>
  <c r="J9" i="15" s="1"/>
  <c r="L6" i="11"/>
  <c r="N6" i="1" s="1"/>
  <c r="H6" i="15" s="1"/>
  <c r="L31" i="11"/>
  <c r="N31" i="1" s="1"/>
  <c r="H31" i="15" s="1"/>
  <c r="O31" i="11"/>
  <c r="Q31" i="1" s="1"/>
  <c r="K31" i="15" s="1"/>
  <c r="N17" i="11"/>
  <c r="N18" i="11"/>
  <c r="P18" i="1" s="1"/>
  <c r="J18" i="15" s="1"/>
  <c r="AK20" i="11"/>
  <c r="AL20" i="11" s="1"/>
  <c r="L9" i="11"/>
  <c r="N9" i="1" s="1"/>
  <c r="H9" i="15" s="1"/>
  <c r="M12" i="11"/>
  <c r="O12" i="1" s="1"/>
  <c r="I12" i="15" s="1"/>
  <c r="N55" i="11"/>
  <c r="P55" i="1" s="1"/>
  <c r="M62" i="11"/>
  <c r="O62" i="1" s="1"/>
  <c r="L55" i="11"/>
  <c r="N55" i="1" s="1"/>
  <c r="O62" i="11"/>
  <c r="Q62" i="1" s="1"/>
  <c r="N62" i="11"/>
  <c r="P62" i="1" s="1"/>
  <c r="O55" i="11"/>
  <c r="Q55" i="1" s="1"/>
  <c r="N31" i="11"/>
  <c r="P31" i="1" s="1"/>
  <c r="J31" i="15" s="1"/>
  <c r="O12" i="11"/>
  <c r="Q12" i="1" s="1"/>
  <c r="K12" i="15" s="1"/>
  <c r="N6" i="11"/>
  <c r="P6" i="1" s="1"/>
  <c r="J6" i="15" s="1"/>
  <c r="L62" i="11"/>
  <c r="N62" i="1" s="1"/>
  <c r="M55" i="11"/>
  <c r="O55" i="1" s="1"/>
  <c r="M56" i="11"/>
  <c r="O56" i="1" s="1"/>
  <c r="L25" i="11"/>
  <c r="L21" i="11"/>
  <c r="N21" i="1" s="1"/>
  <c r="H21" i="15" s="1"/>
  <c r="M21" i="11"/>
  <c r="O21" i="1" s="1"/>
  <c r="I21" i="15" s="1"/>
  <c r="N21" i="11"/>
  <c r="P21" i="1" s="1"/>
  <c r="J21" i="15" s="1"/>
  <c r="M64" i="11"/>
  <c r="O64" i="1" s="1"/>
  <c r="M47" i="11"/>
  <c r="O47" i="1" s="1"/>
  <c r="O60" i="11"/>
  <c r="Q60" i="1" s="1"/>
  <c r="O67" i="11"/>
  <c r="Q67" i="1" s="1"/>
  <c r="O59" i="11"/>
  <c r="Q59" i="1" s="1"/>
  <c r="L33" i="11"/>
  <c r="N33" i="1" s="1"/>
  <c r="H33" i="15" s="1"/>
  <c r="O47" i="11"/>
  <c r="Q47" i="1" s="1"/>
  <c r="N29" i="11"/>
  <c r="P29" i="1" s="1"/>
  <c r="J29" i="15" s="1"/>
  <c r="O11" i="11"/>
  <c r="Q11" i="1" s="1"/>
  <c r="K11" i="15" s="1"/>
  <c r="N56" i="11"/>
  <c r="P56" i="1" s="1"/>
  <c r="M6" i="11"/>
  <c r="O6" i="1" s="1"/>
  <c r="I6" i="15" s="1"/>
  <c r="O29" i="11"/>
  <c r="Q29" i="1" s="1"/>
  <c r="K29" i="15" s="1"/>
  <c r="L56" i="11"/>
  <c r="N56" i="1" s="1"/>
  <c r="O48" i="11"/>
  <c r="Q48" i="1" s="1"/>
  <c r="K48" i="15" s="1"/>
  <c r="O32" i="11"/>
  <c r="Q32" i="1" s="1"/>
  <c r="K32" i="15" s="1"/>
  <c r="O5" i="11"/>
  <c r="Q5" i="1" s="1"/>
  <c r="K5" i="15" s="1"/>
  <c r="M59" i="11"/>
  <c r="O59" i="1" s="1"/>
  <c r="N67" i="11"/>
  <c r="P67" i="1" s="1"/>
  <c r="N48" i="11"/>
  <c r="P48" i="1" s="1"/>
  <c r="J48" i="15" s="1"/>
  <c r="N60" i="11"/>
  <c r="P60" i="1" s="1"/>
  <c r="M11" i="11"/>
  <c r="O11" i="1" s="1"/>
  <c r="I11" i="15" s="1"/>
  <c r="M33" i="11"/>
  <c r="O33" i="1" s="1"/>
  <c r="I33" i="15" s="1"/>
  <c r="N33" i="11"/>
  <c r="P33" i="1" s="1"/>
  <c r="J33" i="15" s="1"/>
  <c r="O33" i="11"/>
  <c r="Q33" i="1" s="1"/>
  <c r="K33" i="15" s="1"/>
  <c r="L34" i="11"/>
  <c r="N34" i="1" s="1"/>
  <c r="H34" i="15" s="1"/>
  <c r="N4" i="11"/>
  <c r="P4" i="1" s="1"/>
  <c r="J4" i="15" s="1"/>
  <c r="N30" i="11"/>
  <c r="P30" i="1" s="1"/>
  <c r="J30" i="15" s="1"/>
  <c r="M34" i="11"/>
  <c r="O34" i="1" s="1"/>
  <c r="I34" i="15" s="1"/>
  <c r="N25" i="11"/>
  <c r="P25" i="1" s="1"/>
  <c r="J25" i="15" s="1"/>
  <c r="L4" i="11"/>
  <c r="N4" i="1" s="1"/>
  <c r="H4" i="15" s="1"/>
  <c r="L30" i="11"/>
  <c r="N30" i="1" s="1"/>
  <c r="H30" i="15" s="1"/>
  <c r="N64" i="11"/>
  <c r="P64" i="1" s="1"/>
  <c r="L18" i="11"/>
  <c r="L32" i="11"/>
  <c r="N32" i="1" s="1"/>
  <c r="H32" i="15" s="1"/>
  <c r="L5" i="11"/>
  <c r="N34" i="11"/>
  <c r="P34" i="1" s="1"/>
  <c r="J34" i="15" s="1"/>
  <c r="M25" i="11"/>
  <c r="O25" i="1" s="1"/>
  <c r="I25" i="15" s="1"/>
  <c r="M4" i="11"/>
  <c r="O4" i="1" s="1"/>
  <c r="I4" i="15" s="1"/>
  <c r="M30" i="11"/>
  <c r="O30" i="1" s="1"/>
  <c r="I30" i="15" s="1"/>
  <c r="L64" i="11"/>
  <c r="N64" i="1" s="1"/>
  <c r="M18" i="11"/>
  <c r="O18" i="1" s="1"/>
  <c r="I18" i="15" s="1"/>
  <c r="M32" i="11"/>
  <c r="O32" i="1" s="1"/>
  <c r="I32" i="15" s="1"/>
  <c r="M5" i="11"/>
  <c r="O5" i="1" s="1"/>
  <c r="I5" i="15" s="1"/>
  <c r="O25" i="11"/>
  <c r="Q25" i="1" s="1"/>
  <c r="K25" i="15" s="1"/>
  <c r="O4" i="11"/>
  <c r="Q4" i="1" s="1"/>
  <c r="K4" i="15" s="1"/>
  <c r="O6" i="11"/>
  <c r="Q6" i="1" s="1"/>
  <c r="K6" i="15" s="1"/>
  <c r="O64" i="11"/>
  <c r="Q64" i="1" s="1"/>
  <c r="O21" i="11"/>
  <c r="Q21" i="1" s="1"/>
  <c r="K21" i="15" s="1"/>
  <c r="O18" i="11"/>
  <c r="Q18" i="1" s="1"/>
  <c r="K18" i="15" s="1"/>
  <c r="N32" i="11"/>
  <c r="P32" i="1" s="1"/>
  <c r="J32" i="15" s="1"/>
  <c r="N5" i="11"/>
  <c r="P5" i="1" s="1"/>
  <c r="J5" i="15" s="1"/>
  <c r="L59" i="11"/>
  <c r="N59" i="1" s="1"/>
  <c r="L67" i="11"/>
  <c r="N67" i="1" s="1"/>
  <c r="M48" i="11"/>
  <c r="O48" i="1" s="1"/>
  <c r="I48" i="15" s="1"/>
  <c r="M60" i="11"/>
  <c r="O60" i="1" s="1"/>
  <c r="L29" i="11"/>
  <c r="N29" i="1" s="1"/>
  <c r="H29" i="15" s="1"/>
  <c r="L11" i="11"/>
  <c r="N11" i="1" s="1"/>
  <c r="H11" i="15" s="1"/>
  <c r="L47" i="11"/>
  <c r="N47" i="1" s="1"/>
  <c r="N59" i="11"/>
  <c r="P59" i="1" s="1"/>
  <c r="M67" i="11"/>
  <c r="O67" i="1" s="1"/>
  <c r="L48" i="11"/>
  <c r="N48" i="1" s="1"/>
  <c r="H48" i="15" s="1"/>
  <c r="L60" i="11"/>
  <c r="N60" i="1" s="1"/>
  <c r="M29" i="11"/>
  <c r="O29" i="1" s="1"/>
  <c r="I29" i="15" s="1"/>
  <c r="N11" i="11"/>
  <c r="P11" i="1" s="1"/>
  <c r="J11" i="15" s="1"/>
  <c r="N47" i="11"/>
  <c r="P47" i="1" s="1"/>
  <c r="M39" i="11"/>
  <c r="O39" i="1" s="1"/>
  <c r="L40" i="11"/>
  <c r="N40" i="1" s="1"/>
  <c r="L61" i="11"/>
  <c r="N61" i="1" s="1"/>
  <c r="L39" i="11"/>
  <c r="N39" i="1" s="1"/>
  <c r="N40" i="11"/>
  <c r="P40" i="1" s="1"/>
  <c r="N61" i="11"/>
  <c r="P61" i="1" s="1"/>
  <c r="N39" i="11"/>
  <c r="P39" i="1" s="1"/>
  <c r="M40" i="11"/>
  <c r="O40" i="1" s="1"/>
  <c r="M61" i="11"/>
  <c r="O61" i="1" s="1"/>
  <c r="L23" i="11"/>
  <c r="O8" i="11"/>
  <c r="Q8" i="1" s="1"/>
  <c r="K8" i="15" s="1"/>
  <c r="N28" i="11"/>
  <c r="P28" i="1" s="1"/>
  <c r="L7" i="11"/>
  <c r="N7" i="1" s="1"/>
  <c r="H7" i="15" s="1"/>
  <c r="L3" i="11"/>
  <c r="M17" i="11"/>
  <c r="O17" i="1" s="1"/>
  <c r="I17" i="15" s="1"/>
  <c r="L17" i="11"/>
  <c r="N17" i="1" s="1"/>
  <c r="H17" i="15" s="1"/>
  <c r="O34" i="11"/>
  <c r="Q34" i="1" s="1"/>
  <c r="K34" i="15" s="1"/>
  <c r="O39" i="11"/>
  <c r="Q39" i="1" s="1"/>
  <c r="O40" i="11"/>
  <c r="Q40" i="1" s="1"/>
  <c r="O61" i="11"/>
  <c r="Q61" i="1" s="1"/>
  <c r="N77" i="1"/>
  <c r="O68" i="11"/>
  <c r="Q68" i="1" s="1"/>
  <c r="K68" i="15" s="1"/>
  <c r="L63" i="11"/>
  <c r="N63" i="1" s="1"/>
  <c r="N38" i="11"/>
  <c r="P38" i="1" s="1"/>
  <c r="J38" i="15" s="1"/>
  <c r="M23" i="11"/>
  <c r="O23" i="1" s="1"/>
  <c r="M8" i="11"/>
  <c r="O8" i="1" s="1"/>
  <c r="I8" i="15" s="1"/>
  <c r="L28" i="11"/>
  <c r="N28" i="1" s="1"/>
  <c r="M7" i="11"/>
  <c r="O7" i="1" s="1"/>
  <c r="I7" i="15" s="1"/>
  <c r="N3" i="11"/>
  <c r="P3" i="1" s="1"/>
  <c r="J3" i="15" s="1"/>
  <c r="N68" i="11"/>
  <c r="P68" i="1" s="1"/>
  <c r="J68" i="15" s="1"/>
  <c r="N63" i="11"/>
  <c r="P63" i="1" s="1"/>
  <c r="O38" i="11"/>
  <c r="Q38" i="1" s="1"/>
  <c r="K38" i="15" s="1"/>
  <c r="N23" i="11"/>
  <c r="P23" i="1" s="1"/>
  <c r="L8" i="11"/>
  <c r="N8" i="1" s="1"/>
  <c r="H8" i="15" s="1"/>
  <c r="M28" i="11"/>
  <c r="O28" i="1" s="1"/>
  <c r="N7" i="11"/>
  <c r="P7" i="1" s="1"/>
  <c r="J7" i="15" s="1"/>
  <c r="M3" i="11"/>
  <c r="O3" i="1" s="1"/>
  <c r="I3" i="15" s="1"/>
  <c r="L68" i="11"/>
  <c r="N68" i="1" s="1"/>
  <c r="H68" i="15" s="1"/>
  <c r="M63" i="11"/>
  <c r="O63" i="1" s="1"/>
  <c r="M38" i="11"/>
  <c r="O38" i="1" s="1"/>
  <c r="I38" i="15" s="1"/>
  <c r="O23" i="11"/>
  <c r="Q23" i="1" s="1"/>
  <c r="N8" i="11"/>
  <c r="P8" i="1" s="1"/>
  <c r="J8" i="15" s="1"/>
  <c r="O56" i="11"/>
  <c r="Q56" i="1" s="1"/>
  <c r="O28" i="11"/>
  <c r="Q28" i="1" s="1"/>
  <c r="O7" i="11"/>
  <c r="Q7" i="1" s="1"/>
  <c r="K7" i="15" s="1"/>
  <c r="O3" i="11"/>
  <c r="Q3" i="1" s="1"/>
  <c r="K3" i="15" s="1"/>
  <c r="O30" i="11"/>
  <c r="Q30" i="1" s="1"/>
  <c r="K30" i="15" s="1"/>
  <c r="M68" i="11"/>
  <c r="O68" i="1" s="1"/>
  <c r="I68" i="15" s="1"/>
  <c r="O63" i="11"/>
  <c r="Q63" i="1" s="1"/>
  <c r="R41" i="1"/>
  <c r="L41" i="15" s="1"/>
  <c r="Q10" i="1"/>
  <c r="K10" i="15" s="1"/>
  <c r="Q9" i="1"/>
  <c r="K9" i="15" s="1"/>
  <c r="N78" i="1"/>
  <c r="H78" i="15" s="1"/>
  <c r="P17" i="1"/>
  <c r="J17" i="15" s="1"/>
  <c r="R51" i="1"/>
  <c r="L51" i="15" s="1"/>
  <c r="Q17" i="1"/>
  <c r="K17" i="15" s="1"/>
  <c r="L45" i="15"/>
  <c r="H54" i="15"/>
  <c r="I78" i="15"/>
  <c r="L3" i="15"/>
  <c r="I10" i="15"/>
  <c r="X4" i="1" a="1"/>
  <c r="X4" i="1" s="1"/>
  <c r="X5" i="1" a="1"/>
  <c r="X5" i="1" s="1"/>
  <c r="X11" i="1" a="1"/>
  <c r="X11" i="1" s="1"/>
  <c r="X12" i="1" a="1"/>
  <c r="X12" i="1" s="1"/>
  <c r="X20" i="1" a="1"/>
  <c r="X20" i="1" s="1"/>
  <c r="X24" i="1" a="1"/>
  <c r="X24" i="1" s="1"/>
  <c r="X18" i="1" a="1"/>
  <c r="X18" i="1" s="1"/>
  <c r="X44" i="1" a="1"/>
  <c r="X44" i="1" s="1"/>
  <c r="X52" i="1" a="1"/>
  <c r="X52" i="1" s="1"/>
  <c r="X13" i="1" a="1"/>
  <c r="X13" i="1" s="1"/>
  <c r="X14" i="1" a="1"/>
  <c r="X14" i="1" s="1"/>
  <c r="X32" i="1" a="1"/>
  <c r="X32" i="1" s="1"/>
  <c r="X50" i="1" a="1"/>
  <c r="X50" i="1" s="1"/>
  <c r="X10" i="1" a="1"/>
  <c r="X10" i="1" s="1"/>
  <c r="X19" i="1" a="1"/>
  <c r="X19" i="1" s="1"/>
  <c r="X41" i="1" a="1"/>
  <c r="X41" i="1" s="1"/>
  <c r="X23" i="1" a="1"/>
  <c r="X23" i="1" s="1"/>
  <c r="X35" i="1" a="1"/>
  <c r="X35" i="1" s="1"/>
  <c r="X34" i="1" a="1"/>
  <c r="X34" i="1" s="1"/>
  <c r="X27" i="1" a="1"/>
  <c r="X27" i="1" s="1"/>
  <c r="X30" i="1" a="1"/>
  <c r="X30" i="1" s="1"/>
  <c r="X48" i="1" a="1"/>
  <c r="X48" i="1" s="1"/>
  <c r="X25" i="1" a="1"/>
  <c r="X25" i="1" s="1"/>
  <c r="X28" i="1" a="1"/>
  <c r="X28" i="1" s="1"/>
  <c r="X79" i="1" a="1"/>
  <c r="X79" i="1" s="1"/>
  <c r="X33" i="1" a="1"/>
  <c r="X33" i="1" s="1"/>
  <c r="X54" i="1" a="1"/>
  <c r="X54" i="1" s="1"/>
  <c r="X77" i="1" a="1"/>
  <c r="X77" i="1" s="1"/>
  <c r="X53" i="1" a="1"/>
  <c r="X53" i="1" s="1"/>
  <c r="X31" i="1" a="1"/>
  <c r="X31" i="1" s="1"/>
  <c r="X26" i="1" a="1"/>
  <c r="X26" i="1" s="1"/>
  <c r="X15" i="1" a="1"/>
  <c r="X15" i="1" s="1"/>
  <c r="X16" i="1" a="1"/>
  <c r="X16" i="1" s="1"/>
  <c r="X38" i="1" a="1"/>
  <c r="X38" i="1" s="1"/>
  <c r="X6" i="1" a="1"/>
  <c r="X6" i="1" s="1"/>
  <c r="X17" i="1" a="1"/>
  <c r="X17" i="1" s="1"/>
  <c r="X69" i="1" a="1"/>
  <c r="X69" i="1" s="1"/>
  <c r="X8" i="1" a="1"/>
  <c r="X8" i="1" s="1"/>
  <c r="X9" i="1" a="1"/>
  <c r="X9" i="1" s="1"/>
  <c r="X42" i="1" a="1"/>
  <c r="X42" i="1" s="1"/>
  <c r="X22" i="1" a="1"/>
  <c r="X22" i="1" s="1"/>
  <c r="X68" i="1" a="1"/>
  <c r="X68" i="1" s="1"/>
  <c r="X78" i="1" a="1"/>
  <c r="X78" i="1" s="1"/>
  <c r="X49" i="1" a="1"/>
  <c r="X49" i="1" s="1"/>
  <c r="X29" i="1" a="1"/>
  <c r="X29" i="1" s="1"/>
  <c r="X80" i="1" a="1"/>
  <c r="X80" i="1" s="1"/>
  <c r="X7" i="1" a="1"/>
  <c r="X7" i="1" s="1"/>
  <c r="X45" i="1" a="1"/>
  <c r="X45" i="1" s="1"/>
  <c r="X46" i="1" a="1"/>
  <c r="X46" i="1" s="1"/>
  <c r="X36" i="1" a="1"/>
  <c r="X36" i="1" s="1"/>
  <c r="X21" i="1" a="1"/>
  <c r="X21" i="1" s="1"/>
  <c r="X43" i="1" a="1"/>
  <c r="X43" i="1" s="1"/>
  <c r="X37" i="1" a="1"/>
  <c r="X37" i="1" s="1"/>
  <c r="X51" i="1" a="1"/>
  <c r="X51" i="1" s="1"/>
  <c r="X3" i="1" a="1"/>
  <c r="X3" i="1" s="1"/>
  <c r="AM35" i="11"/>
  <c r="G35" i="11" s="1"/>
  <c r="L35" i="11" s="1"/>
  <c r="AM22" i="11"/>
  <c r="G22" i="11" s="1"/>
  <c r="L22" i="11" s="1"/>
  <c r="AM24" i="11"/>
  <c r="G24" i="11" s="1"/>
  <c r="L24" i="11" s="1"/>
  <c r="AI24" i="11"/>
  <c r="AM14" i="11"/>
  <c r="G14" i="11" s="1"/>
  <c r="L14" i="11" s="1"/>
  <c r="AM46" i="11"/>
  <c r="G46" i="11" s="1"/>
  <c r="L46" i="11" s="1"/>
  <c r="AM13" i="11"/>
  <c r="G13" i="11" s="1"/>
  <c r="L13" i="11" s="1"/>
  <c r="M41" i="11"/>
  <c r="N41" i="11"/>
  <c r="O41" i="11"/>
  <c r="O51" i="11"/>
  <c r="L51" i="11"/>
  <c r="N51" i="11"/>
  <c r="M51" i="11"/>
  <c r="Y52" i="11"/>
  <c r="AM52" i="11"/>
  <c r="G52" i="11" s="1"/>
  <c r="L52" i="11" s="1"/>
  <c r="AM53" i="11"/>
  <c r="G53" i="11" s="1"/>
  <c r="L53" i="11" s="1"/>
  <c r="AA78" i="11"/>
  <c r="AO78" i="11"/>
  <c r="I78" i="11" s="1"/>
  <c r="N78" i="11" s="1"/>
  <c r="AM51" i="11"/>
  <c r="AJ80" i="11"/>
  <c r="AN80" i="11"/>
  <c r="CE12" i="1"/>
  <c r="D8" i="8" s="1"/>
  <c r="T12" i="1"/>
  <c r="N45" i="11"/>
  <c r="Z54" i="11"/>
  <c r="AN54" i="11"/>
  <c r="H54" i="11" s="1"/>
  <c r="M54" i="11" s="1"/>
  <c r="AM50" i="11"/>
  <c r="G50" i="11" s="1"/>
  <c r="L50" i="11" s="1"/>
  <c r="AM69" i="11"/>
  <c r="G69" i="11" s="1"/>
  <c r="L69" i="11" s="1"/>
  <c r="Y49" i="11"/>
  <c r="AM49" i="11"/>
  <c r="G49" i="11" s="1"/>
  <c r="L49" i="11" s="1"/>
  <c r="AJ77" i="11"/>
  <c r="AN77" i="11"/>
  <c r="H77" i="11" s="1"/>
  <c r="M77" i="11" s="1"/>
  <c r="Y43" i="11"/>
  <c r="AM43" i="11"/>
  <c r="G43" i="11" s="1"/>
  <c r="L43" i="11" s="1"/>
  <c r="M45" i="11"/>
  <c r="AM19" i="11"/>
  <c r="G19" i="11" s="1"/>
  <c r="L19" i="11" s="1"/>
  <c r="Y42" i="11"/>
  <c r="AM42" i="11"/>
  <c r="G42" i="11" s="1"/>
  <c r="L42" i="11" s="1"/>
  <c r="AM20" i="11"/>
  <c r="G20" i="11" s="1"/>
  <c r="L20" i="11" s="1"/>
  <c r="AM37" i="11"/>
  <c r="G37" i="11" s="1"/>
  <c r="L37" i="11" s="1"/>
  <c r="AM16" i="11"/>
  <c r="G16" i="11" s="1"/>
  <c r="L16" i="11" s="1"/>
  <c r="AM26" i="11"/>
  <c r="G26" i="11" s="1"/>
  <c r="L26" i="11" s="1"/>
  <c r="O45" i="11"/>
  <c r="Y36" i="11"/>
  <c r="AM36" i="11"/>
  <c r="G36" i="11" s="1"/>
  <c r="L36" i="11" s="1"/>
  <c r="L41" i="11"/>
  <c r="L45" i="11"/>
  <c r="Y44" i="11"/>
  <c r="AM44" i="11"/>
  <c r="G44" i="11" s="1"/>
  <c r="L44" i="11" s="1"/>
  <c r="Y27" i="11"/>
  <c r="AM27" i="11"/>
  <c r="G27" i="11" s="1"/>
  <c r="L27" i="11" s="1"/>
  <c r="AL16" i="11"/>
  <c r="CG72" i="1"/>
  <c r="CG35" i="1"/>
  <c r="CG71" i="1"/>
  <c r="CG70" i="1"/>
  <c r="CG75" i="1"/>
  <c r="CG74" i="1"/>
  <c r="CG79" i="1"/>
  <c r="CG73" i="1"/>
  <c r="CG76" i="1"/>
  <c r="CG78" i="1"/>
  <c r="CH78" i="1"/>
  <c r="CH75" i="1"/>
  <c r="CH35" i="1"/>
  <c r="CH74" i="1"/>
  <c r="CH71" i="1"/>
  <c r="CH79" i="1"/>
  <c r="CH76" i="1"/>
  <c r="CH73" i="1"/>
  <c r="CH70" i="1"/>
  <c r="CH72" i="1"/>
  <c r="B5" i="1"/>
  <c r="B4" i="11"/>
  <c r="CG38" i="1"/>
  <c r="CG45" i="1"/>
  <c r="CG42" i="1"/>
  <c r="CG39" i="1"/>
  <c r="CG22" i="1"/>
  <c r="CG66" i="1"/>
  <c r="CG63" i="1"/>
  <c r="CG60" i="1"/>
  <c r="CG56" i="1"/>
  <c r="CG53" i="1"/>
  <c r="CG49" i="1"/>
  <c r="CG47" i="1"/>
  <c r="CG43" i="1"/>
  <c r="CG41" i="1"/>
  <c r="CG68" i="1"/>
  <c r="CG65" i="1"/>
  <c r="CG62" i="1"/>
  <c r="CG59" i="1"/>
  <c r="CG28" i="1"/>
  <c r="CG40" i="1"/>
  <c r="CG67" i="1"/>
  <c r="CG61" i="1"/>
  <c r="CG44" i="1"/>
  <c r="CG64" i="1"/>
  <c r="CG55" i="1"/>
  <c r="CG52" i="1"/>
  <c r="CG48" i="1"/>
  <c r="CG57" i="1"/>
  <c r="CG54" i="1"/>
  <c r="CG51" i="1"/>
  <c r="CG37" i="1"/>
  <c r="CH25" i="1"/>
  <c r="CH22" i="1"/>
  <c r="CH66" i="1"/>
  <c r="CH63" i="1"/>
  <c r="CH60" i="1"/>
  <c r="CH56" i="1"/>
  <c r="CH53" i="1"/>
  <c r="CH49" i="1"/>
  <c r="CH47" i="1"/>
  <c r="CH43" i="1"/>
  <c r="CH41" i="1"/>
  <c r="CH65" i="1"/>
  <c r="CH62" i="1"/>
  <c r="CH59" i="1"/>
  <c r="CH55" i="1"/>
  <c r="CH52" i="1"/>
  <c r="CH48" i="1"/>
  <c r="CH67" i="1"/>
  <c r="CH61" i="1"/>
  <c r="CH57" i="1"/>
  <c r="CH68" i="1"/>
  <c r="CH64" i="1"/>
  <c r="CH51" i="1"/>
  <c r="CH28" i="1"/>
  <c r="CH44" i="1"/>
  <c r="CH40" i="1"/>
  <c r="CH42" i="1"/>
  <c r="CH39" i="1"/>
  <c r="CH54" i="1"/>
  <c r="CH37" i="1"/>
  <c r="CH45" i="1"/>
  <c r="C11" i="8"/>
  <c r="D30" i="8"/>
  <c r="CI21" i="1"/>
  <c r="CH10" i="1"/>
  <c r="CG20" i="1"/>
  <c r="CH20" i="1"/>
  <c r="CI10" i="1"/>
  <c r="CI17" i="1"/>
  <c r="CG15" i="1"/>
  <c r="CG17" i="1"/>
  <c r="CG19" i="1"/>
  <c r="CG21" i="1"/>
  <c r="CI20" i="1"/>
  <c r="CG29" i="1"/>
  <c r="CH33" i="1"/>
  <c r="CI29" i="1"/>
  <c r="CG11" i="1"/>
  <c r="CG30" i="1"/>
  <c r="CG26" i="1"/>
  <c r="CG13" i="1"/>
  <c r="CG27" i="1"/>
  <c r="CI13" i="1"/>
  <c r="CH21" i="1"/>
  <c r="CH19" i="1"/>
  <c r="CI11" i="1"/>
  <c r="CI15" i="1"/>
  <c r="CI19" i="1"/>
  <c r="CI27" i="1"/>
  <c r="CI30" i="1"/>
  <c r="CJ50" i="1"/>
  <c r="CH13" i="1"/>
  <c r="CH29" i="1"/>
  <c r="CH30" i="1"/>
  <c r="CH11" i="1"/>
  <c r="CH15" i="1"/>
  <c r="CH27" i="1"/>
  <c r="CG12" i="1"/>
  <c r="CG16" i="1"/>
  <c r="CG69" i="1"/>
  <c r="CG25" i="1"/>
  <c r="CH17" i="1"/>
  <c r="CH12" i="1"/>
  <c r="CH38" i="1"/>
  <c r="CH16" i="1"/>
  <c r="CH69" i="1"/>
  <c r="CI12" i="1"/>
  <c r="CI16" i="1"/>
  <c r="CI69" i="1"/>
  <c r="CI25" i="1"/>
  <c r="CH24" i="1"/>
  <c r="CH5" i="1"/>
  <c r="CG5" i="1"/>
  <c r="CI5" i="1"/>
  <c r="CI6" i="1"/>
  <c r="CH4" i="1"/>
  <c r="CG4" i="1"/>
  <c r="CG31" i="1"/>
  <c r="CI4" i="1"/>
  <c r="CI31" i="1"/>
  <c r="CG9" i="1"/>
  <c r="CG33" i="1"/>
  <c r="CI24" i="1"/>
  <c r="CG18" i="1"/>
  <c r="CI33" i="1"/>
  <c r="CH7" i="1"/>
  <c r="CH18" i="1"/>
  <c r="CG34" i="1"/>
  <c r="CI7" i="1"/>
  <c r="CG77" i="1"/>
  <c r="CG8" i="1"/>
  <c r="CI9" i="1"/>
  <c r="CG7" i="1"/>
  <c r="CI34" i="1"/>
  <c r="CI77" i="1"/>
  <c r="CH8" i="1"/>
  <c r="CI18" i="1"/>
  <c r="CG24" i="1"/>
  <c r="CH9" i="1"/>
  <c r="CH31" i="1"/>
  <c r="CG23" i="1"/>
  <c r="CG46" i="1"/>
  <c r="CG32" i="1"/>
  <c r="CH77" i="1"/>
  <c r="CH23" i="1"/>
  <c r="CH46" i="1"/>
  <c r="CH32" i="1"/>
  <c r="CH14" i="1"/>
  <c r="CI23" i="1"/>
  <c r="CI46" i="1"/>
  <c r="CI32" i="1"/>
  <c r="CG3" i="1"/>
  <c r="CH3" i="1"/>
  <c r="CI3" i="1"/>
  <c r="D4" i="8"/>
  <c r="CF14" i="1" s="1"/>
  <c r="D5" i="8"/>
  <c r="CF8" i="1" s="1"/>
  <c r="D9" i="8"/>
  <c r="CF20" i="1" s="1"/>
  <c r="D6" i="8"/>
  <c r="CF36" i="1" s="1"/>
  <c r="CJ36" i="1" s="1"/>
  <c r="C4" i="4"/>
  <c r="N18" i="1" l="1"/>
  <c r="H18" i="15" s="1"/>
  <c r="N25" i="1"/>
  <c r="H25" i="15" s="1"/>
  <c r="N5" i="1"/>
  <c r="H5" i="15" s="1"/>
  <c r="N23" i="1"/>
  <c r="H23" i="15" s="1"/>
  <c r="N3" i="1"/>
  <c r="H3" i="15" s="1"/>
  <c r="O51" i="1"/>
  <c r="I51" i="15" s="1"/>
  <c r="N44" i="1"/>
  <c r="H44" i="15" s="1"/>
  <c r="N49" i="1"/>
  <c r="H49" i="15" s="1"/>
  <c r="N14" i="1"/>
  <c r="H14" i="15" s="1"/>
  <c r="N37" i="1"/>
  <c r="H37" i="15" s="1"/>
  <c r="N20" i="1"/>
  <c r="H20" i="15" s="1"/>
  <c r="N50" i="1"/>
  <c r="H50" i="15" s="1"/>
  <c r="N16" i="1"/>
  <c r="H16" i="15" s="1"/>
  <c r="P51" i="1"/>
  <c r="J51" i="15" s="1"/>
  <c r="N51" i="1"/>
  <c r="H51" i="15" s="1"/>
  <c r="N36" i="1"/>
  <c r="H36" i="15" s="1"/>
  <c r="Q51" i="1"/>
  <c r="K51" i="15" s="1"/>
  <c r="H77" i="15"/>
  <c r="N22" i="1"/>
  <c r="H22" i="15" s="1"/>
  <c r="N45" i="1"/>
  <c r="H45" i="15" s="1"/>
  <c r="P78" i="1"/>
  <c r="J78" i="15" s="1"/>
  <c r="N53" i="1"/>
  <c r="H53" i="15" s="1"/>
  <c r="N27" i="1"/>
  <c r="H27" i="15" s="1"/>
  <c r="O77" i="1"/>
  <c r="H28" i="15"/>
  <c r="N46" i="1"/>
  <c r="H46" i="15" s="1"/>
  <c r="N19" i="1"/>
  <c r="H19" i="15" s="1"/>
  <c r="Q45" i="1"/>
  <c r="K45" i="15" s="1"/>
  <c r="O54" i="1"/>
  <c r="I54" i="15" s="1"/>
  <c r="P41" i="1"/>
  <c r="J41" i="15" s="1"/>
  <c r="N35" i="1"/>
  <c r="H35" i="15" s="1"/>
  <c r="N13" i="1"/>
  <c r="H13" i="15" s="1"/>
  <c r="N69" i="1"/>
  <c r="H69" i="15" s="1"/>
  <c r="N41" i="1"/>
  <c r="H41" i="15" s="1"/>
  <c r="N42" i="1"/>
  <c r="H42" i="15" s="1"/>
  <c r="N24" i="1"/>
  <c r="H24" i="15" s="1"/>
  <c r="Q41" i="1"/>
  <c r="K41" i="15" s="1"/>
  <c r="N26" i="1"/>
  <c r="H26" i="15" s="1"/>
  <c r="O45" i="1"/>
  <c r="I45" i="15" s="1"/>
  <c r="N52" i="1"/>
  <c r="H52" i="15" s="1"/>
  <c r="O41" i="1"/>
  <c r="I41" i="15" s="1"/>
  <c r="N43" i="1"/>
  <c r="H43" i="15" s="1"/>
  <c r="P45" i="1"/>
  <c r="J45" i="15" s="1"/>
  <c r="T12" i="11"/>
  <c r="M12" i="15"/>
  <c r="P12" i="15" s="1"/>
  <c r="Q12" i="15" s="1"/>
  <c r="R12" i="15" s="1"/>
  <c r="S12" i="15" s="1"/>
  <c r="T12" i="15" s="1"/>
  <c r="AN14" i="11"/>
  <c r="H14" i="11" s="1"/>
  <c r="M14" i="11" s="1"/>
  <c r="AN46" i="11"/>
  <c r="H46" i="11" s="1"/>
  <c r="M46" i="11" s="1"/>
  <c r="AJ24" i="11"/>
  <c r="AN24" i="11"/>
  <c r="H24" i="11" s="1"/>
  <c r="M24" i="11" s="1"/>
  <c r="AN22" i="11"/>
  <c r="H22" i="11" s="1"/>
  <c r="M22" i="11" s="1"/>
  <c r="AN35" i="11"/>
  <c r="H35" i="11" s="1"/>
  <c r="M35" i="11" s="1"/>
  <c r="AN13" i="11"/>
  <c r="H13" i="11" s="1"/>
  <c r="M13" i="11" s="1"/>
  <c r="AK77" i="11"/>
  <c r="AO77" i="11"/>
  <c r="I77" i="11" s="1"/>
  <c r="N77" i="11" s="1"/>
  <c r="Z49" i="11"/>
  <c r="AN49" i="11"/>
  <c r="H49" i="11" s="1"/>
  <c r="M49" i="11" s="1"/>
  <c r="AN51" i="11"/>
  <c r="AB78" i="11"/>
  <c r="AQ78" i="11" s="1"/>
  <c r="K78" i="11" s="1"/>
  <c r="P78" i="11" s="1"/>
  <c r="AP78" i="11"/>
  <c r="J78" i="11" s="1"/>
  <c r="O78" i="11" s="1"/>
  <c r="AA54" i="11"/>
  <c r="AO54" i="11"/>
  <c r="I54" i="11" s="1"/>
  <c r="N54" i="11" s="1"/>
  <c r="AK80" i="11"/>
  <c r="AO80" i="11"/>
  <c r="AN69" i="11"/>
  <c r="H69" i="11" s="1"/>
  <c r="M69" i="11" s="1"/>
  <c r="Z52" i="11"/>
  <c r="AN52" i="11"/>
  <c r="H52" i="11" s="1"/>
  <c r="M52" i="11" s="1"/>
  <c r="AN50" i="11"/>
  <c r="H50" i="11" s="1"/>
  <c r="M50" i="11" s="1"/>
  <c r="O50" i="1" s="1"/>
  <c r="AN53" i="11"/>
  <c r="H53" i="11" s="1"/>
  <c r="M53" i="11" s="1"/>
  <c r="Z27" i="11"/>
  <c r="AN27" i="11"/>
  <c r="H27" i="11" s="1"/>
  <c r="M27" i="11" s="1"/>
  <c r="Z44" i="11"/>
  <c r="AN44" i="11"/>
  <c r="H44" i="11" s="1"/>
  <c r="M44" i="11" s="1"/>
  <c r="Z36" i="11"/>
  <c r="AN36" i="11"/>
  <c r="H36" i="11" s="1"/>
  <c r="M36" i="11" s="1"/>
  <c r="AN16" i="11"/>
  <c r="H16" i="11" s="1"/>
  <c r="M16" i="11" s="1"/>
  <c r="AN26" i="11"/>
  <c r="H26" i="11" s="1"/>
  <c r="M26" i="11" s="1"/>
  <c r="Z42" i="11"/>
  <c r="AN42" i="11"/>
  <c r="H42" i="11" s="1"/>
  <c r="M42" i="11" s="1"/>
  <c r="AN19" i="11"/>
  <c r="H19" i="11" s="1"/>
  <c r="M19" i="11" s="1"/>
  <c r="AN37" i="11"/>
  <c r="H37" i="11" s="1"/>
  <c r="M37" i="11" s="1"/>
  <c r="AN20" i="11"/>
  <c r="H20" i="11" s="1"/>
  <c r="M20" i="11" s="1"/>
  <c r="Z43" i="11"/>
  <c r="AN43" i="11"/>
  <c r="H43" i="11" s="1"/>
  <c r="M43" i="11" s="1"/>
  <c r="CF72" i="1"/>
  <c r="CJ72" i="1" s="1"/>
  <c r="CF71" i="1"/>
  <c r="CJ71" i="1" s="1"/>
  <c r="CF76" i="1"/>
  <c r="CJ76" i="1" s="1"/>
  <c r="CF70" i="1"/>
  <c r="CJ70" i="1" s="1"/>
  <c r="CF74" i="1"/>
  <c r="CJ74" i="1" s="1"/>
  <c r="CF75" i="1"/>
  <c r="CJ75" i="1" s="1"/>
  <c r="CF79" i="1"/>
  <c r="CJ79" i="1" s="1"/>
  <c r="CF73" i="1"/>
  <c r="CJ73" i="1" s="1"/>
  <c r="CF78" i="1"/>
  <c r="CJ78" i="1" s="1"/>
  <c r="CF35" i="1"/>
  <c r="CJ35" i="1" s="1"/>
  <c r="B6" i="1"/>
  <c r="B5" i="11"/>
  <c r="CF25" i="1"/>
  <c r="CJ25" i="1" s="1"/>
  <c r="CF57" i="1"/>
  <c r="CJ57" i="1" s="1"/>
  <c r="CF54" i="1"/>
  <c r="CJ54" i="1" s="1"/>
  <c r="CF51" i="1"/>
  <c r="CJ51" i="1" s="1"/>
  <c r="CF37" i="1"/>
  <c r="CJ37" i="1" s="1"/>
  <c r="CF45" i="1"/>
  <c r="CJ45" i="1" s="1"/>
  <c r="CF42" i="1"/>
  <c r="CJ42" i="1" s="1"/>
  <c r="CF39" i="1"/>
  <c r="CJ39" i="1" s="1"/>
  <c r="CF22" i="1"/>
  <c r="CJ22" i="1" s="1"/>
  <c r="CF66" i="1"/>
  <c r="CJ66" i="1" s="1"/>
  <c r="CF63" i="1"/>
  <c r="CJ63" i="1" s="1"/>
  <c r="CF60" i="1"/>
  <c r="CJ60" i="1" s="1"/>
  <c r="CF56" i="1"/>
  <c r="CJ56" i="1" s="1"/>
  <c r="CF53" i="1"/>
  <c r="CJ53" i="1" s="1"/>
  <c r="CF49" i="1"/>
  <c r="CJ49" i="1" s="1"/>
  <c r="CF47" i="1"/>
  <c r="CJ47" i="1" s="1"/>
  <c r="CF43" i="1"/>
  <c r="CJ43" i="1" s="1"/>
  <c r="CF41" i="1"/>
  <c r="CJ41" i="1" s="1"/>
  <c r="CF68" i="1"/>
  <c r="CJ68" i="1" s="1"/>
  <c r="CF55" i="1"/>
  <c r="CJ55" i="1" s="1"/>
  <c r="CF48" i="1"/>
  <c r="CJ48" i="1" s="1"/>
  <c r="CF28" i="1"/>
  <c r="CJ28" i="1" s="1"/>
  <c r="CF44" i="1"/>
  <c r="CJ44" i="1" s="1"/>
  <c r="CF40" i="1"/>
  <c r="CJ40" i="1" s="1"/>
  <c r="CF52" i="1"/>
  <c r="CJ52" i="1" s="1"/>
  <c r="CF65" i="1"/>
  <c r="CJ65" i="1" s="1"/>
  <c r="CF62" i="1"/>
  <c r="CJ62" i="1" s="1"/>
  <c r="CF59" i="1"/>
  <c r="CJ59" i="1" s="1"/>
  <c r="CF67" i="1"/>
  <c r="CJ67" i="1" s="1"/>
  <c r="CF64" i="1"/>
  <c r="CJ64" i="1" s="1"/>
  <c r="CF61" i="1"/>
  <c r="CJ61" i="1" s="1"/>
  <c r="CJ8" i="1"/>
  <c r="CJ20" i="1"/>
  <c r="CF10" i="1"/>
  <c r="CJ10" i="1" s="1"/>
  <c r="CF26" i="1"/>
  <c r="CJ26" i="1" s="1"/>
  <c r="CF38" i="1"/>
  <c r="CJ38" i="1" s="1"/>
  <c r="CF13" i="1"/>
  <c r="CJ13" i="1" s="1"/>
  <c r="CF17" i="1"/>
  <c r="CJ17" i="1" s="1"/>
  <c r="CF21" i="1"/>
  <c r="CJ21" i="1" s="1"/>
  <c r="CF30" i="1"/>
  <c r="CJ30" i="1" s="1"/>
  <c r="CF19" i="1"/>
  <c r="CJ19" i="1" s="1"/>
  <c r="CF11" i="1"/>
  <c r="CJ11" i="1" s="1"/>
  <c r="CF29" i="1"/>
  <c r="CJ29" i="1" s="1"/>
  <c r="CF16" i="1"/>
  <c r="CJ16" i="1" s="1"/>
  <c r="CF15" i="1"/>
  <c r="CJ15" i="1" s="1"/>
  <c r="CF12" i="1"/>
  <c r="CJ12" i="1" s="1"/>
  <c r="CF69" i="1"/>
  <c r="CJ69" i="1" s="1"/>
  <c r="CJ14" i="1"/>
  <c r="CF27" i="1"/>
  <c r="CJ27" i="1" s="1"/>
  <c r="CF5" i="1"/>
  <c r="CJ5" i="1" s="1"/>
  <c r="CF7" i="1"/>
  <c r="CJ7" i="1" s="1"/>
  <c r="CF6" i="1"/>
  <c r="CJ6" i="1" s="1"/>
  <c r="CF33" i="1"/>
  <c r="CJ33" i="1" s="1"/>
  <c r="CF24" i="1"/>
  <c r="CJ24" i="1" s="1"/>
  <c r="CF18" i="1"/>
  <c r="CJ18" i="1" s="1"/>
  <c r="CF34" i="1"/>
  <c r="CJ34" i="1" s="1"/>
  <c r="CF77" i="1"/>
  <c r="CJ77" i="1" s="1"/>
  <c r="CF9" i="1"/>
  <c r="CJ9" i="1" s="1"/>
  <c r="CF32" i="1"/>
  <c r="CJ32" i="1" s="1"/>
  <c r="CF31" i="1"/>
  <c r="CJ31" i="1" s="1"/>
  <c r="CF4" i="1"/>
  <c r="CJ4" i="1" s="1"/>
  <c r="CF23" i="1"/>
  <c r="CJ23" i="1" s="1"/>
  <c r="CF46" i="1"/>
  <c r="CJ46" i="1" s="1"/>
  <c r="CF3" i="1"/>
  <c r="CJ3" i="1" s="1"/>
  <c r="I7" i="8"/>
  <c r="I5" i="8"/>
  <c r="I8" i="8"/>
  <c r="I6" i="8"/>
  <c r="I4" i="8"/>
  <c r="I9" i="8"/>
  <c r="C5" i="5"/>
  <c r="C4" i="5"/>
  <c r="C6" i="5"/>
  <c r="O43" i="1" l="1"/>
  <c r="I43" i="15" s="1"/>
  <c r="O52" i="1"/>
  <c r="I52" i="15" s="1"/>
  <c r="I28" i="15"/>
  <c r="O46" i="1"/>
  <c r="I46" i="15" s="1"/>
  <c r="O20" i="1"/>
  <c r="I20" i="15" s="1"/>
  <c r="O36" i="1"/>
  <c r="I36" i="15" s="1"/>
  <c r="O69" i="1"/>
  <c r="I69" i="15" s="1"/>
  <c r="P77" i="1"/>
  <c r="I23" i="15"/>
  <c r="O14" i="1"/>
  <c r="I14" i="15" s="1"/>
  <c r="I50" i="15"/>
  <c r="O37" i="1"/>
  <c r="I37" i="15" s="1"/>
  <c r="O44" i="1"/>
  <c r="I44" i="15" s="1"/>
  <c r="O13" i="1"/>
  <c r="I13" i="15" s="1"/>
  <c r="O19" i="1"/>
  <c r="I19" i="15" s="1"/>
  <c r="O27" i="1"/>
  <c r="I27" i="15" s="1"/>
  <c r="P54" i="1"/>
  <c r="J54" i="15" s="1"/>
  <c r="O35" i="1"/>
  <c r="I35" i="15" s="1"/>
  <c r="O16" i="1"/>
  <c r="I16" i="15" s="1"/>
  <c r="O49" i="1"/>
  <c r="I49" i="15" s="1"/>
  <c r="O42" i="1"/>
  <c r="I42" i="15" s="1"/>
  <c r="O53" i="1"/>
  <c r="I53" i="15" s="1"/>
  <c r="Q78" i="1"/>
  <c r="K78" i="15" s="1"/>
  <c r="I77" i="15"/>
  <c r="O22" i="1"/>
  <c r="I22" i="15" s="1"/>
  <c r="R78" i="1"/>
  <c r="L78" i="15" s="1"/>
  <c r="O26" i="1"/>
  <c r="I26" i="15" s="1"/>
  <c r="O24" i="1"/>
  <c r="I24" i="15" s="1"/>
  <c r="AO24" i="11"/>
  <c r="I24" i="11" s="1"/>
  <c r="N24" i="11" s="1"/>
  <c r="AK24" i="11"/>
  <c r="AO35" i="11"/>
  <c r="I35" i="11" s="1"/>
  <c r="N35" i="11" s="1"/>
  <c r="AO22" i="11"/>
  <c r="I22" i="11" s="1"/>
  <c r="N22" i="11" s="1"/>
  <c r="AO46" i="11"/>
  <c r="I46" i="11" s="1"/>
  <c r="N46" i="11" s="1"/>
  <c r="AO14" i="11"/>
  <c r="I14" i="11" s="1"/>
  <c r="N14" i="11" s="1"/>
  <c r="AO13" i="11"/>
  <c r="I13" i="11" s="1"/>
  <c r="N13" i="11" s="1"/>
  <c r="AL80" i="11"/>
  <c r="AQ80" i="11" s="1"/>
  <c r="AP80" i="11"/>
  <c r="AO51" i="11"/>
  <c r="AA52" i="11"/>
  <c r="AO52" i="11"/>
  <c r="I52" i="11" s="1"/>
  <c r="N52" i="11" s="1"/>
  <c r="AA49" i="11"/>
  <c r="AO49" i="11"/>
  <c r="I49" i="11" s="1"/>
  <c r="N49" i="11" s="1"/>
  <c r="AB54" i="11"/>
  <c r="AQ54" i="11" s="1"/>
  <c r="K54" i="11" s="1"/>
  <c r="P54" i="11" s="1"/>
  <c r="AP54" i="11"/>
  <c r="J54" i="11" s="1"/>
  <c r="O54" i="11" s="1"/>
  <c r="AO53" i="11"/>
  <c r="I53" i="11" s="1"/>
  <c r="N53" i="11" s="1"/>
  <c r="AO50" i="11"/>
  <c r="I50" i="11" s="1"/>
  <c r="N50" i="11" s="1"/>
  <c r="P50" i="1" s="1"/>
  <c r="AO69" i="11"/>
  <c r="I69" i="11" s="1"/>
  <c r="N69" i="11" s="1"/>
  <c r="AL77" i="11"/>
  <c r="AQ77" i="11" s="1"/>
  <c r="K77" i="11" s="1"/>
  <c r="P77" i="11" s="1"/>
  <c r="AP77" i="11"/>
  <c r="J77" i="11" s="1"/>
  <c r="O77" i="11" s="1"/>
  <c r="AA43" i="11"/>
  <c r="AO43" i="11"/>
  <c r="I43" i="11" s="1"/>
  <c r="N43" i="11" s="1"/>
  <c r="AO26" i="11"/>
  <c r="I26" i="11" s="1"/>
  <c r="N26" i="11" s="1"/>
  <c r="AO20" i="11"/>
  <c r="I20" i="11" s="1"/>
  <c r="N20" i="11" s="1"/>
  <c r="AO16" i="11"/>
  <c r="I16" i="11" s="1"/>
  <c r="N16" i="11" s="1"/>
  <c r="AA36" i="11"/>
  <c r="AO36" i="11"/>
  <c r="I36" i="11" s="1"/>
  <c r="N36" i="11" s="1"/>
  <c r="AO37" i="11"/>
  <c r="I37" i="11" s="1"/>
  <c r="N37" i="11" s="1"/>
  <c r="AO19" i="11"/>
  <c r="I19" i="11" s="1"/>
  <c r="N19" i="11" s="1"/>
  <c r="AA44" i="11"/>
  <c r="AO44" i="11"/>
  <c r="I44" i="11" s="1"/>
  <c r="N44" i="11" s="1"/>
  <c r="AA42" i="11"/>
  <c r="AO42" i="11"/>
  <c r="I42" i="11" s="1"/>
  <c r="N42" i="11" s="1"/>
  <c r="AA27" i="11"/>
  <c r="AO27" i="11"/>
  <c r="I27" i="11" s="1"/>
  <c r="N27" i="11" s="1"/>
  <c r="B7" i="1"/>
  <c r="B6" i="11"/>
  <c r="G11" i="8"/>
  <c r="F11" i="8"/>
  <c r="E11" i="8"/>
  <c r="D11" i="8"/>
  <c r="P53" i="1" l="1"/>
  <c r="J53" i="15" s="1"/>
  <c r="P20" i="1"/>
  <c r="J20" i="15" s="1"/>
  <c r="Q54" i="1"/>
  <c r="K54" i="15" s="1"/>
  <c r="R54" i="1"/>
  <c r="L54" i="15" s="1"/>
  <c r="P19" i="1"/>
  <c r="J19" i="15" s="1"/>
  <c r="P43" i="1"/>
  <c r="J43" i="15" s="1"/>
  <c r="P49" i="1"/>
  <c r="J49" i="15" s="1"/>
  <c r="J28" i="15"/>
  <c r="P46" i="1"/>
  <c r="J46" i="15" s="1"/>
  <c r="J50" i="15"/>
  <c r="P37" i="1"/>
  <c r="J37" i="15" s="1"/>
  <c r="Q77" i="1"/>
  <c r="P52" i="1"/>
  <c r="J52" i="15" s="1"/>
  <c r="J77" i="15"/>
  <c r="P22" i="1"/>
  <c r="J22" i="15" s="1"/>
  <c r="R77" i="1"/>
  <c r="P44" i="1"/>
  <c r="J44" i="15" s="1"/>
  <c r="P26" i="1"/>
  <c r="J26" i="15" s="1"/>
  <c r="J23" i="15"/>
  <c r="P14" i="1"/>
  <c r="J14" i="15" s="1"/>
  <c r="P36" i="1"/>
  <c r="J36" i="15" s="1"/>
  <c r="P69" i="1"/>
  <c r="J69" i="15" s="1"/>
  <c r="P35" i="1"/>
  <c r="J35" i="15" s="1"/>
  <c r="P42" i="1"/>
  <c r="J42" i="15" s="1"/>
  <c r="P13" i="1"/>
  <c r="J13" i="15" s="1"/>
  <c r="P27" i="1"/>
  <c r="J27" i="15" s="1"/>
  <c r="P16" i="1"/>
  <c r="J16" i="15" s="1"/>
  <c r="P24" i="1"/>
  <c r="J24" i="15" s="1"/>
  <c r="AQ46" i="11"/>
  <c r="K46" i="11" s="1"/>
  <c r="P46" i="11" s="1"/>
  <c r="AP46" i="11"/>
  <c r="J46" i="11" s="1"/>
  <c r="O46" i="11" s="1"/>
  <c r="AQ22" i="11"/>
  <c r="K22" i="11" s="1"/>
  <c r="P22" i="11" s="1"/>
  <c r="AP22" i="11"/>
  <c r="J22" i="11" s="1"/>
  <c r="O22" i="11" s="1"/>
  <c r="AQ35" i="11"/>
  <c r="K35" i="11" s="1"/>
  <c r="P35" i="11" s="1"/>
  <c r="AP35" i="11"/>
  <c r="J35" i="11" s="1"/>
  <c r="O35" i="11" s="1"/>
  <c r="AQ14" i="11"/>
  <c r="K14" i="11" s="1"/>
  <c r="P14" i="11" s="1"/>
  <c r="AP14" i="11"/>
  <c r="J14" i="11" s="1"/>
  <c r="O14" i="11" s="1"/>
  <c r="AP24" i="11"/>
  <c r="J24" i="11" s="1"/>
  <c r="O24" i="11" s="1"/>
  <c r="AL24" i="11"/>
  <c r="AQ24" i="11" s="1"/>
  <c r="K24" i="11" s="1"/>
  <c r="P24" i="11" s="1"/>
  <c r="AQ13" i="11"/>
  <c r="K13" i="11" s="1"/>
  <c r="P13" i="11" s="1"/>
  <c r="AP13" i="11"/>
  <c r="J13" i="11" s="1"/>
  <c r="O13" i="11" s="1"/>
  <c r="AB49" i="11"/>
  <c r="AQ49" i="11" s="1"/>
  <c r="K49" i="11" s="1"/>
  <c r="P49" i="11" s="1"/>
  <c r="AP49" i="11"/>
  <c r="J49" i="11" s="1"/>
  <c r="O49" i="11" s="1"/>
  <c r="AB52" i="11"/>
  <c r="AQ52" i="11" s="1"/>
  <c r="K52" i="11" s="1"/>
  <c r="P52" i="11" s="1"/>
  <c r="AP52" i="11"/>
  <c r="J52" i="11" s="1"/>
  <c r="O52" i="11" s="1"/>
  <c r="AQ69" i="11"/>
  <c r="K69" i="11" s="1"/>
  <c r="P69" i="11" s="1"/>
  <c r="AP69" i="11"/>
  <c r="J69" i="11" s="1"/>
  <c r="O69" i="11" s="1"/>
  <c r="AQ53" i="11"/>
  <c r="K53" i="11" s="1"/>
  <c r="P53" i="11" s="1"/>
  <c r="AP53" i="11"/>
  <c r="J53" i="11" s="1"/>
  <c r="O53" i="11" s="1"/>
  <c r="AQ51" i="11"/>
  <c r="AP51" i="11"/>
  <c r="AQ50" i="11"/>
  <c r="K50" i="11" s="1"/>
  <c r="P50" i="11" s="1"/>
  <c r="R50" i="1" s="1"/>
  <c r="AP50" i="11"/>
  <c r="J50" i="11" s="1"/>
  <c r="O50" i="11" s="1"/>
  <c r="Q50" i="1" s="1"/>
  <c r="AQ37" i="11"/>
  <c r="K37" i="11" s="1"/>
  <c r="P37" i="11" s="1"/>
  <c r="AP37" i="11"/>
  <c r="J37" i="11" s="1"/>
  <c r="O37" i="11" s="1"/>
  <c r="AB36" i="11"/>
  <c r="AQ36" i="11" s="1"/>
  <c r="K36" i="11" s="1"/>
  <c r="P36" i="11" s="1"/>
  <c r="AP36" i="11"/>
  <c r="J36" i="11" s="1"/>
  <c r="O36" i="11" s="1"/>
  <c r="AB27" i="11"/>
  <c r="AQ27" i="11" s="1"/>
  <c r="K27" i="11" s="1"/>
  <c r="P27" i="11" s="1"/>
  <c r="AP27" i="11"/>
  <c r="J27" i="11" s="1"/>
  <c r="O27" i="11" s="1"/>
  <c r="AQ16" i="11"/>
  <c r="K16" i="11" s="1"/>
  <c r="P16" i="11" s="1"/>
  <c r="AP16" i="11"/>
  <c r="J16" i="11" s="1"/>
  <c r="O16" i="11" s="1"/>
  <c r="AB42" i="11"/>
  <c r="AQ42" i="11" s="1"/>
  <c r="K42" i="11" s="1"/>
  <c r="P42" i="11" s="1"/>
  <c r="AP42" i="11"/>
  <c r="J42" i="11" s="1"/>
  <c r="O42" i="11" s="1"/>
  <c r="AQ20" i="11"/>
  <c r="K20" i="11" s="1"/>
  <c r="P20" i="11" s="1"/>
  <c r="AP20" i="11"/>
  <c r="J20" i="11" s="1"/>
  <c r="O20" i="11" s="1"/>
  <c r="AB44" i="11"/>
  <c r="AQ44" i="11" s="1"/>
  <c r="K44" i="11" s="1"/>
  <c r="P44" i="11" s="1"/>
  <c r="AP44" i="11"/>
  <c r="J44" i="11" s="1"/>
  <c r="O44" i="11" s="1"/>
  <c r="AQ26" i="11"/>
  <c r="K26" i="11" s="1"/>
  <c r="P26" i="11" s="1"/>
  <c r="AP26" i="11"/>
  <c r="J26" i="11" s="1"/>
  <c r="O26" i="11" s="1"/>
  <c r="AQ19" i="11"/>
  <c r="K19" i="11" s="1"/>
  <c r="P19" i="11" s="1"/>
  <c r="AP19" i="11"/>
  <c r="J19" i="11" s="1"/>
  <c r="O19" i="11" s="1"/>
  <c r="AB43" i="11"/>
  <c r="AQ43" i="11" s="1"/>
  <c r="K43" i="11" s="1"/>
  <c r="P43" i="11" s="1"/>
  <c r="AP43" i="11"/>
  <c r="J43" i="11" s="1"/>
  <c r="O43" i="11" s="1"/>
  <c r="B8" i="1"/>
  <c r="B7" i="11"/>
  <c r="R44" i="1" l="1"/>
  <c r="L44" i="15" s="1"/>
  <c r="Q42" i="1"/>
  <c r="K42" i="15" s="1"/>
  <c r="Q24" i="1"/>
  <c r="K24" i="15" s="1"/>
  <c r="R36" i="1"/>
  <c r="L36" i="15" s="1"/>
  <c r="R52" i="1"/>
  <c r="L52" i="15" s="1"/>
  <c r="L50" i="15"/>
  <c r="R37" i="1"/>
  <c r="L37" i="15" s="1"/>
  <c r="Q20" i="1"/>
  <c r="K20" i="15" s="1"/>
  <c r="R13" i="1"/>
  <c r="L13" i="15" s="1"/>
  <c r="R42" i="1"/>
  <c r="L42" i="15" s="1"/>
  <c r="Q53" i="1"/>
  <c r="K53" i="15" s="1"/>
  <c r="K23" i="15"/>
  <c r="Q14" i="1"/>
  <c r="K14" i="15" s="1"/>
  <c r="R43" i="1"/>
  <c r="L43" i="15" s="1"/>
  <c r="R26" i="1"/>
  <c r="L26" i="15" s="1"/>
  <c r="L77" i="15"/>
  <c r="R22" i="1"/>
  <c r="L22" i="15" s="1"/>
  <c r="L28" i="15"/>
  <c r="R46" i="1"/>
  <c r="L46" i="15" s="1"/>
  <c r="Q13" i="1"/>
  <c r="K13" i="15" s="1"/>
  <c r="R53" i="1"/>
  <c r="L53" i="15" s="1"/>
  <c r="Q27" i="1"/>
  <c r="K27" i="15" s="1"/>
  <c r="R20" i="1"/>
  <c r="L20" i="15" s="1"/>
  <c r="R24" i="1"/>
  <c r="L24" i="15" s="1"/>
  <c r="Q43" i="1"/>
  <c r="K43" i="15" s="1"/>
  <c r="Q16" i="1"/>
  <c r="K16" i="15" s="1"/>
  <c r="R16" i="1"/>
  <c r="L16" i="15" s="1"/>
  <c r="L23" i="15"/>
  <c r="R14" i="1"/>
  <c r="L14" i="15" s="1"/>
  <c r="Q69" i="1"/>
  <c r="K69" i="15" s="1"/>
  <c r="R27" i="1"/>
  <c r="L27" i="15" s="1"/>
  <c r="R69" i="1"/>
  <c r="L69" i="15" s="1"/>
  <c r="R35" i="1"/>
  <c r="L35" i="15" s="1"/>
  <c r="Q19" i="1"/>
  <c r="K19" i="15" s="1"/>
  <c r="Q35" i="1"/>
  <c r="K35" i="15" s="1"/>
  <c r="R19" i="1"/>
  <c r="L19" i="15" s="1"/>
  <c r="Q26" i="1"/>
  <c r="K26" i="15" s="1"/>
  <c r="Q36" i="1"/>
  <c r="K36" i="15" s="1"/>
  <c r="Q52" i="1"/>
  <c r="K52" i="15" s="1"/>
  <c r="K77" i="15"/>
  <c r="Q22" i="1"/>
  <c r="K22" i="15" s="1"/>
  <c r="Q44" i="1"/>
  <c r="K44" i="15" s="1"/>
  <c r="K50" i="15"/>
  <c r="Q37" i="1"/>
  <c r="K37" i="15" s="1"/>
  <c r="Q49" i="1"/>
  <c r="K49" i="15" s="1"/>
  <c r="K28" i="15"/>
  <c r="Q46" i="1"/>
  <c r="K46" i="15" s="1"/>
  <c r="R49" i="1"/>
  <c r="L49" i="15" s="1"/>
  <c r="B9" i="1"/>
  <c r="B8" i="11"/>
  <c r="B10" i="1" l="1"/>
  <c r="B9" i="11"/>
  <c r="B11" i="1" l="1"/>
  <c r="B10" i="11"/>
  <c r="B12" i="1" l="1"/>
  <c r="B11" i="11"/>
  <c r="B13" i="1" l="1"/>
  <c r="B12" i="11"/>
  <c r="B13" i="11" l="1"/>
  <c r="B14" i="1" l="1"/>
  <c r="B15" i="1" l="1"/>
  <c r="B14" i="11"/>
  <c r="B16" i="1" l="1"/>
  <c r="B15" i="11"/>
  <c r="B17" i="1" l="1"/>
  <c r="B16" i="11"/>
  <c r="B18" i="1" l="1"/>
  <c r="B17" i="11"/>
  <c r="B19" i="1" l="1"/>
  <c r="B18" i="11"/>
  <c r="B19" i="11" l="1"/>
  <c r="B20" i="1"/>
  <c r="B21" i="1" l="1"/>
  <c r="B21" i="11" s="1"/>
  <c r="B20" i="11"/>
  <c r="B22" i="1" l="1"/>
  <c r="B23" i="1" l="1"/>
  <c r="B22" i="11"/>
  <c r="B24" i="1" l="1"/>
  <c r="B23" i="11"/>
  <c r="B24" i="11" l="1"/>
  <c r="B25" i="1"/>
  <c r="B26" i="1" l="1"/>
  <c r="B25" i="11"/>
  <c r="B27" i="1" l="1"/>
  <c r="B26" i="11"/>
  <c r="B27" i="11" l="1"/>
  <c r="B28" i="1"/>
  <c r="B29" i="1" l="1"/>
  <c r="B28" i="11"/>
  <c r="B30" i="1" l="1"/>
  <c r="B29" i="11"/>
  <c r="B31" i="1" l="1"/>
  <c r="B30" i="11"/>
  <c r="B32" i="1" l="1"/>
  <c r="B31" i="11"/>
  <c r="B33" i="1" l="1"/>
  <c r="B32" i="11"/>
  <c r="B34" i="1" l="1"/>
  <c r="B33" i="11"/>
  <c r="B34" i="11" l="1"/>
  <c r="B35" i="1"/>
  <c r="B36" i="1" l="1"/>
  <c r="B35" i="11"/>
  <c r="B36" i="11" l="1"/>
  <c r="B37" i="1"/>
  <c r="B38" i="1" l="1"/>
  <c r="B37" i="11"/>
  <c r="B39" i="1" l="1"/>
  <c r="B38" i="11"/>
  <c r="B40" i="1" l="1"/>
  <c r="B39" i="11"/>
  <c r="B41" i="1" l="1"/>
  <c r="B40" i="11"/>
  <c r="B42" i="1" l="1"/>
  <c r="B41" i="11"/>
  <c r="B43" i="1" l="1"/>
  <c r="B42" i="11"/>
  <c r="B44" i="1" l="1"/>
  <c r="B43" i="11"/>
  <c r="B45" i="1" l="1"/>
  <c r="B44" i="11"/>
  <c r="B46" i="1" l="1"/>
  <c r="B45" i="11"/>
  <c r="B47" i="1" l="1"/>
  <c r="B46" i="11"/>
  <c r="B48" i="1" l="1"/>
  <c r="B47" i="11"/>
  <c r="B49" i="1" l="1"/>
  <c r="B48" i="11"/>
  <c r="B50" i="1" l="1"/>
  <c r="B49" i="11"/>
  <c r="B51" i="1" l="1"/>
  <c r="B50" i="11"/>
  <c r="B52" i="1" l="1"/>
  <c r="B51" i="11"/>
  <c r="B53" i="1" l="1"/>
  <c r="B52" i="11"/>
  <c r="B54" i="1" l="1"/>
  <c r="B53" i="11"/>
  <c r="B55" i="1" l="1"/>
  <c r="B54" i="11"/>
  <c r="B56" i="1" l="1"/>
  <c r="B55" i="11"/>
  <c r="B57" i="1" l="1"/>
  <c r="B56" i="11"/>
  <c r="B58" i="1" l="1"/>
  <c r="B57" i="11"/>
  <c r="B59" i="1" l="1"/>
  <c r="B58" i="11"/>
  <c r="B60" i="1" l="1"/>
  <c r="B59" i="11"/>
  <c r="B61" i="1" l="1"/>
  <c r="B60" i="11"/>
  <c r="B62" i="1" l="1"/>
  <c r="B61" i="11"/>
  <c r="B63" i="1" l="1"/>
  <c r="B62" i="11"/>
  <c r="B64" i="1" l="1"/>
  <c r="B63" i="11"/>
  <c r="B65" i="1" l="1"/>
  <c r="B64" i="11"/>
  <c r="B66" i="1" l="1"/>
  <c r="B65" i="11"/>
  <c r="B67" i="1" l="1"/>
  <c r="B66" i="11"/>
  <c r="B68" i="1" l="1"/>
  <c r="B67" i="11"/>
  <c r="B69" i="1" l="1"/>
  <c r="B68" i="11"/>
  <c r="B70" i="1" l="1"/>
  <c r="B69" i="11"/>
  <c r="B71" i="1" l="1"/>
  <c r="B70" i="11"/>
  <c r="B72" i="1" l="1"/>
  <c r="B71" i="11"/>
  <c r="B73" i="1" l="1"/>
  <c r="B72" i="11"/>
  <c r="B74" i="1" l="1"/>
  <c r="B73" i="11"/>
  <c r="B75" i="1" l="1"/>
  <c r="B74" i="11"/>
  <c r="B76" i="1" l="1"/>
  <c r="B75" i="11"/>
  <c r="B77" i="1" l="1"/>
  <c r="B78" i="1" s="1"/>
  <c r="B79" i="1" s="1"/>
  <c r="B80" i="1" s="1"/>
  <c r="B81" i="1" s="1"/>
  <c r="B82" i="1" s="1"/>
  <c r="B83" i="1" s="1"/>
  <c r="B84" i="1" s="1"/>
  <c r="B76" i="11"/>
  <c r="B77" i="11" s="1"/>
  <c r="B78" i="11" s="1"/>
  <c r="B79" i="11" s="1"/>
  <c r="B80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tc={8DB58AEF-0E4D-4573-A762-E8943CCFA614}</author>
    <author>tc={8D469761-DF03-4B2A-991E-3EB7AD3D5917}</author>
    <author>tc={BE7EA361-ABD4-4639-B660-DE92C52E1BE0}</author>
    <author>tc={E49F4B30-765F-413D-A0B0-92BFE9E235B0}</author>
    <author>tc={CE33F3AC-53E8-46A4-8A1F-28810C303E31}</author>
    <author>tc={7D9B40A7-E378-4059-B22F-02904D5D850D}</author>
    <author>tc={D46D57DF-85ED-41D5-A859-C95302673C20}</author>
    <author>tc={3A3CB7FB-5369-4B5C-98DC-314A129883A7}</author>
    <author>tc={6F24578F-C95F-4D95-9E2B-59FABA528E74}</author>
    <author>tc={DFFD7C5B-4E41-4168-B84F-BF1262FE6608}</author>
    <author>tc={5AD0A68B-44DB-4B0A-A23A-8771637F4979}</author>
    <author>tc={A06FF614-9A18-44CD-9DFC-DF509B981D68}</author>
    <author>tc={BA9967BC-342E-43FB-8B55-5DD9DF24774B}</author>
    <author>tc={98770378-28ED-43AC-848F-0A093CA98C7E}</author>
    <author>tc={545BA8EF-91B4-4E92-8540-959100AA9A26}</author>
    <author>tc={AC669212-18F3-46C1-A0E5-BDE674650BF3}</author>
    <author>tc={0B3831A5-D806-4C83-9030-1DAD4CBF74CA}</author>
    <author>tc={3DF15854-4E3A-4F90-BFFB-9DACE29C515D}</author>
    <author>tc={9782C935-952B-4AA1-8058-8E08AA4B884E}</author>
    <author>tc={776C3E2C-24E9-46D3-A36F-FE26F1624A05}</author>
    <author>tc={62B534E1-8A22-4392-9326-23EEB83E1A35}</author>
    <author>tc={9952A7C2-6751-4E31-B6A5-6F8B10EB61E8}</author>
    <author>tc={E6497756-AB66-4977-A014-3E8208962B39}</author>
  </authors>
  <commentList>
    <comment ref="K3" authorId="0" shapeId="0" xr:uid="{8DB58AEF-0E4D-4573-A762-E8943CCFA61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https://hal-india.co.in/backend/wp-content/uploads/2025/07/HAL_AR_2024-25.pdf</t>
      </text>
    </comment>
    <comment ref="K4" authorId="1" shapeId="0" xr:uid="{8D469761-DF03-4B2A-991E-3EB7AD3D591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https://www.fortunebusinessinsights.com/india-defense-electronics-market-114279</t>
      </text>
    </comment>
    <comment ref="AC5" authorId="2" shapeId="0" xr:uid="{BE7EA361-ABD4-4639-B660-DE92C52E1BE0}">
      <text>
        <t>[Threaded comment]
Your version of Excel allows you to read this threaded comment; however, any edits to it will get removed if the file is opened in a newer version of Excel. Learn more: https://go.microsoft.com/fwlink/?linkid=870924
Comment:
    BDL has monopoly / oligopoly status in specific sectors. For eg: BDL is the designated manufacturing base for guided missiles and underwater weapon systems for the Indian Armed Forces.</t>
      </text>
    </comment>
    <comment ref="AC6" authorId="3" shapeId="0" xr:uid="{E49F4B30-765F-413D-A0B0-92BFE9E235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Monopoly in building submarines and destroyers.
Reply:
    Termed as “Shipbuilder of the nation” in various articles</t>
      </text>
    </comment>
    <comment ref="AC7" authorId="4" shapeId="0" xr:uid="{CE33F3AC-53E8-46A4-8A1F-28810C303E31}">
      <text>
        <t>[Threaded comment]
Your version of Excel allows you to read this threaded comment; however, any edits to it will get removed if the file is opened in a newer version of Excel. Learn more: https://go.microsoft.com/fwlink/?linkid=870924
Comment:
    Leading warship builder, specializing in designing and constructing naval vessels like frigates and corvettes for the Indian Navy and Coast Guard.</t>
      </text>
    </comment>
    <comment ref="AE9" authorId="5" shapeId="0" xr:uid="{7D9B40A7-E378-4059-B22F-02904D5D850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https://www.scribd.com/document/45490497/BEML
Reply:
    BEML has outdated tech &amp; production capabilities which is laying stress on customer satisfaction. 
Reply:
    Post liberalization BEML has had heavy competition both from domestic and international companies such as Hindustan Motors, L&amp;T, HM, Telco, Escorts</t>
      </text>
    </comment>
    <comment ref="AC10" authorId="6" shapeId="0" xr:uid="{D46D57DF-85ED-41D5-A859-C95302673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Often sole-source supplier in India for critical materials</t>
      </text>
    </comment>
    <comment ref="C40" authorId="7" shapeId="0" xr:uid="{3A3CB7FB-5369-4B5C-98DC-314A129883A7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the first private sector company in India to obtain the licence and contract to build warships. 
Reply:
    However, Swan Energy acquired the naval/shipyard piece in 2023. Reliance Defence only manufactures small arms, ammo &amp; aircraft offsets now</t>
      </text>
    </comment>
    <comment ref="AC44" authorId="8" shapeId="0" xr:uid="{6F24578F-C95F-4D95-9E2B-59FABA528E74}">
      <text>
        <t>[Threaded comment]
Your version of Excel allows you to read this threaded comment; however, any edits to it will get removed if the file is opened in a newer version of Excel. Learn more: https://go.microsoft.com/fwlink/?linkid=870924
Comment:
    Nuclear/power/oil &amp; gas process piping capability; welding/NDT/PWHT know-how; project execution track record</t>
      </text>
    </comment>
    <comment ref="AD44" authorId="9" shapeId="0" xr:uid="{DFFD7C5B-4E41-4168-B84F-BF1262FE6608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High: re-engineering + re-inspection + schedule risk</t>
      </text>
    </comment>
    <comment ref="AE44" authorId="10" shapeId="0" xr:uid="{5AD0A68B-44DB-4B0A-A23A-8771637F4979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Medium–high: repeat EPC packages, brownfield modifications, long service cycles</t>
      </text>
    </comment>
    <comment ref="AC45" authorId="11" shapeId="0" xr:uid="{A06FF614-9A18-44CD-9DFC-DF509B981D68}">
      <text>
        <t>[Threaded comment]
Your version of Excel allows you to read this threaded comment; however, any edits to it will get removed if the file is opened in a newer version of Excel. Learn more: https://go.microsoft.com/fwlink/?linkid=870924
Comment:
    DGCA-linked training capability; instructor network; ops/process maturity</t>
      </text>
    </comment>
    <comment ref="AD45" authorId="12" shapeId="0" xr:uid="{BA9967BC-342E-43FB-8B55-5DD9DF24774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can be substituted, but quality + compliance matter</t>
      </text>
    </comment>
    <comment ref="AE45" authorId="13" shapeId="0" xr:uid="{98770378-28ED-43AC-848F-0A093CA98C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training, enterprise drone services, multi-site contracts</t>
      </text>
    </comment>
    <comment ref="AH45" authorId="14" shapeId="0" xr:uid="{545BA8EF-91B4-4E92-8540-959100AA9A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UAVs
</t>
      </text>
    </comment>
    <comment ref="AC46" authorId="15" shapeId="0" xr:uid="{AC669212-18F3-46C1-A0E5-BDE674650BF3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High-precision machining/assemblies for critical programmes which requires proven qualification history</t>
      </text>
    </comment>
    <comment ref="AD46" authorId="16" shapeId="0" xr:uid="{0B3831A5-D806-4C83-9030-1DAD4CBF74CA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re-qualification, PPAP/FAI equivalents, re-validation</t>
      </text>
    </comment>
    <comment ref="AC47" authorId="17" shapeId="0" xr:uid="{3DF15854-4E3A-4F90-BFFB-9DACE29C51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Rocket-engine component capability; high metallurgy/process discipline; </t>
      </text>
    </comment>
    <comment ref="AD47" authorId="18" shapeId="0" xr:uid="{9782C935-952B-4AA1-8058-8E08AA4B884E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mission-critical qualification and flight heritage are hard to replicate</t>
      </text>
    </comment>
    <comment ref="AE47" authorId="19" shapeId="0" xr:uid="{776C3E2C-24E9-46D3-A36F-FE26F1624A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recurring launches, upgrades, and spares over programme life</t>
      </text>
    </comment>
    <comment ref="AO58" authorId="20" shapeId="0" xr:uid="{62B534E1-8A22-4392-9326-23EEB83E1A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Parachutes
</t>
      </text>
    </comment>
    <comment ref="AJ64" authorId="21" shapeId="0" xr:uid="{9952A7C2-6751-4E31-B6A5-6F8B10EB61E8}">
      <text>
        <t>[Threaded comment]
Your version of Excel allows you to read this threaded comment; however, any edits to it will get removed if the file is opened in a newer version of Excel. Learn more: https://go.microsoft.com/fwlink/?linkid=870924
Comment:
    Unmanned Systems</t>
      </text>
    </comment>
    <comment ref="I82" authorId="22" shapeId="0" xr:uid="{E6497756-AB66-4977-A014-3E8208962B39}">
      <text>
        <t>[Threaded comment]
Your version of Excel allows you to read this threaded comment; however, any edits to it will get removed if the file is opened in a newer version of Excel. Learn more: https://go.microsoft.com/fwlink/?linkid=870924
Comment:
    Soon to be listed as per Andrei’s email on 24/12/2025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tc={42F26535-9B2C-471F-9931-6D19D8AA73F8}</author>
  </authors>
  <commentList>
    <comment ref="C40" authorId="0" shapeId="0" xr:uid="{42F26535-9B2C-471F-9931-6D19D8AA73F8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the first private sector company in India to obtain the licence and contract to build warships. 
Reply:
    However, Swan Energy acquired the naval/shipyard piece in 2023. Reliance Defence only manufactures small arms, ammo &amp; aircraft offsets now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Andrei Stetsenko</author>
  </authors>
  <commentList>
    <comment ref="A59" authorId="0" shapeId="0" xr:uid="{010841CE-83CD-4B24-A6C9-81B447038BF0}">
      <text>
        <r>
          <rPr>
            <b/>
            <sz val="9"/>
            <color indexed="81"/>
            <rFont val="Tahoma"/>
            <family val="2"/>
          </rPr>
          <t>Andrei Stetsenko: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tc={3947A4D2-CB0E-4E49-99B3-6C7CADD4B8B3}</author>
    <author>tc={10EDBA59-CDAC-406F-A1C6-A15AD91891C4}</author>
    <author>tc={906B4CEE-3CA5-48B8-B9CC-220195D4825E}</author>
  </authors>
  <commentList>
    <comment ref="X1" authorId="0" shapeId="0" xr:uid="{3947A4D2-CB0E-4E49-99B3-6C7CADD4B8B3}">
      <text>
        <t>[Threaded comment]
Your version of Excel allows you to read this threaded comment; however, any edits to it will get removed if the file is opened in a newer version of Excel. Learn more: https://go.microsoft.com/fwlink/?linkid=870924
Comment:
    (Historicals + Mgmt Est. if available)</t>
      </text>
    </comment>
    <comment ref="V14" authorId="1" shapeId="0" xr:uid="{10EDBA59-CDAC-406F-A1C6-A15AD91891C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Mistral Solutions (Completed in phases since 2017)
Reply:
    Axiscades was recording 100% revenue from December 2017 onwards (effective interest as 100% as per the share purchase agreement)</t>
      </text>
    </comment>
    <comment ref="V53" authorId="2" shapeId="0" xr:uid="{906B4CEE-3CA5-48B8-B9CC-220195D482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Triumph was already consolidated as a subsidiary prior to the extra 49%; revenue from the FSRU LNG terminal is already inside Swan’s consolidated numbers.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Andrei Stetsenko</author>
  </authors>
  <commentList>
    <comment ref="C59" authorId="0" shapeId="0" xr:uid="{8143DF7D-9678-4390-B025-86286B9DE30F}">
      <text>
        <r>
          <rPr>
            <b/>
            <sz val="9"/>
            <color indexed="81"/>
            <rFont val="Tahoma"/>
            <family val="2"/>
          </rPr>
          <t>Andrei Stetsenko: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2" authorId="0" shapeId="0" xr:uid="{2E43AC98-9D67-4187-A7F7-AD7104905C1C}">
      <text>
        <r>
          <rPr>
            <sz val="9"/>
            <color indexed="81"/>
            <rFont val="Tahoma"/>
            <family val="2"/>
          </rPr>
          <t>fka Glenmark Life Sci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<sst xmlns="http://schemas.openxmlformats.org/spreadsheetml/2006/main" count="5634" uniqueCount="1186">
  <si>
    <t>FY25E</t>
  </si>
  <si>
    <t>FY24</t>
  </si>
  <si>
    <t>FY23</t>
  </si>
  <si>
    <t>FY22</t>
  </si>
  <si>
    <t>EV/EBITDA (x)</t>
  </si>
  <si>
    <t>ROE (%)</t>
  </si>
  <si>
    <t>ROCE (%)</t>
  </si>
  <si>
    <t>Aerospace Systems</t>
  </si>
  <si>
    <t>Naval Systems</t>
  </si>
  <si>
    <t>Land Systems</t>
  </si>
  <si>
    <t>Artillery Systems</t>
  </si>
  <si>
    <t>Subsurface Systems</t>
  </si>
  <si>
    <t>Naval Aviation</t>
  </si>
  <si>
    <t>Missile Systems</t>
  </si>
  <si>
    <t>Hindustan Aeronautics Limited</t>
  </si>
  <si>
    <t>HAL</t>
  </si>
  <si>
    <t>Bharat Electronics Limited</t>
  </si>
  <si>
    <t>BEL</t>
  </si>
  <si>
    <t>Bharat Dynamics Limited</t>
  </si>
  <si>
    <t>BDL</t>
  </si>
  <si>
    <t>Mazagon Dock Shipbuilders Limited</t>
  </si>
  <si>
    <t>Garden Reach Shipbuilders &amp; Engineers</t>
  </si>
  <si>
    <t>GRSE</t>
  </si>
  <si>
    <t>Cochin Shipyard Limited</t>
  </si>
  <si>
    <t>BEML Limited</t>
  </si>
  <si>
    <t>Mishra Dhatu Nigam Limited (MIDHANI)</t>
  </si>
  <si>
    <t>DATAPATT</t>
  </si>
  <si>
    <t>Data Patterns</t>
  </si>
  <si>
    <t>PARAS</t>
  </si>
  <si>
    <t>Paras Defense and Space</t>
  </si>
  <si>
    <t>ASTM</t>
  </si>
  <si>
    <t>Astra Microwave</t>
  </si>
  <si>
    <t>CTE</t>
  </si>
  <si>
    <t>Centum Electronics</t>
  </si>
  <si>
    <t>DCXINDIA</t>
  </si>
  <si>
    <t>DCX Systems</t>
  </si>
  <si>
    <t>AVTS</t>
  </si>
  <si>
    <t>Avantel</t>
  </si>
  <si>
    <t>APOLLO</t>
  </si>
  <si>
    <t>Apollo Micro Systems</t>
  </si>
  <si>
    <t>Adani Elbit Advanced Systems India</t>
  </si>
  <si>
    <t>Y</t>
  </si>
  <si>
    <t>MAZDOCK</t>
  </si>
  <si>
    <t>BEML</t>
  </si>
  <si>
    <t>MIDHANI</t>
  </si>
  <si>
    <t>Category</t>
  </si>
  <si>
    <t>Segment</t>
  </si>
  <si>
    <t>Sub-Segment/Examples</t>
  </si>
  <si>
    <t>Fixed-Wing Aircraft</t>
  </si>
  <si>
    <t>Combat, Trainer, Transport (e.g., Tejas MK-2, HTT-40)</t>
  </si>
  <si>
    <t>Rotary-Wing Aircraft</t>
  </si>
  <si>
    <t>Attack Helicopters, Transport Helicopters, ASW Helicopters (e.g., Apache, LCH)</t>
  </si>
  <si>
    <t>Unmanned Aerial Vehicles (UAVs)</t>
  </si>
  <si>
    <t>Medium Altitude Long Endurance (MALE), Tactical UAVs (e.g., TAPAS-BH-201, Archer-NG)</t>
  </si>
  <si>
    <t>Armored Vehicles</t>
  </si>
  <si>
    <t>Tanks, Infantry Fighting Vehicles (IFVs), MRAPs</t>
  </si>
  <si>
    <t>Self-Propelled and Towed Artillery, MRLS</t>
  </si>
  <si>
    <t>Small Arms and Munitions</t>
  </si>
  <si>
    <t>Rifles, Mortars, Grenades</t>
  </si>
  <si>
    <t>Surface Combatants</t>
  </si>
  <si>
    <t>Frigates, Corvettes, Patrol Boats</t>
  </si>
  <si>
    <t>Submarines, Torpedoes, Sonar</t>
  </si>
  <si>
    <t>Maritime Patrol Aircraft, Multi-Mission Maritime Aircraft (MMMA)</t>
  </si>
  <si>
    <t>Indian Defence Companies Database - 2025</t>
  </si>
  <si>
    <t>Fiscal Year</t>
  </si>
  <si>
    <t>Defense Budget (₹ in lakh crore)</t>
  </si>
  <si>
    <t>1999–2000</t>
  </si>
  <si>
    <t>2000–2001</t>
  </si>
  <si>
    <t>2001–2002</t>
  </si>
  <si>
    <t>2002–2003</t>
  </si>
  <si>
    <t>2003–2004</t>
  </si>
  <si>
    <t>2004–2005</t>
  </si>
  <si>
    <t>2005–2006</t>
  </si>
  <si>
    <t>2006–2007</t>
  </si>
  <si>
    <t>2007–2008</t>
  </si>
  <si>
    <t>2008–2009</t>
  </si>
  <si>
    <t>2009–2010</t>
  </si>
  <si>
    <t>2010–2011</t>
  </si>
  <si>
    <t>2011–2012</t>
  </si>
  <si>
    <t>2012–2013</t>
  </si>
  <si>
    <t>2013–2014</t>
  </si>
  <si>
    <t>2014–2015</t>
  </si>
  <si>
    <t>2015–2016</t>
  </si>
  <si>
    <t>2016–2017</t>
  </si>
  <si>
    <t>2017–2018</t>
  </si>
  <si>
    <t>2018–2019</t>
  </si>
  <si>
    <t>2019–2020</t>
  </si>
  <si>
    <t>2020–2021</t>
  </si>
  <si>
    <t>2021–2022</t>
  </si>
  <si>
    <t>2022–2023</t>
  </si>
  <si>
    <t>2023–2024</t>
  </si>
  <si>
    <t>2024–2025</t>
  </si>
  <si>
    <t>Indian Defense Budget</t>
  </si>
  <si>
    <t>Indian Military Expenditure</t>
  </si>
  <si>
    <t>Military Expenditure (USD Billion)</t>
  </si>
  <si>
    <t>% of GDP</t>
  </si>
  <si>
    <t>Defence Exports</t>
  </si>
  <si>
    <t>Value of Exports (USD Billion)</t>
  </si>
  <si>
    <t>PBI</t>
  </si>
  <si>
    <t>Macrotrends</t>
  </si>
  <si>
    <t>Defence Imports</t>
  </si>
  <si>
    <t>Value of Imports (USD Billion)</t>
  </si>
  <si>
    <t>NDTV</t>
  </si>
  <si>
    <t>#</t>
  </si>
  <si>
    <t>NIBE Ltd</t>
  </si>
  <si>
    <t>Zen Technologies</t>
  </si>
  <si>
    <t>Unimech Aerospace &amp; Manufacturing Ltd</t>
  </si>
  <si>
    <t>MTAR Technologies Ltd</t>
  </si>
  <si>
    <t>IdeaForge Technology Ltd</t>
  </si>
  <si>
    <t>ADANIENT</t>
  </si>
  <si>
    <t>NIBE</t>
  </si>
  <si>
    <t>ROSSTECH</t>
  </si>
  <si>
    <t>ZENTEC</t>
  </si>
  <si>
    <t>UNIMECH</t>
  </si>
  <si>
    <t>MTARTECH</t>
  </si>
  <si>
    <t>IDEAFORGE</t>
  </si>
  <si>
    <t>Rossell Techsys Ltd</t>
  </si>
  <si>
    <t>Electrical &amp; Electronic Solutions</t>
  </si>
  <si>
    <t>Aero Engine Components</t>
  </si>
  <si>
    <t>Aerospace Tooling Solutions</t>
  </si>
  <si>
    <t>Machined Parts &amp; Sub-Assemblies</t>
  </si>
  <si>
    <t>Semiconductor &amp; Energy Tooling</t>
  </si>
  <si>
    <t>Blades, Vanes, Housings, Shrouds</t>
  </si>
  <si>
    <t xml:space="preserve">	Jigs, Fixtures, Molds, Assembly Tooling</t>
  </si>
  <si>
    <t>High-precision semiconductor process tools, Fuel system components</t>
  </si>
  <si>
    <t>Precision Components &amp; Tooling</t>
  </si>
  <si>
    <t>Type of Companies</t>
  </si>
  <si>
    <t>Small Cap</t>
  </si>
  <si>
    <t>Mid Cap</t>
  </si>
  <si>
    <t>Large Cap</t>
  </si>
  <si>
    <t>C4ISR and Electronic Warfare Systems</t>
  </si>
  <si>
    <t>Government</t>
  </si>
  <si>
    <t>COCHINSHIP</t>
  </si>
  <si>
    <t>Private</t>
  </si>
  <si>
    <t>Family</t>
  </si>
  <si>
    <t>Special Raw Material</t>
  </si>
  <si>
    <t>Alloys</t>
  </si>
  <si>
    <t>Steel</t>
  </si>
  <si>
    <t>Ultra High Strength Steel, Armor Grade Plates, Martensitic Steel, Austenitic Steel and Precipitation Hardening Steel</t>
  </si>
  <si>
    <t>Magnetic Alloys, Super Alloys (nickel base, iron base, and cobalt base), Titanium Alloys</t>
  </si>
  <si>
    <t>Coverage</t>
  </si>
  <si>
    <t>Companies Covered</t>
  </si>
  <si>
    <t>By Company Size</t>
  </si>
  <si>
    <t>By Business Type</t>
  </si>
  <si>
    <t>Location</t>
  </si>
  <si>
    <t>Bangalore</t>
  </si>
  <si>
    <t>Hyderabad</t>
  </si>
  <si>
    <t>Mumbai</t>
  </si>
  <si>
    <t>Kolkata</t>
  </si>
  <si>
    <t>Cochin</t>
  </si>
  <si>
    <t>Chennai</t>
  </si>
  <si>
    <t>Navi Mumbai</t>
  </si>
  <si>
    <t>New Delhi</t>
  </si>
  <si>
    <t>Chakan</t>
  </si>
  <si>
    <t>Azad Engineering</t>
  </si>
  <si>
    <t>JayKay Enterprises</t>
  </si>
  <si>
    <t>Sika Interplant Systems</t>
  </si>
  <si>
    <t>AZAD</t>
  </si>
  <si>
    <t>JAYKAY</t>
  </si>
  <si>
    <t>SIKA</t>
  </si>
  <si>
    <t>CNC Machining, Complex 5-axis machined components, Actuator parts, Housings, Flanges, Castings, Forgings</t>
  </si>
  <si>
    <t>3D Printing / Additive Manufacturing</t>
  </si>
  <si>
    <t>Rapid prototyping and production of high-strength, lightweight components.</t>
  </si>
  <si>
    <t>Revenue ($ Mn)</t>
  </si>
  <si>
    <t>Cyient DLM Ltd</t>
  </si>
  <si>
    <t>CYIENT</t>
  </si>
  <si>
    <t>Value Chain</t>
  </si>
  <si>
    <t>Kaynes Technology Ltd</t>
  </si>
  <si>
    <t>Syrma SGS Technology Ltd</t>
  </si>
  <si>
    <t>KAYNES</t>
  </si>
  <si>
    <t>SYRMA</t>
  </si>
  <si>
    <t>Mysore</t>
  </si>
  <si>
    <t>Solar Industries India Ltd</t>
  </si>
  <si>
    <t>SOLARINDS</t>
  </si>
  <si>
    <t>Bharat Forge Ltd</t>
  </si>
  <si>
    <t>BHARATFORG</t>
  </si>
  <si>
    <t>Larsen &amp; Toubro Ltd (L&amp;T)</t>
  </si>
  <si>
    <t>LT</t>
  </si>
  <si>
    <t>Bharat Heavy Electricals Ltd</t>
  </si>
  <si>
    <t>BHEL</t>
  </si>
  <si>
    <t>Axiscades Technologies Ltd</t>
  </si>
  <si>
    <t>AXISCADES</t>
  </si>
  <si>
    <t>TANEJAERO</t>
  </si>
  <si>
    <t>Premier Explosives Ltd</t>
  </si>
  <si>
    <t>PREMEXPLN</t>
  </si>
  <si>
    <t>HBL Power Systems Ltd</t>
  </si>
  <si>
    <t>Size (USD Mn)</t>
  </si>
  <si>
    <t>Nagpur</t>
  </si>
  <si>
    <t>Pune</t>
  </si>
  <si>
    <t>Bengaluru</t>
  </si>
  <si>
    <t>Hosur</t>
  </si>
  <si>
    <t>Secunderabad</t>
  </si>
  <si>
    <t>Raw Materials</t>
  </si>
  <si>
    <t>Precision Components</t>
  </si>
  <si>
    <t>Tier 1</t>
  </si>
  <si>
    <t>Tier 2</t>
  </si>
  <si>
    <t>Tier 3</t>
  </si>
  <si>
    <t>Small Arms, Ammunitions, Explosives</t>
  </si>
  <si>
    <t>Other Stand Alone-Items</t>
  </si>
  <si>
    <t>Tier 4</t>
  </si>
  <si>
    <t>Mechanical Systems</t>
  </si>
  <si>
    <t>Structural Systems</t>
  </si>
  <si>
    <t>Weapon Systems</t>
  </si>
  <si>
    <t>Platforms</t>
  </si>
  <si>
    <t>Chemical Compounds</t>
  </si>
  <si>
    <t>Rubber &amp; Polymer</t>
  </si>
  <si>
    <t>Electronic Equipment &amp; Components</t>
  </si>
  <si>
    <t>Electrical Equipment &amp; Components</t>
  </si>
  <si>
    <t>Power Distribution Units</t>
  </si>
  <si>
    <t>Aircraft power panels, busbars for radar systems</t>
  </si>
  <si>
    <t>Motors &amp; Actuators</t>
  </si>
  <si>
    <t>Electromechanical actuators in missiles, thrust vectoring systems</t>
  </si>
  <si>
    <t>Relays &amp; Contactors</t>
  </si>
  <si>
    <t>Used in weapon systems control, power switching for avionics</t>
  </si>
  <si>
    <t>Transformers &amp; Converters</t>
  </si>
  <si>
    <t>Step-down converters in aircraft systems, MIL-grade transformers</t>
  </si>
  <si>
    <t>Cables &amp; Connectors</t>
  </si>
  <si>
    <t>Shielded cables in electronic warfare, high-temp connectors</t>
  </si>
  <si>
    <t>Batteries &amp; Power Packs</t>
  </si>
  <si>
    <t>Ground-based battery systems, UAV power packs</t>
  </si>
  <si>
    <t>Circuit Breakers &amp; Fuses</t>
  </si>
  <si>
    <t>Overcurrent protection in aircraft and combat vehicles</t>
  </si>
  <si>
    <t>Generators &amp; Alternators</t>
  </si>
  <si>
    <t>Jet engine starters, APU alternators</t>
  </si>
  <si>
    <t>Radar &amp; RF Systems</t>
  </si>
  <si>
    <t>AESA radars, radar transceivers</t>
  </si>
  <si>
    <t>Sensors &amp; Transducers</t>
  </si>
  <si>
    <t>Inertial navigation sensors, pressure transducers in missiles</t>
  </si>
  <si>
    <t>Microprocessors &amp; FPGAs</t>
  </si>
  <si>
    <t>Signal processing in avionics, mission computers</t>
  </si>
  <si>
    <t>Printed Circuit Boards (PCBs)</t>
  </si>
  <si>
    <t>Flight control systems, missile guidance modules</t>
  </si>
  <si>
    <t>Power Electronics Modules</t>
  </si>
  <si>
    <t>Power amplifiers for radars, inverters for UAVs</t>
  </si>
  <si>
    <t>Communication Modules</t>
  </si>
  <si>
    <t>Software-defined radios, satellite communication transceivers</t>
  </si>
  <si>
    <t>Electronic Warfare Equipment</t>
  </si>
  <si>
    <t>Jammers, decoys, electronic countermeasures (ECM)</t>
  </si>
  <si>
    <t>Avionics Systems</t>
  </si>
  <si>
    <t>Flight management systems, HUDs (Head-Up Displays)</t>
  </si>
  <si>
    <t>Data Acquisition Units</t>
  </si>
  <si>
    <t>Black boxes, telemetry units</t>
  </si>
  <si>
    <t>Adhesives, sealants</t>
  </si>
  <si>
    <t>Carbon fiber, aramid</t>
  </si>
  <si>
    <t>Synthetic rubber, nitrile polymers</t>
  </si>
  <si>
    <t>Assault rifles, carbines, Bullets, shells, RDX, TNT</t>
  </si>
  <si>
    <t>Missile Systems, Warfare Systems</t>
  </si>
  <si>
    <t>Composit Materials</t>
  </si>
  <si>
    <t>Munitions &amp; Ordnance</t>
  </si>
  <si>
    <t>Land Systems\</t>
  </si>
  <si>
    <t>Other Stand-Alone Items</t>
  </si>
  <si>
    <t>Test Solutions &amp; Engineering</t>
  </si>
  <si>
    <t>Hardware Tools</t>
  </si>
  <si>
    <t>Software Tools</t>
  </si>
  <si>
    <t>Engineering Services</t>
  </si>
  <si>
    <t>Landing gear, turrets, Gearboxes, shafts, actuators</t>
  </si>
  <si>
    <t>Taneja Aerospace &amp; Aviation Ltd</t>
  </si>
  <si>
    <t>HBLENGINE</t>
  </si>
  <si>
    <t>Input Table 1: Market Cap Size</t>
  </si>
  <si>
    <t>Company</t>
  </si>
  <si>
    <t>PE (x)</t>
  </si>
  <si>
    <t>Rev CAGR (4-Yr)</t>
  </si>
  <si>
    <t>.</t>
  </si>
  <si>
    <t xml:space="preserve">Value Chain </t>
  </si>
  <si>
    <t>Diversified</t>
  </si>
  <si>
    <t>Table 1: Average Performance Across the Value Chain</t>
  </si>
  <si>
    <t>CAGR % (4-Yr)</t>
  </si>
  <si>
    <t>ROE % FY24</t>
  </si>
  <si>
    <t>ROCE % FY24</t>
  </si>
  <si>
    <t>Count</t>
  </si>
  <si>
    <t xml:space="preserve">Defence &amp; Aerospace </t>
  </si>
  <si>
    <t>Mix (%)</t>
  </si>
  <si>
    <t>Table 2: Top Performer Across the Value Chain</t>
  </si>
  <si>
    <t>Table 3: Above Average Performers</t>
  </si>
  <si>
    <t>Performance</t>
  </si>
  <si>
    <t>PE (X)</t>
  </si>
  <si>
    <t>CAGR (%)</t>
  </si>
  <si>
    <t xml:space="preserve"> </t>
  </si>
  <si>
    <t>Total Score</t>
  </si>
  <si>
    <t>Drones, Missiles</t>
  </si>
  <si>
    <t>Listed</t>
  </si>
  <si>
    <t>Acquired by/Part of Listed Company</t>
  </si>
  <si>
    <t>Net Debt / EBITDA</t>
  </si>
  <si>
    <t>Debt-Equity Ratio</t>
  </si>
  <si>
    <t>FY25</t>
  </si>
  <si>
    <t>5-9%</t>
  </si>
  <si>
    <t>Tata Advanced Systems</t>
  </si>
  <si>
    <t>Reliance Defence</t>
  </si>
  <si>
    <t>Aimtron Electronics</t>
  </si>
  <si>
    <t>Ashok Leyland</t>
  </si>
  <si>
    <t>CFF Fluid Control</t>
  </si>
  <si>
    <t>DEE Development Engineers</t>
  </si>
  <si>
    <t>Droneacharya Aerial Innovations</t>
  </si>
  <si>
    <t>Dynamatic Technologies Ltd</t>
  </si>
  <si>
    <t>HFCL</t>
  </si>
  <si>
    <t>High Energy Batteries (India)</t>
  </si>
  <si>
    <t>Krishna Defence &amp; Allied Industries</t>
  </si>
  <si>
    <t>Marine Electricals (India)</t>
  </si>
  <si>
    <t>Lokesh Machines</t>
  </si>
  <si>
    <t>Swan Energy</t>
  </si>
  <si>
    <t>Walchandnagar Industries</t>
  </si>
  <si>
    <t>Advance Weapon Equipment India</t>
  </si>
  <si>
    <t>Armoured Vehicles Nigam</t>
  </si>
  <si>
    <t>Artemon Aerospace</t>
  </si>
  <si>
    <t>Gliders India</t>
  </si>
  <si>
    <t>Goa Shipyard</t>
  </si>
  <si>
    <t>Hindustan Shipyard</t>
  </si>
  <si>
    <t>India Optel</t>
  </si>
  <si>
    <t>Munitions India</t>
  </si>
  <si>
    <t>Raychem RPG</t>
  </si>
  <si>
    <t>Sagar Defence and Engineering Private</t>
  </si>
  <si>
    <t>Troop Comforts</t>
  </si>
  <si>
    <t>Vijayan Trishul Defence Solutions</t>
  </si>
  <si>
    <t>Yantra India</t>
  </si>
  <si>
    <t>AIMTRON</t>
  </si>
  <si>
    <t>ASHOKLEY</t>
  </si>
  <si>
    <t>CFF</t>
  </si>
  <si>
    <t>DEEDEV</t>
  </si>
  <si>
    <t>DRONACHRYA</t>
  </si>
  <si>
    <t>DYNAMATECH</t>
  </si>
  <si>
    <t>HIGHEEBAT</t>
  </si>
  <si>
    <t>KRISHNADEF</t>
  </si>
  <si>
    <t>MARINE</t>
  </si>
  <si>
    <t>LOKESHMACH</t>
  </si>
  <si>
    <t>SWANENERGY</t>
  </si>
  <si>
    <t>WALCHANNAG</t>
  </si>
  <si>
    <t>Testing &amp; Certification</t>
  </si>
  <si>
    <t>Propulsions (Engine)</t>
  </si>
  <si>
    <t>Radar &amp; Sensors</t>
  </si>
  <si>
    <t>Avionics &amp; Displays</t>
  </si>
  <si>
    <t>Airframe &amp; Stealth</t>
  </si>
  <si>
    <t>Flight Controls</t>
  </si>
  <si>
    <t>Landing Gear &amp; Hydraulics</t>
  </si>
  <si>
    <t>Weapon Integration</t>
  </si>
  <si>
    <t>Missiles &amp; Precision Systems</t>
  </si>
  <si>
    <t>Propulsions (Rocket Motor &amp; Engines)</t>
  </si>
  <si>
    <t>Guidance &amp; Seeker Systems</t>
  </si>
  <si>
    <t>Control Systems &amp; Actuators</t>
  </si>
  <si>
    <t>Warheads &amp; Fuzes</t>
  </si>
  <si>
    <t>Launchers &amp; Firing Units</t>
  </si>
  <si>
    <t>Electronic Warfare Suites</t>
  </si>
  <si>
    <t>Integrator</t>
  </si>
  <si>
    <t>Sub-Systems</t>
  </si>
  <si>
    <t>Other Machining &amp; Tooling</t>
  </si>
  <si>
    <t>Navigator</t>
  </si>
  <si>
    <t>1. Aircrafts &amp; Aviation</t>
  </si>
  <si>
    <t>Aircrafts &amp; Aviation</t>
  </si>
  <si>
    <t>2. Missiles &amp; Precision Systems</t>
  </si>
  <si>
    <t>3. Naval</t>
  </si>
  <si>
    <t>Naval</t>
  </si>
  <si>
    <t>Propulsion &amp; Power</t>
  </si>
  <si>
    <t>Sonar &amp; Underwater Systems</t>
  </si>
  <si>
    <t>Combat Management Systems ( CMS)</t>
  </si>
  <si>
    <t>Weapons &amp; Launchers</t>
  </si>
  <si>
    <t>Submarine Batteries</t>
  </si>
  <si>
    <t>Designer &amp; Integrator</t>
  </si>
  <si>
    <t>Main Body / Integrator</t>
  </si>
  <si>
    <t>HAL &amp; DRDO have JVs with international companies</t>
  </si>
  <si>
    <t>Unlisted</t>
  </si>
  <si>
    <t>Comments</t>
  </si>
  <si>
    <t>Adani Enterprises Ltd on NSE/BSE &amp; Elbit Systems Ltd. on NASDAQ</t>
  </si>
  <si>
    <t>L&amp;T</t>
  </si>
  <si>
    <t>Kanpur</t>
  </si>
  <si>
    <t>Dehradun</t>
  </si>
  <si>
    <t>Vishakapatnam</t>
  </si>
  <si>
    <t>Goa</t>
  </si>
  <si>
    <t>Vadodara</t>
  </si>
  <si>
    <t>Mathur</t>
  </si>
  <si>
    <t>Gurugram</t>
  </si>
  <si>
    <t>Faridabad</t>
  </si>
  <si>
    <t>Owned by Tata Sons</t>
  </si>
  <si>
    <t>Owned by Anil Ambani &amp; does not have any relation to Reliance Digital / Retail</t>
  </si>
  <si>
    <t>Owned by Hinduja Group</t>
  </si>
  <si>
    <t>Owned by Jagjeet Singh Bindra family</t>
  </si>
  <si>
    <t>Prateek Srivastava is the Founder &amp; majority shareholder</t>
  </si>
  <si>
    <t>Dr. Udayant Malhoutra is the Promoter &amp; CEO</t>
  </si>
  <si>
    <t>Mahendra Nahata family</t>
  </si>
  <si>
    <t>Jay Chhalera family</t>
  </si>
  <si>
    <t>Pritam Chheda &amp; family</t>
  </si>
  <si>
    <t>Lokesh Vutukuri &amp; family</t>
  </si>
  <si>
    <t>Shah family</t>
  </si>
  <si>
    <t>Walchand Hirachand family</t>
  </si>
  <si>
    <t>RPG Group (India) + TE Connectivity 50:50 Joint Venture</t>
  </si>
  <si>
    <t>Mukesh &amp; Nirmal Vasani</t>
  </si>
  <si>
    <t>Shares Outstanding (# Mn)</t>
  </si>
  <si>
    <t>Design &amp; Integrator</t>
  </si>
  <si>
    <t>War Ship Builders</t>
  </si>
  <si>
    <t>Submarine Builders</t>
  </si>
  <si>
    <t>Sub-Structures &amp; Other Systems</t>
  </si>
  <si>
    <t>Frames, Composite fuselage panels, fuild control sub-systems</t>
  </si>
  <si>
    <t>Godrej Aerospace</t>
  </si>
  <si>
    <t>Godrej Family</t>
  </si>
  <si>
    <t>Sail Ltd</t>
  </si>
  <si>
    <t>Under Ministry of Steel, Government of India</t>
  </si>
  <si>
    <t>C2C Advanced Systems</t>
  </si>
  <si>
    <t>Mahindra Defence Systems</t>
  </si>
  <si>
    <t>Brahmos Aerospace</t>
  </si>
  <si>
    <t>MKU Ltd</t>
  </si>
  <si>
    <t>Samtel Avionics</t>
  </si>
  <si>
    <t>Tonbo Imaging</t>
  </si>
  <si>
    <t>VEM Technologies</t>
  </si>
  <si>
    <t>C2C</t>
  </si>
  <si>
    <t>SAIL</t>
  </si>
  <si>
    <t>Owned by Mahindra &amp; Mahindra</t>
  </si>
  <si>
    <t>Alpha Design Technologies</t>
  </si>
  <si>
    <t>Join venture between India's DRDO &amp; Russia's NPO Mashinostroyeniya</t>
  </si>
  <si>
    <t>Night vision devices, gear, uniforms, vests</t>
  </si>
  <si>
    <t>Ticker</t>
  </si>
  <si>
    <t>Exch</t>
  </si>
  <si>
    <t>BB</t>
  </si>
  <si>
    <t>HNAL</t>
  </si>
  <si>
    <t>BHE</t>
  </si>
  <si>
    <t>MAZDOCKS</t>
  </si>
  <si>
    <t>COCHIN</t>
  </si>
  <si>
    <t>ADE</t>
  </si>
  <si>
    <t>ZEN</t>
  </si>
  <si>
    <t>IDEAFORG</t>
  </si>
  <si>
    <t>JEL</t>
  </si>
  <si>
    <t>CYIENTDL</t>
  </si>
  <si>
    <t>SOIL</t>
  </si>
  <si>
    <t>BHFC</t>
  </si>
  <si>
    <t>AXET</t>
  </si>
  <si>
    <t>TAA</t>
  </si>
  <si>
    <t>PRE</t>
  </si>
  <si>
    <t>AL</t>
  </si>
  <si>
    <t>DRONACHR</t>
  </si>
  <si>
    <t>DYTC</t>
  </si>
  <si>
    <t>HMFC</t>
  </si>
  <si>
    <t>HIGH</t>
  </si>
  <si>
    <t>KRISHNDF</t>
  </si>
  <si>
    <t>LOKM</t>
  </si>
  <si>
    <t>SWAN</t>
  </si>
  <si>
    <t>WI</t>
  </si>
  <si>
    <t>Type</t>
  </si>
  <si>
    <t>Promoter</t>
  </si>
  <si>
    <t>Prom. own%</t>
  </si>
  <si>
    <t>Def. rev%</t>
  </si>
  <si>
    <t>P/E</t>
  </si>
  <si>
    <t>Mkt cap $mm</t>
  </si>
  <si>
    <t>Type/status</t>
  </si>
  <si>
    <t>4624679Z</t>
  </si>
  <si>
    <t>1254332D</t>
  </si>
  <si>
    <t>1436Z</t>
  </si>
  <si>
    <t>1943634D</t>
  </si>
  <si>
    <t>2300472D</t>
  </si>
  <si>
    <t>7559676Z</t>
  </si>
  <si>
    <t>6595300Z</t>
  </si>
  <si>
    <t>1633945D</t>
  </si>
  <si>
    <t>1943632D</t>
  </si>
  <si>
    <t>1315Z</t>
  </si>
  <si>
    <t>2250224D</t>
  </si>
  <si>
    <t>1943633D</t>
  </si>
  <si>
    <t>Other s'holders</t>
  </si>
  <si>
    <t>PONNIERODE, 5.6%</t>
  </si>
  <si>
    <t>TEXINFRA, 2.2%</t>
  </si>
  <si>
    <t>Singapore, 5.3%</t>
  </si>
  <si>
    <t>Abu Dhabi, 1.8%</t>
  </si>
  <si>
    <t>ValueQuest, 2.9%</t>
  </si>
  <si>
    <t>CYIENT, 52%</t>
  </si>
  <si>
    <t>JV with HAL for avionics</t>
  </si>
  <si>
    <t>Current</t>
  </si>
  <si>
    <t>FY26P</t>
  </si>
  <si>
    <t>FY27P</t>
  </si>
  <si>
    <t>FY28P</t>
  </si>
  <si>
    <t>FY29P</t>
  </si>
  <si>
    <t>FY30P</t>
  </si>
  <si>
    <t>Projected EPS</t>
  </si>
  <si>
    <t>FY26</t>
  </si>
  <si>
    <t>FY27</t>
  </si>
  <si>
    <t>FY28</t>
  </si>
  <si>
    <t>FY29</t>
  </si>
  <si>
    <t>FY30</t>
  </si>
  <si>
    <t>P/E Ratio ( Projected )</t>
  </si>
  <si>
    <t>Share Price (INR)</t>
  </si>
  <si>
    <t>Kavveri Defence &amp; Wireless Tech</t>
  </si>
  <si>
    <t>Techera Engineering</t>
  </si>
  <si>
    <t>KAVDEFENCE</t>
  </si>
  <si>
    <t>TECHERA</t>
  </si>
  <si>
    <t>1313978D</t>
  </si>
  <si>
    <t>2339955Z</t>
  </si>
  <si>
    <t>1471388D</t>
  </si>
  <si>
    <t>1537114D</t>
  </si>
  <si>
    <t>0496525D</t>
  </si>
  <si>
    <t>1606516D</t>
  </si>
  <si>
    <t>0824100D</t>
  </si>
  <si>
    <t xml:space="preserve">1637857D </t>
  </si>
  <si>
    <t>6594164Z</t>
  </si>
  <si>
    <t>2582619D</t>
  </si>
  <si>
    <t>1359165D</t>
  </si>
  <si>
    <t>KAVDEFEN</t>
  </si>
  <si>
    <t>BBticker</t>
  </si>
  <si>
    <t>BBname</t>
  </si>
  <si>
    <t>cur_mkt_cap(currency=USD)/1000000</t>
  </si>
  <si>
    <t>normalized_roe/100</t>
  </si>
  <si>
    <t>2025eps</t>
  </si>
  <si>
    <t>Net debt/EBITDA</t>
  </si>
  <si>
    <t>2024eps</t>
  </si>
  <si>
    <t>2020eps</t>
  </si>
  <si>
    <t>2021eps</t>
  </si>
  <si>
    <t>2022eps</t>
  </si>
  <si>
    <t>2023eps</t>
  </si>
  <si>
    <t>is_comp_eps_adjusted(currency=INR, fa_period_reference=range(2020, 2020))</t>
  </si>
  <si>
    <t>is_comp_eps_adjusted(currency=INR, fa_period_reference=range(2021, 2021))</t>
  </si>
  <si>
    <t>is_comp_eps_adjusted(currency=INR, fa_period_reference=range(2022, 2022))</t>
  </si>
  <si>
    <t>is_comp_eps_adjusted(currency=INR, fa_period_reference=range(2023, 2023))</t>
  </si>
  <si>
    <t>is_comp_eps_adjusted(currency=INR, fa_period_reference=range(2024, 2024))</t>
  </si>
  <si>
    <t>is_comp_eps_adjusted(currency=INR, fa_period_reference=range(2025, 2025))</t>
  </si>
  <si>
    <t>is_comp_eps_adjusted(currency=INR,fa_period_reference=range(2024,2024))</t>
  </si>
  <si>
    <t>is_comp_eps_adjusted(currency=INR,fa_period_reference=range(2022,2022))</t>
  </si>
  <si>
    <t>is_comp_eps_adjusted(currency=INR,fa_period_reference=range(2020,2020))</t>
  </si>
  <si>
    <t>is_comp_eps_adjusted(currency=INR,fa_period_reference=range(2021,2021))</t>
  </si>
  <si>
    <t>is_comp_eps_adjusted(currency=INR,fa_period_reference=range(2025,2025))</t>
  </si>
  <si>
    <t>is_comp_eps_adjusted(currency=INR,fa_period_reference=range(2023,2023))</t>
  </si>
  <si>
    <t>cur_mkt_cap(currency=INR)/1000000</t>
  </si>
  <si>
    <t>is_comp_eps_adjusted(currency=INR,fa_act_est_data=E, fa_period_offset=1)</t>
  </si>
  <si>
    <t>is_comp_eps_adjusted(currency=INR,fa_act_est_data=E, fa_period_offset=2)</t>
  </si>
  <si>
    <t>is_comp_eps_adjusted(currency=INR,fa_act_est_data=E,fa_period_offset=1)</t>
  </si>
  <si>
    <t>is_comp_eps_adjusted(currency=INR,fa_act_est_data=E,fa_period_offset=2)</t>
  </si>
  <si>
    <t>return_com_eqy(fa_act_est_data=E, fa_period_offset=1)/100</t>
  </si>
  <si>
    <t>ROE1</t>
  </si>
  <si>
    <t>return_com_eqy(fa_act_est_data=E,fa_period_offset=1)/100</t>
  </si>
  <si>
    <t>px_last(currency=INR)</t>
  </si>
  <si>
    <t>eqy_sh_out/1000000</t>
  </si>
  <si>
    <t>Shares (mm)</t>
  </si>
  <si>
    <t>ROCE</t>
  </si>
  <si>
    <t>return_on_capital_employed(fa_period_type=A)/100</t>
  </si>
  <si>
    <t>return_on_tangible_equity/100</t>
  </si>
  <si>
    <t>ROTE</t>
  </si>
  <si>
    <t>return_on_inv_capital/100</t>
  </si>
  <si>
    <t>operating_roic/100</t>
  </si>
  <si>
    <t>ROIC1</t>
  </si>
  <si>
    <t>ROIC2</t>
  </si>
  <si>
    <t>ROE3</t>
  </si>
  <si>
    <t>ROIC3</t>
  </si>
  <si>
    <t>wacc_return_on_inv_capital/100</t>
  </si>
  <si>
    <t>ROC</t>
  </si>
  <si>
    <t>return_on_cap/100</t>
  </si>
  <si>
    <t>2020rev</t>
  </si>
  <si>
    <t>2021rev</t>
  </si>
  <si>
    <t>2022rev</t>
  </si>
  <si>
    <t>2023rev</t>
  </si>
  <si>
    <t>2024rev</t>
  </si>
  <si>
    <t>2025rev</t>
  </si>
  <si>
    <t>sales_rev_turn(currency=INR, fa_period_reference=range(2020, 2020))/1000000</t>
  </si>
  <si>
    <t>sales_rev_turn(currency=INR,fa_period_reference=range(2020,2020))/1000000</t>
  </si>
  <si>
    <t>sales_rev_turn(currency=INR, fa_period_reference=range(2021, 2021))/1000000</t>
  </si>
  <si>
    <t>sales_rev_turn(currency=INR, fa_period_reference=range(2022, 2022))/1000000</t>
  </si>
  <si>
    <t>sales_rev_turn(currency=INR, fa_period_reference=range(2023, 2023))/1000000</t>
  </si>
  <si>
    <t>sales_rev_turn(currency=INR, fa_period_reference=range(2024, 2024))/1000000</t>
  </si>
  <si>
    <t>sales_rev_turn(currency=INR, fa_period_reference=range(2025, 2025))/1000000</t>
  </si>
  <si>
    <t>sales_rev_turn(currency=INR,fa_period_reference=range(2021,2021))/1000000</t>
  </si>
  <si>
    <t>sales_rev_turn(currency=INR,fa_period_reference=range(2022,2022))/1000000</t>
  </si>
  <si>
    <t>sales_rev_turn(currency=INR,fa_period_reference=range(2023,2023))/1000000</t>
  </si>
  <si>
    <t>sales_rev_turn(currency=INR,fa_period_reference=range(2025,2025))/1000000</t>
  </si>
  <si>
    <t>sales_rev_turn(currency=INR,fa_period_reference=range(2024,2024))/1000000</t>
  </si>
  <si>
    <t>sales_rev_turn(currency=INR,fa_act_est_data=E, fa_period_offset=1)/1000000</t>
  </si>
  <si>
    <t>sales_rev_turn(currency=INR,fa_act_est_data=E,fa_period_offset=1)/1000000</t>
  </si>
  <si>
    <t>sales_rev_turn(currency=INR,fa_act_est_data=E, fa_period_offset=2)/1000000</t>
  </si>
  <si>
    <t>sales_rev_turn(currency=INR,fa_act_est_data=E,fa_period_offset=2)/1000000</t>
  </si>
  <si>
    <t>placeholders</t>
  </si>
  <si>
    <t>Market capitalization</t>
  </si>
  <si>
    <t>Enterprise value</t>
  </si>
  <si>
    <t>EV/EBITDA</t>
  </si>
  <si>
    <t>Price/Book</t>
  </si>
  <si>
    <t>Return on equity metrics</t>
  </si>
  <si>
    <t>Return on capital metrics</t>
  </si>
  <si>
    <t>Net debt or (net cash)</t>
  </si>
  <si>
    <t>ShsOutstanding</t>
  </si>
  <si>
    <t>FreeFloat%</t>
  </si>
  <si>
    <t>Avg daily trading volumes</t>
  </si>
  <si>
    <t>Share price</t>
  </si>
  <si>
    <t>EPS - historical</t>
  </si>
  <si>
    <t>EPS - estimates</t>
  </si>
  <si>
    <t>EBITDA - historical</t>
  </si>
  <si>
    <t>EBITDA - estimates</t>
  </si>
  <si>
    <t>revenue - historical</t>
  </si>
  <si>
    <t>revenue - estimates</t>
  </si>
  <si>
    <t>$USD</t>
  </si>
  <si>
    <t>₹INR</t>
  </si>
  <si>
    <t>T12M</t>
  </si>
  <si>
    <t>EST</t>
  </si>
  <si>
    <t>P/BV</t>
  </si>
  <si>
    <t>P/TBV</t>
  </si>
  <si>
    <t>5Dvol (mm)</t>
  </si>
  <si>
    <t>10Dvol (mm)</t>
  </si>
  <si>
    <t>30Dvol (mm)</t>
  </si>
  <si>
    <t>2026eps</t>
  </si>
  <si>
    <t>2027eps</t>
  </si>
  <si>
    <t>2028eps</t>
  </si>
  <si>
    <t>2029eps</t>
  </si>
  <si>
    <t>2020ebitda</t>
  </si>
  <si>
    <t>2021ebitda</t>
  </si>
  <si>
    <t>2022ebitda</t>
  </si>
  <si>
    <t>2023ebitda</t>
  </si>
  <si>
    <t>2024ebitda</t>
  </si>
  <si>
    <t>2025ebitda</t>
  </si>
  <si>
    <t>2026ebitda</t>
  </si>
  <si>
    <t>2027ebitda</t>
  </si>
  <si>
    <t>2028ebitda</t>
  </si>
  <si>
    <t>2029ebitda</t>
  </si>
  <si>
    <t>2026rev</t>
  </si>
  <si>
    <t>2027rev</t>
  </si>
  <si>
    <t>2028rev</t>
  </si>
  <si>
    <t>2029rev</t>
  </si>
  <si>
    <t>curr_entp_val(currency=USD)/1000000</t>
  </si>
  <si>
    <t>curr_entp_val(currency=INR)/1000000</t>
  </si>
  <si>
    <t>pe_ratio(FA_PERIOD_TYPE=LTM)</t>
  </si>
  <si>
    <t>pe_ratio(fa_act_est_data=E,fa_period_offset=1)</t>
  </si>
  <si>
    <t>ev_to_ebitda(FA_PERIOD_TYPE=LTM)</t>
  </si>
  <si>
    <t>ev_to_ebitda(fa_act_est_data=E,fa_period_offset=1)</t>
  </si>
  <si>
    <t>px_to_book_ratio</t>
  </si>
  <si>
    <t>px_to_tang_bv_per_sh</t>
  </si>
  <si>
    <t>net_debt(currency=USD)/1000000</t>
  </si>
  <si>
    <t>net_debt(currency=INR)/1000000</t>
  </si>
  <si>
    <t>net_debt_to_ebitda</t>
  </si>
  <si>
    <t>eqy_free_float_pct/100</t>
  </si>
  <si>
    <t>5_day_average_volume_at_time/1000000</t>
  </si>
  <si>
    <t>10_day_average_volume_at_time/1000000</t>
  </si>
  <si>
    <t>30_day_average_volume_at_time/1000000</t>
  </si>
  <si>
    <t>px_last(currency=USD)</t>
  </si>
  <si>
    <t>is_comp_eps_adjusted(currency=INR,fa_act_est_data=E, fa_period_offset=3)</t>
  </si>
  <si>
    <t>is_comp_eps_adjusted(currency=INR,fa_act_est_data=E, fa_period_offset=4)</t>
  </si>
  <si>
    <t>ebitda(currency=INR, fa_period_reference=range(2020, 2020))/1000000</t>
  </si>
  <si>
    <t>ebitda(currency=INR, fa_period_reference=range(2021, 2021))/1000000</t>
  </si>
  <si>
    <t>ebitda(currency=INR, fa_period_reference=range(2022, 2022))/1000000</t>
  </si>
  <si>
    <t>ebitda(currency=INR, fa_period_reference=range(2023, 2023))/1000000</t>
  </si>
  <si>
    <t>ebitda(currency=INR, fa_period_reference=range(2024, 2024))/1000000</t>
  </si>
  <si>
    <t>ebitda(currency=INR, fa_period_reference=range(2025, 2025))/1000000</t>
  </si>
  <si>
    <t>ebitda(currency=INR,fa_act_est_data=E, fa_period_offset=1)/1000000</t>
  </si>
  <si>
    <t>ebitda(currency=INR,fa_act_est_data=E, fa_period_offset=2)/1000000</t>
  </si>
  <si>
    <t>ebitda(currency=INR,fa_act_est_data=E, fa_period_offset=3)/1000000</t>
  </si>
  <si>
    <t>ebitda(currency=INR,fa_act_est_data=E, fa_period_offset=4)/1000000</t>
  </si>
  <si>
    <t>sales_rev_turn(currency=INR,fa_act_est_data=E, fa_period_offset=3)/1000000</t>
  </si>
  <si>
    <t>sales_rev_turn(currency=INR,fa_act_est_data=E, fa_period_offset=4)/1000000</t>
  </si>
  <si>
    <t>is_comp_eps_adjusted(currency=INR,fa_act_est_data=E,fa_period_offset=3)</t>
  </si>
  <si>
    <t>is_comp_eps_adjusted(currency=INR,fa_act_est_data=E,fa_period_offset=4)</t>
  </si>
  <si>
    <t>ebitda(currency=INR,fa_period_reference=range(2020,2020))/1000000</t>
  </si>
  <si>
    <t>ebitda(currency=INR,fa_period_reference=range(2021,2021))/1000000</t>
  </si>
  <si>
    <t>ebitda(currency=INR,fa_period_reference=range(2022,2022))/1000000</t>
  </si>
  <si>
    <t>ebitda(currency=INR,fa_period_reference=range(2023,2023))/1000000</t>
  </si>
  <si>
    <t>ebitda(currency=INR,fa_period_reference=range(2024,2024))/1000000</t>
  </si>
  <si>
    <t>ebitda(currency=INR,fa_period_reference=range(2025,2025))/1000000</t>
  </si>
  <si>
    <t>ebitda(currency=INR,fa_act_est_data=E,fa_period_offset=1)/1000000</t>
  </si>
  <si>
    <t>ebitda(currency=INR,fa_act_est_data=E,fa_period_offset=2)/1000000</t>
  </si>
  <si>
    <t>ebitda(currency=INR,fa_act_est_data=E,fa_period_offset=3)/1000000</t>
  </si>
  <si>
    <t>ebitda(currency=INR,fa_act_est_data=E,fa_period_offset=4)/1000000</t>
  </si>
  <si>
    <t>sales_rev_turn(currency=INR,fa_act_est_data=E,fa_period_offset=3)/1000000</t>
  </si>
  <si>
    <t>sales_rev_turn(currency=INR,fa_act_est_data=E,fa_period_offset=4)/1000000</t>
  </si>
  <si>
    <t>Figures in ₹INR millions unless otherwise stated.</t>
  </si>
  <si>
    <t>Tickers/IDs</t>
  </si>
  <si>
    <t>Cash/investments (rep. as negative values)</t>
  </si>
  <si>
    <t>Borrowings/lease liabilities (rep. as positive values)</t>
  </si>
  <si>
    <t>Shares outstanding (in millions)</t>
  </si>
  <si>
    <t>%s of shares held by…</t>
  </si>
  <si>
    <t>Minority interest</t>
  </si>
  <si>
    <t>Buybacks</t>
  </si>
  <si>
    <t>Dividends</t>
  </si>
  <si>
    <t>Normalized net income - historical</t>
  </si>
  <si>
    <t>Normalized net income - estimates</t>
  </si>
  <si>
    <t>Bloomberg</t>
  </si>
  <si>
    <t>Exchange</t>
  </si>
  <si>
    <t>Cash/near cash</t>
  </si>
  <si>
    <t>Cash+ST invest.</t>
  </si>
  <si>
    <t>ST invest</t>
  </si>
  <si>
    <t>LT invest</t>
  </si>
  <si>
    <t>Cash+all investments</t>
  </si>
  <si>
    <t>ST debt incl. lease liab.</t>
  </si>
  <si>
    <t>LT debt incl. lease liab.</t>
  </si>
  <si>
    <t>Total debt</t>
  </si>
  <si>
    <t>Latest rep.</t>
  </si>
  <si>
    <t>Basic</t>
  </si>
  <si>
    <t>Diluted</t>
  </si>
  <si>
    <t>Promoter%</t>
  </si>
  <si>
    <t>Institution%</t>
  </si>
  <si>
    <t>FPI%</t>
  </si>
  <si>
    <t>Noncontrol. int.</t>
  </si>
  <si>
    <t>Recent repurchases</t>
  </si>
  <si>
    <t>T12M dividends</t>
  </si>
  <si>
    <t>2020adjNetInc</t>
  </si>
  <si>
    <t>2021adjNetInc</t>
  </si>
  <si>
    <t>2022adjNetInc</t>
  </si>
  <si>
    <t>2023adjNetInc</t>
  </si>
  <si>
    <t>2024adjNetInc</t>
  </si>
  <si>
    <t>2025adjNetInc</t>
  </si>
  <si>
    <t>2026adjNetInc</t>
  </si>
  <si>
    <t>2027adjNetInc</t>
  </si>
  <si>
    <t>2028adjNetInc</t>
  </si>
  <si>
    <t>2029adjNetInc</t>
  </si>
  <si>
    <t>bs_cash_near_cash_item(currency=INR)/-1000000</t>
  </si>
  <si>
    <t>bs_cash_cash_equivalents_and_sti(currency=INR)/-1000000</t>
  </si>
  <si>
    <t>bs_mkt_sec_other_st_invest(currency=INR)/-1000000</t>
  </si>
  <si>
    <t>bs_lt_invest(currency=INR)/-1000000</t>
  </si>
  <si>
    <t>cash_st_lt_investments(currency=INR)/-1000000</t>
  </si>
  <si>
    <t>bs_st_borrow(currency=INR)/1000000</t>
  </si>
  <si>
    <t>bs_lt_borrow(currency=INR)/1000000</t>
  </si>
  <si>
    <t>short_and_long_term_debt(currency=INR)/1000000</t>
  </si>
  <si>
    <t>is_avg_num_sh_for_eps/1000000</t>
  </si>
  <si>
    <t>is_sh_for_diluted_eps/1000000</t>
  </si>
  <si>
    <t>prom_sub_total_per_shr_tot/100</t>
  </si>
  <si>
    <t>pct_flt_shares_institutions/100</t>
  </si>
  <si>
    <t>pub_inst_fpi_per_shr_tot/100</t>
  </si>
  <si>
    <t>minority_noncontrolling_interest(currency=INR)/1000000</t>
  </si>
  <si>
    <t>buyback_programs(currency=INR)/1000000</t>
  </si>
  <si>
    <t>cf_dvd_paid(FA_PERIOD_TYPE=LTM, currency=INR)/-1000000</t>
  </si>
  <si>
    <t>normalized_income(currency=INR, fa_period_reference=range(2020, 2020))/1000000</t>
  </si>
  <si>
    <t>normalized_income(currency=INR, fa_period_reference=range(2021, 2021))/1000000</t>
  </si>
  <si>
    <t>normalized_income(currency=INR, fa_period_reference=range(2022, 2022))/1000000</t>
  </si>
  <si>
    <t>normalized_income(currency=INR, fa_period_reference=range(2023, 2023))/1000000</t>
  </si>
  <si>
    <t>normalized_income(currency=INR, fa_period_reference=range(2024, 2024))/1000000</t>
  </si>
  <si>
    <t>normalized_income(currency=INR, fa_period_reference=range(2025, 2025))/1000000</t>
  </si>
  <si>
    <t>normalized_income(currency=INR,fa_act_est_data=E, fa_period_offset=1)/1000000</t>
  </si>
  <si>
    <t>normalized_income(currency=INR,fa_act_est_data=E, fa_period_offset=2)/1000000</t>
  </si>
  <si>
    <t>normalized_income(currency=INR,fa_act_est_data=E, fa_period_offset=3)/1000000</t>
  </si>
  <si>
    <t>normalized_income(currency=INR,fa_act_est_data=E, fa_period_offset=4)/1000000</t>
  </si>
  <si>
    <t>Sector</t>
  </si>
  <si>
    <t>Company name</t>
  </si>
  <si>
    <t>BBid</t>
  </si>
  <si>
    <t>EXCHticker</t>
  </si>
  <si>
    <t>cf_dvd_paid(FA_PERIOD_TYPE=LTM,currency=INR)/-1000000</t>
  </si>
  <si>
    <t>normalized_income(currency=INR,fa_period_reference=range(2020,2020))/1000000</t>
  </si>
  <si>
    <t>normalized_income(currency=INR,fa_period_reference=range(2021,2021))/1000000</t>
  </si>
  <si>
    <t>normalized_income(currency=INR,fa_period_reference=range(2022,2022))/1000000</t>
  </si>
  <si>
    <t>normalized_income(currency=INR,fa_period_reference=range(2023,2023))/1000000</t>
  </si>
  <si>
    <t>normalized_income(currency=INR,fa_period_reference=range(2024,2024))/1000000</t>
  </si>
  <si>
    <t>normalized_income(currency=INR,fa_period_reference=range(2025,2025))/1000000</t>
  </si>
  <si>
    <t>normalized_income(currency=INR,fa_act_est_data=E,fa_period_offset=1)/1000000</t>
  </si>
  <si>
    <t>normalized_income(currency=INR,fa_act_est_data=E,fa_period_offset=2)/1000000</t>
  </si>
  <si>
    <t>normalized_income(currency=INR,fa_act_est_data=E,fa_period_offset=3)/1000000</t>
  </si>
  <si>
    <t>normalized_income(currency=INR,fa_act_est_data=E,fa_period_offset=4)/1000000</t>
  </si>
  <si>
    <t>Defense</t>
  </si>
  <si>
    <t>Hindustan Aeronautics Ltd</t>
  </si>
  <si>
    <t>Bharat Electronics Ltd</t>
  </si>
  <si>
    <t>Bharat Dynamics Ltd</t>
  </si>
  <si>
    <t>Mazagon Dock Shipbuilders Ltd</t>
  </si>
  <si>
    <t>Garden Reach Shipbuilders &amp; En</t>
  </si>
  <si>
    <t>Cochin Shipyard Ltd</t>
  </si>
  <si>
    <t>BEML Ltd</t>
  </si>
  <si>
    <t>Mishra Dhatu Nigam Ltd</t>
  </si>
  <si>
    <t>Data Patterns India Ltd</t>
  </si>
  <si>
    <t>Paras Defence &amp; Space Technolo</t>
  </si>
  <si>
    <t>Astra Microwave Products Ltd</t>
  </si>
  <si>
    <t>Centum Electronics Ltd</t>
  </si>
  <si>
    <t>Dcx Systems Ltd</t>
  </si>
  <si>
    <t>Avantel Ltd</t>
  </si>
  <si>
    <t>Apollo Micro Systems Ltd</t>
  </si>
  <si>
    <t>Adani Enterprises Ltd</t>
  </si>
  <si>
    <t>Nibe Ltd</t>
  </si>
  <si>
    <t>Zen Technologies Ltd</t>
  </si>
  <si>
    <t>Unimech Aerospace And Manufact</t>
  </si>
  <si>
    <t>ideaForge Technology Ltd</t>
  </si>
  <si>
    <t>Azad Engineering Ltd</t>
  </si>
  <si>
    <t>Jaykay Enterprises Ltd</t>
  </si>
  <si>
    <t>Sika Interplant Systems Ltd</t>
  </si>
  <si>
    <t>Kaynes Technology India Ltd</t>
  </si>
  <si>
    <t>Larsen &amp; Toubro Ltd</t>
  </si>
  <si>
    <t>AXISCADES Technologies Ltd</t>
  </si>
  <si>
    <t>Taneja Aerospace &amp; Aviation Lt</t>
  </si>
  <si>
    <t>HBL Engineering Ltd</t>
  </si>
  <si>
    <t>TATA Advanced Systems Ltd</t>
  </si>
  <si>
    <t>Reliance Defence Systems Pvt L</t>
  </si>
  <si>
    <t>Aimtron Electronics Ltd</t>
  </si>
  <si>
    <t>Ashok Leyland Ltd</t>
  </si>
  <si>
    <t>CFF Fluid Control Ltd</t>
  </si>
  <si>
    <t>DEE Development Engineers Ltd</t>
  </si>
  <si>
    <t>Droneacharya Aerial Innovation</t>
  </si>
  <si>
    <t>Godrej &amp; Boyce Manufacturing C</t>
  </si>
  <si>
    <t>HFCL Ltd</t>
  </si>
  <si>
    <t>High Energy Batteries Ltd</t>
  </si>
  <si>
    <t>Krishna Defence &amp; Allied Indus</t>
  </si>
  <si>
    <t>Marine Electricals India Ltd</t>
  </si>
  <si>
    <t>Lokesh Machines Ltd</t>
  </si>
  <si>
    <t>Swan Corp Ltd</t>
  </si>
  <si>
    <t>Walchandnagar Industries Ltd</t>
  </si>
  <si>
    <t>Advanced Weapons &amp; Equipment I</t>
  </si>
  <si>
    <t>Armoured Vehicles Nigam Ltd</t>
  </si>
  <si>
    <t>Aerospace Engineers Pvt Ltd</t>
  </si>
  <si>
    <t>Indian Ordnance Factories Orga</t>
  </si>
  <si>
    <t>Goa Shipyard Ltd</t>
  </si>
  <si>
    <t>Hindustan Shipyard Ltd</t>
  </si>
  <si>
    <t>Om Optel Industries Pvt Ltd</t>
  </si>
  <si>
    <t>Munitions India Ltd</t>
  </si>
  <si>
    <t>Raychem RPG Pvt Ltd</t>
  </si>
  <si>
    <t>Sagar Defence Engineering Pvt</t>
  </si>
  <si>
    <t>TCL India Holdings Pvt Ltd</t>
  </si>
  <si>
    <t>Vijay Engineers</t>
  </si>
  <si>
    <t>Yantra India Ltd</t>
  </si>
  <si>
    <t>Steel Authority of India Ltd</t>
  </si>
  <si>
    <t>C2C Advanced Systems Ltd</t>
  </si>
  <si>
    <t>Mahindra Defence Systems Ltd</t>
  </si>
  <si>
    <t>BrahMos Aerospace</t>
  </si>
  <si>
    <t>Umac Avionics Pvt Ltd</t>
  </si>
  <si>
    <t>Tonbo Imaging India Pvt Ltd</t>
  </si>
  <si>
    <t>VEM Technologies Pvt Ltd</t>
  </si>
  <si>
    <t>Alpha Design Technologies Pvt</t>
  </si>
  <si>
    <t>Kavveri Defence &amp; Wireless Tec</t>
  </si>
  <si>
    <t>TechEra Engineering India Ltd</t>
  </si>
  <si>
    <t>Financial</t>
  </si>
  <si>
    <t>Central Depository Services In</t>
  </si>
  <si>
    <t>CDSL</t>
  </si>
  <si>
    <t>National Securities Depository</t>
  </si>
  <si>
    <t>NSDL</t>
  </si>
  <si>
    <t>Computer Age Management Servic</t>
  </si>
  <si>
    <t>CAMS</t>
  </si>
  <si>
    <t>Kfin Technologies Ltd</t>
  </si>
  <si>
    <t>KFINTECH</t>
  </si>
  <si>
    <t>Prudent Corporate Advisory Ser</t>
  </si>
  <si>
    <t>PRUDENT</t>
  </si>
  <si>
    <t>Protean eGov Technologies Ltd</t>
  </si>
  <si>
    <t>PROTEAN</t>
  </si>
  <si>
    <t>63 Moons Technologies Ltd</t>
  </si>
  <si>
    <t>63MOONS</t>
  </si>
  <si>
    <t>Alankit Ltd</t>
  </si>
  <si>
    <t>ALAN</t>
  </si>
  <si>
    <t>ALANKIT</t>
  </si>
  <si>
    <t>Angel One Ltd</t>
  </si>
  <si>
    <t>ANGELONE</t>
  </si>
  <si>
    <t>One 97 Communications Ltd</t>
  </si>
  <si>
    <t>PAYTM</t>
  </si>
  <si>
    <t>Nuvama Wealth Management Ltd</t>
  </si>
  <si>
    <t>NUVAMA</t>
  </si>
  <si>
    <t>360 ONE WAM Ltd</t>
  </si>
  <si>
    <t>360ONE</t>
  </si>
  <si>
    <t>Anand Rathi Wealth Ltd</t>
  </si>
  <si>
    <t>ANANDRAT</t>
  </si>
  <si>
    <t>ANANDRATHI</t>
  </si>
  <si>
    <t>Motilal Oswal Financial Servic</t>
  </si>
  <si>
    <t>MOFS</t>
  </si>
  <si>
    <t>MOTILALOFS</t>
  </si>
  <si>
    <t>JM Financial Ltd</t>
  </si>
  <si>
    <t>JM</t>
  </si>
  <si>
    <t>JMFINANCIL</t>
  </si>
  <si>
    <t>Geojit Financial Services Ltd</t>
  </si>
  <si>
    <t>GEOFSL</t>
  </si>
  <si>
    <t>GEOJITFSL</t>
  </si>
  <si>
    <t>5Paisa Capital Ltd</t>
  </si>
  <si>
    <t>5PAISA</t>
  </si>
  <si>
    <t>IIFL Capital Services Ltd</t>
  </si>
  <si>
    <t>IIFLCAPS</t>
  </si>
  <si>
    <t>Share India Securities Ltd</t>
  </si>
  <si>
    <t>SISLTD</t>
  </si>
  <si>
    <t>SHAREINDIA</t>
  </si>
  <si>
    <t>Monarch Networth Capital Ltd</t>
  </si>
  <si>
    <t>MNCL</t>
  </si>
  <si>
    <t>MONARCH</t>
  </si>
  <si>
    <t>Choice International Ltd</t>
  </si>
  <si>
    <t>CFIS</t>
  </si>
  <si>
    <t>CHOICEIN</t>
  </si>
  <si>
    <t>Arihant Capital Markets Ltd</t>
  </si>
  <si>
    <t>ACM</t>
  </si>
  <si>
    <t>ARIHANTCAP</t>
  </si>
  <si>
    <t>Pharm-LifeSci</t>
  </si>
  <si>
    <t>Dishman Carbogen Amcis Ltd</t>
  </si>
  <si>
    <t>DCAL</t>
  </si>
  <si>
    <t>DISHMAN</t>
  </si>
  <si>
    <t>Divi's Laboratories Ltd</t>
  </si>
  <si>
    <t>DIVI</t>
  </si>
  <si>
    <t>DIVISLAB</t>
  </si>
  <si>
    <t>Gland Pharma Ltd</t>
  </si>
  <si>
    <t>GLAND</t>
  </si>
  <si>
    <t>Sun Pharmaceutical Industries</t>
  </si>
  <si>
    <t>SUNP</t>
  </si>
  <si>
    <t>SUNPHARMA</t>
  </si>
  <si>
    <t>Laurus Labs Ltd</t>
  </si>
  <si>
    <t>LAURUS</t>
  </si>
  <si>
    <t>LAURUSLABS</t>
  </si>
  <si>
    <t>Syngene International Ltd</t>
  </si>
  <si>
    <t>SYNG</t>
  </si>
  <si>
    <t>SYNGENE</t>
  </si>
  <si>
    <t>SRF Ltd</t>
  </si>
  <si>
    <t>SRF</t>
  </si>
  <si>
    <t>Indegene Ltd</t>
  </si>
  <si>
    <t>INDGN</t>
  </si>
  <si>
    <t>Zydus Lifesciences Ltd</t>
  </si>
  <si>
    <t>ZYDUSLIF</t>
  </si>
  <si>
    <t>ZYDUSWELL</t>
  </si>
  <si>
    <t>Lupin Ltd</t>
  </si>
  <si>
    <t>LPC</t>
  </si>
  <si>
    <t>LUPIN</t>
  </si>
  <si>
    <t>Aurobindo Pharma Ltd</t>
  </si>
  <si>
    <t>ARBP</t>
  </si>
  <si>
    <t>AUROPHARMA</t>
  </si>
  <si>
    <t>Jubilant Pharmova Ltd</t>
  </si>
  <si>
    <t>JUBLPHAR</t>
  </si>
  <si>
    <t>JUBLPHARMA</t>
  </si>
  <si>
    <t>Piramal Pharma Ltd</t>
  </si>
  <si>
    <t>PIRPHARM</t>
  </si>
  <si>
    <t>PPLPHARMA</t>
  </si>
  <si>
    <t>Alivus Life Sciences Ltd</t>
  </si>
  <si>
    <t>ALIVUS</t>
  </si>
  <si>
    <t>GLS</t>
  </si>
  <si>
    <t>Neuland Laboratories Ltd</t>
  </si>
  <si>
    <t>NLL</t>
  </si>
  <si>
    <t>NEULANDLAB</t>
  </si>
  <si>
    <t>Akums Drugs &amp; Pharmaceuticals</t>
  </si>
  <si>
    <t>AKUMS</t>
  </si>
  <si>
    <t>Cohance Lifesciences Ltd</t>
  </si>
  <si>
    <t>COHANCE</t>
  </si>
  <si>
    <t>Dr Reddy's Laboratories Ltd</t>
  </si>
  <si>
    <t>DRRD</t>
  </si>
  <si>
    <t>DRREDDY</t>
  </si>
  <si>
    <t>PI Industries Ltd</t>
  </si>
  <si>
    <t>PI</t>
  </si>
  <si>
    <t>PIIND</t>
  </si>
  <si>
    <t>Orchid Pharma Ltd</t>
  </si>
  <si>
    <t>ORCP</t>
  </si>
  <si>
    <t>ORCHPHARMA</t>
  </si>
  <si>
    <t>Indoco Remedies Ltd</t>
  </si>
  <si>
    <t>INDR</t>
  </si>
  <si>
    <t>INDOCO</t>
  </si>
  <si>
    <t>Navin Fluorine International L</t>
  </si>
  <si>
    <t>NFIL</t>
  </si>
  <si>
    <t>NAVINFLUOR</t>
  </si>
  <si>
    <t>Nectar Lifesciences Ltd</t>
  </si>
  <si>
    <t>NLSC</t>
  </si>
  <si>
    <t>NECLIFE</t>
  </si>
  <si>
    <t>Supriya Lifescience Ltd</t>
  </si>
  <si>
    <t>SUPRIYA</t>
  </si>
  <si>
    <t>Blue Jet Healthcare Ltd</t>
  </si>
  <si>
    <t>BLUEJET</t>
  </si>
  <si>
    <t>Shilpa Medicare Ltd</t>
  </si>
  <si>
    <t>SLPA</t>
  </si>
  <si>
    <t>SHILPAMED</t>
  </si>
  <si>
    <t>Hikal Ltd</t>
  </si>
  <si>
    <t>HKCI</t>
  </si>
  <si>
    <t>HIKAL</t>
  </si>
  <si>
    <t>Windlas Biotech Ltd</t>
  </si>
  <si>
    <t>WINDLAS</t>
  </si>
  <si>
    <t>Caplin Point Laboratories Ltd</t>
  </si>
  <si>
    <t>CLPL</t>
  </si>
  <si>
    <t>CAPLIPOINT</t>
  </si>
  <si>
    <t>Kopran Ltd</t>
  </si>
  <si>
    <t>KOP</t>
  </si>
  <si>
    <t>KOPRAN</t>
  </si>
  <si>
    <t>Aarti Drugs Ltd</t>
  </si>
  <si>
    <t>ARTD</t>
  </si>
  <si>
    <t>AARTIDRUGS</t>
  </si>
  <si>
    <t>Sequent Scientific Ltd</t>
  </si>
  <si>
    <t>SEQ</t>
  </si>
  <si>
    <t>SEQUENT</t>
  </si>
  <si>
    <t>IOL Chemicals and Pharmaceutic</t>
  </si>
  <si>
    <t>ICP</t>
  </si>
  <si>
    <t>IOLCP</t>
  </si>
  <si>
    <t>Anuh Pharma Ltd</t>
  </si>
  <si>
    <t>ANUH</t>
  </si>
  <si>
    <t>ANUHPHR</t>
  </si>
  <si>
    <t>Jayant Agro-Organics Ltd</t>
  </si>
  <si>
    <t>JAO</t>
  </si>
  <si>
    <t>JAYAGROGN</t>
  </si>
  <si>
    <t>SAI Life Sciences Ltd</t>
  </si>
  <si>
    <t>SAILIFE</t>
  </si>
  <si>
    <t>Aragen Life Sciences Ltd</t>
  </si>
  <si>
    <t>570379Z</t>
  </si>
  <si>
    <t>Laxai Life Sciences Pvt Ltd</t>
  </si>
  <si>
    <t>1743842D</t>
  </si>
  <si>
    <t>Biocon Ltd</t>
  </si>
  <si>
    <t>BIOS</t>
  </si>
  <si>
    <t>Sub-Segment</t>
  </si>
  <si>
    <t>Aircraft OEM</t>
  </si>
  <si>
    <t>Radars/Comms</t>
  </si>
  <si>
    <t>Missiles</t>
  </si>
  <si>
    <t>Warships</t>
  </si>
  <si>
    <t>Shipbuilding</t>
  </si>
  <si>
    <t>Military vehicles</t>
  </si>
  <si>
    <t>Special alloys</t>
  </si>
  <si>
    <t>Avionics</t>
  </si>
  <si>
    <t>Electro-optics</t>
  </si>
  <si>
    <t>RF/Microwave</t>
  </si>
  <si>
    <t>Space electronics</t>
  </si>
  <si>
    <t>Cable harnesses</t>
  </si>
  <si>
    <t>Satcom</t>
  </si>
  <si>
    <t>Systems integration</t>
  </si>
  <si>
    <t>UAVs</t>
  </si>
  <si>
    <t>Connectors/Cables</t>
  </si>
  <si>
    <t>Wire harnesses</t>
  </si>
  <si>
    <t>Training simulators</t>
  </si>
  <si>
    <t>Aero machining</t>
  </si>
  <si>
    <t>Precision machining</t>
  </si>
  <si>
    <t>Aero-engine parts</t>
  </si>
  <si>
    <t>Holding company</t>
  </si>
  <si>
    <t>Aerospace tooling</t>
  </si>
  <si>
    <t>EMS</t>
  </si>
  <si>
    <t>Explosives</t>
  </si>
  <si>
    <t>Defence forgings</t>
  </si>
  <si>
    <t>Defence EPC</t>
  </si>
  <si>
    <t>Heavy engineering</t>
  </si>
  <si>
    <t>Engineering services</t>
  </si>
  <si>
    <t>Aerostructures</t>
  </si>
  <si>
    <t>Propellants</t>
  </si>
  <si>
    <t>Batteries</t>
  </si>
  <si>
    <t>Defence trucks</t>
  </si>
  <si>
    <t>Naval valves</t>
  </si>
  <si>
    <t>Piping fabrication</t>
  </si>
  <si>
    <t>Drone services</t>
  </si>
  <si>
    <t>Optical fiber</t>
  </si>
  <si>
    <t>Thermal batteries</t>
  </si>
  <si>
    <t>Field kitchens</t>
  </si>
  <si>
    <t>Marine electricals</t>
  </si>
  <si>
    <t>CNC machines</t>
  </si>
  <si>
    <t>Rocket motors</t>
  </si>
  <si>
    <t>Small arms</t>
  </si>
  <si>
    <t>Armoured vehicles</t>
  </si>
  <si>
    <t>Parachutes</t>
  </si>
  <si>
    <t>Optronics</t>
  </si>
  <si>
    <t>Ammunition</t>
  </si>
  <si>
    <t>Cable accessories</t>
  </si>
  <si>
    <t>Naval drones</t>
  </si>
  <si>
    <t>Soldier gear</t>
  </si>
  <si>
    <t>Ammunition components</t>
  </si>
  <si>
    <t>Defence steel</t>
  </si>
  <si>
    <t>Command systems</t>
  </si>
  <si>
    <t>Cruise missiles</t>
  </si>
  <si>
    <t>Body armour</t>
  </si>
  <si>
    <t>Avionics displays</t>
  </si>
  <si>
    <t>Thermal imaging</t>
  </si>
  <si>
    <t>Missile systems</t>
  </si>
  <si>
    <t>RF antennas</t>
  </si>
  <si>
    <t>PTC Industries</t>
  </si>
  <si>
    <t>PTCIL</t>
  </si>
  <si>
    <t>Critical metal components</t>
  </si>
  <si>
    <t>T12 rev YoY (%)</t>
  </si>
  <si>
    <t>~30%</t>
  </si>
  <si>
    <t>as per BB data</t>
  </si>
  <si>
    <t>Investment &amp; Precision Castings (IPCL)</t>
  </si>
  <si>
    <t>IPCL</t>
  </si>
  <si>
    <t>~2%</t>
  </si>
  <si>
    <t>Gujarat</t>
  </si>
  <si>
    <t>PTC Industries Ltd</t>
  </si>
  <si>
    <t>Investment &amp; Precision Castings Ltd</t>
  </si>
  <si>
    <t>IPC</t>
  </si>
  <si>
    <t xml:space="preserve">Edelweiss Financial Services </t>
  </si>
  <si>
    <t>EDEL</t>
  </si>
  <si>
    <t>EDELWEISS</t>
  </si>
  <si>
    <t>SAG Infotech</t>
  </si>
  <si>
    <t>7174525Z</t>
  </si>
  <si>
    <t>NJ India Invest</t>
  </si>
  <si>
    <t>BBG00LG75HR8</t>
  </si>
  <si>
    <t>Julius Bear Wealth Advisors (India)</t>
  </si>
  <si>
    <t>1716651D</t>
  </si>
  <si>
    <t>Aditya Birla Finance Ltd</t>
  </si>
  <si>
    <t>ABCAP</t>
  </si>
  <si>
    <t>Avendus Capital Pvt. Ltd</t>
  </si>
  <si>
    <t>0340381D</t>
  </si>
  <si>
    <t>BNP Paribas Wealth Management</t>
  </si>
  <si>
    <t>570451Z</t>
  </si>
  <si>
    <t>Bajaj Capital</t>
  </si>
  <si>
    <t>1368744D</t>
  </si>
  <si>
    <t>DBS Treasures</t>
  </si>
  <si>
    <t>3403549Z</t>
  </si>
  <si>
    <t>First Global Securities Ltd</t>
  </si>
  <si>
    <t>1021Z</t>
  </si>
  <si>
    <t>Franklin Templeton Asset Management India Pvt Ltd</t>
  </si>
  <si>
    <t>840649Z</t>
  </si>
  <si>
    <t>Waterfield Advisors</t>
  </si>
  <si>
    <t>1774360D</t>
  </si>
  <si>
    <t>Sanctum Wealth Private Ltd</t>
  </si>
  <si>
    <t>1305710D</t>
  </si>
  <si>
    <t>Emkay Global</t>
  </si>
  <si>
    <t>EMKAY</t>
  </si>
  <si>
    <t>Centrum Capital</t>
  </si>
  <si>
    <t>CECA</t>
  </si>
  <si>
    <t>CENTRUM</t>
  </si>
  <si>
    <t>MUFG Intime Private Ltd</t>
  </si>
  <si>
    <t>2831728Z</t>
  </si>
  <si>
    <t>Bigshare Services</t>
  </si>
  <si>
    <t>0285837D</t>
  </si>
  <si>
    <t>Cameo Corporate Services</t>
  </si>
  <si>
    <t>8157094Z</t>
  </si>
  <si>
    <t>SMC Global Securities</t>
  </si>
  <si>
    <t>SMCGLOBA</t>
  </si>
  <si>
    <t>SMCGLOBAL</t>
  </si>
  <si>
    <t>LKP Securities</t>
  </si>
  <si>
    <t>LKPSEC</t>
  </si>
  <si>
    <t>BBrow</t>
  </si>
  <si>
    <t>BBcolumn</t>
  </si>
  <si>
    <t xml:space="preserve">EPS Projection </t>
  </si>
  <si>
    <t>Shares Outstanding</t>
  </si>
  <si>
    <t>EPS</t>
  </si>
  <si>
    <t>5-Yr Revenue CAGR</t>
  </si>
  <si>
    <t>CAGR (5-Yr) (%)</t>
  </si>
  <si>
    <t>SWANCORP</t>
  </si>
  <si>
    <t>Derived</t>
  </si>
  <si>
    <t>Mgmt Input</t>
  </si>
  <si>
    <t>Insights from Mgmt</t>
  </si>
  <si>
    <t>Operates in a Duopoly market, manufactures "life critical" niche products for Defense</t>
  </si>
  <si>
    <t>Management Meeting</t>
  </si>
  <si>
    <t>Yes</t>
  </si>
  <si>
    <t>Heavy on R&amp;D &amp; mgmt mentioned that they tend to innovate even prior to RFQs from the govt which can be equated to "taking shots in the dark"</t>
  </si>
  <si>
    <t>Started as a telco operator &amp; pivoted into RF Antennas after issues a large order from Videotron was written off around 2014</t>
  </si>
  <si>
    <t>70-80% of the projects are fixed under master service agreements; Axiscades was a key operator in setting up Airbus engineering facility in India &amp; ~$30-35 Mn revenue comes from them per year.</t>
  </si>
  <si>
    <t>Heavy naval business mix dependant on relationships fostered by Cdr Narendra Lanka (COO) &amp; CEO</t>
  </si>
  <si>
    <t>Revenue CAGR (5-Yr) (%)</t>
  </si>
  <si>
    <t>Revenue (INR Mn)</t>
  </si>
  <si>
    <t>Corrected CAGR</t>
  </si>
  <si>
    <t>Acquisitions (Past 5-yrs)</t>
  </si>
  <si>
    <t>BB_Input</t>
  </si>
  <si>
    <t>Historical</t>
  </si>
  <si>
    <t>Mgmt Est.</t>
  </si>
  <si>
    <t>Net Margin (%)</t>
  </si>
  <si>
    <t>Parameters</t>
  </si>
  <si>
    <t>High Attractiveness</t>
  </si>
  <si>
    <t>Medium Attractiveness</t>
  </si>
  <si>
    <t>Low Attractiveness</t>
  </si>
  <si>
    <t>Qualitative Factors</t>
  </si>
  <si>
    <t>Legacy</t>
  </si>
  <si>
    <t>Promoter Holding (%)</t>
  </si>
  <si>
    <t>TAM</t>
  </si>
  <si>
    <t>Regulatory Environment</t>
  </si>
  <si>
    <t>Barriers to Entry</t>
  </si>
  <si>
    <t>Switching Costs</t>
  </si>
  <si>
    <t xml:space="preserve">Customer Stickiness / Contract </t>
  </si>
  <si>
    <t>Customer Concentration</t>
  </si>
  <si>
    <t>PAT (%)</t>
  </si>
  <si>
    <t>Working Capital Cycle</t>
  </si>
  <si>
    <t>Debt to Equity Ratio</t>
  </si>
  <si>
    <t>Financial Ratios:</t>
  </si>
  <si>
    <t>&gt;25%</t>
  </si>
  <si>
    <t>&lt;20%</t>
  </si>
  <si>
    <t>&lt;10%</t>
  </si>
  <si>
    <t>&gt;18%</t>
  </si>
  <si>
    <t>&lt;12%</t>
  </si>
  <si>
    <t>12% to 18%</t>
  </si>
  <si>
    <t>&lt;30</t>
  </si>
  <si>
    <t>30-50</t>
  </si>
  <si>
    <t>&gt;50</t>
  </si>
  <si>
    <t>&gt;20%</t>
  </si>
  <si>
    <t>14% to 20%</t>
  </si>
  <si>
    <t>&lt;14%</t>
  </si>
  <si>
    <t>&gt;15%</t>
  </si>
  <si>
    <t>&lt;8%</t>
  </si>
  <si>
    <t>FCFF (Yield on EV)</t>
  </si>
  <si>
    <t>&lt;0.4</t>
  </si>
  <si>
    <t>0.4 to 1.0</t>
  </si>
  <si>
    <t>&gt;1.0</t>
  </si>
  <si>
    <t>Orderbook Visibility</t>
  </si>
  <si>
    <t>1.5 to 3</t>
  </si>
  <si>
    <t>&gt;3</t>
  </si>
  <si>
    <t>&lt;1.5</t>
  </si>
  <si>
    <t>&lt;10</t>
  </si>
  <si>
    <t>&gt;70%</t>
  </si>
  <si>
    <t>40% to 70%</t>
  </si>
  <si>
    <t>&lt;40%</t>
  </si>
  <si>
    <t>TAM Growth</t>
  </si>
  <si>
    <t>8% to 10%</t>
  </si>
  <si>
    <t>Tailwinds: localisation push, higher defence budgets, export relaxations, offset policies favouring local players.</t>
  </si>
  <si>
    <t>Neutral: some policy support but also periodic procurement freezes or bureaucracy.</t>
  </si>
  <si>
    <t>Persistent policy uncertainty, sanctions risk, adverse offset/tax changes, frequent tender cancellations.</t>
  </si>
  <si>
    <t>Proprietary IP, export controls, deep integration into platforms, unique certifications, long qualification &amp; testing cycles.</t>
  </si>
  <si>
    <t>Some IP and process know-how; new entrants possible but slow.</t>
  </si>
  <si>
    <t>Build-to-print components, easily substitutable, low technical complexity.</t>
  </si>
  <si>
    <t>Safety-critical or mission-critical systems; switching requires full recertification and re-qualification; significant retraining and integration.</t>
  </si>
  <si>
    <t>Non-critical subsystems but embedded in designs; switching possible but painful.</t>
  </si>
  <si>
    <t>Off-the-shelf components; customers dual-source and switch frequently.</t>
  </si>
  <si>
    <t>Long-term, often sole-source contracts; “life-of-platform” support; clear indexation clauses for inflation and FX.</t>
  </si>
  <si>
    <t>Multi-year but rebid regularly; incumbency advantage but not guaranteed.</t>
  </si>
  <si>
    <t>Short-term, price-only tenders; frequent rebids.</t>
  </si>
  <si>
    <t>10% to 40%</t>
  </si>
  <si>
    <t>&gt;40%</t>
  </si>
  <si>
    <t>TAM CAGR (%)</t>
  </si>
  <si>
    <t>Regulatory Landscape</t>
  </si>
  <si>
    <t>Customer Stickiness</t>
  </si>
  <si>
    <t>backlog &amp; deferred rev.</t>
  </si>
  <si>
    <t>Backlog</t>
  </si>
  <si>
    <t>STdeferredRev</t>
  </si>
  <si>
    <t>LtdeferredRev</t>
  </si>
  <si>
    <t>is_order_backlog_value/1000000</t>
  </si>
  <si>
    <t>st_deferred_revenue/1000000</t>
  </si>
  <si>
    <t>lt_deferred_revenue/1000000</t>
  </si>
  <si>
    <t>Aequs</t>
  </si>
  <si>
    <t>AEQUS</t>
  </si>
  <si>
    <t>Hical Tech Pvt</t>
  </si>
  <si>
    <t>9229601Z</t>
  </si>
  <si>
    <t>JJG Aero Pvt</t>
  </si>
  <si>
    <t>2436154D</t>
  </si>
  <si>
    <t>SMPP Ltd</t>
  </si>
  <si>
    <t>1603332D</t>
  </si>
  <si>
    <t>SMPP</t>
  </si>
  <si>
    <t>JJG Aero</t>
  </si>
  <si>
    <t>Hikal</t>
  </si>
  <si>
    <t>Incorporation Date</t>
  </si>
  <si>
    <t>Orderbook Visibility (x)</t>
  </si>
  <si>
    <t>High</t>
  </si>
  <si>
    <t>Medium</t>
  </si>
  <si>
    <t>Low</t>
  </si>
  <si>
    <t>&gt;25</t>
  </si>
  <si>
    <t>10 to 25</t>
  </si>
  <si>
    <t>TAM CAGR (FY30)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</si>
</sst>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$&quot;* #,##0.00_);_(&quot;$&quot;* \(#,##0.00\);_(&quot;$&quot;* &quot;-&quot;??_);_(@_)"/>
    <numFmt numFmtId="165" formatCode="0.0%"/>
    <numFmt numFmtId="166" formatCode="#,##0.0"/>
    <numFmt numFmtId="167" formatCode="0.0"/>
    <numFmt numFmtId="168" formatCode="&quot;&lt;&quot;#,##0"/>
    <numFmt numFmtId="169" formatCode="&quot;&gt;&quot;#,##0"/>
    <numFmt numFmtId="170" formatCode="_(&quot;$&quot;* #,##0_);_(&quot;$&quot;* \(#,##0\);_(&quot;$&quot;* &quot;-&quot;??_);_(@_)"/>
    <numFmt numFmtId="171" formatCode="0.0_);[Red]\(0.0\)"/>
    <numFmt numFmtId="172" formatCode="[$₹-4009]\ #,##0;[$₹-4009]\ \-#,##0"/>
    <numFmt numFmtId="173" formatCode="[$₹-4009]\ #,##0.00;[$₹-4009]\ \-#,##0.00"/>
    <numFmt numFmtId="174" formatCode="#,##0.0_);[Red]\(#,##0.0\)"/>
    <numFmt numFmtId="175" formatCode="_ [$₹-4009]\ * #,##0.0_ ;_ [$₹-4009]\ * \-#,##0.0_ ;_ [$₹-4009]\ * &quot;-&quot;??_ ;_ @_ "/>
  </numFmts>
  <fonts count="54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i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28"/>
      <color theme="4"/>
      <name val="Arial"/>
      <family val="2"/>
      <scheme val="minor"/>
    </font>
    <font>
      <b/>
      <sz val="11"/>
      <color theme="0" tint="-0.499984740745262"/>
      <name val="Arial"/>
      <family val="2"/>
      <scheme val="minor"/>
    </font>
    <font>
      <b/>
      <sz val="11"/>
      <color theme="2" tint="-0.89999084444715716"/>
      <name val="Arial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i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0"/>
      <name val="Arial"/>
      <family val="2"/>
    </font>
    <font>
      <sz val="8"/>
      <color rgb="FFFFFFFF"/>
      <name val="Arial"/>
      <family val="2"/>
    </font>
    <font>
      <sz val="10"/>
      <color theme="1"/>
      <name val="Arial"/>
      <family val="2"/>
    </font>
    <font>
      <b/>
      <sz val="10"/>
      <color theme="3" tint="-0.499984740745262"/>
      <name val="Arial"/>
      <family val="2"/>
    </font>
    <font>
      <b/>
      <sz val="10"/>
      <color rgb="FF0F243E"/>
      <name val="Arial"/>
      <family val="2"/>
    </font>
    <font>
      <b/>
      <sz val="9"/>
      <color rgb="FF0F243E"/>
      <name val="Arial"/>
      <family val="2"/>
    </font>
    <font>
      <b/>
      <sz val="9"/>
      <color theme="3" tint="-0.499984740745262"/>
      <name val="Arial"/>
      <family val="2"/>
    </font>
    <font>
      <b/>
      <sz val="10"/>
      <color theme="4" tint="-0.249977111117893"/>
      <name val="Arial"/>
      <family val="2"/>
    </font>
    <font>
      <b/>
      <sz val="10"/>
      <color theme="4" tint="-0.499984740745262"/>
      <name val="Arial"/>
      <family val="2"/>
    </font>
    <font>
      <b/>
      <sz val="8"/>
      <color theme="0"/>
      <name val="Arial"/>
      <family val="2"/>
    </font>
    <font>
      <i/>
      <sz val="8"/>
      <color theme="0"/>
      <name val="Arial"/>
      <family val="2"/>
    </font>
    <font>
      <b/>
      <sz val="8"/>
      <color rgb="FF0F243E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sz val="10"/>
      <color theme="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name val="Arial"/>
      <family val="2"/>
      <scheme val="major"/>
    </font>
    <font>
      <sz val="11"/>
      <color theme="0"/>
      <name val="Arial"/>
      <family val="2"/>
      <scheme val="major"/>
    </font>
    <font>
      <b/>
      <sz val="11"/>
      <color theme="1"/>
      <name val="Arial"/>
      <family val="2"/>
      <scheme val="major"/>
    </font>
    <font>
      <b/>
      <sz val="11"/>
      <name val="Arial"/>
      <family val="2"/>
      <scheme val="major"/>
    </font>
    <font>
      <b/>
      <sz val="11"/>
      <color theme="0" tint="-0.34998626667073579"/>
      <name val="Arial"/>
      <family val="2"/>
      <scheme val="major"/>
    </font>
    <font>
      <b/>
      <sz val="11"/>
      <color rgb="FF276B7B"/>
      <name val="Arial"/>
      <family val="2"/>
      <scheme val="major"/>
    </font>
    <font>
      <i/>
      <sz val="11"/>
      <color theme="0"/>
      <name val="Arial"/>
      <family val="2"/>
      <scheme val="major"/>
    </font>
    <font>
      <sz val="11"/>
      <color rgb="FFFFFFFF"/>
      <name val="Arial"/>
      <family val="2"/>
      <scheme val="major"/>
    </font>
    <font>
      <b/>
      <sz val="10"/>
      <color rgb="FFFFFFFF"/>
      <name val="Arial"/>
      <family val="2"/>
    </font>
    <font>
      <sz val="9"/>
      <color indexed="81"/>
      <name val="Tahoma"/>
      <charset val="1"/>
    </font>
  </fonts>
  <fills count="5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E8E8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6B7B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8E8E8E"/>
        <bgColor rgb="FF000000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1C437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16365C"/>
        <bgColor rgb="FF000000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 style="thin">
        <color theme="1"/>
      </left>
      <right/>
      <top style="hair">
        <color rgb="FF002060"/>
      </top>
      <bottom style="hair">
        <color rgb="FF002060"/>
      </bottom>
      <diagonal/>
    </border>
    <border>
      <left style="thin">
        <color theme="1"/>
      </left>
      <right style="thin">
        <color theme="1"/>
      </right>
      <top style="hair">
        <color rgb="FF002060"/>
      </top>
      <bottom style="hair">
        <color rgb="FF002060"/>
      </bottom>
      <diagonal/>
    </border>
    <border>
      <left style="thin">
        <color indexed="64"/>
      </left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16365C"/>
      </top>
      <bottom style="hair">
        <color rgb="FF16365C"/>
      </bottom>
      <diagonal/>
    </border>
  </borders>
  <cellStyleXfs count="8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6" fillId="0" borderId="0"/>
  </cellStyleXfs>
  <cellXfs count="444">
    <xf numFmtId="0" fontId="0" fillId="0" borderId="0" xfId="0"/>
    <xf numFmtId="0" fontId="5" fillId="2" borderId="0" xfId="0" applyFont="1" applyFill="1"/>
    <xf numFmtId="0" fontId="0" fillId="0" borderId="1" xfId="0" applyBorder="1"/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2" xfId="0" applyBorder="1"/>
    <xf numFmtId="0" fontId="8" fillId="2" borderId="0" xfId="0" applyFont="1" applyFill="1"/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wrapText="1"/>
    </xf>
    <xf numFmtId="167" fontId="0" fillId="0" borderId="0" xfId="0" applyNumberFormat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2" fontId="5" fillId="2" borderId="0" xfId="0" applyNumberFormat="1" applyFont="1" applyFill="1" applyAlignment="1">
      <alignment horizontal="centerContinuous" vertical="center"/>
    </xf>
    <xf numFmtId="2" fontId="8" fillId="2" borderId="0" xfId="0" applyNumberFormat="1" applyFont="1" applyFill="1" applyAlignment="1">
      <alignment horizontal="centerContinuous" vertical="center"/>
    </xf>
    <xf numFmtId="2" fontId="5" fillId="2" borderId="1" xfId="0" applyNumberFormat="1" applyFont="1" applyFill="1" applyBorder="1" applyAlignment="1">
      <alignment horizontal="centerContinuous" vertic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6" fillId="0" borderId="1" xfId="0" applyFont="1" applyBorder="1"/>
    <xf numFmtId="3" fontId="0" fillId="0" borderId="0" xfId="0" applyNumberFormat="1" applyAlignment="1">
      <alignment vertical="center" wrapText="1"/>
    </xf>
    <xf numFmtId="2" fontId="5" fillId="2" borderId="3" xfId="0" applyNumberFormat="1" applyFont="1" applyFill="1" applyBorder="1" applyAlignment="1">
      <alignment horizontal="centerContinuous" vertical="center"/>
    </xf>
    <xf numFmtId="0" fontId="5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10" fontId="0" fillId="0" borderId="3" xfId="0" applyNumberFormat="1" applyBorder="1" applyAlignment="1">
      <alignment horizontal="center" vertical="center" wrapText="1"/>
    </xf>
    <xf numFmtId="167" fontId="0" fillId="0" borderId="3" xfId="0" applyNumberFormat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3" xfId="0" applyNumberFormat="1" applyBorder="1"/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/>
    <xf numFmtId="0" fontId="6" fillId="0" borderId="0" xfId="0" applyFont="1" applyAlignment="1">
      <alignment horizontal="right"/>
    </xf>
    <xf numFmtId="0" fontId="5" fillId="5" borderId="0" xfId="0" applyFont="1" applyFill="1" applyAlignment="1">
      <alignment horizontal="left"/>
    </xf>
    <xf numFmtId="0" fontId="8" fillId="5" borderId="0" xfId="0" applyFont="1" applyFill="1"/>
    <xf numFmtId="0" fontId="0" fillId="5" borderId="0" xfId="0" applyFill="1"/>
    <xf numFmtId="168" fontId="0" fillId="0" borderId="0" xfId="0" applyNumberFormat="1"/>
    <xf numFmtId="169" fontId="0" fillId="0" borderId="0" xfId="0" applyNumberFormat="1"/>
    <xf numFmtId="0" fontId="5" fillId="2" borderId="0" xfId="0" applyFont="1" applyFill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7" borderId="6" xfId="0" applyFill="1" applyBorder="1" applyAlignment="1">
      <alignment vertical="center"/>
    </xf>
    <xf numFmtId="0" fontId="0" fillId="7" borderId="7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9" borderId="4" xfId="0" applyFill="1" applyBorder="1"/>
    <xf numFmtId="0" fontId="0" fillId="9" borderId="4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9" borderId="7" xfId="0" applyFill="1" applyBorder="1"/>
    <xf numFmtId="0" fontId="0" fillId="10" borderId="4" xfId="0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/>
    </xf>
    <xf numFmtId="0" fontId="13" fillId="9" borderId="5" xfId="0" applyFont="1" applyFill="1" applyBorder="1"/>
    <xf numFmtId="0" fontId="12" fillId="9" borderId="7" xfId="0" applyFont="1" applyFill="1" applyBorder="1"/>
    <xf numFmtId="0" fontId="13" fillId="7" borderId="5" xfId="0" applyFont="1" applyFill="1" applyBorder="1"/>
    <xf numFmtId="0" fontId="0" fillId="7" borderId="5" xfId="0" applyFill="1" applyBorder="1"/>
    <xf numFmtId="0" fontId="13" fillId="7" borderId="6" xfId="0" applyFont="1" applyFill="1" applyBorder="1"/>
    <xf numFmtId="0" fontId="0" fillId="7" borderId="6" xfId="0" applyFill="1" applyBorder="1"/>
    <xf numFmtId="0" fontId="12" fillId="7" borderId="6" xfId="0" applyFont="1" applyFill="1" applyBorder="1"/>
    <xf numFmtId="0" fontId="0" fillId="7" borderId="7" xfId="0" applyFill="1" applyBorder="1"/>
    <xf numFmtId="0" fontId="13" fillId="8" borderId="5" xfId="0" applyFont="1" applyFill="1" applyBorder="1"/>
    <xf numFmtId="0" fontId="0" fillId="8" borderId="4" xfId="0" applyFill="1" applyBorder="1"/>
    <xf numFmtId="0" fontId="12" fillId="8" borderId="6" xfId="0" applyFont="1" applyFill="1" applyBorder="1"/>
    <xf numFmtId="0" fontId="12" fillId="8" borderId="7" xfId="0" applyFont="1" applyFill="1" applyBorder="1"/>
    <xf numFmtId="0" fontId="13" fillId="10" borderId="5" xfId="0" applyFont="1" applyFill="1" applyBorder="1" applyAlignment="1">
      <alignment vertical="center"/>
    </xf>
    <xf numFmtId="0" fontId="0" fillId="10" borderId="5" xfId="0" applyFill="1" applyBorder="1" applyAlignment="1">
      <alignment vertical="center"/>
    </xf>
    <xf numFmtId="0" fontId="13" fillId="10" borderId="6" xfId="0" applyFont="1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5" fillId="11" borderId="5" xfId="0" applyFont="1" applyFill="1" applyBorder="1" applyAlignment="1">
      <alignment vertical="center"/>
    </xf>
    <xf numFmtId="0" fontId="8" fillId="11" borderId="8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0" fontId="5" fillId="11" borderId="6" xfId="0" applyFont="1" applyFill="1" applyBorder="1" applyAlignment="1">
      <alignment vertical="center"/>
    </xf>
    <xf numFmtId="0" fontId="8" fillId="11" borderId="9" xfId="0" applyFont="1" applyFill="1" applyBorder="1" applyAlignment="1">
      <alignment vertical="center"/>
    </xf>
    <xf numFmtId="0" fontId="8" fillId="11" borderId="10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 wrapText="1"/>
    </xf>
    <xf numFmtId="0" fontId="8" fillId="11" borderId="4" xfId="0" applyFont="1" applyFill="1" applyBorder="1" applyAlignment="1">
      <alignment wrapText="1"/>
    </xf>
    <xf numFmtId="0" fontId="5" fillId="11" borderId="7" xfId="0" applyFont="1" applyFill="1" applyBorder="1" applyAlignment="1">
      <alignment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9" fontId="0" fillId="0" borderId="0" xfId="1" applyFont="1" applyAlignment="1">
      <alignment horizontal="center"/>
    </xf>
    <xf numFmtId="0" fontId="0" fillId="12" borderId="0" xfId="0" applyFill="1" applyAlignment="1">
      <alignment vertical="center"/>
    </xf>
    <xf numFmtId="9" fontId="0" fillId="12" borderId="0" xfId="1" applyFont="1" applyFill="1" applyAlignment="1">
      <alignment horizontal="center"/>
    </xf>
    <xf numFmtId="0" fontId="10" fillId="7" borderId="0" xfId="0" applyFont="1" applyFill="1" applyAlignment="1">
      <alignment vertical="center"/>
    </xf>
    <xf numFmtId="9" fontId="10" fillId="7" borderId="0" xfId="1" applyFont="1" applyFill="1" applyAlignment="1">
      <alignment horizontal="center"/>
    </xf>
    <xf numFmtId="0" fontId="0" fillId="8" borderId="0" xfId="0" applyFill="1" applyAlignment="1">
      <alignment vertical="center"/>
    </xf>
    <xf numFmtId="9" fontId="0" fillId="8" borderId="0" xfId="1" applyFont="1" applyFill="1" applyAlignment="1">
      <alignment horizontal="center"/>
    </xf>
    <xf numFmtId="0" fontId="0" fillId="9" borderId="0" xfId="0" applyFill="1" applyAlignment="1">
      <alignment vertical="center"/>
    </xf>
    <xf numFmtId="9" fontId="0" fillId="9" borderId="0" xfId="1" applyFont="1" applyFill="1" applyAlignment="1">
      <alignment horizontal="center"/>
    </xf>
    <xf numFmtId="0" fontId="0" fillId="10" borderId="0" xfId="0" applyFill="1" applyAlignment="1">
      <alignment vertical="center"/>
    </xf>
    <xf numFmtId="9" fontId="0" fillId="10" borderId="0" xfId="1" applyFont="1" applyFill="1" applyAlignment="1">
      <alignment horizontal="center"/>
    </xf>
    <xf numFmtId="0" fontId="8" fillId="11" borderId="0" xfId="0" applyFont="1" applyFill="1" applyAlignment="1">
      <alignment vertical="center"/>
    </xf>
    <xf numFmtId="9" fontId="8" fillId="11" borderId="0" xfId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8" fillId="11" borderId="0" xfId="0" applyFont="1" applyFill="1" applyAlignment="1">
      <alignment horizontal="center"/>
    </xf>
    <xf numFmtId="0" fontId="5" fillId="13" borderId="0" xfId="0" applyFont="1" applyFill="1" applyAlignment="1">
      <alignment vertical="center"/>
    </xf>
    <xf numFmtId="0" fontId="5" fillId="13" borderId="0" xfId="0" applyFont="1" applyFill="1" applyAlignment="1">
      <alignment horizontal="center" vertical="center"/>
    </xf>
    <xf numFmtId="9" fontId="5" fillId="13" borderId="0" xfId="1" applyFont="1" applyFill="1" applyAlignment="1">
      <alignment horizontal="center" vertical="center"/>
    </xf>
    <xf numFmtId="9" fontId="7" fillId="0" borderId="0" xfId="1" applyFont="1" applyAlignment="1">
      <alignment horizontal="center" vertical="center"/>
    </xf>
    <xf numFmtId="167" fontId="0" fillId="12" borderId="0" xfId="1" applyNumberFormat="1" applyFont="1" applyFill="1" applyAlignment="1">
      <alignment horizontal="center"/>
    </xf>
    <xf numFmtId="167" fontId="10" fillId="7" borderId="0" xfId="1" applyNumberFormat="1" applyFont="1" applyFill="1" applyAlignment="1">
      <alignment horizontal="center"/>
    </xf>
    <xf numFmtId="167" fontId="0" fillId="8" borderId="0" xfId="1" applyNumberFormat="1" applyFont="1" applyFill="1" applyAlignment="1">
      <alignment horizontal="center"/>
    </xf>
    <xf numFmtId="167" fontId="0" fillId="9" borderId="0" xfId="1" applyNumberFormat="1" applyFont="1" applyFill="1" applyAlignment="1">
      <alignment horizontal="center"/>
    </xf>
    <xf numFmtId="167" fontId="0" fillId="10" borderId="0" xfId="1" applyNumberFormat="1" applyFont="1" applyFill="1" applyAlignment="1">
      <alignment horizontal="center"/>
    </xf>
    <xf numFmtId="167" fontId="8" fillId="11" borderId="0" xfId="1" applyNumberFormat="1" applyFont="1" applyFill="1" applyAlignment="1">
      <alignment horizontal="center"/>
    </xf>
    <xf numFmtId="167" fontId="0" fillId="0" borderId="0" xfId="0" applyNumberFormat="1" applyAlignment="1">
      <alignment vertical="center"/>
    </xf>
    <xf numFmtId="167" fontId="5" fillId="13" borderId="0" xfId="1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67" fontId="0" fillId="0" borderId="0" xfId="0" applyNumberFormat="1" applyAlignment="1">
      <alignment horizontal="center"/>
    </xf>
    <xf numFmtId="0" fontId="6" fillId="0" borderId="0" xfId="0" applyFont="1"/>
    <xf numFmtId="0" fontId="5" fillId="2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right" vertical="center"/>
    </xf>
    <xf numFmtId="0" fontId="0" fillId="0" borderId="13" xfId="0" applyBorder="1"/>
    <xf numFmtId="0" fontId="9" fillId="0" borderId="13" xfId="0" applyFont="1" applyBorder="1" applyAlignment="1">
      <alignment horizontal="center" vertical="top"/>
    </xf>
    <xf numFmtId="0" fontId="0" fillId="7" borderId="15" xfId="0" applyFill="1" applyBorder="1"/>
    <xf numFmtId="0" fontId="0" fillId="7" borderId="14" xfId="0" applyFill="1" applyBorder="1"/>
    <xf numFmtId="0" fontId="0" fillId="7" borderId="3" xfId="0" applyFill="1" applyBorder="1"/>
    <xf numFmtId="0" fontId="0" fillId="7" borderId="16" xfId="0" applyFill="1" applyBorder="1"/>
    <xf numFmtId="0" fontId="0" fillId="7" borderId="2" xfId="0" applyFill="1" applyBorder="1"/>
    <xf numFmtId="0" fontId="0" fillId="7" borderId="17" xfId="0" applyFill="1" applyBorder="1"/>
    <xf numFmtId="0" fontId="0" fillId="7" borderId="18" xfId="0" applyFill="1" applyBorder="1"/>
    <xf numFmtId="0" fontId="0" fillId="7" borderId="1" xfId="0" applyFill="1" applyBorder="1"/>
    <xf numFmtId="0" fontId="0" fillId="7" borderId="19" xfId="0" applyFill="1" applyBorder="1"/>
    <xf numFmtId="0" fontId="0" fillId="0" borderId="13" xfId="0" applyBorder="1" applyAlignment="1">
      <alignment vertical="center" wrapText="1"/>
    </xf>
    <xf numFmtId="0" fontId="6" fillId="7" borderId="13" xfId="0" applyFont="1" applyFill="1" applyBorder="1" applyAlignment="1">
      <alignment horizontal="right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Continuous"/>
    </xf>
    <xf numFmtId="0" fontId="14" fillId="16" borderId="0" xfId="0" applyFont="1" applyFill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0" fontId="18" fillId="16" borderId="21" xfId="0" applyFont="1" applyFill="1" applyBorder="1" applyAlignment="1">
      <alignment horizontal="center" vertical="center" shrinkToFit="1"/>
    </xf>
    <xf numFmtId="3" fontId="16" fillId="0" borderId="21" xfId="0" applyNumberFormat="1" applyFont="1" applyBorder="1" applyAlignment="1">
      <alignment horizontal="center" vertical="center"/>
    </xf>
    <xf numFmtId="166" fontId="16" fillId="0" borderId="24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/>
    </xf>
    <xf numFmtId="3" fontId="16" fillId="0" borderId="20" xfId="0" applyNumberFormat="1" applyFont="1" applyBorder="1" applyAlignment="1">
      <alignment horizontal="center" vertical="center"/>
    </xf>
    <xf numFmtId="0" fontId="18" fillId="16" borderId="21" xfId="0" applyFont="1" applyFill="1" applyBorder="1" applyAlignment="1">
      <alignment horizontal="center" shrinkToFit="1"/>
    </xf>
    <xf numFmtId="166" fontId="17" fillId="0" borderId="24" xfId="0" applyNumberFormat="1" applyFont="1" applyBorder="1" applyAlignment="1">
      <alignment horizontal="center" vertical="center"/>
    </xf>
    <xf numFmtId="166" fontId="16" fillId="0" borderId="20" xfId="0" applyNumberFormat="1" applyFont="1" applyBorder="1" applyAlignment="1">
      <alignment horizontal="center" vertical="center"/>
    </xf>
    <xf numFmtId="0" fontId="16" fillId="0" borderId="20" xfId="0" applyFont="1" applyBorder="1"/>
    <xf numFmtId="0" fontId="14" fillId="17" borderId="0" xfId="0" applyFont="1" applyFill="1" applyAlignment="1">
      <alignment horizontal="centerContinuous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Continuous"/>
    </xf>
    <xf numFmtId="2" fontId="21" fillId="0" borderId="1" xfId="0" applyNumberFormat="1" applyFont="1" applyBorder="1" applyAlignment="1">
      <alignment horizontal="centerContinuous" vertical="center"/>
    </xf>
    <xf numFmtId="0" fontId="14" fillId="16" borderId="1" xfId="0" applyFont="1" applyFill="1" applyBorder="1" applyAlignment="1">
      <alignment horizontal="centerContinuous"/>
    </xf>
    <xf numFmtId="2" fontId="0" fillId="0" borderId="2" xfId="0" applyNumberFormat="1" applyBorder="1" applyAlignment="1">
      <alignment horizontal="centerContinuous"/>
    </xf>
    <xf numFmtId="0" fontId="0" fillId="17" borderId="0" xfId="0" applyFill="1"/>
    <xf numFmtId="0" fontId="14" fillId="16" borderId="1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Continuous"/>
    </xf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24" fillId="20" borderId="21" xfId="0" applyFont="1" applyFill="1" applyBorder="1" applyAlignment="1">
      <alignment horizontal="center" shrinkToFit="1"/>
    </xf>
    <xf numFmtId="0" fontId="14" fillId="20" borderId="0" xfId="0" applyFont="1" applyFill="1" applyAlignment="1">
      <alignment horizontal="center" vertical="center" wrapText="1"/>
    </xf>
    <xf numFmtId="0" fontId="0" fillId="21" borderId="21" xfId="0" applyFill="1" applyBorder="1" applyAlignment="1">
      <alignment horizontal="center" vertical="center" shrinkToFit="1"/>
    </xf>
    <xf numFmtId="0" fontId="25" fillId="23" borderId="0" xfId="0" applyFont="1" applyFill="1" applyAlignment="1">
      <alignment horizontal="center" vertical="center"/>
    </xf>
    <xf numFmtId="0" fontId="25" fillId="22" borderId="0" xfId="0" applyFont="1" applyFill="1" applyAlignment="1">
      <alignment horizontal="center" vertical="center"/>
    </xf>
    <xf numFmtId="0" fontId="25" fillId="23" borderId="0" xfId="0" quotePrefix="1" applyFont="1" applyFill="1" applyAlignment="1">
      <alignment horizontal="center" vertical="center"/>
    </xf>
    <xf numFmtId="171" fontId="0" fillId="6" borderId="0" xfId="0" applyNumberFormat="1" applyFill="1" applyAlignment="1">
      <alignment horizontal="center" vertical="center"/>
    </xf>
    <xf numFmtId="0" fontId="19" fillId="20" borderId="0" xfId="0" applyFont="1" applyFill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19" fillId="25" borderId="0" xfId="0" applyFont="1" applyFill="1" applyAlignment="1">
      <alignment horizontal="center" vertical="center"/>
    </xf>
    <xf numFmtId="174" fontId="0" fillId="6" borderId="0" xfId="0" applyNumberFormat="1" applyFill="1" applyAlignment="1">
      <alignment horizontal="center" vertical="center"/>
    </xf>
    <xf numFmtId="0" fontId="29" fillId="29" borderId="0" xfId="0" applyFont="1" applyFill="1" applyAlignment="1">
      <alignment horizontal="center" vertical="center"/>
    </xf>
    <xf numFmtId="0" fontId="29" fillId="28" borderId="0" xfId="0" applyFont="1" applyFill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0" fontId="19" fillId="30" borderId="0" xfId="0" applyFont="1" applyFill="1" applyAlignment="1">
      <alignment horizontal="center" vertical="center"/>
    </xf>
    <xf numFmtId="0" fontId="19" fillId="31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32" fillId="27" borderId="0" xfId="0" applyFont="1" applyFill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70" fontId="0" fillId="6" borderId="0" xfId="3" applyNumberFormat="1" applyFont="1" applyFill="1" applyAlignment="1">
      <alignment horizontal="center" vertical="center"/>
    </xf>
    <xf numFmtId="172" fontId="20" fillId="6" borderId="0" xfId="3" applyNumberFormat="1" applyFont="1" applyFill="1" applyAlignment="1">
      <alignment horizontal="center" vertical="center"/>
    </xf>
    <xf numFmtId="9" fontId="0" fillId="6" borderId="0" xfId="4" applyFont="1" applyFill="1" applyAlignment="1">
      <alignment horizontal="center" vertical="center"/>
    </xf>
    <xf numFmtId="164" fontId="26" fillId="6" borderId="0" xfId="3" applyFont="1" applyFill="1" applyAlignment="1">
      <alignment horizontal="center" vertical="center"/>
    </xf>
    <xf numFmtId="175" fontId="26" fillId="6" borderId="0" xfId="3" applyNumberFormat="1" applyFont="1" applyFill="1" applyAlignment="1">
      <alignment horizontal="center" vertical="center"/>
    </xf>
    <xf numFmtId="173" fontId="26" fillId="6" borderId="0" xfId="3" applyNumberFormat="1" applyFont="1" applyFill="1" applyAlignment="1">
      <alignment horizontal="center" vertical="center"/>
    </xf>
    <xf numFmtId="0" fontId="34" fillId="24" borderId="0" xfId="0" applyFont="1" applyFill="1" applyAlignment="1">
      <alignment horizontal="left" vertical="center" indent="1"/>
    </xf>
    <xf numFmtId="0" fontId="14" fillId="24" borderId="0" xfId="0" applyFont="1" applyFill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3" fillId="31" borderId="0" xfId="0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0" fontId="33" fillId="16" borderId="0" xfId="0" applyFont="1" applyFill="1" applyAlignment="1">
      <alignment horizontal="center" vertical="center"/>
    </xf>
    <xf numFmtId="0" fontId="36" fillId="16" borderId="0" xfId="0" applyFont="1" applyFill="1" applyAlignment="1">
      <alignment horizontal="center" vertical="center"/>
    </xf>
    <xf numFmtId="0" fontId="36" fillId="20" borderId="0" xfId="0" applyFont="1" applyFill="1" applyAlignment="1">
      <alignment horizontal="center" vertical="center"/>
    </xf>
    <xf numFmtId="0" fontId="25" fillId="32" borderId="0" xfId="0" applyFont="1" applyFill="1" applyAlignment="1">
      <alignment horizontal="center" vertical="center"/>
    </xf>
    <xf numFmtId="0" fontId="25" fillId="33" borderId="0" xfId="0" applyFont="1" applyFill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36" fillId="32" borderId="0" xfId="0" applyFont="1" applyFill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25" fillId="32" borderId="0" xfId="0" quotePrefix="1" applyFont="1" applyFill="1" applyAlignment="1">
      <alignment horizontal="center" vertical="center"/>
    </xf>
    <xf numFmtId="0" fontId="14" fillId="35" borderId="0" xfId="0" applyFont="1" applyFill="1" applyAlignment="1">
      <alignment horizontal="center" vertical="center" wrapText="1"/>
    </xf>
    <xf numFmtId="0" fontId="19" fillId="36" borderId="0" xfId="0" applyFont="1" applyFill="1" applyAlignment="1">
      <alignment horizontal="center" vertical="center"/>
    </xf>
    <xf numFmtId="0" fontId="36" fillId="37" borderId="0" xfId="0" applyFont="1" applyFill="1" applyAlignment="1">
      <alignment horizontal="center" vertical="center" wrapText="1"/>
    </xf>
    <xf numFmtId="0" fontId="37" fillId="38" borderId="0" xfId="0" applyFont="1" applyFill="1" applyAlignment="1">
      <alignment horizontal="center" vertical="center" wrapText="1"/>
    </xf>
    <xf numFmtId="0" fontId="37" fillId="39" borderId="0" xfId="0" applyFont="1" applyFill="1" applyAlignment="1">
      <alignment horizontal="center" vertical="center" wrapText="1"/>
    </xf>
    <xf numFmtId="0" fontId="38" fillId="22" borderId="0" xfId="0" applyFont="1" applyFill="1" applyAlignment="1">
      <alignment horizontal="center" vertical="center"/>
    </xf>
    <xf numFmtId="0" fontId="40" fillId="0" borderId="0" xfId="0" applyFont="1"/>
    <xf numFmtId="0" fontId="15" fillId="0" borderId="0" xfId="0" applyFont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9" fontId="16" fillId="0" borderId="0" xfId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9" fontId="0" fillId="0" borderId="0" xfId="1" applyFont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/>
    </xf>
    <xf numFmtId="9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19" fillId="41" borderId="25" xfId="0" applyFont="1" applyFill="1" applyBorder="1" applyAlignment="1">
      <alignment horizontal="center" vertical="center" shrinkToFit="1"/>
    </xf>
    <xf numFmtId="0" fontId="19" fillId="36" borderId="25" xfId="0" applyFont="1" applyFill="1" applyBorder="1" applyAlignment="1">
      <alignment horizontal="center" vertical="center" shrinkToFit="1"/>
    </xf>
    <xf numFmtId="0" fontId="18" fillId="37" borderId="25" xfId="0" applyFont="1" applyFill="1" applyBorder="1" applyAlignment="1">
      <alignment horizontal="center" vertical="center" shrinkToFit="1"/>
    </xf>
    <xf numFmtId="0" fontId="17" fillId="38" borderId="25" xfId="0" applyFont="1" applyFill="1" applyBorder="1" applyAlignment="1">
      <alignment horizontal="center" vertical="center" shrinkToFit="1"/>
    </xf>
    <xf numFmtId="0" fontId="17" fillId="39" borderId="25" xfId="0" applyFont="1" applyFill="1" applyBorder="1" applyAlignment="1">
      <alignment horizontal="center" vertical="center" shrinkToFit="1"/>
    </xf>
    <xf numFmtId="0" fontId="19" fillId="25" borderId="25" xfId="0" applyFont="1" applyFill="1" applyBorder="1" applyAlignment="1">
      <alignment horizontal="center" vertical="center"/>
    </xf>
    <xf numFmtId="170" fontId="18" fillId="14" borderId="25" xfId="2" applyNumberFormat="1" applyFont="1" applyFill="1" applyBorder="1" applyAlignment="1">
      <alignment horizontal="center" vertical="center"/>
    </xf>
    <xf numFmtId="172" fontId="20" fillId="6" borderId="25" xfId="2" applyNumberFormat="1" applyFont="1" applyFill="1" applyBorder="1" applyAlignment="1">
      <alignment horizontal="center" vertical="center"/>
    </xf>
    <xf numFmtId="171" fontId="0" fillId="6" borderId="25" xfId="0" applyNumberFormat="1" applyFill="1" applyBorder="1" applyAlignment="1">
      <alignment horizontal="center" vertical="center"/>
    </xf>
    <xf numFmtId="9" fontId="0" fillId="6" borderId="25" xfId="1" applyFont="1" applyFill="1" applyBorder="1" applyAlignment="1">
      <alignment horizontal="center" vertical="center"/>
    </xf>
    <xf numFmtId="172" fontId="41" fillId="6" borderId="25" xfId="2" applyNumberFormat="1" applyFont="1" applyFill="1" applyBorder="1" applyAlignment="1">
      <alignment horizontal="center" vertical="center"/>
    </xf>
    <xf numFmtId="171" fontId="41" fillId="6" borderId="25" xfId="0" applyNumberFormat="1" applyFont="1" applyFill="1" applyBorder="1" applyAlignment="1">
      <alignment horizontal="center" vertical="center"/>
    </xf>
    <xf numFmtId="174" fontId="0" fillId="6" borderId="25" xfId="0" applyNumberFormat="1" applyFill="1" applyBorder="1" applyAlignment="1">
      <alignment horizontal="center" vertical="center"/>
    </xf>
    <xf numFmtId="38" fontId="26" fillId="6" borderId="25" xfId="0" applyNumberFormat="1" applyFont="1" applyFill="1" applyBorder="1" applyAlignment="1">
      <alignment horizontal="center" vertical="center"/>
    </xf>
    <xf numFmtId="164" fontId="39" fillId="14" borderId="25" xfId="2" applyFont="1" applyFill="1" applyBorder="1" applyAlignment="1">
      <alignment horizontal="center" vertical="center"/>
    </xf>
    <xf numFmtId="175" fontId="26" fillId="6" borderId="25" xfId="2" applyNumberFormat="1" applyFont="1" applyFill="1" applyBorder="1" applyAlignment="1">
      <alignment horizontal="center" vertical="center"/>
    </xf>
    <xf numFmtId="173" fontId="26" fillId="6" borderId="25" xfId="2" applyNumberFormat="1" applyFont="1" applyFill="1" applyBorder="1" applyAlignment="1">
      <alignment horizontal="center" vertical="center"/>
    </xf>
    <xf numFmtId="0" fontId="19" fillId="42" borderId="25" xfId="0" applyFont="1" applyFill="1" applyBorder="1" applyAlignment="1">
      <alignment horizontal="center" vertical="center" shrinkToFit="1"/>
    </xf>
    <xf numFmtId="0" fontId="24" fillId="14" borderId="25" xfId="0" applyFont="1" applyFill="1" applyBorder="1" applyAlignment="1">
      <alignment horizontal="center" vertical="center" shrinkToFit="1"/>
    </xf>
    <xf numFmtId="0" fontId="19" fillId="43" borderId="25" xfId="0" applyFont="1" applyFill="1" applyBorder="1" applyAlignment="1">
      <alignment horizontal="center" vertical="center" shrinkToFit="1"/>
    </xf>
    <xf numFmtId="0" fontId="33" fillId="42" borderId="25" xfId="0" applyFont="1" applyFill="1" applyBorder="1" applyAlignment="1">
      <alignment horizontal="center" vertical="center" shrinkToFit="1"/>
    </xf>
    <xf numFmtId="3" fontId="16" fillId="0" borderId="24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14" fillId="2" borderId="2" xfId="0" applyFont="1" applyFill="1" applyBorder="1"/>
    <xf numFmtId="0" fontId="14" fillId="17" borderId="2" xfId="0" applyFont="1" applyFill="1" applyBorder="1" applyAlignment="1">
      <alignment horizontal="center" vertical="center" wrapText="1"/>
    </xf>
    <xf numFmtId="170" fontId="18" fillId="19" borderId="20" xfId="2" applyNumberFormat="1" applyFont="1" applyFill="1" applyBorder="1" applyAlignment="1">
      <alignment horizontal="center" vertical="center" wrapText="1"/>
    </xf>
    <xf numFmtId="0" fontId="25" fillId="32" borderId="2" xfId="7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Continuous"/>
    </xf>
    <xf numFmtId="0" fontId="14" fillId="17" borderId="2" xfId="0" applyFont="1" applyFill="1" applyBorder="1" applyAlignment="1">
      <alignment horizontal="centerContinuous"/>
    </xf>
    <xf numFmtId="0" fontId="19" fillId="16" borderId="1" xfId="0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Continuous" vertical="center" wrapText="1"/>
    </xf>
    <xf numFmtId="0" fontId="19" fillId="16" borderId="2" xfId="0" applyFont="1" applyFill="1" applyBorder="1" applyAlignment="1">
      <alignment horizontal="centerContinuous" vertical="center" wrapText="1"/>
    </xf>
    <xf numFmtId="9" fontId="16" fillId="0" borderId="24" xfId="1" applyFont="1" applyBorder="1" applyAlignment="1">
      <alignment horizontal="center" vertical="center"/>
    </xf>
    <xf numFmtId="9" fontId="16" fillId="0" borderId="20" xfId="1" applyFont="1" applyBorder="1" applyAlignment="1">
      <alignment horizontal="center" vertical="center"/>
    </xf>
    <xf numFmtId="9" fontId="0" fillId="0" borderId="24" xfId="1" applyFont="1" applyBorder="1" applyAlignment="1">
      <alignment horizontal="center" vertical="center"/>
    </xf>
    <xf numFmtId="9" fontId="0" fillId="0" borderId="20" xfId="1" applyFont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 wrapText="1"/>
    </xf>
    <xf numFmtId="0" fontId="17" fillId="0" borderId="20" xfId="0" applyFont="1" applyBorder="1"/>
    <xf numFmtId="0" fontId="18" fillId="19" borderId="20" xfId="0" applyFont="1" applyFill="1" applyBorder="1"/>
    <xf numFmtId="0" fontId="16" fillId="18" borderId="20" xfId="0" applyFont="1" applyFill="1" applyBorder="1"/>
    <xf numFmtId="0" fontId="17" fillId="18" borderId="20" xfId="0" applyFont="1" applyFill="1" applyBorder="1"/>
    <xf numFmtId="0" fontId="16" fillId="0" borderId="20" xfId="0" applyFont="1" applyBorder="1" applyAlignment="1">
      <alignment vertical="center"/>
    </xf>
    <xf numFmtId="0" fontId="0" fillId="0" borderId="20" xfId="0" applyBorder="1"/>
    <xf numFmtId="0" fontId="14" fillId="2" borderId="2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8" fillId="13" borderId="2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8" fillId="16" borderId="24" xfId="0" applyFont="1" applyFill="1" applyBorder="1" applyAlignment="1">
      <alignment horizontal="center" vertical="center" shrinkToFit="1"/>
    </xf>
    <xf numFmtId="0" fontId="18" fillId="16" borderId="24" xfId="0" applyFont="1" applyFill="1" applyBorder="1" applyAlignment="1">
      <alignment horizontal="center" shrinkToFit="1"/>
    </xf>
    <xf numFmtId="0" fontId="17" fillId="0" borderId="20" xfId="0" applyFont="1" applyBorder="1" applyAlignment="1">
      <alignment horizontal="center" vertical="center"/>
    </xf>
    <xf numFmtId="0" fontId="24" fillId="20" borderId="24" xfId="0" applyFont="1" applyFill="1" applyBorder="1" applyAlignment="1">
      <alignment horizontal="center" shrinkToFit="1"/>
    </xf>
    <xf numFmtId="0" fontId="0" fillId="0" borderId="20" xfId="0" applyBorder="1" applyAlignment="1">
      <alignment horizontal="center" vertical="center"/>
    </xf>
    <xf numFmtId="167" fontId="0" fillId="0" borderId="0" xfId="0" applyNumberFormat="1"/>
    <xf numFmtId="0" fontId="14" fillId="17" borderId="0" xfId="0" applyFont="1" applyFill="1" applyAlignment="1">
      <alignment horizontal="centerContinuous" vertical="center"/>
    </xf>
    <xf numFmtId="167" fontId="21" fillId="7" borderId="1" xfId="0" applyNumberFormat="1" applyFont="1" applyFill="1" applyBorder="1" applyAlignment="1">
      <alignment horizontal="center" vertical="center"/>
    </xf>
    <xf numFmtId="167" fontId="21" fillId="0" borderId="1" xfId="0" applyNumberFormat="1" applyFont="1" applyBorder="1" applyAlignment="1">
      <alignment horizontal="centerContinuous" vertical="center"/>
    </xf>
    <xf numFmtId="167" fontId="0" fillId="0" borderId="0" xfId="0" applyNumberFormat="1" applyAlignment="1">
      <alignment horizontal="centerContinuous"/>
    </xf>
    <xf numFmtId="167" fontId="0" fillId="0" borderId="2" xfId="0" applyNumberFormat="1" applyBorder="1" applyAlignment="1">
      <alignment horizontal="centerContinuous"/>
    </xf>
    <xf numFmtId="167" fontId="14" fillId="16" borderId="1" xfId="0" applyNumberFormat="1" applyFont="1" applyFill="1" applyBorder="1" applyAlignment="1">
      <alignment horizontal="center" vertical="center"/>
    </xf>
    <xf numFmtId="167" fontId="14" fillId="16" borderId="1" xfId="0" applyNumberFormat="1" applyFont="1" applyFill="1" applyBorder="1" applyAlignment="1">
      <alignment horizontal="centerContinuous"/>
    </xf>
    <xf numFmtId="167" fontId="14" fillId="16" borderId="0" xfId="0" applyNumberFormat="1" applyFont="1" applyFill="1" applyAlignment="1">
      <alignment horizontal="centerContinuous"/>
    </xf>
    <xf numFmtId="167" fontId="14" fillId="16" borderId="2" xfId="0" applyNumberFormat="1" applyFont="1" applyFill="1" applyBorder="1" applyAlignment="1">
      <alignment horizontal="centerContinuous"/>
    </xf>
    <xf numFmtId="167" fontId="0" fillId="0" borderId="1" xfId="0" applyNumberFormat="1" applyBorder="1"/>
    <xf numFmtId="167" fontId="0" fillId="0" borderId="2" xfId="0" applyNumberFormat="1" applyBorder="1"/>
    <xf numFmtId="166" fontId="0" fillId="0" borderId="20" xfId="0" applyNumberFormat="1" applyBorder="1" applyAlignment="1">
      <alignment horizontal="center" vertical="center"/>
    </xf>
    <xf numFmtId="166" fontId="16" fillId="0" borderId="24" xfId="0" applyNumberFormat="1" applyFont="1" applyBorder="1"/>
    <xf numFmtId="0" fontId="5" fillId="44" borderId="13" xfId="0" applyFont="1" applyFill="1" applyBorder="1" applyAlignment="1">
      <alignment horizontal="center" vertical="center" wrapText="1"/>
    </xf>
    <xf numFmtId="0" fontId="14" fillId="44" borderId="13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vertical="center"/>
    </xf>
    <xf numFmtId="0" fontId="0" fillId="12" borderId="13" xfId="0" applyFill="1" applyBorder="1" applyAlignment="1">
      <alignment vertical="center"/>
    </xf>
    <xf numFmtId="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2" fillId="45" borderId="13" xfId="0" applyFont="1" applyFill="1" applyBorder="1" applyAlignment="1">
      <alignment horizontal="left" vertical="center" wrapText="1" indent="1"/>
    </xf>
    <xf numFmtId="0" fontId="2" fillId="46" borderId="13" xfId="0" applyFont="1" applyFill="1" applyBorder="1" applyAlignment="1">
      <alignment horizontal="left" vertical="center" wrapText="1" indent="1"/>
    </xf>
    <xf numFmtId="0" fontId="1" fillId="46" borderId="13" xfId="0" applyFont="1" applyFill="1" applyBorder="1" applyAlignment="1">
      <alignment horizontal="left" vertical="center" wrapText="1" indent="1"/>
    </xf>
    <xf numFmtId="0" fontId="42" fillId="2" borderId="0" xfId="0" applyFont="1" applyFill="1"/>
    <xf numFmtId="0" fontId="42" fillId="2" borderId="0" xfId="0" applyFont="1" applyFill="1" applyAlignment="1">
      <alignment horizontal="center" vertical="center" wrapText="1"/>
    </xf>
    <xf numFmtId="3" fontId="43" fillId="0" borderId="21" xfId="0" applyNumberFormat="1" applyFont="1" applyBorder="1" applyAlignment="1">
      <alignment horizontal="center" vertical="center" wrapText="1"/>
    </xf>
    <xf numFmtId="3" fontId="44" fillId="0" borderId="21" xfId="0" applyNumberFormat="1" applyFont="1" applyBorder="1" applyAlignment="1">
      <alignment horizontal="center" vertical="center" wrapText="1"/>
    </xf>
    <xf numFmtId="0" fontId="43" fillId="0" borderId="21" xfId="0" applyFont="1" applyBorder="1"/>
    <xf numFmtId="0" fontId="43" fillId="0" borderId="21" xfId="0" applyFont="1" applyBorder="1" applyAlignment="1">
      <alignment horizontal="center" vertical="center"/>
    </xf>
    <xf numFmtId="3" fontId="43" fillId="0" borderId="2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5" fillId="2" borderId="0" xfId="0" applyFont="1" applyFill="1"/>
    <xf numFmtId="0" fontId="45" fillId="2" borderId="0" xfId="0" applyFont="1" applyFill="1" applyAlignment="1">
      <alignment horizontal="center" vertical="center" wrapText="1"/>
    </xf>
    <xf numFmtId="0" fontId="42" fillId="16" borderId="11" xfId="0" applyFont="1" applyFill="1" applyBorder="1" applyAlignment="1">
      <alignment horizontal="centerContinuous"/>
    </xf>
    <xf numFmtId="0" fontId="42" fillId="16" borderId="0" xfId="0" applyFont="1" applyFill="1" applyAlignment="1">
      <alignment horizontal="centerContinuous"/>
    </xf>
    <xf numFmtId="0" fontId="42" fillId="17" borderId="0" xfId="0" applyFont="1" applyFill="1" applyAlignment="1">
      <alignment horizontal="centerContinuous"/>
    </xf>
    <xf numFmtId="0" fontId="42" fillId="16" borderId="0" xfId="0" applyFont="1" applyFill="1" applyAlignment="1">
      <alignment horizontal="center" vertical="center"/>
    </xf>
    <xf numFmtId="0" fontId="42" fillId="10" borderId="11" xfId="0" applyFont="1" applyFill="1" applyBorder="1" applyAlignment="1">
      <alignment horizontal="centerContinuous"/>
    </xf>
    <xf numFmtId="0" fontId="42" fillId="10" borderId="0" xfId="0" applyFont="1" applyFill="1" applyAlignment="1">
      <alignment horizontal="centerContinuous"/>
    </xf>
    <xf numFmtId="0" fontId="48" fillId="10" borderId="12" xfId="0" applyFont="1" applyFill="1" applyBorder="1" applyAlignment="1">
      <alignment horizontal="centerContinuous"/>
    </xf>
    <xf numFmtId="0" fontId="42" fillId="2" borderId="11" xfId="0" applyFont="1" applyFill="1" applyBorder="1" applyAlignment="1">
      <alignment horizontal="centerContinuous"/>
    </xf>
    <xf numFmtId="0" fontId="48" fillId="2" borderId="11" xfId="0" applyFont="1" applyFill="1" applyBorder="1" applyAlignment="1">
      <alignment horizontal="centerContinuous"/>
    </xf>
    <xf numFmtId="0" fontId="42" fillId="2" borderId="11" xfId="0" applyFont="1" applyFill="1" applyBorder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/>
    </xf>
    <xf numFmtId="0" fontId="42" fillId="2" borderId="1" xfId="0" applyFont="1" applyFill="1" applyBorder="1" applyAlignment="1">
      <alignment horizontal="centerContinuous"/>
    </xf>
    <xf numFmtId="0" fontId="42" fillId="2" borderId="0" xfId="0" applyFont="1" applyFill="1" applyAlignment="1">
      <alignment horizontal="centerContinuous"/>
    </xf>
    <xf numFmtId="0" fontId="42" fillId="2" borderId="2" xfId="0" applyFont="1" applyFill="1" applyBorder="1" applyAlignment="1">
      <alignment horizontal="centerContinuous"/>
    </xf>
    <xf numFmtId="0" fontId="49" fillId="13" borderId="1" xfId="0" applyFont="1" applyFill="1" applyBorder="1" applyAlignment="1">
      <alignment horizontal="centerContinuous" wrapText="1"/>
    </xf>
    <xf numFmtId="0" fontId="42" fillId="14" borderId="1" xfId="0" applyFont="1" applyFill="1" applyBorder="1" applyAlignment="1">
      <alignment horizontal="centerContinuous" wrapText="1"/>
    </xf>
    <xf numFmtId="0" fontId="42" fillId="14" borderId="0" xfId="0" applyFont="1" applyFill="1" applyAlignment="1">
      <alignment horizontal="centerContinuous"/>
    </xf>
    <xf numFmtId="0" fontId="45" fillId="13" borderId="1" xfId="0" applyFont="1" applyFill="1" applyBorder="1" applyAlignment="1">
      <alignment horizontal="center" vertical="center" wrapText="1"/>
    </xf>
    <xf numFmtId="0" fontId="42" fillId="16" borderId="0" xfId="0" applyFont="1" applyFill="1" applyAlignment="1">
      <alignment horizontal="center" vertical="center" wrapText="1"/>
    </xf>
    <xf numFmtId="0" fontId="42" fillId="17" borderId="0" xfId="0" applyFont="1" applyFill="1" applyAlignment="1">
      <alignment horizontal="center" vertical="center" wrapText="1"/>
    </xf>
    <xf numFmtId="0" fontId="47" fillId="7" borderId="11" xfId="0" applyFont="1" applyFill="1" applyBorder="1" applyAlignment="1">
      <alignment horizontal="center" vertical="center" wrapText="1"/>
    </xf>
    <xf numFmtId="0" fontId="47" fillId="7" borderId="0" xfId="0" applyFont="1" applyFill="1" applyAlignment="1">
      <alignment horizontal="center" vertical="center" wrapText="1"/>
    </xf>
    <xf numFmtId="0" fontId="42" fillId="10" borderId="12" xfId="0" applyFont="1" applyFill="1" applyBorder="1" applyAlignment="1">
      <alignment horizontal="center" vertical="center" wrapText="1"/>
    </xf>
    <xf numFmtId="0" fontId="46" fillId="3" borderId="11" xfId="0" applyFont="1" applyFill="1" applyBorder="1" applyAlignment="1">
      <alignment horizontal="center" vertical="center" wrapText="1"/>
    </xf>
    <xf numFmtId="0" fontId="46" fillId="3" borderId="0" xfId="0" applyFont="1" applyFill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wrapText="1"/>
    </xf>
    <xf numFmtId="0" fontId="42" fillId="13" borderId="1" xfId="0" applyFont="1" applyFill="1" applyBorder="1" applyAlignment="1">
      <alignment horizontal="center" vertical="center" wrapText="1"/>
    </xf>
    <xf numFmtId="0" fontId="46" fillId="15" borderId="1" xfId="0" applyFont="1" applyFill="1" applyBorder="1" applyAlignment="1">
      <alignment horizontal="center" vertical="center" wrapText="1"/>
    </xf>
    <xf numFmtId="0" fontId="46" fillId="15" borderId="0" xfId="0" applyFont="1" applyFill="1" applyAlignment="1">
      <alignment horizontal="center" vertical="center" wrapText="1"/>
    </xf>
    <xf numFmtId="0" fontId="43" fillId="0" borderId="0" xfId="0" applyFont="1" applyAlignment="1">
      <alignment wrapText="1"/>
    </xf>
    <xf numFmtId="0" fontId="45" fillId="16" borderId="21" xfId="0" applyFont="1" applyFill="1" applyBorder="1" applyAlignment="1">
      <alignment horizontal="center" vertical="center" shrinkToFit="1"/>
    </xf>
    <xf numFmtId="170" fontId="45" fillId="19" borderId="21" xfId="2" applyNumberFormat="1" applyFont="1" applyFill="1" applyBorder="1" applyAlignment="1">
      <alignment horizontal="center" vertical="center" wrapText="1"/>
    </xf>
    <xf numFmtId="9" fontId="43" fillId="0" borderId="21" xfId="1" applyFont="1" applyBorder="1" applyAlignment="1">
      <alignment horizontal="center" vertical="center"/>
    </xf>
    <xf numFmtId="9" fontId="45" fillId="17" borderId="21" xfId="1" applyFont="1" applyFill="1" applyBorder="1" applyAlignment="1">
      <alignment horizontal="center" vertical="center"/>
    </xf>
    <xf numFmtId="3" fontId="43" fillId="0" borderId="22" xfId="0" applyNumberFormat="1" applyFont="1" applyBorder="1" applyAlignment="1">
      <alignment horizontal="center" vertical="center"/>
    </xf>
    <xf numFmtId="3" fontId="43" fillId="0" borderId="23" xfId="0" applyNumberFormat="1" applyFont="1" applyBorder="1" applyAlignment="1">
      <alignment horizontal="center" vertical="center"/>
    </xf>
    <xf numFmtId="166" fontId="43" fillId="0" borderId="24" xfId="0" applyNumberFormat="1" applyFont="1" applyBorder="1" applyAlignment="1">
      <alignment horizontal="center" vertical="center"/>
    </xf>
    <xf numFmtId="166" fontId="43" fillId="0" borderId="21" xfId="0" applyNumberFormat="1" applyFont="1" applyBorder="1" applyAlignment="1">
      <alignment horizontal="center" vertical="center"/>
    </xf>
    <xf numFmtId="3" fontId="43" fillId="0" borderId="20" xfId="0" applyNumberFormat="1" applyFont="1" applyBorder="1" applyAlignment="1">
      <alignment horizontal="center" vertical="center"/>
    </xf>
    <xf numFmtId="165" fontId="43" fillId="0" borderId="24" xfId="1" applyNumberFormat="1" applyFont="1" applyBorder="1" applyAlignment="1">
      <alignment horizontal="center" vertical="center"/>
    </xf>
    <xf numFmtId="165" fontId="43" fillId="0" borderId="21" xfId="1" applyNumberFormat="1" applyFont="1" applyBorder="1" applyAlignment="1">
      <alignment horizontal="center" vertical="center"/>
    </xf>
    <xf numFmtId="166" fontId="43" fillId="0" borderId="20" xfId="0" applyNumberFormat="1" applyFont="1" applyBorder="1" applyAlignment="1">
      <alignment horizontal="center" vertical="center"/>
    </xf>
    <xf numFmtId="165" fontId="43" fillId="0" borderId="20" xfId="1" applyNumberFormat="1" applyFont="1" applyBorder="1" applyAlignment="1">
      <alignment horizontal="center" vertical="center"/>
    </xf>
    <xf numFmtId="9" fontId="43" fillId="0" borderId="24" xfId="0" applyNumberFormat="1" applyFont="1" applyBorder="1" applyAlignment="1">
      <alignment horizontal="center"/>
    </xf>
    <xf numFmtId="2" fontId="43" fillId="0" borderId="24" xfId="0" applyNumberFormat="1" applyFont="1" applyBorder="1" applyAlignment="1">
      <alignment horizontal="center"/>
    </xf>
    <xf numFmtId="1" fontId="43" fillId="0" borderId="21" xfId="0" applyNumberFormat="1" applyFont="1" applyBorder="1" applyAlignment="1">
      <alignment horizontal="center" vertical="center"/>
    </xf>
    <xf numFmtId="1" fontId="43" fillId="0" borderId="20" xfId="0" applyNumberFormat="1" applyFont="1" applyBorder="1" applyAlignment="1">
      <alignment horizontal="center" vertical="center"/>
    </xf>
    <xf numFmtId="0" fontId="43" fillId="0" borderId="21" xfId="0" applyFont="1" applyBorder="1" applyAlignment="1">
      <alignment horizontal="center"/>
    </xf>
    <xf numFmtId="0" fontId="45" fillId="16" borderId="21" xfId="0" applyFont="1" applyFill="1" applyBorder="1" applyAlignment="1">
      <alignment horizontal="center" shrinkToFit="1"/>
    </xf>
    <xf numFmtId="1" fontId="43" fillId="0" borderId="24" xfId="0" applyNumberFormat="1" applyFont="1" applyBorder="1" applyAlignment="1">
      <alignment horizontal="center" vertical="center"/>
    </xf>
    <xf numFmtId="9" fontId="43" fillId="0" borderId="24" xfId="0" applyNumberFormat="1" applyFont="1" applyBorder="1" applyAlignment="1">
      <alignment horizontal="center" vertical="center"/>
    </xf>
    <xf numFmtId="0" fontId="44" fillId="0" borderId="21" xfId="0" applyFont="1" applyBorder="1"/>
    <xf numFmtId="0" fontId="44" fillId="0" borderId="21" xfId="0" applyFont="1" applyBorder="1" applyAlignment="1">
      <alignment horizontal="center" vertical="center"/>
    </xf>
    <xf numFmtId="3" fontId="44" fillId="0" borderId="21" xfId="0" applyNumberFormat="1" applyFont="1" applyBorder="1" applyAlignment="1">
      <alignment horizontal="center" vertical="center"/>
    </xf>
    <xf numFmtId="3" fontId="44" fillId="0" borderId="22" xfId="0" applyNumberFormat="1" applyFont="1" applyBorder="1" applyAlignment="1">
      <alignment horizontal="center" vertical="center"/>
    </xf>
    <xf numFmtId="3" fontId="44" fillId="0" borderId="23" xfId="0" applyNumberFormat="1" applyFont="1" applyBorder="1" applyAlignment="1">
      <alignment horizontal="center" vertical="center"/>
    </xf>
    <xf numFmtId="1" fontId="44" fillId="0" borderId="20" xfId="0" applyNumberFormat="1" applyFont="1" applyBorder="1" applyAlignment="1">
      <alignment horizontal="center" vertical="center"/>
    </xf>
    <xf numFmtId="0" fontId="44" fillId="0" borderId="0" xfId="0" applyFont="1"/>
    <xf numFmtId="0" fontId="45" fillId="19" borderId="21" xfId="0" applyFont="1" applyFill="1" applyBorder="1"/>
    <xf numFmtId="0" fontId="43" fillId="18" borderId="21" xfId="0" applyFont="1" applyFill="1" applyBorder="1"/>
    <xf numFmtId="0" fontId="43" fillId="0" borderId="22" xfId="0" applyFont="1" applyBorder="1" applyAlignment="1">
      <alignment horizontal="center" vertical="center"/>
    </xf>
    <xf numFmtId="0" fontId="44" fillId="18" borderId="21" xfId="0" applyFont="1" applyFill="1" applyBorder="1"/>
    <xf numFmtId="0" fontId="43" fillId="0" borderId="21" xfId="0" applyFont="1" applyBorder="1" applyAlignment="1">
      <alignment vertical="center"/>
    </xf>
    <xf numFmtId="0" fontId="43" fillId="0" borderId="22" xfId="0" applyFont="1" applyBorder="1" applyAlignment="1">
      <alignment vertical="center"/>
    </xf>
    <xf numFmtId="2" fontId="43" fillId="0" borderId="24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3" fillId="0" borderId="22" xfId="0" applyFont="1" applyBorder="1"/>
    <xf numFmtId="0" fontId="44" fillId="0" borderId="21" xfId="0" applyFont="1" applyBorder="1" applyAlignment="1">
      <alignment horizontal="center"/>
    </xf>
    <xf numFmtId="1" fontId="44" fillId="0" borderId="21" xfId="0" applyNumberFormat="1" applyFont="1" applyBorder="1" applyAlignment="1">
      <alignment horizontal="center" vertical="center"/>
    </xf>
    <xf numFmtId="9" fontId="44" fillId="0" borderId="21" xfId="1" applyFont="1" applyBorder="1" applyAlignment="1">
      <alignment horizontal="center" vertical="center"/>
    </xf>
    <xf numFmtId="1" fontId="44" fillId="0" borderId="22" xfId="0" applyNumberFormat="1" applyFont="1" applyBorder="1" applyAlignment="1">
      <alignment horizontal="center" vertical="center"/>
    </xf>
    <xf numFmtId="166" fontId="44" fillId="0" borderId="24" xfId="0" applyNumberFormat="1" applyFont="1" applyBorder="1" applyAlignment="1">
      <alignment horizontal="center" vertical="center"/>
    </xf>
    <xf numFmtId="166" fontId="44" fillId="0" borderId="21" xfId="0" applyNumberFormat="1" applyFont="1" applyBorder="1" applyAlignment="1">
      <alignment horizontal="center" vertical="center"/>
    </xf>
    <xf numFmtId="3" fontId="44" fillId="0" borderId="20" xfId="0" applyNumberFormat="1" applyFont="1" applyBorder="1" applyAlignment="1">
      <alignment horizontal="center" vertical="center"/>
    </xf>
    <xf numFmtId="165" fontId="44" fillId="0" borderId="24" xfId="1" applyNumberFormat="1" applyFont="1" applyBorder="1" applyAlignment="1">
      <alignment horizontal="center" vertical="center"/>
    </xf>
    <xf numFmtId="165" fontId="44" fillId="0" borderId="21" xfId="1" applyNumberFormat="1" applyFont="1" applyBorder="1" applyAlignment="1">
      <alignment horizontal="center" vertical="center"/>
    </xf>
    <xf numFmtId="166" fontId="44" fillId="0" borderId="20" xfId="0" applyNumberFormat="1" applyFont="1" applyBorder="1" applyAlignment="1">
      <alignment horizontal="center" vertical="center"/>
    </xf>
    <xf numFmtId="165" fontId="44" fillId="0" borderId="20" xfId="1" applyNumberFormat="1" applyFont="1" applyBorder="1" applyAlignment="1">
      <alignment horizontal="center" vertical="center"/>
    </xf>
    <xf numFmtId="9" fontId="44" fillId="0" borderId="24" xfId="0" applyNumberFormat="1" applyFont="1" applyBorder="1" applyAlignment="1">
      <alignment horizontal="center"/>
    </xf>
    <xf numFmtId="9" fontId="44" fillId="0" borderId="24" xfId="0" applyNumberFormat="1" applyFont="1" applyBorder="1" applyAlignment="1">
      <alignment horizontal="center" vertical="center"/>
    </xf>
    <xf numFmtId="167" fontId="43" fillId="0" borderId="21" xfId="0" applyNumberFormat="1" applyFont="1" applyBorder="1" applyAlignment="1">
      <alignment horizontal="center" vertical="center"/>
    </xf>
    <xf numFmtId="9" fontId="43" fillId="0" borderId="21" xfId="0" applyNumberFormat="1" applyFont="1" applyBorder="1" applyAlignment="1">
      <alignment horizontal="center" vertical="center"/>
    </xf>
    <xf numFmtId="0" fontId="43" fillId="0" borderId="23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/>
    </xf>
    <xf numFmtId="0" fontId="43" fillId="0" borderId="20" xfId="0" applyFont="1" applyBorder="1"/>
    <xf numFmtId="165" fontId="43" fillId="0" borderId="24" xfId="0" applyNumberFormat="1" applyFont="1" applyBorder="1" applyAlignment="1">
      <alignment horizontal="center" vertical="center"/>
    </xf>
    <xf numFmtId="165" fontId="43" fillId="0" borderId="21" xfId="0" applyNumberFormat="1" applyFont="1" applyBorder="1" applyAlignment="1">
      <alignment horizontal="center" vertical="center"/>
    </xf>
    <xf numFmtId="167" fontId="43" fillId="0" borderId="24" xfId="0" applyNumberFormat="1" applyFont="1" applyBorder="1" applyAlignment="1">
      <alignment horizontal="center" vertical="center"/>
    </xf>
    <xf numFmtId="0" fontId="43" fillId="0" borderId="24" xfId="0" applyFont="1" applyBorder="1" applyAlignment="1">
      <alignment horizontal="center"/>
    </xf>
    <xf numFmtId="1" fontId="43" fillId="0" borderId="24" xfId="0" applyNumberFormat="1" applyFont="1" applyBorder="1" applyAlignment="1">
      <alignment horizontal="center"/>
    </xf>
    <xf numFmtId="0" fontId="44" fillId="0" borderId="22" xfId="0" applyFont="1" applyBorder="1" applyAlignment="1">
      <alignment horizontal="center" vertical="center"/>
    </xf>
    <xf numFmtId="0" fontId="43" fillId="0" borderId="24" xfId="0" applyFont="1" applyBorder="1"/>
    <xf numFmtId="0" fontId="50" fillId="20" borderId="21" xfId="0" applyFont="1" applyFill="1" applyBorder="1" applyAlignment="1">
      <alignment horizontal="center" shrinkToFit="1"/>
    </xf>
    <xf numFmtId="165" fontId="43" fillId="0" borderId="21" xfId="0" applyNumberFormat="1" applyFont="1" applyBorder="1" applyAlignment="1">
      <alignment horizontal="center"/>
    </xf>
    <xf numFmtId="1" fontId="43" fillId="0" borderId="22" xfId="0" applyNumberFormat="1" applyFont="1" applyBorder="1" applyAlignment="1">
      <alignment horizontal="center" vertical="center"/>
    </xf>
    <xf numFmtId="1" fontId="43" fillId="0" borderId="21" xfId="0" applyNumberFormat="1" applyFont="1" applyBorder="1" applyAlignment="1">
      <alignment horizontal="center"/>
    </xf>
    <xf numFmtId="0" fontId="43" fillId="0" borderId="11" xfId="0" applyFont="1" applyBorder="1"/>
    <xf numFmtId="0" fontId="43" fillId="0" borderId="12" xfId="0" applyFont="1" applyBorder="1"/>
    <xf numFmtId="0" fontId="43" fillId="0" borderId="1" xfId="0" applyFont="1" applyBorder="1"/>
    <xf numFmtId="0" fontId="43" fillId="0" borderId="2" xfId="0" applyFont="1" applyBorder="1"/>
    <xf numFmtId="0" fontId="43" fillId="0" borderId="1" xfId="0" applyFont="1" applyBorder="1" applyAlignment="1">
      <alignment horizontal="center"/>
    </xf>
    <xf numFmtId="0" fontId="45" fillId="13" borderId="1" xfId="0" applyFont="1" applyFill="1" applyBorder="1" applyAlignment="1">
      <alignment horizontal="left" vertical="center" wrapText="1"/>
    </xf>
    <xf numFmtId="0" fontId="45" fillId="13" borderId="0" xfId="0" applyFont="1" applyFill="1" applyAlignment="1">
      <alignment horizontal="center" vertical="center" wrapText="1"/>
    </xf>
    <xf numFmtId="0" fontId="42" fillId="16" borderId="0" xfId="0" applyFont="1" applyFill="1" applyAlignment="1">
      <alignment horizontal="centerContinuous" vertical="center" wrapText="1"/>
    </xf>
    <xf numFmtId="9" fontId="43" fillId="0" borderId="21" xfId="0" applyNumberFormat="1" applyFont="1" applyBorder="1" applyAlignment="1">
      <alignment horizontal="left" vertical="center"/>
    </xf>
    <xf numFmtId="0" fontId="45" fillId="40" borderId="0" xfId="0" applyFont="1" applyFill="1" applyAlignment="1">
      <alignment horizontal="center" vertical="center"/>
    </xf>
    <xf numFmtId="0" fontId="43" fillId="40" borderId="0" xfId="0" applyFont="1" applyFill="1" applyAlignment="1">
      <alignment horizontal="center" vertical="center"/>
    </xf>
    <xf numFmtId="9" fontId="43" fillId="0" borderId="0" xfId="0" applyNumberFormat="1" applyFont="1" applyAlignment="1">
      <alignment horizontal="left" vertical="center"/>
    </xf>
    <xf numFmtId="0" fontId="49" fillId="18" borderId="1" xfId="0" applyFont="1" applyFill="1" applyBorder="1" applyAlignment="1">
      <alignment horizontal="center" vertical="center"/>
    </xf>
    <xf numFmtId="0" fontId="51" fillId="32" borderId="0" xfId="7" applyFont="1" applyFill="1" applyAlignment="1">
      <alignment horizontal="center" vertical="center"/>
    </xf>
    <xf numFmtId="0" fontId="51" fillId="32" borderId="0" xfId="7" applyFont="1" applyFill="1" applyAlignment="1">
      <alignment horizontal="left" vertical="center"/>
    </xf>
    <xf numFmtId="0" fontId="52" fillId="48" borderId="0" xfId="0" applyFont="1" applyFill="1" applyAlignment="1">
      <alignment horizontal="center" vertical="center"/>
    </xf>
    <xf numFmtId="0" fontId="52" fillId="49" borderId="0" xfId="0" applyFont="1" applyFill="1" applyAlignment="1">
      <alignment horizontal="center" vertical="center"/>
    </xf>
    <xf numFmtId="0" fontId="19" fillId="50" borderId="25" xfId="0" applyFont="1" applyFill="1" applyBorder="1" applyAlignment="1">
      <alignment horizontal="center" vertical="center" shrinkToFit="1"/>
    </xf>
    <xf numFmtId="0" fontId="27" fillId="21" borderId="0" xfId="0" applyFont="1" applyFill="1" applyAlignment="1">
      <alignment horizontal="center" vertical="center"/>
    </xf>
    <xf numFmtId="0" fontId="27" fillId="26" borderId="0" xfId="0" applyFont="1" applyFill="1" applyAlignment="1">
      <alignment horizontal="center" vertical="center"/>
    </xf>
    <xf numFmtId="0" fontId="28" fillId="29" borderId="0" xfId="0" applyFont="1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27" fillId="27" borderId="0" xfId="0" applyFont="1" applyFill="1" applyAlignment="1">
      <alignment horizontal="center" vertical="center"/>
    </xf>
    <xf numFmtId="0" fontId="29" fillId="28" borderId="0" xfId="0" applyFont="1" applyFill="1" applyAlignment="1">
      <alignment horizontal="center" vertical="center"/>
    </xf>
    <xf numFmtId="0" fontId="35" fillId="29" borderId="0" xfId="0" applyFont="1" applyFill="1" applyAlignment="1">
      <alignment horizontal="center" vertical="center"/>
    </xf>
    <xf numFmtId="0" fontId="33" fillId="30" borderId="0" xfId="0" applyFont="1" applyFill="1" applyAlignment="1">
      <alignment horizontal="center" vertical="center"/>
    </xf>
    <xf numFmtId="0" fontId="28" fillId="47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" fillId="45" borderId="13" xfId="0" applyFont="1" applyFill="1" applyBorder="1" applyAlignment="1">
      <alignment horizontal="left" vertical="center" wrapText="1" indent="1"/>
    </xf>
  </cellXfs>
  <cellStyles count="8">
    <cellStyle name="Currency" xfId="2" builtinId="4"/>
    <cellStyle name="Currency 2" xfId="3" xr:uid="{00F1F68D-3DC5-469B-963F-1AB279461474}"/>
    <cellStyle name="Currency 3" xfId="5" xr:uid="{2B107DAA-A322-481F-81E7-1BCAA2781C18}"/>
    <cellStyle name="Normal" xfId="0" builtinId="0" customBuiltin="1"/>
    <cellStyle name="Normal 2" xfId="7" xr:uid="{BCA35052-EDFB-46DD-87FF-E7285C2ADC32}"/>
    <cellStyle name="Percent" xfId="1" builtinId="5"/>
    <cellStyle name="Percent 2" xfId="4" xr:uid="{9EDA9FD9-74C6-498F-AF3D-632C596E7068}"/>
    <cellStyle name="Percent 3" xfId="6" xr:uid="{BF031228-A652-4B84-97EC-DF184A09425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38DD5"/>
      <color rgb="FF1C4372"/>
      <color rgb="FF8E8E8E"/>
      <color rgb="FFAEC9E4"/>
      <color rgb="FF276B7B"/>
      <color rgb="FF888888"/>
      <color rgb="FFCCDAEC"/>
      <color rgb="FFF9ECFE"/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By Market</a:t>
            </a:r>
            <a:r>
              <a:rPr lang="en-IN" baseline="0">
                <a:solidFill>
                  <a:schemeClr val="tx1"/>
                </a:solidFill>
              </a:rPr>
              <a:t> Cap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882026110372569"/>
          <c:y val="3.316749585406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0207144561475269"/>
          <c:y val="0.25061307635053076"/>
          <c:w val="0.40451545829498586"/>
          <c:h val="0.5165454442572787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51-4EF9-9ABA-B565C5EE936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51-4EF9-9ABA-B565C5EE9368}"/>
              </c:ext>
            </c:extLst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051-4EF9-9ABA-B565C5EE9368}"/>
              </c:ext>
            </c:extLst>
          </c:dPt>
          <c:dLbls>
            <c:dLbl>
              <c:idx val="0"/>
              <c:spPr>
                <a:solidFill>
                  <a:schemeClr val="accent5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051-4EF9-9ABA-B565C5EE9368}"/>
                </c:ext>
              </c:extLst>
            </c:dLbl>
            <c:dLbl>
              <c:idx val="1"/>
              <c:spPr>
                <a:solidFill>
                  <a:schemeClr val="accent5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051-4EF9-9ABA-B565C5EE9368}"/>
                </c:ext>
              </c:extLst>
            </c:dLbl>
            <c:dLbl>
              <c:idx val="2"/>
              <c:spPr>
                <a:solidFill>
                  <a:schemeClr val="accent5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051-4EF9-9ABA-B565C5EE9368}"/>
                </c:ext>
              </c:extLst>
            </c:dLbl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Data'!$B$4:$B$6</c:f>
              <c:strCache>
                <c:ptCount val="3"/>
                <c:pt idx="0">
                  <c:v>Small Cap</c:v>
                </c:pt>
                <c:pt idx="1">
                  <c:v>Mid Cap</c:v>
                </c:pt>
                <c:pt idx="2">
                  <c:v>Large Cap</c:v>
                </c:pt>
              </c:strCache>
            </c:strRef>
          </c:cat>
          <c:val>
            <c:numRef>
              <c:f>'Chart Data'!$C$4:$C$6</c:f>
              <c:numCache>
                <c:formatCode>General</c:formatCode>
                <c:ptCount val="3"/>
                <c:pt idx="0">
                  <c:v>39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1-4EF9-9ABA-B565C5EE93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By Business</a:t>
            </a:r>
            <a:r>
              <a:rPr lang="en-IN" baseline="0"/>
              <a:t> Model</a:t>
            </a:r>
            <a:endParaRPr lang="en-IN"/>
          </a:p>
        </c:rich>
      </c:tx>
      <c:layout>
        <c:manualLayout>
          <c:xMode val="edge"/>
          <c:yMode val="edge"/>
          <c:x val="0.358979002624671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3B-4145-8EE7-8CDE81020638}"/>
              </c:ext>
            </c:extLst>
          </c:dPt>
          <c:dPt>
            <c:idx val="1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E9-4424-B5F6-973AE38E0B56}"/>
              </c:ext>
            </c:extLst>
          </c:dPt>
          <c:dPt>
            <c:idx val="2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E9-4424-B5F6-973AE38E0B56}"/>
              </c:ext>
            </c:extLst>
          </c:dPt>
          <c:dPt>
            <c:idx val="3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23B-4145-8EE7-8CDE81020638}"/>
              </c:ext>
            </c:extLst>
          </c:dPt>
          <c:dPt>
            <c:idx val="4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3B-4145-8EE7-8CDE81020638}"/>
              </c:ext>
            </c:extLst>
          </c:dPt>
          <c:dPt>
            <c:idx val="5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23B-4145-8EE7-8CDE81020638}"/>
              </c:ext>
            </c:extLst>
          </c:dPt>
          <c:dPt>
            <c:idx val="6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3B-4145-8EE7-8CDE81020638}"/>
              </c:ext>
            </c:extLst>
          </c:dPt>
          <c:dPt>
            <c:idx val="7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23B-4145-8EE7-8CDE81020638}"/>
              </c:ext>
            </c:extLst>
          </c:dPt>
          <c:dLbls>
            <c:dLbl>
              <c:idx val="0"/>
              <c:spPr>
                <a:solidFill>
                  <a:srgbClr val="CCDAEC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23B-4145-8EE7-8CDE8102063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23B-4145-8EE7-8CDE8102063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23B-4145-8EE7-8CDE8102063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23B-4145-8EE7-8CDE8102063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23B-4145-8EE7-8CDE8102063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23B-4145-8EE7-8CDE810206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Data'!$E$4:$E$11</c:f>
              <c:strCache>
                <c:ptCount val="8"/>
                <c:pt idx="0">
                  <c:v>Aerospace Systems</c:v>
                </c:pt>
                <c:pt idx="1">
                  <c:v>Land Systems</c:v>
                </c:pt>
                <c:pt idx="2">
                  <c:v>Naval Systems</c:v>
                </c:pt>
                <c:pt idx="3">
                  <c:v>Missile Systems</c:v>
                </c:pt>
                <c:pt idx="4">
                  <c:v>C4ISR and Electronic Warfare Systems</c:v>
                </c:pt>
                <c:pt idx="5">
                  <c:v>Electrical &amp; Electronic Solutions</c:v>
                </c:pt>
                <c:pt idx="6">
                  <c:v>Precision Components &amp; Tooling</c:v>
                </c:pt>
                <c:pt idx="7">
                  <c:v>Special Raw Material</c:v>
                </c:pt>
              </c:strCache>
            </c:strRef>
          </c:cat>
          <c:val>
            <c:numRef>
              <c:f>'Chart Data'!$F$4:$F$11</c:f>
              <c:numCache>
                <c:formatCode>General</c:formatCode>
                <c:ptCount val="8"/>
                <c:pt idx="0">
                  <c:v>6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10</c:v>
                </c:pt>
                <c:pt idx="5">
                  <c:v>8</c:v>
                </c:pt>
                <c:pt idx="6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B-4145-8EE7-8CDE81020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3.jpeg"/><Relationship Id="rId21" Type="http://schemas.openxmlformats.org/officeDocument/2006/relationships/image" Target="../media/image18.jpeg"/><Relationship Id="rId42" Type="http://schemas.openxmlformats.org/officeDocument/2006/relationships/image" Target="../media/image36.jpeg"/><Relationship Id="rId47" Type="http://schemas.openxmlformats.org/officeDocument/2006/relationships/image" Target="../media/image41.jpeg"/><Relationship Id="rId63" Type="http://schemas.microsoft.com/office/2007/relationships/hdphoto" Target="../media/hdphoto9.wdp"/><Relationship Id="rId68" Type="http://schemas.openxmlformats.org/officeDocument/2006/relationships/image" Target="../media/image58.jpeg"/><Relationship Id="rId84" Type="http://schemas.openxmlformats.org/officeDocument/2006/relationships/image" Target="../media/image74.jpeg"/><Relationship Id="rId89" Type="http://schemas.openxmlformats.org/officeDocument/2006/relationships/image" Target="../media/image79.jpeg"/><Relationship Id="rId112" Type="http://schemas.openxmlformats.org/officeDocument/2006/relationships/image" Target="../media/image101.png"/><Relationship Id="rId16" Type="http://schemas.openxmlformats.org/officeDocument/2006/relationships/image" Target="../media/image13.png"/><Relationship Id="rId107" Type="http://schemas.openxmlformats.org/officeDocument/2006/relationships/image" Target="../media/image96.jpeg"/><Relationship Id="rId11" Type="http://schemas.openxmlformats.org/officeDocument/2006/relationships/image" Target="../media/image9.jpeg"/><Relationship Id="rId32" Type="http://schemas.openxmlformats.org/officeDocument/2006/relationships/image" Target="../media/image29.png"/><Relationship Id="rId37" Type="http://schemas.openxmlformats.org/officeDocument/2006/relationships/image" Target="../media/image32.png"/><Relationship Id="rId53" Type="http://schemas.openxmlformats.org/officeDocument/2006/relationships/image" Target="../media/image46.png"/><Relationship Id="rId58" Type="http://schemas.openxmlformats.org/officeDocument/2006/relationships/image" Target="../media/image50.jpeg"/><Relationship Id="rId74" Type="http://schemas.openxmlformats.org/officeDocument/2006/relationships/image" Target="../media/image64.jpeg"/><Relationship Id="rId79" Type="http://schemas.openxmlformats.org/officeDocument/2006/relationships/image" Target="../media/image69.jpeg"/><Relationship Id="rId102" Type="http://schemas.openxmlformats.org/officeDocument/2006/relationships/image" Target="../media/image91.jpeg"/><Relationship Id="rId5" Type="http://schemas.openxmlformats.org/officeDocument/2006/relationships/image" Target="../media/image4.jpeg"/><Relationship Id="rId90" Type="http://schemas.openxmlformats.org/officeDocument/2006/relationships/image" Target="../media/image80.jpeg"/><Relationship Id="rId95" Type="http://schemas.openxmlformats.org/officeDocument/2006/relationships/image" Target="../media/image84.jpeg"/><Relationship Id="rId22" Type="http://schemas.openxmlformats.org/officeDocument/2006/relationships/image" Target="../media/image19.jpeg"/><Relationship Id="rId27" Type="http://schemas.openxmlformats.org/officeDocument/2006/relationships/image" Target="../media/image24.jpeg"/><Relationship Id="rId43" Type="http://schemas.openxmlformats.org/officeDocument/2006/relationships/image" Target="../media/image37.jpeg"/><Relationship Id="rId48" Type="http://schemas.openxmlformats.org/officeDocument/2006/relationships/image" Target="../media/image42.jpeg"/><Relationship Id="rId64" Type="http://schemas.openxmlformats.org/officeDocument/2006/relationships/image" Target="../media/image55.png"/><Relationship Id="rId69" Type="http://schemas.openxmlformats.org/officeDocument/2006/relationships/image" Target="../media/image59.jpeg"/><Relationship Id="rId113" Type="http://schemas.openxmlformats.org/officeDocument/2006/relationships/image" Target="../media/image102.png"/><Relationship Id="rId80" Type="http://schemas.openxmlformats.org/officeDocument/2006/relationships/image" Target="../media/image70.jpeg"/><Relationship Id="rId85" Type="http://schemas.openxmlformats.org/officeDocument/2006/relationships/image" Target="../media/image75.jpeg"/><Relationship Id="rId12" Type="http://schemas.openxmlformats.org/officeDocument/2006/relationships/image" Target="../media/image10.jpeg"/><Relationship Id="rId17" Type="http://schemas.openxmlformats.org/officeDocument/2006/relationships/image" Target="../media/image14.jpeg"/><Relationship Id="rId33" Type="http://schemas.microsoft.com/office/2007/relationships/hdphoto" Target="../media/hdphoto4.wdp"/><Relationship Id="rId38" Type="http://schemas.microsoft.com/office/2007/relationships/hdphoto" Target="../media/hdphoto6.wdp"/><Relationship Id="rId59" Type="http://schemas.openxmlformats.org/officeDocument/2006/relationships/image" Target="../media/image51.png"/><Relationship Id="rId103" Type="http://schemas.openxmlformats.org/officeDocument/2006/relationships/image" Target="../media/image92.png"/><Relationship Id="rId108" Type="http://schemas.openxmlformats.org/officeDocument/2006/relationships/image" Target="../media/image97.png"/><Relationship Id="rId54" Type="http://schemas.openxmlformats.org/officeDocument/2006/relationships/image" Target="../media/image47.jpeg"/><Relationship Id="rId70" Type="http://schemas.openxmlformats.org/officeDocument/2006/relationships/image" Target="../media/image60.jpeg"/><Relationship Id="rId75" Type="http://schemas.openxmlformats.org/officeDocument/2006/relationships/image" Target="../media/image65.png"/><Relationship Id="rId91" Type="http://schemas.openxmlformats.org/officeDocument/2006/relationships/image" Target="../media/image81.jpeg"/><Relationship Id="rId96" Type="http://schemas.openxmlformats.org/officeDocument/2006/relationships/image" Target="../media/image85.jpe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5" Type="http://schemas.microsoft.com/office/2007/relationships/hdphoto" Target="../media/hdphoto3.wdp"/><Relationship Id="rId23" Type="http://schemas.openxmlformats.org/officeDocument/2006/relationships/image" Target="../media/image20.jpeg"/><Relationship Id="rId28" Type="http://schemas.openxmlformats.org/officeDocument/2006/relationships/image" Target="../media/image25.png"/><Relationship Id="rId36" Type="http://schemas.microsoft.com/office/2007/relationships/hdphoto" Target="../media/hdphoto5.wdp"/><Relationship Id="rId49" Type="http://schemas.openxmlformats.org/officeDocument/2006/relationships/image" Target="../media/image43.jpeg"/><Relationship Id="rId57" Type="http://schemas.microsoft.com/office/2007/relationships/hdphoto" Target="../media/hdphoto8.wdp"/><Relationship Id="rId106" Type="http://schemas.openxmlformats.org/officeDocument/2006/relationships/image" Target="../media/image95.png"/><Relationship Id="rId10" Type="http://schemas.openxmlformats.org/officeDocument/2006/relationships/image" Target="../media/image8.jpeg"/><Relationship Id="rId31" Type="http://schemas.openxmlformats.org/officeDocument/2006/relationships/image" Target="../media/image28.jpeg"/><Relationship Id="rId44" Type="http://schemas.openxmlformats.org/officeDocument/2006/relationships/image" Target="../media/image38.jpeg"/><Relationship Id="rId52" Type="http://schemas.openxmlformats.org/officeDocument/2006/relationships/image" Target="../media/image45.png"/><Relationship Id="rId60" Type="http://schemas.openxmlformats.org/officeDocument/2006/relationships/image" Target="../media/image52.jpeg"/><Relationship Id="rId65" Type="http://schemas.microsoft.com/office/2007/relationships/hdphoto" Target="../media/hdphoto10.wdp"/><Relationship Id="rId73" Type="http://schemas.openxmlformats.org/officeDocument/2006/relationships/image" Target="../media/image63.png"/><Relationship Id="rId78" Type="http://schemas.openxmlformats.org/officeDocument/2006/relationships/image" Target="../media/image68.png"/><Relationship Id="rId81" Type="http://schemas.openxmlformats.org/officeDocument/2006/relationships/image" Target="../media/image71.jpeg"/><Relationship Id="rId86" Type="http://schemas.openxmlformats.org/officeDocument/2006/relationships/image" Target="../media/image76.jpeg"/><Relationship Id="rId94" Type="http://schemas.microsoft.com/office/2007/relationships/hdphoto" Target="../media/hdphoto11.wdp"/><Relationship Id="rId99" Type="http://schemas.openxmlformats.org/officeDocument/2006/relationships/image" Target="../media/image88.png"/><Relationship Id="rId101" Type="http://schemas.openxmlformats.org/officeDocument/2006/relationships/image" Target="../media/image90.jpeg"/><Relationship Id="rId4" Type="http://schemas.microsoft.com/office/2007/relationships/hdphoto" Target="../media/hdphoto1.wdp"/><Relationship Id="rId9" Type="http://schemas.openxmlformats.org/officeDocument/2006/relationships/image" Target="../media/image7.jpeg"/><Relationship Id="rId13" Type="http://schemas.openxmlformats.org/officeDocument/2006/relationships/image" Target="../media/image11.jpeg"/><Relationship Id="rId18" Type="http://schemas.openxmlformats.org/officeDocument/2006/relationships/image" Target="../media/image15.jpeg"/><Relationship Id="rId39" Type="http://schemas.openxmlformats.org/officeDocument/2006/relationships/image" Target="../media/image33.jpeg"/><Relationship Id="rId109" Type="http://schemas.openxmlformats.org/officeDocument/2006/relationships/image" Target="../media/image98.jpeg"/><Relationship Id="rId34" Type="http://schemas.openxmlformats.org/officeDocument/2006/relationships/image" Target="../media/image30.jpeg"/><Relationship Id="rId50" Type="http://schemas.openxmlformats.org/officeDocument/2006/relationships/image" Target="../media/image44.png"/><Relationship Id="rId55" Type="http://schemas.openxmlformats.org/officeDocument/2006/relationships/image" Target="../media/image48.jpeg"/><Relationship Id="rId76" Type="http://schemas.openxmlformats.org/officeDocument/2006/relationships/image" Target="../media/image66.jpeg"/><Relationship Id="rId97" Type="http://schemas.openxmlformats.org/officeDocument/2006/relationships/image" Target="../media/image86.jpeg"/><Relationship Id="rId104" Type="http://schemas.openxmlformats.org/officeDocument/2006/relationships/image" Target="../media/image93.png"/><Relationship Id="rId7" Type="http://schemas.openxmlformats.org/officeDocument/2006/relationships/image" Target="../media/image6.png"/><Relationship Id="rId71" Type="http://schemas.openxmlformats.org/officeDocument/2006/relationships/image" Target="../media/image61.jpeg"/><Relationship Id="rId92" Type="http://schemas.openxmlformats.org/officeDocument/2006/relationships/image" Target="../media/image82.jpeg"/><Relationship Id="rId2" Type="http://schemas.openxmlformats.org/officeDocument/2006/relationships/image" Target="../media/image2.jpeg"/><Relationship Id="rId29" Type="http://schemas.openxmlformats.org/officeDocument/2006/relationships/image" Target="../media/image26.png"/><Relationship Id="rId24" Type="http://schemas.openxmlformats.org/officeDocument/2006/relationships/image" Target="../media/image21.jpeg"/><Relationship Id="rId40" Type="http://schemas.openxmlformats.org/officeDocument/2006/relationships/image" Target="../media/image34.jpeg"/><Relationship Id="rId45" Type="http://schemas.openxmlformats.org/officeDocument/2006/relationships/image" Target="../media/image39.png"/><Relationship Id="rId66" Type="http://schemas.openxmlformats.org/officeDocument/2006/relationships/image" Target="../media/image56.jpeg"/><Relationship Id="rId87" Type="http://schemas.openxmlformats.org/officeDocument/2006/relationships/image" Target="../media/image77.png"/><Relationship Id="rId110" Type="http://schemas.openxmlformats.org/officeDocument/2006/relationships/image" Target="../media/image99.jpeg"/><Relationship Id="rId61" Type="http://schemas.openxmlformats.org/officeDocument/2006/relationships/image" Target="../media/image53.png"/><Relationship Id="rId82" Type="http://schemas.openxmlformats.org/officeDocument/2006/relationships/image" Target="../media/image72.jpeg"/><Relationship Id="rId19" Type="http://schemas.openxmlformats.org/officeDocument/2006/relationships/image" Target="../media/image16.png"/><Relationship Id="rId14" Type="http://schemas.openxmlformats.org/officeDocument/2006/relationships/image" Target="../media/image12.png"/><Relationship Id="rId30" Type="http://schemas.openxmlformats.org/officeDocument/2006/relationships/image" Target="../media/image27.jpeg"/><Relationship Id="rId35" Type="http://schemas.openxmlformats.org/officeDocument/2006/relationships/image" Target="../media/image31.png"/><Relationship Id="rId56" Type="http://schemas.openxmlformats.org/officeDocument/2006/relationships/image" Target="../media/image49.png"/><Relationship Id="rId77" Type="http://schemas.openxmlformats.org/officeDocument/2006/relationships/image" Target="../media/image67.jpeg"/><Relationship Id="rId100" Type="http://schemas.openxmlformats.org/officeDocument/2006/relationships/image" Target="../media/image89.jpeg"/><Relationship Id="rId105" Type="http://schemas.openxmlformats.org/officeDocument/2006/relationships/image" Target="../media/image94.jpeg"/><Relationship Id="rId8" Type="http://schemas.microsoft.com/office/2007/relationships/hdphoto" Target="../media/hdphoto2.wdp"/><Relationship Id="rId51" Type="http://schemas.microsoft.com/office/2007/relationships/hdphoto" Target="../media/hdphoto7.wdp"/><Relationship Id="rId72" Type="http://schemas.openxmlformats.org/officeDocument/2006/relationships/image" Target="../media/image62.jpeg"/><Relationship Id="rId93" Type="http://schemas.openxmlformats.org/officeDocument/2006/relationships/image" Target="../media/image83.png"/><Relationship Id="rId98" Type="http://schemas.openxmlformats.org/officeDocument/2006/relationships/image" Target="../media/image87.png"/><Relationship Id="rId3" Type="http://schemas.openxmlformats.org/officeDocument/2006/relationships/image" Target="../media/image3.png"/><Relationship Id="rId25" Type="http://schemas.openxmlformats.org/officeDocument/2006/relationships/image" Target="../media/image22.jpeg"/><Relationship Id="rId46" Type="http://schemas.openxmlformats.org/officeDocument/2006/relationships/image" Target="../media/image40.jpeg"/><Relationship Id="rId67" Type="http://schemas.openxmlformats.org/officeDocument/2006/relationships/image" Target="../media/image57.jpeg"/><Relationship Id="rId20" Type="http://schemas.openxmlformats.org/officeDocument/2006/relationships/image" Target="../media/image17.jpeg"/><Relationship Id="rId41" Type="http://schemas.openxmlformats.org/officeDocument/2006/relationships/image" Target="../media/image35.jpeg"/><Relationship Id="rId62" Type="http://schemas.openxmlformats.org/officeDocument/2006/relationships/image" Target="../media/image54.png"/><Relationship Id="rId83" Type="http://schemas.openxmlformats.org/officeDocument/2006/relationships/image" Target="../media/image73.png"/><Relationship Id="rId88" Type="http://schemas.openxmlformats.org/officeDocument/2006/relationships/image" Target="../media/image78.png"/><Relationship Id="rId111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5</xdr:row>
      <xdr:rowOff>30480</xdr:rowOff>
    </xdr:from>
    <xdr:to>
      <xdr:col>4</xdr:col>
      <xdr:colOff>60960</xdr:colOff>
      <xdr:row>11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A412A8-D6B5-9AF1-470B-0B548CE21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160020</xdr:colOff>
      <xdr:row>5</xdr:row>
      <xdr:rowOff>3810</xdr:rowOff>
    </xdr:from>
    <xdr:to>
      <xdr:col>11</xdr:col>
      <xdr:colOff>464820</xdr:colOff>
      <xdr:row>12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2D723D-42AA-2711-175F-C3F1F4319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304160</xdr:colOff>
      <xdr:row>8</xdr:row>
      <xdr:rowOff>320808</xdr:rowOff>
    </xdr:from>
    <xdr:to>
      <xdr:col>5</xdr:col>
      <xdr:colOff>1523359</xdr:colOff>
      <xdr:row>8</xdr:row>
      <xdr:rowOff>644346</xdr:rowOff>
    </xdr:to>
    <xdr:pic>
      <xdr:nvPicPr>
        <xdr:cNvPr id="2" name="Picture 1" descr="Bharat Electronics – Spectacular show">
          <a:extLst>
            <a:ext uri="{FF2B5EF4-FFF2-40B4-BE49-F238E27FC236}">
              <a16:creationId xmlns:a16="http://schemas.microsoft.com/office/drawing/2014/main" id="{64D17B4D-60D8-A714-A944-4AF9A965C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6817" y="1910122"/>
          <a:ext cx="1219199" cy="32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1035755</xdr:colOff>
      <xdr:row>8</xdr:row>
      <xdr:rowOff>342242</xdr:rowOff>
    </xdr:from>
    <xdr:to>
      <xdr:col>2</xdr:col>
      <xdr:colOff>2344532</xdr:colOff>
      <xdr:row>8</xdr:row>
      <xdr:rowOff>880125</xdr:rowOff>
    </xdr:to>
    <xdr:pic>
      <xdr:nvPicPr>
        <xdr:cNvPr id="6" name="Picture 5" descr="EBA Global - Hindustan Aeronautics Limited">
          <a:extLst>
            <a:ext uri="{FF2B5EF4-FFF2-40B4-BE49-F238E27FC236}">
              <a16:creationId xmlns:a16="http://schemas.microsoft.com/office/drawing/2014/main" id="{CE96DD76-0E97-4D57-B908-9223B49C19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55" b="29257"/>
        <a:stretch>
          <a:fillRect/>
        </a:stretch>
      </xdr:blipFill>
      <xdr:spPr bwMode="auto">
        <a:xfrm>
          <a:off x="3603977" y="1922686"/>
          <a:ext cx="1308777" cy="537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2684916</xdr:colOff>
      <xdr:row>8</xdr:row>
      <xdr:rowOff>113282</xdr:rowOff>
    </xdr:from>
    <xdr:to>
      <xdr:col>2</xdr:col>
      <xdr:colOff>3692602</xdr:colOff>
      <xdr:row>8</xdr:row>
      <xdr:rowOff>1063541</xdr:rowOff>
    </xdr:to>
    <xdr:pic>
      <xdr:nvPicPr>
        <xdr:cNvPr id="7" name="Picture 6" descr="Full Form of ADA in Aeronautics (India) | FullForms">
          <a:extLst>
            <a:ext uri="{FF2B5EF4-FFF2-40B4-BE49-F238E27FC236}">
              <a16:creationId xmlns:a16="http://schemas.microsoft.com/office/drawing/2014/main" id="{3EE48BD1-9EC4-4467-1BAD-E2450F531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4933" b="95964" l="6992" r="94915">
                      <a14:foregroundMark x1="48941" y1="18161" x2="36441" y2="26457"/>
                      <a14:foregroundMark x1="36441" y1="26457" x2="39831" y2="55157"/>
                      <a14:foregroundMark x1="39831" y1="55157" x2="45763" y2="26682"/>
                      <a14:foregroundMark x1="45763" y1="26682" x2="55720" y2="57623"/>
                      <a14:foregroundMark x1="55720" y1="57623" x2="61653" y2="45291"/>
                      <a14:foregroundMark x1="55297" y1="26906" x2="68008" y2="44395"/>
                      <a14:foregroundMark x1="68008" y1="44395" x2="48517" y2="65695"/>
                      <a14:foregroundMark x1="48517" y1="65695" x2="41737" y2="35202"/>
                      <a14:foregroundMark x1="41737" y1="35202" x2="70127" y2="45291"/>
                      <a14:foregroundMark x1="70127" y1="45291" x2="70763" y2="46637"/>
                      <a14:foregroundMark x1="40890" y1="28700" x2="40466" y2="74664"/>
                      <a14:foregroundMark x1="40466" y1="74664" x2="69068" y2="67937"/>
                      <a14:foregroundMark x1="69068" y1="67937" x2="38136" y2="33857"/>
                      <a14:foregroundMark x1="38136" y1="33857" x2="29873" y2="34753"/>
                      <a14:foregroundMark x1="75847" y1="76682" x2="54237" y2="92152"/>
                      <a14:foregroundMark x1="54237" y1="92152" x2="34746" y2="75112"/>
                      <a14:foregroundMark x1="42161" y1="88117" x2="54025" y2="95516"/>
                      <a14:foregroundMark x1="54025" y1="95516" x2="56992" y2="91928"/>
                      <a14:foregroundMark x1="88983" y1="68610" x2="94492" y2="48879"/>
                      <a14:foregroundMark x1="94492" y1="48879" x2="92373" y2="36323"/>
                      <a14:foregroundMark x1="92373" y1="36323" x2="84958" y2="24439"/>
                      <a14:foregroundMark x1="84958" y1="24439" x2="63983" y2="8744"/>
                      <a14:foregroundMark x1="63983" y1="8744" x2="36229" y2="8744"/>
                      <a14:foregroundMark x1="36229" y1="8744" x2="23305" y2="17489"/>
                      <a14:foregroundMark x1="23305" y1="17489" x2="15042" y2="28475"/>
                      <a14:foregroundMark x1="15042" y1="28475" x2="9534" y2="47982"/>
                      <a14:foregroundMark x1="9534" y1="47982" x2="9746" y2="65695"/>
                      <a14:foregroundMark x1="9746" y1="65695" x2="12924" y2="69955"/>
                      <a14:foregroundMark x1="8898" y1="47982" x2="9534" y2="31166"/>
                      <a14:foregroundMark x1="9534" y1="31166" x2="10381" y2="29596"/>
                      <a14:foregroundMark x1="37076" y1="5605" x2="63347" y2="4933"/>
                      <a14:foregroundMark x1="63347" y1="4933" x2="69068" y2="6054"/>
                      <a14:foregroundMark x1="7415" y1="50448" x2="10381" y2="65247"/>
                      <a14:foregroundMark x1="75847" y1="22646" x2="84534" y2="36547"/>
                      <a14:foregroundMark x1="84534" y1="36547" x2="87500" y2="60538"/>
                      <a14:foregroundMark x1="87500" y1="60538" x2="86017" y2="64574"/>
                      <a14:foregroundMark x1="93220" y1="37892" x2="95127" y2="53812"/>
                      <a14:foregroundMark x1="95127" y1="53812" x2="94280" y2="60538"/>
                      <a14:foregroundMark x1="92161" y1="65695" x2="81144" y2="85650"/>
                      <a14:foregroundMark x1="81144" y1="85650" x2="71186" y2="92601"/>
                      <a14:foregroundMark x1="71186" y1="92601" x2="51059" y2="97085"/>
                      <a14:foregroundMark x1="51059" y1="97085" x2="40042" y2="95964"/>
                      <a14:foregroundMark x1="40042" y1="95964" x2="22034" y2="83408"/>
                      <a14:foregroundMark x1="22034" y1="83408" x2="12924" y2="71749"/>
                      <a14:foregroundMark x1="12924" y1="71749" x2="10593" y2="65247"/>
                      <a14:foregroundMark x1="6992" y1="52018" x2="8475" y2="64574"/>
                      <a14:foregroundMark x1="8475" y1="64574" x2="19068" y2="82735"/>
                      <a14:foregroundMark x1="19068" y1="82735" x2="27542" y2="89686"/>
                      <a14:foregroundMark x1="27542" y1="89686" x2="38136" y2="93498"/>
                      <a14:foregroundMark x1="94280" y1="60987" x2="88559" y2="75561"/>
                      <a14:foregroundMark x1="88559" y1="75561" x2="84746" y2="809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3138" y="1693726"/>
          <a:ext cx="1007686" cy="950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207095</xdr:colOff>
      <xdr:row>8</xdr:row>
      <xdr:rowOff>295835</xdr:rowOff>
    </xdr:from>
    <xdr:to>
      <xdr:col>3</xdr:col>
      <xdr:colOff>941294</xdr:colOff>
      <xdr:row>8</xdr:row>
      <xdr:rowOff>597577</xdr:rowOff>
    </xdr:to>
    <xdr:pic>
      <xdr:nvPicPr>
        <xdr:cNvPr id="8" name="Picture 7" descr="EBA Global - Hindustan Aeronautics Limited">
          <a:extLst>
            <a:ext uri="{FF2B5EF4-FFF2-40B4-BE49-F238E27FC236}">
              <a16:creationId xmlns:a16="http://schemas.microsoft.com/office/drawing/2014/main" id="{F1ECAD68-70D6-4196-82FE-BC3992F180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55" b="29257"/>
        <a:stretch>
          <a:fillRect/>
        </a:stretch>
      </xdr:blipFill>
      <xdr:spPr bwMode="auto">
        <a:xfrm>
          <a:off x="5200436" y="1846729"/>
          <a:ext cx="734199" cy="301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8197" name="AutoShape 5" descr="Indian Air Force Logo Png">
          <a:extLst>
            <a:ext uri="{FF2B5EF4-FFF2-40B4-BE49-F238E27FC236}">
              <a16:creationId xmlns:a16="http://schemas.microsoft.com/office/drawing/2014/main" id="{067ADEC8-335E-7A16-D6AA-114EA9983889}"/>
            </a:ext>
          </a:extLst>
        </xdr:cNvPr>
        <xdr:cNvSpPr>
          <a:spLocks noChangeAspect="1" noChangeArrowheads="1"/>
        </xdr:cNvSpPr>
      </xdr:nvSpPr>
      <xdr:spPr bwMode="auto">
        <a:xfrm>
          <a:off x="4991100" y="15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8198" name="AutoShape 6" descr="Indian Air Force Logo Png">
          <a:extLst>
            <a:ext uri="{FF2B5EF4-FFF2-40B4-BE49-F238E27FC236}">
              <a16:creationId xmlns:a16="http://schemas.microsoft.com/office/drawing/2014/main" id="{CA7711B3-79EF-66F7-63B1-6139E5B00C18}"/>
            </a:ext>
          </a:extLst>
        </xdr:cNvPr>
        <xdr:cNvSpPr>
          <a:spLocks noChangeAspect="1" noChangeArrowheads="1"/>
        </xdr:cNvSpPr>
      </xdr:nvSpPr>
      <xdr:spPr bwMode="auto">
        <a:xfrm>
          <a:off x="4991100" y="272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914401</xdr:colOff>
      <xdr:row>8</xdr:row>
      <xdr:rowOff>26895</xdr:rowOff>
    </xdr:from>
    <xdr:to>
      <xdr:col>3</xdr:col>
      <xdr:colOff>2154086</xdr:colOff>
      <xdr:row>8</xdr:row>
      <xdr:rowOff>1057836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BBCDDA1-496D-D9DC-ED35-1A1306066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07742" y="1577789"/>
          <a:ext cx="1239685" cy="1030941"/>
        </a:xfrm>
        <a:prstGeom prst="rect">
          <a:avLst/>
        </a:prstGeom>
      </xdr:spPr>
    </xdr:pic>
    <xdr:clientData/>
  </xdr:twoCellAnchor>
  <xdr:twoCellAnchor editAs="oneCell">
    <xdr:from>
      <xdr:col>3</xdr:col>
      <xdr:colOff>2133600</xdr:colOff>
      <xdr:row>8</xdr:row>
      <xdr:rowOff>161365</xdr:rowOff>
    </xdr:from>
    <xdr:to>
      <xdr:col>3</xdr:col>
      <xdr:colOff>2818067</xdr:colOff>
      <xdr:row>8</xdr:row>
      <xdr:rowOff>806825</xdr:rowOff>
    </xdr:to>
    <xdr:pic>
      <xdr:nvPicPr>
        <xdr:cNvPr id="10" name="Picture 9" descr="Full Form of ADA in Aeronautics (India) | FullForms">
          <a:extLst>
            <a:ext uri="{FF2B5EF4-FFF2-40B4-BE49-F238E27FC236}">
              <a16:creationId xmlns:a16="http://schemas.microsoft.com/office/drawing/2014/main" id="{4957248C-09DE-44BF-B5FD-3F528F5DB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4933" b="95964" l="6992" r="94915">
                      <a14:foregroundMark x1="48941" y1="18161" x2="36441" y2="26457"/>
                      <a14:foregroundMark x1="36441" y1="26457" x2="39831" y2="55157"/>
                      <a14:foregroundMark x1="39831" y1="55157" x2="45763" y2="26682"/>
                      <a14:foregroundMark x1="45763" y1="26682" x2="55720" y2="57623"/>
                      <a14:foregroundMark x1="55720" y1="57623" x2="61653" y2="45291"/>
                      <a14:foregroundMark x1="55297" y1="26906" x2="68008" y2="44395"/>
                      <a14:foregroundMark x1="68008" y1="44395" x2="48517" y2="65695"/>
                      <a14:foregroundMark x1="48517" y1="65695" x2="41737" y2="35202"/>
                      <a14:foregroundMark x1="41737" y1="35202" x2="70127" y2="45291"/>
                      <a14:foregroundMark x1="70127" y1="45291" x2="70763" y2="46637"/>
                      <a14:foregroundMark x1="40890" y1="28700" x2="40466" y2="74664"/>
                      <a14:foregroundMark x1="40466" y1="74664" x2="69068" y2="67937"/>
                      <a14:foregroundMark x1="69068" y1="67937" x2="38136" y2="33857"/>
                      <a14:foregroundMark x1="38136" y1="33857" x2="29873" y2="34753"/>
                      <a14:foregroundMark x1="75847" y1="76682" x2="54237" y2="92152"/>
                      <a14:foregroundMark x1="54237" y1="92152" x2="34746" y2="75112"/>
                      <a14:foregroundMark x1="42161" y1="88117" x2="54025" y2="95516"/>
                      <a14:foregroundMark x1="54025" y1="95516" x2="56992" y2="91928"/>
                      <a14:foregroundMark x1="88983" y1="68610" x2="94492" y2="48879"/>
                      <a14:foregroundMark x1="94492" y1="48879" x2="92373" y2="36323"/>
                      <a14:foregroundMark x1="92373" y1="36323" x2="84958" y2="24439"/>
                      <a14:foregroundMark x1="84958" y1="24439" x2="63983" y2="8744"/>
                      <a14:foregroundMark x1="63983" y1="8744" x2="36229" y2="8744"/>
                      <a14:foregroundMark x1="36229" y1="8744" x2="23305" y2="17489"/>
                      <a14:foregroundMark x1="23305" y1="17489" x2="15042" y2="28475"/>
                      <a14:foregroundMark x1="15042" y1="28475" x2="9534" y2="47982"/>
                      <a14:foregroundMark x1="9534" y1="47982" x2="9746" y2="65695"/>
                      <a14:foregroundMark x1="9746" y1="65695" x2="12924" y2="69955"/>
                      <a14:foregroundMark x1="8898" y1="47982" x2="9534" y2="31166"/>
                      <a14:foregroundMark x1="9534" y1="31166" x2="10381" y2="29596"/>
                      <a14:foregroundMark x1="37076" y1="5605" x2="63347" y2="4933"/>
                      <a14:foregroundMark x1="63347" y1="4933" x2="69068" y2="6054"/>
                      <a14:foregroundMark x1="7415" y1="50448" x2="10381" y2="65247"/>
                      <a14:foregroundMark x1="75847" y1="22646" x2="84534" y2="36547"/>
                      <a14:foregroundMark x1="84534" y1="36547" x2="87500" y2="60538"/>
                      <a14:foregroundMark x1="87500" y1="60538" x2="86017" y2="64574"/>
                      <a14:foregroundMark x1="93220" y1="37892" x2="95127" y2="53812"/>
                      <a14:foregroundMark x1="95127" y1="53812" x2="94280" y2="60538"/>
                      <a14:foregroundMark x1="92161" y1="65695" x2="81144" y2="85650"/>
                      <a14:foregroundMark x1="81144" y1="85650" x2="71186" y2="92601"/>
                      <a14:foregroundMark x1="71186" y1="92601" x2="51059" y2="97085"/>
                      <a14:foregroundMark x1="51059" y1="97085" x2="40042" y2="95964"/>
                      <a14:foregroundMark x1="40042" y1="95964" x2="22034" y2="83408"/>
                      <a14:foregroundMark x1="22034" y1="83408" x2="12924" y2="71749"/>
                      <a14:foregroundMark x1="12924" y1="71749" x2="10593" y2="65247"/>
                      <a14:foregroundMark x1="6992" y1="52018" x2="8475" y2="64574"/>
                      <a14:foregroundMark x1="8475" y1="64574" x2="19068" y2="82735"/>
                      <a14:foregroundMark x1="19068" y1="82735" x2="27542" y2="89686"/>
                      <a14:foregroundMark x1="27542" y1="89686" x2="38136" y2="93498"/>
                      <a14:foregroundMark x1="94280" y1="60987" x2="88559" y2="75561"/>
                      <a14:foregroundMark x1="88559" y1="75561" x2="84746" y2="809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6941" y="1712259"/>
          <a:ext cx="684467" cy="64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625199</xdr:colOff>
      <xdr:row>8</xdr:row>
      <xdr:rowOff>202280</xdr:rowOff>
    </xdr:from>
    <xdr:to>
      <xdr:col>4</xdr:col>
      <xdr:colOff>1817505</xdr:colOff>
      <xdr:row>8</xdr:row>
      <xdr:rowOff>723460</xdr:rowOff>
    </xdr:to>
    <xdr:pic>
      <xdr:nvPicPr>
        <xdr:cNvPr id="13" name="Picture 12" descr="General Electric Archives - PLC Source">
          <a:extLst>
            <a:ext uri="{FF2B5EF4-FFF2-40B4-BE49-F238E27FC236}">
              <a16:creationId xmlns:a16="http://schemas.microsoft.com/office/drawing/2014/main" id="{798B7A88-9713-6BFA-6602-B39371690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5048" y="1812544"/>
          <a:ext cx="1192306" cy="52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9</xdr:row>
      <xdr:rowOff>304800</xdr:rowOff>
    </xdr:to>
    <xdr:sp macro="" textlink="">
      <xdr:nvSpPr>
        <xdr:cNvPr id="8202" name="AutoShape 10" descr="Safran Logo and symbol, meaning, history, PNG">
          <a:extLst>
            <a:ext uri="{FF2B5EF4-FFF2-40B4-BE49-F238E27FC236}">
              <a16:creationId xmlns:a16="http://schemas.microsoft.com/office/drawing/2014/main" id="{B2F09B2A-8B8D-3BB6-E280-BF6AB17DF632}"/>
            </a:ext>
          </a:extLst>
        </xdr:cNvPr>
        <xdr:cNvSpPr>
          <a:spLocks noChangeAspect="1" noChangeArrowheads="1"/>
        </xdr:cNvSpPr>
      </xdr:nvSpPr>
      <xdr:spPr bwMode="auto">
        <a:xfrm>
          <a:off x="7993380" y="272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9</xdr:row>
      <xdr:rowOff>304800</xdr:rowOff>
    </xdr:to>
    <xdr:sp macro="" textlink="">
      <xdr:nvSpPr>
        <xdr:cNvPr id="8203" name="AutoShape 11" descr="Safran Logo and symbol, meaning, history, PNG">
          <a:extLst>
            <a:ext uri="{FF2B5EF4-FFF2-40B4-BE49-F238E27FC236}">
              <a16:creationId xmlns:a16="http://schemas.microsoft.com/office/drawing/2014/main" id="{A73EB084-2340-E872-0562-1100B73BEF1D}"/>
            </a:ext>
          </a:extLst>
        </xdr:cNvPr>
        <xdr:cNvSpPr>
          <a:spLocks noChangeAspect="1" noChangeArrowheads="1"/>
        </xdr:cNvSpPr>
      </xdr:nvSpPr>
      <xdr:spPr bwMode="auto">
        <a:xfrm>
          <a:off x="7993380" y="272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9</xdr:row>
      <xdr:rowOff>304800</xdr:rowOff>
    </xdr:to>
    <xdr:sp macro="" textlink="">
      <xdr:nvSpPr>
        <xdr:cNvPr id="8204" name="AutoShape 12" descr="Safran Logo Download png">
          <a:extLst>
            <a:ext uri="{FF2B5EF4-FFF2-40B4-BE49-F238E27FC236}">
              <a16:creationId xmlns:a16="http://schemas.microsoft.com/office/drawing/2014/main" id="{D9119689-4F5B-394E-97D2-543DDFE746CE}"/>
            </a:ext>
          </a:extLst>
        </xdr:cNvPr>
        <xdr:cNvSpPr>
          <a:spLocks noChangeAspect="1" noChangeArrowheads="1"/>
        </xdr:cNvSpPr>
      </xdr:nvSpPr>
      <xdr:spPr bwMode="auto">
        <a:xfrm>
          <a:off x="7993380" y="272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9</xdr:row>
      <xdr:rowOff>304800</xdr:rowOff>
    </xdr:to>
    <xdr:sp macro="" textlink="">
      <xdr:nvSpPr>
        <xdr:cNvPr id="8205" name="AutoShape 13" descr="Safran Logo Download png">
          <a:extLst>
            <a:ext uri="{FF2B5EF4-FFF2-40B4-BE49-F238E27FC236}">
              <a16:creationId xmlns:a16="http://schemas.microsoft.com/office/drawing/2014/main" id="{7DC0B3F1-32E8-00F8-6D34-A5F90A4175DD}"/>
            </a:ext>
          </a:extLst>
        </xdr:cNvPr>
        <xdr:cNvSpPr>
          <a:spLocks noChangeAspect="1" noChangeArrowheads="1"/>
        </xdr:cNvSpPr>
      </xdr:nvSpPr>
      <xdr:spPr bwMode="auto">
        <a:xfrm>
          <a:off x="7993380" y="272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9</xdr:row>
      <xdr:rowOff>304800</xdr:rowOff>
    </xdr:to>
    <xdr:sp macro="" textlink="">
      <xdr:nvSpPr>
        <xdr:cNvPr id="8206" name="AutoShape 14" descr="Safran - Global Technology Leader in Aerospace, Defense, and Security">
          <a:extLst>
            <a:ext uri="{FF2B5EF4-FFF2-40B4-BE49-F238E27FC236}">
              <a16:creationId xmlns:a16="http://schemas.microsoft.com/office/drawing/2014/main" id="{156A39D6-64C9-718A-E617-4B0BC9DD8F83}"/>
            </a:ext>
          </a:extLst>
        </xdr:cNvPr>
        <xdr:cNvSpPr>
          <a:spLocks noChangeAspect="1" noChangeArrowheads="1"/>
        </xdr:cNvSpPr>
      </xdr:nvSpPr>
      <xdr:spPr bwMode="auto">
        <a:xfrm>
          <a:off x="7993380" y="272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525994</xdr:colOff>
      <xdr:row>8</xdr:row>
      <xdr:rowOff>663966</xdr:rowOff>
    </xdr:from>
    <xdr:to>
      <xdr:col>4</xdr:col>
      <xdr:colOff>1972660</xdr:colOff>
      <xdr:row>8</xdr:row>
      <xdr:rowOff>1085307</xdr:rowOff>
    </xdr:to>
    <xdr:pic>
      <xdr:nvPicPr>
        <xdr:cNvPr id="14" name="Picture 13" descr="safran-logo-2">
          <a:extLst>
            <a:ext uri="{FF2B5EF4-FFF2-40B4-BE49-F238E27FC236}">
              <a16:creationId xmlns:a16="http://schemas.microsoft.com/office/drawing/2014/main" id="{25E5B4C2-06C5-1321-99AF-90AECC430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5843" y="2274230"/>
          <a:ext cx="1446666" cy="421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2238615</xdr:colOff>
      <xdr:row>8</xdr:row>
      <xdr:rowOff>277900</xdr:rowOff>
    </xdr:from>
    <xdr:to>
      <xdr:col>4</xdr:col>
      <xdr:colOff>3169598</xdr:colOff>
      <xdr:row>8</xdr:row>
      <xdr:rowOff>1031518</xdr:rowOff>
    </xdr:to>
    <xdr:pic>
      <xdr:nvPicPr>
        <xdr:cNvPr id="15" name="Picture 14" descr="Rolls Royce Brand Logo Car Symbol Black Design British Automobile ...">
          <a:extLst>
            <a:ext uri="{FF2B5EF4-FFF2-40B4-BE49-F238E27FC236}">
              <a16:creationId xmlns:a16="http://schemas.microsoft.com/office/drawing/2014/main" id="{95E3AED0-D4B5-E3A7-8849-C71D4D13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8729" y="1867214"/>
          <a:ext cx="930983" cy="753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1719943</xdr:colOff>
      <xdr:row>8</xdr:row>
      <xdr:rowOff>125508</xdr:rowOff>
    </xdr:from>
    <xdr:to>
      <xdr:col>5</xdr:col>
      <xdr:colOff>2761942</xdr:colOff>
      <xdr:row>8</xdr:row>
      <xdr:rowOff>986119</xdr:rowOff>
    </xdr:to>
    <xdr:pic>
      <xdr:nvPicPr>
        <xdr:cNvPr id="16" name="Picture 15" descr="Drdo Projects | Photos, videos, logos, illustrations and branding on ...">
          <a:extLst>
            <a:ext uri="{FF2B5EF4-FFF2-40B4-BE49-F238E27FC236}">
              <a16:creationId xmlns:a16="http://schemas.microsoft.com/office/drawing/2014/main" id="{CF3F0E72-3868-5E35-B2E8-CAFAC4CE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14822"/>
          <a:ext cx="1041999" cy="860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89646</xdr:colOff>
      <xdr:row>9</xdr:row>
      <xdr:rowOff>44824</xdr:rowOff>
    </xdr:from>
    <xdr:to>
      <xdr:col>5</xdr:col>
      <xdr:colOff>1716388</xdr:colOff>
      <xdr:row>9</xdr:row>
      <xdr:rowOff>821835</xdr:rowOff>
    </xdr:to>
    <xdr:pic>
      <xdr:nvPicPr>
        <xdr:cNvPr id="17" name="Picture 16" descr="Data Patterns Recruitment 2022 Hiring for Graduate Engineer Trainee ...">
          <a:extLst>
            <a:ext uri="{FF2B5EF4-FFF2-40B4-BE49-F238E27FC236}">
              <a16:creationId xmlns:a16="http://schemas.microsoft.com/office/drawing/2014/main" id="{5368EB04-5EFD-DD28-D522-9160813479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11564470" y="2743200"/>
          <a:ext cx="1634419" cy="824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959224</xdr:colOff>
      <xdr:row>9</xdr:row>
      <xdr:rowOff>475132</xdr:rowOff>
    </xdr:from>
    <xdr:to>
      <xdr:col>5</xdr:col>
      <xdr:colOff>2783575</xdr:colOff>
      <xdr:row>9</xdr:row>
      <xdr:rowOff>986119</xdr:rowOff>
    </xdr:to>
    <xdr:pic>
      <xdr:nvPicPr>
        <xdr:cNvPr id="18" name="Picture 17" descr="Astra Microwave Products Ltd. Dividend (2021)">
          <a:extLst>
            <a:ext uri="{FF2B5EF4-FFF2-40B4-BE49-F238E27FC236}">
              <a16:creationId xmlns:a16="http://schemas.microsoft.com/office/drawing/2014/main" id="{6C3B3EDB-C8B9-6362-F1F5-A3479E2724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12434048" y="3173508"/>
          <a:ext cx="1824351" cy="510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139592</xdr:colOff>
      <xdr:row>10</xdr:row>
      <xdr:rowOff>138311</xdr:rowOff>
    </xdr:from>
    <xdr:to>
      <xdr:col>5</xdr:col>
      <xdr:colOff>1771169</xdr:colOff>
      <xdr:row>10</xdr:row>
      <xdr:rowOff>507725</xdr:rowOff>
    </xdr:to>
    <xdr:pic>
      <xdr:nvPicPr>
        <xdr:cNvPr id="19" name="Picture 18" descr="Training and Placement - C V Raman Global University">
          <a:extLst>
            <a:ext uri="{FF2B5EF4-FFF2-40B4-BE49-F238E27FC236}">
              <a16:creationId xmlns:a16="http://schemas.microsoft.com/office/drawing/2014/main" id="{44D7CC66-2FD7-6FDA-4601-377A1021C1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1" t="16615" r="7875" b="30221"/>
        <a:stretch>
          <a:fillRect/>
        </a:stretch>
      </xdr:blipFill>
      <xdr:spPr bwMode="auto">
        <a:xfrm>
          <a:off x="11602249" y="4035397"/>
          <a:ext cx="1631577" cy="369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2020261</xdr:colOff>
      <xdr:row>10</xdr:row>
      <xdr:rowOff>108215</xdr:rowOff>
    </xdr:from>
    <xdr:to>
      <xdr:col>5</xdr:col>
      <xdr:colOff>2656754</xdr:colOff>
      <xdr:row>10</xdr:row>
      <xdr:rowOff>584662</xdr:rowOff>
    </xdr:to>
    <xdr:pic>
      <xdr:nvPicPr>
        <xdr:cNvPr id="20" name="Picture 19" descr="Vem Technologies Pvt. Ltd">
          <a:extLst>
            <a:ext uri="{FF2B5EF4-FFF2-40B4-BE49-F238E27FC236}">
              <a16:creationId xmlns:a16="http://schemas.microsoft.com/office/drawing/2014/main" id="{7FD496AB-F195-DEC2-236C-9D20E6781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2918" y="4005301"/>
          <a:ext cx="636493" cy="476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153041</xdr:colOff>
      <xdr:row>8</xdr:row>
      <xdr:rowOff>140874</xdr:rowOff>
    </xdr:from>
    <xdr:to>
      <xdr:col>6</xdr:col>
      <xdr:colOff>1372240</xdr:colOff>
      <xdr:row>8</xdr:row>
      <xdr:rowOff>464412</xdr:rowOff>
    </xdr:to>
    <xdr:pic>
      <xdr:nvPicPr>
        <xdr:cNvPr id="21" name="Picture 20" descr="Bharat Electronics – Spectacular show">
          <a:extLst>
            <a:ext uri="{FF2B5EF4-FFF2-40B4-BE49-F238E27FC236}">
              <a16:creationId xmlns:a16="http://schemas.microsoft.com/office/drawing/2014/main" id="{DEE26FC1-4FC6-4551-B9DE-F49DD1E4F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612" y="1730188"/>
          <a:ext cx="1219199" cy="32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1709058</xdr:colOff>
      <xdr:row>8</xdr:row>
      <xdr:rowOff>130631</xdr:rowOff>
    </xdr:from>
    <xdr:to>
      <xdr:col>6</xdr:col>
      <xdr:colOff>2763224</xdr:colOff>
      <xdr:row>8</xdr:row>
      <xdr:rowOff>1023257</xdr:rowOff>
    </xdr:to>
    <xdr:pic>
      <xdr:nvPicPr>
        <xdr:cNvPr id="22" name="Picture 21" descr="Drdo Projects | Photos, videos, logos, illustrations and branding on ...">
          <a:extLst>
            <a:ext uri="{FF2B5EF4-FFF2-40B4-BE49-F238E27FC236}">
              <a16:creationId xmlns:a16="http://schemas.microsoft.com/office/drawing/2014/main" id="{4D3DF9F5-377D-40EC-9DF2-F7AF6CD9F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2629" y="1719945"/>
          <a:ext cx="1054166" cy="892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51436</xdr:colOff>
      <xdr:row>8</xdr:row>
      <xdr:rowOff>576945</xdr:rowOff>
    </xdr:from>
    <xdr:to>
      <xdr:col>6</xdr:col>
      <xdr:colOff>1568766</xdr:colOff>
      <xdr:row>8</xdr:row>
      <xdr:rowOff>1043442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8EF87F5-06AB-D77E-E334-9518BBD5F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11145" t="23578" r="11663" b="22008"/>
        <a:stretch>
          <a:fillRect/>
        </a:stretch>
      </xdr:blipFill>
      <xdr:spPr>
        <a:xfrm>
          <a:off x="14475007" y="2166259"/>
          <a:ext cx="1520731" cy="478970"/>
        </a:xfrm>
        <a:prstGeom prst="rect">
          <a:avLst/>
        </a:prstGeom>
      </xdr:spPr>
    </xdr:pic>
    <xdr:clientData/>
  </xdr:twoCellAnchor>
  <xdr:twoCellAnchor editAs="oneCell">
    <xdr:from>
      <xdr:col>6</xdr:col>
      <xdr:colOff>112699</xdr:colOff>
      <xdr:row>9</xdr:row>
      <xdr:rowOff>32657</xdr:rowOff>
    </xdr:from>
    <xdr:to>
      <xdr:col>6</xdr:col>
      <xdr:colOff>1747118</xdr:colOff>
      <xdr:row>9</xdr:row>
      <xdr:rowOff>857410</xdr:rowOff>
    </xdr:to>
    <xdr:pic>
      <xdr:nvPicPr>
        <xdr:cNvPr id="24" name="Picture 23" descr="Data Patterns Recruitment 2022 Hiring for Graduate Engineer Trainee ...">
          <a:extLst>
            <a:ext uri="{FF2B5EF4-FFF2-40B4-BE49-F238E27FC236}">
              <a16:creationId xmlns:a16="http://schemas.microsoft.com/office/drawing/2014/main" id="{F7EA8840-9092-4217-8B88-D55259D467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14536270" y="2775857"/>
          <a:ext cx="1634419" cy="824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851649</xdr:colOff>
      <xdr:row>9</xdr:row>
      <xdr:rowOff>550051</xdr:rowOff>
    </xdr:from>
    <xdr:to>
      <xdr:col>6</xdr:col>
      <xdr:colOff>2676000</xdr:colOff>
      <xdr:row>9</xdr:row>
      <xdr:rowOff>1061038</xdr:rowOff>
    </xdr:to>
    <xdr:pic>
      <xdr:nvPicPr>
        <xdr:cNvPr id="25" name="Picture 24" descr="Astra Microwave Products Ltd. Dividend (2021)">
          <a:extLst>
            <a:ext uri="{FF2B5EF4-FFF2-40B4-BE49-F238E27FC236}">
              <a16:creationId xmlns:a16="http://schemas.microsoft.com/office/drawing/2014/main" id="{ACFF359B-EBE3-42B5-87D0-AC41603784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15275220" y="3293251"/>
          <a:ext cx="1824351" cy="510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1272639</xdr:colOff>
      <xdr:row>10</xdr:row>
      <xdr:rowOff>200890</xdr:rowOff>
    </xdr:from>
    <xdr:to>
      <xdr:col>6</xdr:col>
      <xdr:colOff>2785753</xdr:colOff>
      <xdr:row>10</xdr:row>
      <xdr:rowOff>879670</xdr:rowOff>
    </xdr:to>
    <xdr:pic>
      <xdr:nvPicPr>
        <xdr:cNvPr id="26" name="Picture 25" descr="Tonbo Imaging Logo - Free Transparent PNG Download - PNGkey">
          <a:extLst>
            <a:ext uri="{FF2B5EF4-FFF2-40B4-BE49-F238E27FC236}">
              <a16:creationId xmlns:a16="http://schemas.microsoft.com/office/drawing/2014/main" id="{0B71C5B5-A23D-F558-7960-F00CD4C6D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49403" y="4052454"/>
          <a:ext cx="1513114" cy="67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1387435</xdr:colOff>
      <xdr:row>10</xdr:row>
      <xdr:rowOff>595745</xdr:rowOff>
    </xdr:from>
    <xdr:to>
      <xdr:col>5</xdr:col>
      <xdr:colOff>2882006</xdr:colOff>
      <xdr:row>10</xdr:row>
      <xdr:rowOff>971958</xdr:rowOff>
    </xdr:to>
    <xdr:pic>
      <xdr:nvPicPr>
        <xdr:cNvPr id="27" name="Picture 26" descr="Tonbo Imaging Logo - Free Transparent PNG Download - PNGkey">
          <a:extLst>
            <a:ext uri="{FF2B5EF4-FFF2-40B4-BE49-F238E27FC236}">
              <a16:creationId xmlns:a16="http://schemas.microsoft.com/office/drawing/2014/main" id="{D975DBFB-F0D8-41E0-8B76-405CC64F10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33" b="16606"/>
        <a:stretch>
          <a:fillRect/>
        </a:stretch>
      </xdr:blipFill>
      <xdr:spPr bwMode="auto">
        <a:xfrm>
          <a:off x="13399326" y="4447309"/>
          <a:ext cx="1513114" cy="468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154030</xdr:colOff>
      <xdr:row>8</xdr:row>
      <xdr:rowOff>164625</xdr:rowOff>
    </xdr:from>
    <xdr:to>
      <xdr:col>7</xdr:col>
      <xdr:colOff>1373229</xdr:colOff>
      <xdr:row>8</xdr:row>
      <xdr:rowOff>488163</xdr:rowOff>
    </xdr:to>
    <xdr:pic>
      <xdr:nvPicPr>
        <xdr:cNvPr id="28" name="Picture 27" descr="Bharat Electronics – Spectacular show">
          <a:extLst>
            <a:ext uri="{FF2B5EF4-FFF2-40B4-BE49-F238E27FC236}">
              <a16:creationId xmlns:a16="http://schemas.microsoft.com/office/drawing/2014/main" id="{4117B4E3-8348-427A-AC7F-0D5911360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5339" y="1716334"/>
          <a:ext cx="1219199" cy="32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212800</xdr:colOff>
      <xdr:row>8</xdr:row>
      <xdr:rowOff>295020</xdr:rowOff>
    </xdr:from>
    <xdr:to>
      <xdr:col>3</xdr:col>
      <xdr:colOff>946999</xdr:colOff>
      <xdr:row>8</xdr:row>
      <xdr:rowOff>596762</xdr:rowOff>
    </xdr:to>
    <xdr:pic>
      <xdr:nvPicPr>
        <xdr:cNvPr id="29" name="Picture 28" descr="EBA Global - Hindustan Aeronautics Limited">
          <a:extLst>
            <a:ext uri="{FF2B5EF4-FFF2-40B4-BE49-F238E27FC236}">
              <a16:creationId xmlns:a16="http://schemas.microsoft.com/office/drawing/2014/main" id="{4A630396-AA56-48AC-A46E-05E05C7D3B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55" b="29257"/>
        <a:stretch>
          <a:fillRect/>
        </a:stretch>
      </xdr:blipFill>
      <xdr:spPr bwMode="auto">
        <a:xfrm>
          <a:off x="5200436" y="1846729"/>
          <a:ext cx="734199" cy="301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212800</xdr:colOff>
      <xdr:row>8</xdr:row>
      <xdr:rowOff>710656</xdr:rowOff>
    </xdr:from>
    <xdr:to>
      <xdr:col>7</xdr:col>
      <xdr:colOff>946999</xdr:colOff>
      <xdr:row>8</xdr:row>
      <xdr:rowOff>1012398</xdr:rowOff>
    </xdr:to>
    <xdr:pic>
      <xdr:nvPicPr>
        <xdr:cNvPr id="30" name="Picture 29" descr="EBA Global - Hindustan Aeronautics Limited">
          <a:extLst>
            <a:ext uri="{FF2B5EF4-FFF2-40B4-BE49-F238E27FC236}">
              <a16:creationId xmlns:a16="http://schemas.microsoft.com/office/drawing/2014/main" id="{9EE14CE8-20F5-48D9-A036-038667223D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55" b="29257"/>
        <a:stretch>
          <a:fillRect/>
        </a:stretch>
      </xdr:blipFill>
      <xdr:spPr bwMode="auto">
        <a:xfrm>
          <a:off x="18154436" y="2262365"/>
          <a:ext cx="734199" cy="301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204826</xdr:colOff>
      <xdr:row>9</xdr:row>
      <xdr:rowOff>129640</xdr:rowOff>
    </xdr:from>
    <xdr:to>
      <xdr:col>7</xdr:col>
      <xdr:colOff>1725557</xdr:colOff>
      <xdr:row>9</xdr:row>
      <xdr:rowOff>608610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10346C9-A5CB-425C-BF4C-E8644C0FD8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11145" t="23578" r="11663" b="22008"/>
        <a:stretch>
          <a:fillRect/>
        </a:stretch>
      </xdr:blipFill>
      <xdr:spPr>
        <a:xfrm>
          <a:off x="18146462" y="2831276"/>
          <a:ext cx="1520731" cy="478970"/>
        </a:xfrm>
        <a:prstGeom prst="rect">
          <a:avLst/>
        </a:prstGeom>
      </xdr:spPr>
    </xdr:pic>
    <xdr:clientData/>
  </xdr:twoCellAnchor>
  <xdr:twoCellAnchor editAs="oneCell">
    <xdr:from>
      <xdr:col>7</xdr:col>
      <xdr:colOff>1717965</xdr:colOff>
      <xdr:row>8</xdr:row>
      <xdr:rowOff>27708</xdr:rowOff>
    </xdr:from>
    <xdr:to>
      <xdr:col>7</xdr:col>
      <xdr:colOff>2743784</xdr:colOff>
      <xdr:row>8</xdr:row>
      <xdr:rowOff>1052944</xdr:rowOff>
    </xdr:to>
    <xdr:pic>
      <xdr:nvPicPr>
        <xdr:cNvPr id="32" name="Picture 31" descr="Samtel Avionics - Crunchbase Company Profile &amp; Funding">
          <a:extLst>
            <a:ext uri="{FF2B5EF4-FFF2-40B4-BE49-F238E27FC236}">
              <a16:creationId xmlns:a16="http://schemas.microsoft.com/office/drawing/2014/main" id="{270CE35B-74C0-5760-9283-EF405DF1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59601" y="1579417"/>
          <a:ext cx="1025819" cy="1025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1046602</xdr:colOff>
      <xdr:row>9</xdr:row>
      <xdr:rowOff>522342</xdr:rowOff>
    </xdr:from>
    <xdr:to>
      <xdr:col>7</xdr:col>
      <xdr:colOff>2870953</xdr:colOff>
      <xdr:row>9</xdr:row>
      <xdr:rowOff>1033329</xdr:rowOff>
    </xdr:to>
    <xdr:pic>
      <xdr:nvPicPr>
        <xdr:cNvPr id="33" name="Picture 32" descr="Astra Microwave Products Ltd. Dividend (2021)">
          <a:extLst>
            <a:ext uri="{FF2B5EF4-FFF2-40B4-BE49-F238E27FC236}">
              <a16:creationId xmlns:a16="http://schemas.microsoft.com/office/drawing/2014/main" id="{5A1BAC45-A1EF-4372-843F-35926FDD83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18988238" y="3223978"/>
          <a:ext cx="1824351" cy="510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1273629</xdr:colOff>
      <xdr:row>8</xdr:row>
      <xdr:rowOff>157351</xdr:rowOff>
    </xdr:from>
    <xdr:to>
      <xdr:col>8</xdr:col>
      <xdr:colOff>2213989</xdr:colOff>
      <xdr:row>8</xdr:row>
      <xdr:rowOff>1049977</xdr:rowOff>
    </xdr:to>
    <xdr:pic>
      <xdr:nvPicPr>
        <xdr:cNvPr id="34" name="Picture 33" descr="Drdo Projects | Photos, videos, logos, illustrations and branding on ...">
          <a:extLst>
            <a:ext uri="{FF2B5EF4-FFF2-40B4-BE49-F238E27FC236}">
              <a16:creationId xmlns:a16="http://schemas.microsoft.com/office/drawing/2014/main" id="{89FE63E4-74B7-4EDD-A22A-1D8FF761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18686" y="1746665"/>
          <a:ext cx="940360" cy="892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9</xdr:row>
      <xdr:rowOff>304800</xdr:rowOff>
    </xdr:to>
    <xdr:sp macro="" textlink="">
      <xdr:nvSpPr>
        <xdr:cNvPr id="8220" name="AutoShape 28" descr="Tata Advanced Systems | Logopedia | Fandom">
          <a:extLst>
            <a:ext uri="{FF2B5EF4-FFF2-40B4-BE49-F238E27FC236}">
              <a16:creationId xmlns:a16="http://schemas.microsoft.com/office/drawing/2014/main" id="{CE3D52B8-3A30-6235-B54C-18C1E20703C1}"/>
            </a:ext>
          </a:extLst>
        </xdr:cNvPr>
        <xdr:cNvSpPr>
          <a:spLocks noChangeAspect="1" noChangeArrowheads="1"/>
        </xdr:cNvSpPr>
      </xdr:nvSpPr>
      <xdr:spPr bwMode="auto">
        <a:xfrm>
          <a:off x="20901660" y="272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11</xdr:row>
      <xdr:rowOff>304800</xdr:rowOff>
    </xdr:to>
    <xdr:sp macro="" textlink="">
      <xdr:nvSpPr>
        <xdr:cNvPr id="8221" name="AutoShape 29" descr="Tata Advanced Systems | Logopedia | Fandom">
          <a:extLst>
            <a:ext uri="{FF2B5EF4-FFF2-40B4-BE49-F238E27FC236}">
              <a16:creationId xmlns:a16="http://schemas.microsoft.com/office/drawing/2014/main" id="{6E5342B5-A33E-FB6A-3E66-2DF53C017F40}"/>
            </a:ext>
          </a:extLst>
        </xdr:cNvPr>
        <xdr:cNvSpPr>
          <a:spLocks noChangeAspect="1" noChangeArrowheads="1"/>
        </xdr:cNvSpPr>
      </xdr:nvSpPr>
      <xdr:spPr bwMode="auto">
        <a:xfrm>
          <a:off x="20901660" y="50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290945</xdr:colOff>
      <xdr:row>9</xdr:row>
      <xdr:rowOff>138545</xdr:rowOff>
    </xdr:from>
    <xdr:to>
      <xdr:col>8</xdr:col>
      <xdr:colOff>1784268</xdr:colOff>
      <xdr:row>9</xdr:row>
      <xdr:rowOff>429491</xdr:rowOff>
    </xdr:to>
    <xdr:pic>
      <xdr:nvPicPr>
        <xdr:cNvPr id="35" name="Picture 34" descr="Tata Advanced Systems Limited (TASL) - Military Embedded Systems">
          <a:extLst>
            <a:ext uri="{FF2B5EF4-FFF2-40B4-BE49-F238E27FC236}">
              <a16:creationId xmlns:a16="http://schemas.microsoft.com/office/drawing/2014/main" id="{D6C0ED76-EFF1-A3A2-B259-173BF0A67D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71" b="28571"/>
        <a:stretch>
          <a:fillRect/>
        </a:stretch>
      </xdr:blipFill>
      <xdr:spPr bwMode="auto">
        <a:xfrm>
          <a:off x="23095527" y="2840181"/>
          <a:ext cx="1493323" cy="290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401782</xdr:colOff>
      <xdr:row>9</xdr:row>
      <xdr:rowOff>498764</xdr:rowOff>
    </xdr:from>
    <xdr:to>
      <xdr:col>8</xdr:col>
      <xdr:colOff>1745673</xdr:colOff>
      <xdr:row>9</xdr:row>
      <xdr:rowOff>1014229</xdr:rowOff>
    </xdr:to>
    <xdr:pic>
      <xdr:nvPicPr>
        <xdr:cNvPr id="36" name="Picture 35" descr="L&amp;T Share Price Highlights: L&amp;T Stock Price History - The Economic Times">
          <a:extLst>
            <a:ext uri="{FF2B5EF4-FFF2-40B4-BE49-F238E27FC236}">
              <a16:creationId xmlns:a16="http://schemas.microsoft.com/office/drawing/2014/main" id="{1B96AE9E-E134-D1B7-892D-5961388705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23206364" y="3200400"/>
          <a:ext cx="1343891" cy="515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2216726</xdr:colOff>
      <xdr:row>9</xdr:row>
      <xdr:rowOff>13856</xdr:rowOff>
    </xdr:from>
    <xdr:to>
      <xdr:col>8</xdr:col>
      <xdr:colOff>2903259</xdr:colOff>
      <xdr:row>9</xdr:row>
      <xdr:rowOff>512619</xdr:rowOff>
    </xdr:to>
    <xdr:pic>
      <xdr:nvPicPr>
        <xdr:cNvPr id="37" name="Picture 36" descr="Vem Technologies Office Photos | Glassdoor">
          <a:extLst>
            <a:ext uri="{FF2B5EF4-FFF2-40B4-BE49-F238E27FC236}">
              <a16:creationId xmlns:a16="http://schemas.microsoft.com/office/drawing/2014/main" id="{722ED54E-C831-E7E5-5B91-11B95AD72B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4" t="18593" r="3031" b="12692"/>
        <a:stretch>
          <a:fillRect/>
        </a:stretch>
      </xdr:blipFill>
      <xdr:spPr bwMode="auto">
        <a:xfrm>
          <a:off x="25021308" y="2715492"/>
          <a:ext cx="686533" cy="498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1967345</xdr:colOff>
      <xdr:row>9</xdr:row>
      <xdr:rowOff>540328</xdr:rowOff>
    </xdr:from>
    <xdr:to>
      <xdr:col>8</xdr:col>
      <xdr:colOff>3185527</xdr:colOff>
      <xdr:row>9</xdr:row>
      <xdr:rowOff>997527</xdr:rowOff>
    </xdr:to>
    <xdr:pic>
      <xdr:nvPicPr>
        <xdr:cNvPr id="38" name="Picture 37" descr="Tata Advanced Materials Walkin for Diploma mechanical Freshers 2011 or ...">
          <a:extLst>
            <a:ext uri="{FF2B5EF4-FFF2-40B4-BE49-F238E27FC236}">
              <a16:creationId xmlns:a16="http://schemas.microsoft.com/office/drawing/2014/main" id="{3301173B-997C-1D49-4EE4-E53C24B69F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346" b="36221"/>
        <a:stretch>
          <a:fillRect/>
        </a:stretch>
      </xdr:blipFill>
      <xdr:spPr bwMode="auto">
        <a:xfrm>
          <a:off x="24771927" y="3241964"/>
          <a:ext cx="1218182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845127</xdr:colOff>
      <xdr:row>12</xdr:row>
      <xdr:rowOff>221674</xdr:rowOff>
    </xdr:from>
    <xdr:to>
      <xdr:col>8</xdr:col>
      <xdr:colOff>2300335</xdr:colOff>
      <xdr:row>12</xdr:row>
      <xdr:rowOff>983674</xdr:rowOff>
    </xdr:to>
    <xdr:pic>
      <xdr:nvPicPr>
        <xdr:cNvPr id="39" name="Picture 38" descr="Mishra Dhatu Nigam (NSE:MIDHANI) Company Profile &amp; Description">
          <a:extLst>
            <a:ext uri="{FF2B5EF4-FFF2-40B4-BE49-F238E27FC236}">
              <a16:creationId xmlns:a16="http://schemas.microsoft.com/office/drawing/2014/main" id="{A96560A4-DBC7-C2A1-5056-BD7B7D334F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23899091" y="6373092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955962</xdr:colOff>
      <xdr:row>10</xdr:row>
      <xdr:rowOff>124690</xdr:rowOff>
    </xdr:from>
    <xdr:to>
      <xdr:col>8</xdr:col>
      <xdr:colOff>2449285</xdr:colOff>
      <xdr:row>10</xdr:row>
      <xdr:rowOff>415636</xdr:rowOff>
    </xdr:to>
    <xdr:pic>
      <xdr:nvPicPr>
        <xdr:cNvPr id="40" name="Picture 39" descr="Tata Advanced Systems Limited (TASL) - Military Embedded Systems">
          <a:extLst>
            <a:ext uri="{FF2B5EF4-FFF2-40B4-BE49-F238E27FC236}">
              <a16:creationId xmlns:a16="http://schemas.microsoft.com/office/drawing/2014/main" id="{48F269DA-B6F5-487C-99EA-04BF81A3CF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71" b="28571"/>
        <a:stretch>
          <a:fillRect/>
        </a:stretch>
      </xdr:blipFill>
      <xdr:spPr bwMode="auto">
        <a:xfrm>
          <a:off x="23760544" y="3976254"/>
          <a:ext cx="1493323" cy="290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997527</xdr:colOff>
      <xdr:row>10</xdr:row>
      <xdr:rowOff>484909</xdr:rowOff>
    </xdr:from>
    <xdr:to>
      <xdr:col>8</xdr:col>
      <xdr:colOff>2341418</xdr:colOff>
      <xdr:row>10</xdr:row>
      <xdr:rowOff>1000374</xdr:rowOff>
    </xdr:to>
    <xdr:pic>
      <xdr:nvPicPr>
        <xdr:cNvPr id="41" name="Picture 40" descr="L&amp;T Share Price Highlights: L&amp;T Stock Price History - The Economic Times">
          <a:extLst>
            <a:ext uri="{FF2B5EF4-FFF2-40B4-BE49-F238E27FC236}">
              <a16:creationId xmlns:a16="http://schemas.microsoft.com/office/drawing/2014/main" id="{F279D7EA-1D51-403C-81BB-86B9C06238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23802109" y="4336473"/>
          <a:ext cx="1343891" cy="515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65196</xdr:colOff>
      <xdr:row>10</xdr:row>
      <xdr:rowOff>484910</xdr:rowOff>
    </xdr:from>
    <xdr:to>
      <xdr:col>5</xdr:col>
      <xdr:colOff>1077151</xdr:colOff>
      <xdr:row>10</xdr:row>
      <xdr:rowOff>995558</xdr:rowOff>
    </xdr:to>
    <xdr:pic>
      <xdr:nvPicPr>
        <xdr:cNvPr id="42" name="Picture 41" descr="Data Patterns Recruitment 2022 Hiring for Graduate Engineer Trainee ...">
          <a:extLst>
            <a:ext uri="{FF2B5EF4-FFF2-40B4-BE49-F238E27FC236}">
              <a16:creationId xmlns:a16="http://schemas.microsoft.com/office/drawing/2014/main" id="{4CD7FF99-B00A-4B4E-82D9-D67A4F9D89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12077087" y="4336474"/>
          <a:ext cx="1011955" cy="5106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297466</xdr:colOff>
      <xdr:row>10</xdr:row>
      <xdr:rowOff>804381</xdr:rowOff>
    </xdr:from>
    <xdr:to>
      <xdr:col>5</xdr:col>
      <xdr:colOff>1427018</xdr:colOff>
      <xdr:row>10</xdr:row>
      <xdr:rowOff>1120760</xdr:rowOff>
    </xdr:to>
    <xdr:pic>
      <xdr:nvPicPr>
        <xdr:cNvPr id="43" name="Picture 42" descr="Astra Microwave Products Ltd. Dividend (2021)">
          <a:extLst>
            <a:ext uri="{FF2B5EF4-FFF2-40B4-BE49-F238E27FC236}">
              <a16:creationId xmlns:a16="http://schemas.microsoft.com/office/drawing/2014/main" id="{E49A2FF6-2742-449C-B9D5-F9786BF23C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12309357" y="4655945"/>
          <a:ext cx="1129552" cy="316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51342</xdr:colOff>
      <xdr:row>10</xdr:row>
      <xdr:rowOff>66483</xdr:rowOff>
    </xdr:from>
    <xdr:to>
      <xdr:col>6</xdr:col>
      <xdr:colOff>1288473</xdr:colOff>
      <xdr:row>10</xdr:row>
      <xdr:rowOff>690758</xdr:rowOff>
    </xdr:to>
    <xdr:pic>
      <xdr:nvPicPr>
        <xdr:cNvPr id="44" name="Picture 43" descr="Data Patterns Recruitment 2022 Hiring for Graduate Engineer Trainee ...">
          <a:extLst>
            <a:ext uri="{FF2B5EF4-FFF2-40B4-BE49-F238E27FC236}">
              <a16:creationId xmlns:a16="http://schemas.microsoft.com/office/drawing/2014/main" id="{F0B36D78-1A08-4A4B-9754-001EF60073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15028106" y="3918047"/>
          <a:ext cx="1237131" cy="624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172775</xdr:colOff>
      <xdr:row>10</xdr:row>
      <xdr:rowOff>706273</xdr:rowOff>
    </xdr:from>
    <xdr:to>
      <xdr:col>6</xdr:col>
      <xdr:colOff>1553670</xdr:colOff>
      <xdr:row>10</xdr:row>
      <xdr:rowOff>1093051</xdr:rowOff>
    </xdr:to>
    <xdr:pic>
      <xdr:nvPicPr>
        <xdr:cNvPr id="45" name="Picture 44" descr="Astra Microwave Products Ltd. Dividend (2021)">
          <a:extLst>
            <a:ext uri="{FF2B5EF4-FFF2-40B4-BE49-F238E27FC236}">
              <a16:creationId xmlns:a16="http://schemas.microsoft.com/office/drawing/2014/main" id="{AE403ED8-889B-4D45-88BE-1DEB26D37B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15149539" y="4557837"/>
          <a:ext cx="1380895" cy="386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409293</xdr:colOff>
      <xdr:row>10</xdr:row>
      <xdr:rowOff>369941</xdr:rowOff>
    </xdr:from>
    <xdr:to>
      <xdr:col>7</xdr:col>
      <xdr:colOff>2233644</xdr:colOff>
      <xdr:row>10</xdr:row>
      <xdr:rowOff>880928</xdr:rowOff>
    </xdr:to>
    <xdr:pic>
      <xdr:nvPicPr>
        <xdr:cNvPr id="46" name="Picture 45" descr="Astra Microwave Products Ltd. Dividend (2021)">
          <a:extLst>
            <a:ext uri="{FF2B5EF4-FFF2-40B4-BE49-F238E27FC236}">
              <a16:creationId xmlns:a16="http://schemas.microsoft.com/office/drawing/2014/main" id="{7EE8B3B2-98B4-431D-84C1-8BD57BE049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18350929" y="4221505"/>
          <a:ext cx="1824351" cy="510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127097</xdr:colOff>
      <xdr:row>8</xdr:row>
      <xdr:rowOff>281164</xdr:rowOff>
    </xdr:from>
    <xdr:to>
      <xdr:col>9</xdr:col>
      <xdr:colOff>1431908</xdr:colOff>
      <xdr:row>8</xdr:row>
      <xdr:rowOff>817417</xdr:rowOff>
    </xdr:to>
    <xdr:pic>
      <xdr:nvPicPr>
        <xdr:cNvPr id="47" name="Picture 46" descr="EBA Global - Hindustan Aeronautics Limited">
          <a:extLst>
            <a:ext uri="{FF2B5EF4-FFF2-40B4-BE49-F238E27FC236}">
              <a16:creationId xmlns:a16="http://schemas.microsoft.com/office/drawing/2014/main" id="{65962419-25E9-4E6A-80DD-02C099D688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55" b="29257"/>
        <a:stretch>
          <a:fillRect/>
        </a:stretch>
      </xdr:blipFill>
      <xdr:spPr bwMode="auto">
        <a:xfrm>
          <a:off x="23568988" y="1832873"/>
          <a:ext cx="1304811" cy="536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1571266</xdr:colOff>
      <xdr:row>8</xdr:row>
      <xdr:rowOff>112475</xdr:rowOff>
    </xdr:from>
    <xdr:to>
      <xdr:col>9</xdr:col>
      <xdr:colOff>2539189</xdr:colOff>
      <xdr:row>8</xdr:row>
      <xdr:rowOff>1025237</xdr:rowOff>
    </xdr:to>
    <xdr:pic>
      <xdr:nvPicPr>
        <xdr:cNvPr id="48" name="Picture 47" descr="Full Form of ADA in Aeronautics (India) | FullForms">
          <a:extLst>
            <a:ext uri="{FF2B5EF4-FFF2-40B4-BE49-F238E27FC236}">
              <a16:creationId xmlns:a16="http://schemas.microsoft.com/office/drawing/2014/main" id="{2428509C-8223-4AA9-87F2-ECDF557CF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BEBA8EAE-BF5A-486C-A8C5-ECC9F3942E4B}">
              <a14:imgProps xmlns:a14="http://schemas.microsoft.com/office/drawing/2010/main">
                <a14:imgLayer r:embed="rId38">
                  <a14:imgEffect>
                    <a14:backgroundRemoval t="4933" b="95964" l="6992" r="94915">
                      <a14:foregroundMark x1="48941" y1="18161" x2="36441" y2="26457"/>
                      <a14:foregroundMark x1="36441" y1="26457" x2="39831" y2="55157"/>
                      <a14:foregroundMark x1="39831" y1="55157" x2="45763" y2="26682"/>
                      <a14:foregroundMark x1="45763" y1="26682" x2="55720" y2="57623"/>
                      <a14:foregroundMark x1="55720" y1="57623" x2="61653" y2="45291"/>
                      <a14:foregroundMark x1="55297" y1="26906" x2="68008" y2="44395"/>
                      <a14:foregroundMark x1="68008" y1="44395" x2="48517" y2="65695"/>
                      <a14:foregroundMark x1="48517" y1="65695" x2="41737" y2="35202"/>
                      <a14:foregroundMark x1="41737" y1="35202" x2="70127" y2="45291"/>
                      <a14:foregroundMark x1="70127" y1="45291" x2="70763" y2="46637"/>
                      <a14:foregroundMark x1="40890" y1="28700" x2="40466" y2="74664"/>
                      <a14:foregroundMark x1="40466" y1="74664" x2="69068" y2="67937"/>
                      <a14:foregroundMark x1="69068" y1="67937" x2="38136" y2="33857"/>
                      <a14:foregroundMark x1="38136" y1="33857" x2="29873" y2="34753"/>
                      <a14:foregroundMark x1="75847" y1="76682" x2="54237" y2="92152"/>
                      <a14:foregroundMark x1="54237" y1="92152" x2="34746" y2="75112"/>
                      <a14:foregroundMark x1="42161" y1="88117" x2="54025" y2="95516"/>
                      <a14:foregroundMark x1="54025" y1="95516" x2="56992" y2="91928"/>
                      <a14:foregroundMark x1="88983" y1="68610" x2="94492" y2="48879"/>
                      <a14:foregroundMark x1="94492" y1="48879" x2="92373" y2="36323"/>
                      <a14:foregroundMark x1="92373" y1="36323" x2="84958" y2="24439"/>
                      <a14:foregroundMark x1="84958" y1="24439" x2="63983" y2="8744"/>
                      <a14:foregroundMark x1="63983" y1="8744" x2="36229" y2="8744"/>
                      <a14:foregroundMark x1="36229" y1="8744" x2="23305" y2="17489"/>
                      <a14:foregroundMark x1="23305" y1="17489" x2="15042" y2="28475"/>
                      <a14:foregroundMark x1="15042" y1="28475" x2="9534" y2="47982"/>
                      <a14:foregroundMark x1="9534" y1="47982" x2="9746" y2="65695"/>
                      <a14:foregroundMark x1="9746" y1="65695" x2="12924" y2="69955"/>
                      <a14:foregroundMark x1="8898" y1="47982" x2="9534" y2="31166"/>
                      <a14:foregroundMark x1="9534" y1="31166" x2="10381" y2="29596"/>
                      <a14:foregroundMark x1="37076" y1="5605" x2="63347" y2="4933"/>
                      <a14:foregroundMark x1="63347" y1="4933" x2="69068" y2="6054"/>
                      <a14:foregroundMark x1="7415" y1="50448" x2="10381" y2="65247"/>
                      <a14:foregroundMark x1="75847" y1="22646" x2="84534" y2="36547"/>
                      <a14:foregroundMark x1="84534" y1="36547" x2="87500" y2="60538"/>
                      <a14:foregroundMark x1="87500" y1="60538" x2="86017" y2="64574"/>
                      <a14:foregroundMark x1="93220" y1="37892" x2="95127" y2="53812"/>
                      <a14:foregroundMark x1="95127" y1="53812" x2="94280" y2="60538"/>
                      <a14:foregroundMark x1="92161" y1="65695" x2="81144" y2="85650"/>
                      <a14:foregroundMark x1="81144" y1="85650" x2="71186" y2="92601"/>
                      <a14:foregroundMark x1="71186" y1="92601" x2="51059" y2="97085"/>
                      <a14:foregroundMark x1="51059" y1="97085" x2="40042" y2="95964"/>
                      <a14:foregroundMark x1="40042" y1="95964" x2="22034" y2="83408"/>
                      <a14:foregroundMark x1="22034" y1="83408" x2="12924" y2="71749"/>
                      <a14:foregroundMark x1="12924" y1="71749" x2="10593" y2="65247"/>
                      <a14:foregroundMark x1="6992" y1="52018" x2="8475" y2="64574"/>
                      <a14:foregroundMark x1="8475" y1="64574" x2="19068" y2="82735"/>
                      <a14:foregroundMark x1="19068" y1="82735" x2="27542" y2="89686"/>
                      <a14:foregroundMark x1="27542" y1="89686" x2="38136" y2="93498"/>
                      <a14:foregroundMark x1="94280" y1="60987" x2="88559" y2="75561"/>
                      <a14:foregroundMark x1="88559" y1="75561" x2="84746" y2="809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13157" y="1664184"/>
          <a:ext cx="967923" cy="9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649979</xdr:colOff>
      <xdr:row>9</xdr:row>
      <xdr:rowOff>308650</xdr:rowOff>
    </xdr:from>
    <xdr:to>
      <xdr:col>9</xdr:col>
      <xdr:colOff>1998413</xdr:colOff>
      <xdr:row>9</xdr:row>
      <xdr:rowOff>862831</xdr:rowOff>
    </xdr:to>
    <xdr:pic>
      <xdr:nvPicPr>
        <xdr:cNvPr id="49" name="Picture 48" descr="EBA Global - Hindustan Aeronautics Limited">
          <a:extLst>
            <a:ext uri="{FF2B5EF4-FFF2-40B4-BE49-F238E27FC236}">
              <a16:creationId xmlns:a16="http://schemas.microsoft.com/office/drawing/2014/main" id="{14FA2A33-9D51-473C-8DAE-37C8660592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55" b="29257"/>
        <a:stretch>
          <a:fillRect/>
        </a:stretch>
      </xdr:blipFill>
      <xdr:spPr bwMode="auto">
        <a:xfrm>
          <a:off x="27108312" y="3046206"/>
          <a:ext cx="1348434" cy="554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778261</xdr:colOff>
      <xdr:row>8</xdr:row>
      <xdr:rowOff>322728</xdr:rowOff>
    </xdr:from>
    <xdr:to>
      <xdr:col>10</xdr:col>
      <xdr:colOff>2083072</xdr:colOff>
      <xdr:row>8</xdr:row>
      <xdr:rowOff>858981</xdr:rowOff>
    </xdr:to>
    <xdr:pic>
      <xdr:nvPicPr>
        <xdr:cNvPr id="50" name="Picture 49" descr="EBA Global - Hindustan Aeronautics Limited">
          <a:extLst>
            <a:ext uri="{FF2B5EF4-FFF2-40B4-BE49-F238E27FC236}">
              <a16:creationId xmlns:a16="http://schemas.microsoft.com/office/drawing/2014/main" id="{54A5E078-94A7-4C3E-AD74-0A9A330DEB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55" b="29257"/>
        <a:stretch>
          <a:fillRect/>
        </a:stretch>
      </xdr:blipFill>
      <xdr:spPr bwMode="auto">
        <a:xfrm>
          <a:off x="26991061" y="1874437"/>
          <a:ext cx="1304811" cy="536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708989</xdr:colOff>
      <xdr:row>12</xdr:row>
      <xdr:rowOff>350437</xdr:rowOff>
    </xdr:from>
    <xdr:to>
      <xdr:col>10</xdr:col>
      <xdr:colOff>2013800</xdr:colOff>
      <xdr:row>12</xdr:row>
      <xdr:rowOff>886690</xdr:rowOff>
    </xdr:to>
    <xdr:pic>
      <xdr:nvPicPr>
        <xdr:cNvPr id="51" name="Picture 50" descr="EBA Global - Hindustan Aeronautics Limited">
          <a:extLst>
            <a:ext uri="{FF2B5EF4-FFF2-40B4-BE49-F238E27FC236}">
              <a16:creationId xmlns:a16="http://schemas.microsoft.com/office/drawing/2014/main" id="{7EDA975C-0586-4EEE-8AA2-F279CE7F4E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55" b="29257"/>
        <a:stretch>
          <a:fillRect/>
        </a:stretch>
      </xdr:blipFill>
      <xdr:spPr bwMode="auto">
        <a:xfrm>
          <a:off x="29942080" y="6501855"/>
          <a:ext cx="1304811" cy="536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678870</xdr:colOff>
      <xdr:row>10</xdr:row>
      <xdr:rowOff>277091</xdr:rowOff>
    </xdr:from>
    <xdr:to>
      <xdr:col>10</xdr:col>
      <xdr:colOff>2022761</xdr:colOff>
      <xdr:row>10</xdr:row>
      <xdr:rowOff>850887</xdr:rowOff>
    </xdr:to>
    <xdr:pic>
      <xdr:nvPicPr>
        <xdr:cNvPr id="52" name="Picture 51" descr="India’s Aequs Aerospace to Showcase Its Global Aerospace Ecosystem at ...">
          <a:extLst>
            <a:ext uri="{FF2B5EF4-FFF2-40B4-BE49-F238E27FC236}">
              <a16:creationId xmlns:a16="http://schemas.microsoft.com/office/drawing/2014/main" id="{1165A48A-B846-717C-756F-44AEAE3416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47" t="37555" r="36444" b="39928"/>
        <a:stretch>
          <a:fillRect/>
        </a:stretch>
      </xdr:blipFill>
      <xdr:spPr bwMode="auto">
        <a:xfrm>
          <a:off x="29911961" y="4128655"/>
          <a:ext cx="1343891" cy="573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1025236</xdr:colOff>
      <xdr:row>11</xdr:row>
      <xdr:rowOff>623452</xdr:rowOff>
    </xdr:from>
    <xdr:to>
      <xdr:col>10</xdr:col>
      <xdr:colOff>2590799</xdr:colOff>
      <xdr:row>11</xdr:row>
      <xdr:rowOff>1064263</xdr:rowOff>
    </xdr:to>
    <xdr:pic>
      <xdr:nvPicPr>
        <xdr:cNvPr id="53" name="Picture 52" descr="Punj Lloyd | World Economic Forum">
          <a:extLst>
            <a:ext uri="{FF2B5EF4-FFF2-40B4-BE49-F238E27FC236}">
              <a16:creationId xmlns:a16="http://schemas.microsoft.com/office/drawing/2014/main" id="{DCA40F7E-2ECA-9947-AB81-D80A618764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765" b="35609"/>
        <a:stretch>
          <a:fillRect/>
        </a:stretch>
      </xdr:blipFill>
      <xdr:spPr bwMode="auto">
        <a:xfrm>
          <a:off x="30258327" y="5624943"/>
          <a:ext cx="1565563" cy="44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210224</xdr:colOff>
      <xdr:row>8</xdr:row>
      <xdr:rowOff>350436</xdr:rowOff>
    </xdr:from>
    <xdr:to>
      <xdr:col>11</xdr:col>
      <xdr:colOff>1274617</xdr:colOff>
      <xdr:row>8</xdr:row>
      <xdr:rowOff>787882</xdr:rowOff>
    </xdr:to>
    <xdr:pic>
      <xdr:nvPicPr>
        <xdr:cNvPr id="54" name="Picture 53" descr="EBA Global - Hindustan Aeronautics Limited">
          <a:extLst>
            <a:ext uri="{FF2B5EF4-FFF2-40B4-BE49-F238E27FC236}">
              <a16:creationId xmlns:a16="http://schemas.microsoft.com/office/drawing/2014/main" id="{8277CFB5-B426-4E7C-A7FE-EF7AFD7997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55" b="29257"/>
        <a:stretch>
          <a:fillRect/>
        </a:stretch>
      </xdr:blipFill>
      <xdr:spPr bwMode="auto">
        <a:xfrm>
          <a:off x="29193933" y="1902145"/>
          <a:ext cx="1064393" cy="437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1717964</xdr:colOff>
      <xdr:row>8</xdr:row>
      <xdr:rowOff>237511</xdr:rowOff>
    </xdr:from>
    <xdr:to>
      <xdr:col>11</xdr:col>
      <xdr:colOff>2425246</xdr:colOff>
      <xdr:row>8</xdr:row>
      <xdr:rowOff>836409</xdr:rowOff>
    </xdr:to>
    <xdr:pic>
      <xdr:nvPicPr>
        <xdr:cNvPr id="55" name="Picture 54" descr="Drdo Projects | Photos, videos, logos, illustrations and branding on ...">
          <a:extLst>
            <a:ext uri="{FF2B5EF4-FFF2-40B4-BE49-F238E27FC236}">
              <a16:creationId xmlns:a16="http://schemas.microsoft.com/office/drawing/2014/main" id="{6D64D5BD-474E-4CC9-9041-C32B17A0B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1673" y="1789220"/>
          <a:ext cx="707282" cy="59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195594</xdr:colOff>
      <xdr:row>9</xdr:row>
      <xdr:rowOff>150771</xdr:rowOff>
    </xdr:from>
    <xdr:to>
      <xdr:col>11</xdr:col>
      <xdr:colOff>1414793</xdr:colOff>
      <xdr:row>9</xdr:row>
      <xdr:rowOff>474309</xdr:rowOff>
    </xdr:to>
    <xdr:pic>
      <xdr:nvPicPr>
        <xdr:cNvPr id="56" name="Picture 55" descr="Bharat Electronics – Spectacular show">
          <a:extLst>
            <a:ext uri="{FF2B5EF4-FFF2-40B4-BE49-F238E27FC236}">
              <a16:creationId xmlns:a16="http://schemas.microsoft.com/office/drawing/2014/main" id="{6BD9A673-CB87-45E9-B64F-AFB3AC4AB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79303" y="2852407"/>
          <a:ext cx="1219199" cy="32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210225</xdr:colOff>
      <xdr:row>9</xdr:row>
      <xdr:rowOff>641382</xdr:rowOff>
    </xdr:from>
    <xdr:to>
      <xdr:col>11</xdr:col>
      <xdr:colOff>1177931</xdr:colOff>
      <xdr:row>9</xdr:row>
      <xdr:rowOff>1039091</xdr:rowOff>
    </xdr:to>
    <xdr:pic>
      <xdr:nvPicPr>
        <xdr:cNvPr id="57" name="Picture 56" descr="EBA Global - Hindustan Aeronautics Limited">
          <a:extLst>
            <a:ext uri="{FF2B5EF4-FFF2-40B4-BE49-F238E27FC236}">
              <a16:creationId xmlns:a16="http://schemas.microsoft.com/office/drawing/2014/main" id="{193C6F06-7629-4723-9C18-23CD738352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55" b="29257"/>
        <a:stretch>
          <a:fillRect/>
        </a:stretch>
      </xdr:blipFill>
      <xdr:spPr bwMode="auto">
        <a:xfrm>
          <a:off x="29193934" y="3343018"/>
          <a:ext cx="967706" cy="397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221672</xdr:colOff>
      <xdr:row>10</xdr:row>
      <xdr:rowOff>277091</xdr:rowOff>
    </xdr:from>
    <xdr:to>
      <xdr:col>11</xdr:col>
      <xdr:colOff>1088903</xdr:colOff>
      <xdr:row>10</xdr:row>
      <xdr:rowOff>845127</xdr:rowOff>
    </xdr:to>
    <xdr:pic>
      <xdr:nvPicPr>
        <xdr:cNvPr id="58" name="Picture 57" descr="Logo">
          <a:extLst>
            <a:ext uri="{FF2B5EF4-FFF2-40B4-BE49-F238E27FC236}">
              <a16:creationId xmlns:a16="http://schemas.microsoft.com/office/drawing/2014/main" id="{F4D8D80F-43B7-766E-D77E-390525769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05381" y="4128655"/>
          <a:ext cx="867231" cy="56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1620982</xdr:colOff>
      <xdr:row>9</xdr:row>
      <xdr:rowOff>152400</xdr:rowOff>
    </xdr:from>
    <xdr:to>
      <xdr:col>11</xdr:col>
      <xdr:colOff>2255543</xdr:colOff>
      <xdr:row>9</xdr:row>
      <xdr:rowOff>568037</xdr:rowOff>
    </xdr:to>
    <xdr:pic>
      <xdr:nvPicPr>
        <xdr:cNvPr id="59" name="Picture 58" descr="Logo">
          <a:extLst>
            <a:ext uri="{FF2B5EF4-FFF2-40B4-BE49-F238E27FC236}">
              <a16:creationId xmlns:a16="http://schemas.microsoft.com/office/drawing/2014/main" id="{A46433E8-B55C-43E7-A82C-C830E3F58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04691" y="2854036"/>
          <a:ext cx="634561" cy="415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1381379</xdr:colOff>
      <xdr:row>10</xdr:row>
      <xdr:rowOff>371283</xdr:rowOff>
    </xdr:from>
    <xdr:to>
      <xdr:col>11</xdr:col>
      <xdr:colOff>2618510</xdr:colOff>
      <xdr:row>10</xdr:row>
      <xdr:rowOff>995558</xdr:rowOff>
    </xdr:to>
    <xdr:pic>
      <xdr:nvPicPr>
        <xdr:cNvPr id="60" name="Picture 59" descr="Data Patterns Recruitment 2022 Hiring for Graduate Engineer Trainee ...">
          <a:extLst>
            <a:ext uri="{FF2B5EF4-FFF2-40B4-BE49-F238E27FC236}">
              <a16:creationId xmlns:a16="http://schemas.microsoft.com/office/drawing/2014/main" id="{DA367A5B-9339-45E2-8BC8-E826CDC7F0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30365088" y="4222847"/>
          <a:ext cx="1237131" cy="624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1343893</xdr:colOff>
      <xdr:row>9</xdr:row>
      <xdr:rowOff>665779</xdr:rowOff>
    </xdr:from>
    <xdr:to>
      <xdr:col>11</xdr:col>
      <xdr:colOff>2396837</xdr:colOff>
      <xdr:row>9</xdr:row>
      <xdr:rowOff>1069648</xdr:rowOff>
    </xdr:to>
    <xdr:pic>
      <xdr:nvPicPr>
        <xdr:cNvPr id="61" name="Picture 60" descr="L&amp;T Share Price Highlights: L&amp;T Stock Price History - The Economic Times">
          <a:extLst>
            <a:ext uri="{FF2B5EF4-FFF2-40B4-BE49-F238E27FC236}">
              <a16:creationId xmlns:a16="http://schemas.microsoft.com/office/drawing/2014/main" id="{FEFA6892-4283-4339-84D8-C61DB1FC5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30327602" y="3367415"/>
          <a:ext cx="1052944" cy="403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1066800</xdr:colOff>
      <xdr:row>15</xdr:row>
      <xdr:rowOff>100995</xdr:rowOff>
    </xdr:from>
    <xdr:to>
      <xdr:col>2</xdr:col>
      <xdr:colOff>1877914</xdr:colOff>
      <xdr:row>15</xdr:row>
      <xdr:rowOff>914226</xdr:rowOff>
    </xdr:to>
    <xdr:pic>
      <xdr:nvPicPr>
        <xdr:cNvPr id="62" name="Picture 61" descr="Drdo Projects | Photos, videos, logos, illustrations and branding on ...">
          <a:extLst>
            <a:ext uri="{FF2B5EF4-FFF2-40B4-BE49-F238E27FC236}">
              <a16:creationId xmlns:a16="http://schemas.microsoft.com/office/drawing/2014/main" id="{8A04F398-9415-45A2-968C-69D44E757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891" y="7762559"/>
          <a:ext cx="797507" cy="771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304800</xdr:rowOff>
    </xdr:to>
    <xdr:sp macro="" textlink="">
      <xdr:nvSpPr>
        <xdr:cNvPr id="8230" name="AutoShape 38" descr="Mapping Your Journey to Employment in Bharat Dynamics Limited 2024 ...">
          <a:extLst>
            <a:ext uri="{FF2B5EF4-FFF2-40B4-BE49-F238E27FC236}">
              <a16:creationId xmlns:a16="http://schemas.microsoft.com/office/drawing/2014/main" id="{95CCB44C-FA84-2732-692C-CF7954E3C4CB}"/>
            </a:ext>
          </a:extLst>
        </xdr:cNvPr>
        <xdr:cNvSpPr>
          <a:spLocks noChangeAspect="1" noChangeArrowheads="1"/>
        </xdr:cNvSpPr>
      </xdr:nvSpPr>
      <xdr:spPr bwMode="auto">
        <a:xfrm>
          <a:off x="2567940" y="866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8231" name="AutoShape 39" descr="Mapping Your Journey to Employment in Bharat Dynamics Limited 2024 ...">
          <a:extLst>
            <a:ext uri="{FF2B5EF4-FFF2-40B4-BE49-F238E27FC236}">
              <a16:creationId xmlns:a16="http://schemas.microsoft.com/office/drawing/2014/main" id="{EA12CEAA-6CCE-FFE6-DD8D-BC1A9D83F5BB}"/>
            </a:ext>
          </a:extLst>
        </xdr:cNvPr>
        <xdr:cNvSpPr>
          <a:spLocks noChangeAspect="1" noChangeArrowheads="1"/>
        </xdr:cNvSpPr>
      </xdr:nvSpPr>
      <xdr:spPr bwMode="auto">
        <a:xfrm>
          <a:off x="5951220" y="963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8232" name="AutoShape 40" descr="Mapping Your Journey to Employment in Bharat Dynamics Limited 2024 ...">
          <a:extLst>
            <a:ext uri="{FF2B5EF4-FFF2-40B4-BE49-F238E27FC236}">
              <a16:creationId xmlns:a16="http://schemas.microsoft.com/office/drawing/2014/main" id="{9CEB8435-A376-E2F4-4D64-2FA6B188DE8D}"/>
            </a:ext>
          </a:extLst>
        </xdr:cNvPr>
        <xdr:cNvSpPr>
          <a:spLocks noChangeAspect="1" noChangeArrowheads="1"/>
        </xdr:cNvSpPr>
      </xdr:nvSpPr>
      <xdr:spPr bwMode="auto">
        <a:xfrm>
          <a:off x="5951220" y="105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8233" name="AutoShape 41" descr="Mapping Your Journey to Employment in Bharat Dynamics Limited 2024 ...">
          <a:extLst>
            <a:ext uri="{FF2B5EF4-FFF2-40B4-BE49-F238E27FC236}">
              <a16:creationId xmlns:a16="http://schemas.microsoft.com/office/drawing/2014/main" id="{CF416108-6DE1-BA06-E844-68D0ED0654F3}"/>
            </a:ext>
          </a:extLst>
        </xdr:cNvPr>
        <xdr:cNvSpPr>
          <a:spLocks noChangeAspect="1" noChangeArrowheads="1"/>
        </xdr:cNvSpPr>
      </xdr:nvSpPr>
      <xdr:spPr bwMode="auto">
        <a:xfrm>
          <a:off x="5951220" y="105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2050472</xdr:colOff>
      <xdr:row>15</xdr:row>
      <xdr:rowOff>152858</xdr:rowOff>
    </xdr:from>
    <xdr:to>
      <xdr:col>2</xdr:col>
      <xdr:colOff>3505200</xdr:colOff>
      <xdr:row>15</xdr:row>
      <xdr:rowOff>872837</xdr:rowOff>
    </xdr:to>
    <xdr:pic>
      <xdr:nvPicPr>
        <xdr:cNvPr id="63" name="Picture 62" descr="Bharat Dynamics Ltd(BDL) - Buy-Order book provides visibility - Wealth ...">
          <a:extLst>
            <a:ext uri="{FF2B5EF4-FFF2-40B4-BE49-F238E27FC236}">
              <a16:creationId xmlns:a16="http://schemas.microsoft.com/office/drawing/2014/main" id="{BB3414AE-D057-4EF8-CE76-3472A7D931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4" t="8157" r="4866" b="8115"/>
        <a:stretch>
          <a:fillRect/>
        </a:stretch>
      </xdr:blipFill>
      <xdr:spPr bwMode="auto">
        <a:xfrm>
          <a:off x="4613563" y="7814422"/>
          <a:ext cx="1454728" cy="71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1242290</xdr:colOff>
      <xdr:row>15</xdr:row>
      <xdr:rowOff>110836</xdr:rowOff>
    </xdr:from>
    <xdr:to>
      <xdr:col>3</xdr:col>
      <xdr:colOff>1963599</xdr:colOff>
      <xdr:row>15</xdr:row>
      <xdr:rowOff>831273</xdr:rowOff>
    </xdr:to>
    <xdr:pic>
      <xdr:nvPicPr>
        <xdr:cNvPr id="8192" name="Picture 8191" descr="Drdo Projects | Photos, videos, logos, illustrations and branding on ...">
          <a:extLst>
            <a:ext uri="{FF2B5EF4-FFF2-40B4-BE49-F238E27FC236}">
              <a16:creationId xmlns:a16="http://schemas.microsoft.com/office/drawing/2014/main" id="{828E990B-08F5-4C5B-A023-A9ACD0DEC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8401" y="7843725"/>
          <a:ext cx="721309" cy="720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</xdr:colOff>
      <xdr:row>15</xdr:row>
      <xdr:rowOff>907184</xdr:rowOff>
    </xdr:from>
    <xdr:to>
      <xdr:col>3</xdr:col>
      <xdr:colOff>1162554</xdr:colOff>
      <xdr:row>17</xdr:row>
      <xdr:rowOff>124691</xdr:rowOff>
    </xdr:to>
    <xdr:pic>
      <xdr:nvPicPr>
        <xdr:cNvPr id="8193" name="Picture 8192" descr="MIL Recruitment 2024 – Apply for Vacancies.">
          <a:extLst>
            <a:ext uri="{FF2B5EF4-FFF2-40B4-BE49-F238E27FC236}">
              <a16:creationId xmlns:a16="http://schemas.microsoft.com/office/drawing/2014/main" id="{3C4CACBC-B414-2182-E50F-C9151D702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BEBA8EAE-BF5A-486C-A8C5-ECC9F3942E4B}">
              <a14:imgProps xmlns:a14="http://schemas.microsoft.com/office/drawing/2010/main">
                <a14:imgLayer r:embed="rId51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2" y="8568748"/>
          <a:ext cx="1162552" cy="1157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1889760</xdr:colOff>
      <xdr:row>18</xdr:row>
      <xdr:rowOff>746760</xdr:rowOff>
    </xdr:to>
    <xdr:sp macro="" textlink="">
      <xdr:nvSpPr>
        <xdr:cNvPr id="8236" name="AutoShape 44" descr="Image result for solar industries defence logo">
          <a:extLst>
            <a:ext uri="{FF2B5EF4-FFF2-40B4-BE49-F238E27FC236}">
              <a16:creationId xmlns:a16="http://schemas.microsoft.com/office/drawing/2014/main" id="{279B6825-7B80-5C94-4470-D76899ADBB30}"/>
            </a:ext>
          </a:extLst>
        </xdr:cNvPr>
        <xdr:cNvSpPr>
          <a:spLocks noChangeAspect="1" noChangeArrowheads="1"/>
        </xdr:cNvSpPr>
      </xdr:nvSpPr>
      <xdr:spPr bwMode="auto">
        <a:xfrm>
          <a:off x="5951220" y="9631680"/>
          <a:ext cx="188976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1177636</xdr:colOff>
      <xdr:row>16</xdr:row>
      <xdr:rowOff>69274</xdr:rowOff>
    </xdr:from>
    <xdr:to>
      <xdr:col>3</xdr:col>
      <xdr:colOff>2022764</xdr:colOff>
      <xdr:row>16</xdr:row>
      <xdr:rowOff>911330</xdr:rowOff>
    </xdr:to>
    <xdr:pic>
      <xdr:nvPicPr>
        <xdr:cNvPr id="8194" name="Picture 8193" descr="See the source image">
          <a:extLst>
            <a:ext uri="{FF2B5EF4-FFF2-40B4-BE49-F238E27FC236}">
              <a16:creationId xmlns:a16="http://schemas.microsoft.com/office/drawing/2014/main" id="{FC38DB07-5D79-AF05-4EAD-002286D77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1236" y="8700656"/>
          <a:ext cx="845128" cy="842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2092036</xdr:colOff>
      <xdr:row>16</xdr:row>
      <xdr:rowOff>224444</xdr:rowOff>
    </xdr:from>
    <xdr:to>
      <xdr:col>3</xdr:col>
      <xdr:colOff>3073754</xdr:colOff>
      <xdr:row>16</xdr:row>
      <xdr:rowOff>832682</xdr:rowOff>
    </xdr:to>
    <xdr:pic>
      <xdr:nvPicPr>
        <xdr:cNvPr id="8216" name="Picture 8215">
          <a:extLst>
            <a:ext uri="{FF2B5EF4-FFF2-40B4-BE49-F238E27FC236}">
              <a16:creationId xmlns:a16="http://schemas.microsoft.com/office/drawing/2014/main" id="{C9A38EC1-7EB1-9136-EAC6-34366543E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035636" y="8855826"/>
          <a:ext cx="981718" cy="608238"/>
        </a:xfrm>
        <a:prstGeom prst="rect">
          <a:avLst/>
        </a:prstGeom>
      </xdr:spPr>
    </xdr:pic>
    <xdr:clientData/>
  </xdr:twoCellAnchor>
  <xdr:twoCellAnchor editAs="oneCell">
    <xdr:from>
      <xdr:col>3</xdr:col>
      <xdr:colOff>235526</xdr:colOff>
      <xdr:row>17</xdr:row>
      <xdr:rowOff>235528</xdr:rowOff>
    </xdr:from>
    <xdr:to>
      <xdr:col>3</xdr:col>
      <xdr:colOff>2026572</xdr:colOff>
      <xdr:row>17</xdr:row>
      <xdr:rowOff>845128</xdr:rowOff>
    </xdr:to>
    <xdr:pic>
      <xdr:nvPicPr>
        <xdr:cNvPr id="8217" name="Picture 8216" descr="Godrej Aerospace partners with GKN Aerospace on manufacture of ...">
          <a:extLst>
            <a:ext uri="{FF2B5EF4-FFF2-40B4-BE49-F238E27FC236}">
              <a16:creationId xmlns:a16="http://schemas.microsoft.com/office/drawing/2014/main" id="{1D7741BF-925D-6293-71F9-5C0B84EBB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9126" y="9836728"/>
          <a:ext cx="1791046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2050473</xdr:colOff>
      <xdr:row>17</xdr:row>
      <xdr:rowOff>83126</xdr:rowOff>
    </xdr:from>
    <xdr:to>
      <xdr:col>3</xdr:col>
      <xdr:colOff>3122148</xdr:colOff>
      <xdr:row>17</xdr:row>
      <xdr:rowOff>875871</xdr:rowOff>
    </xdr:to>
    <xdr:pic>
      <xdr:nvPicPr>
        <xdr:cNvPr id="8222" name="Picture 8221" descr="Mtar Technologies - Crunchbase Company Profile &amp; Funding">
          <a:extLst>
            <a:ext uri="{FF2B5EF4-FFF2-40B4-BE49-F238E27FC236}">
              <a16:creationId xmlns:a16="http://schemas.microsoft.com/office/drawing/2014/main" id="{C39EE1A3-8748-0B41-C300-2BAAE9FA84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59" t="24671" r="23821" b="26094"/>
        <a:stretch>
          <a:fillRect/>
        </a:stretch>
      </xdr:blipFill>
      <xdr:spPr bwMode="auto">
        <a:xfrm>
          <a:off x="7994073" y="9684326"/>
          <a:ext cx="1071675" cy="792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1281544</xdr:colOff>
      <xdr:row>15</xdr:row>
      <xdr:rowOff>110836</xdr:rowOff>
    </xdr:from>
    <xdr:to>
      <xdr:col>4</xdr:col>
      <xdr:colOff>2002853</xdr:colOff>
      <xdr:row>15</xdr:row>
      <xdr:rowOff>831273</xdr:rowOff>
    </xdr:to>
    <xdr:pic>
      <xdr:nvPicPr>
        <xdr:cNvPr id="8223" name="Picture 8222" descr="Drdo Projects | Photos, videos, logos, illustrations and branding on ...">
          <a:extLst>
            <a:ext uri="{FF2B5EF4-FFF2-40B4-BE49-F238E27FC236}">
              <a16:creationId xmlns:a16="http://schemas.microsoft.com/office/drawing/2014/main" id="{41175A5A-B639-4CC8-87A6-1C349D724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0962" y="7772400"/>
          <a:ext cx="721309" cy="720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89646</xdr:colOff>
      <xdr:row>16</xdr:row>
      <xdr:rowOff>65057</xdr:rowOff>
    </xdr:from>
    <xdr:to>
      <xdr:col>4</xdr:col>
      <xdr:colOff>1620982</xdr:colOff>
      <xdr:row>16</xdr:row>
      <xdr:rowOff>493973</xdr:rowOff>
    </xdr:to>
    <xdr:pic>
      <xdr:nvPicPr>
        <xdr:cNvPr id="8224" name="Picture 8223" descr="Astra Microwave Products Ltd. Dividend (2021)">
          <a:extLst>
            <a:ext uri="{FF2B5EF4-FFF2-40B4-BE49-F238E27FC236}">
              <a16:creationId xmlns:a16="http://schemas.microsoft.com/office/drawing/2014/main" id="{54D5BCCA-F1D1-4860-A1C0-D55A3C4440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 cstate="print">
          <a:extLst>
            <a:ext uri="{BEBA8EAE-BF5A-486C-A8C5-ECC9F3942E4B}">
              <a14:imgProps xmlns:a14="http://schemas.microsoft.com/office/drawing/2010/main">
                <a14:imgLayer r:embed="rId57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9289064" y="8696439"/>
          <a:ext cx="1531336" cy="428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942108</xdr:colOff>
      <xdr:row>17</xdr:row>
      <xdr:rowOff>110836</xdr:rowOff>
    </xdr:from>
    <xdr:to>
      <xdr:col>4</xdr:col>
      <xdr:colOff>2147453</xdr:colOff>
      <xdr:row>17</xdr:row>
      <xdr:rowOff>483713</xdr:rowOff>
    </xdr:to>
    <xdr:pic>
      <xdr:nvPicPr>
        <xdr:cNvPr id="8225" name="Picture 8224" descr="Tonbo Imaging Logo - Free Transparent PNG Download - PNGkey">
          <a:extLst>
            <a:ext uri="{FF2B5EF4-FFF2-40B4-BE49-F238E27FC236}">
              <a16:creationId xmlns:a16="http://schemas.microsoft.com/office/drawing/2014/main" id="{D062D76F-8F14-420D-8DE5-8A7A5DBE26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33" b="16606"/>
        <a:stretch>
          <a:fillRect/>
        </a:stretch>
      </xdr:blipFill>
      <xdr:spPr bwMode="auto">
        <a:xfrm>
          <a:off x="10141526" y="9712036"/>
          <a:ext cx="1205345" cy="372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249383</xdr:colOff>
      <xdr:row>16</xdr:row>
      <xdr:rowOff>552209</xdr:rowOff>
    </xdr:from>
    <xdr:to>
      <xdr:col>4</xdr:col>
      <xdr:colOff>1371601</xdr:colOff>
      <xdr:row>16</xdr:row>
      <xdr:rowOff>850011</xdr:rowOff>
    </xdr:to>
    <xdr:pic>
      <xdr:nvPicPr>
        <xdr:cNvPr id="8226" name="Picture 8225" descr="Bharat Electronics – Spectacular show">
          <a:extLst>
            <a:ext uri="{FF2B5EF4-FFF2-40B4-BE49-F238E27FC236}">
              <a16:creationId xmlns:a16="http://schemas.microsoft.com/office/drawing/2014/main" id="{CD734B8D-A7C3-47A6-BF39-6C98495F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1" y="9183591"/>
          <a:ext cx="1122218" cy="297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1450653</xdr:colOff>
      <xdr:row>17</xdr:row>
      <xdr:rowOff>457584</xdr:rowOff>
    </xdr:from>
    <xdr:to>
      <xdr:col>4</xdr:col>
      <xdr:colOff>2355273</xdr:colOff>
      <xdr:row>17</xdr:row>
      <xdr:rowOff>915058</xdr:rowOff>
    </xdr:to>
    <xdr:pic>
      <xdr:nvPicPr>
        <xdr:cNvPr id="8227" name="Picture 8226" descr="Data Patterns Recruitment 2022 Hiring for Graduate Engineer Trainee ...">
          <a:extLst>
            <a:ext uri="{FF2B5EF4-FFF2-40B4-BE49-F238E27FC236}">
              <a16:creationId xmlns:a16="http://schemas.microsoft.com/office/drawing/2014/main" id="{9FAFD102-72EB-4F94-B612-156495C986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11980108" y="10058784"/>
          <a:ext cx="904620" cy="457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2493818</xdr:colOff>
      <xdr:row>16</xdr:row>
      <xdr:rowOff>69272</xdr:rowOff>
    </xdr:from>
    <xdr:to>
      <xdr:col>4</xdr:col>
      <xdr:colOff>3352799</xdr:colOff>
      <xdr:row>16</xdr:row>
      <xdr:rowOff>867856</xdr:rowOff>
    </xdr:to>
    <xdr:pic>
      <xdr:nvPicPr>
        <xdr:cNvPr id="8228" name="Picture 8227">
          <a:extLst>
            <a:ext uri="{FF2B5EF4-FFF2-40B4-BE49-F238E27FC236}">
              <a16:creationId xmlns:a16="http://schemas.microsoft.com/office/drawing/2014/main" id="{75D0A3B1-91B4-04FD-1A8F-A8F1D40C2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/>
        <a:srcRect l="6369" t="11727" r="12102" b="3559"/>
        <a:stretch>
          <a:fillRect/>
        </a:stretch>
      </xdr:blipFill>
      <xdr:spPr>
        <a:xfrm>
          <a:off x="11693236" y="8700654"/>
          <a:ext cx="858981" cy="798584"/>
        </a:xfrm>
        <a:prstGeom prst="rect">
          <a:avLst/>
        </a:prstGeom>
      </xdr:spPr>
    </xdr:pic>
    <xdr:clientData/>
  </xdr:twoCellAnchor>
  <xdr:twoCellAnchor editAs="oneCell">
    <xdr:from>
      <xdr:col>4</xdr:col>
      <xdr:colOff>2181683</xdr:colOff>
      <xdr:row>17</xdr:row>
      <xdr:rowOff>189267</xdr:rowOff>
    </xdr:from>
    <xdr:to>
      <xdr:col>4</xdr:col>
      <xdr:colOff>3377905</xdr:colOff>
      <xdr:row>17</xdr:row>
      <xdr:rowOff>540327</xdr:rowOff>
    </xdr:to>
    <xdr:pic>
      <xdr:nvPicPr>
        <xdr:cNvPr id="8229" name="Picture 8228" descr="Astra Microwave Products Ltd. Dividend (2021)">
          <a:extLst>
            <a:ext uri="{FF2B5EF4-FFF2-40B4-BE49-F238E27FC236}">
              <a16:creationId xmlns:a16="http://schemas.microsoft.com/office/drawing/2014/main" id="{FCF6942C-E1C7-4A89-B18D-2DD725D0BC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2" cstate="print">
          <a:extLst>
            <a:ext uri="{BEBA8EAE-BF5A-486C-A8C5-ECC9F3942E4B}">
              <a14:imgProps xmlns:a14="http://schemas.microsoft.com/office/drawing/2010/main">
                <a14:imgLayer r:embed="rId63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11381101" y="9790467"/>
          <a:ext cx="1253372" cy="35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1409091</xdr:colOff>
      <xdr:row>16</xdr:row>
      <xdr:rowOff>373052</xdr:rowOff>
    </xdr:from>
    <xdr:to>
      <xdr:col>4</xdr:col>
      <xdr:colOff>2618511</xdr:colOff>
      <xdr:row>17</xdr:row>
      <xdr:rowOff>13526</xdr:rowOff>
    </xdr:to>
    <xdr:pic>
      <xdr:nvPicPr>
        <xdr:cNvPr id="8234" name="Picture 8233" descr="Data Patterns Recruitment 2022 Hiring for Graduate Engineer Trainee ...">
          <a:extLst>
            <a:ext uri="{FF2B5EF4-FFF2-40B4-BE49-F238E27FC236}">
              <a16:creationId xmlns:a16="http://schemas.microsoft.com/office/drawing/2014/main" id="{2E5F3FAC-B5B8-4480-88AA-B164F820C0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BEBA8EAE-BF5A-486C-A8C5-ECC9F3942E4B}">
              <a14:imgProps xmlns:a14="http://schemas.microsoft.com/office/drawing/2010/main">
                <a14:imgLayer r:embed="rId65">
                  <a14:imgEffect>
                    <a14:backgroundRemoval t="22672" b="72749" l="23675" r="7938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10608509" y="9004434"/>
          <a:ext cx="1209420" cy="6102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69271</xdr:colOff>
      <xdr:row>17</xdr:row>
      <xdr:rowOff>83127</xdr:rowOff>
    </xdr:from>
    <xdr:to>
      <xdr:col>4</xdr:col>
      <xdr:colOff>928252</xdr:colOff>
      <xdr:row>17</xdr:row>
      <xdr:rowOff>881711</xdr:rowOff>
    </xdr:to>
    <xdr:pic>
      <xdr:nvPicPr>
        <xdr:cNvPr id="8235" name="Picture 8234">
          <a:extLst>
            <a:ext uri="{FF2B5EF4-FFF2-40B4-BE49-F238E27FC236}">
              <a16:creationId xmlns:a16="http://schemas.microsoft.com/office/drawing/2014/main" id="{99214062-74CD-40CE-8F8F-AC27C8E07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/>
        <a:srcRect l="6369" t="11727" r="12102" b="3559"/>
        <a:stretch>
          <a:fillRect/>
        </a:stretch>
      </xdr:blipFill>
      <xdr:spPr>
        <a:xfrm>
          <a:off x="10598726" y="9684327"/>
          <a:ext cx="858981" cy="798584"/>
        </a:xfrm>
        <a:prstGeom prst="rect">
          <a:avLst/>
        </a:prstGeom>
      </xdr:spPr>
    </xdr:pic>
    <xdr:clientData/>
  </xdr:twoCellAnchor>
  <xdr:twoCellAnchor editAs="oneCell">
    <xdr:from>
      <xdr:col>5</xdr:col>
      <xdr:colOff>235528</xdr:colOff>
      <xdr:row>15</xdr:row>
      <xdr:rowOff>318072</xdr:rowOff>
    </xdr:from>
    <xdr:to>
      <xdr:col>5</xdr:col>
      <xdr:colOff>1648691</xdr:colOff>
      <xdr:row>15</xdr:row>
      <xdr:rowOff>799055</xdr:rowOff>
    </xdr:to>
    <xdr:pic>
      <xdr:nvPicPr>
        <xdr:cNvPr id="8240" name="Picture 8239" descr="Godrej Aerospace partners with GKN Aerospace on manufacture of ...">
          <a:extLst>
            <a:ext uri="{FF2B5EF4-FFF2-40B4-BE49-F238E27FC236}">
              <a16:creationId xmlns:a16="http://schemas.microsoft.com/office/drawing/2014/main" id="{37FA2DF4-2DDE-478E-A365-1779A1426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2437" y="7979636"/>
          <a:ext cx="1413163" cy="48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1593272</xdr:colOff>
      <xdr:row>15</xdr:row>
      <xdr:rowOff>199061</xdr:rowOff>
    </xdr:from>
    <xdr:to>
      <xdr:col>5</xdr:col>
      <xdr:colOff>2729345</xdr:colOff>
      <xdr:row>15</xdr:row>
      <xdr:rowOff>886784</xdr:rowOff>
    </xdr:to>
    <xdr:pic>
      <xdr:nvPicPr>
        <xdr:cNvPr id="8242" name="Picture 8241" descr="Bharat Dynamics Limited - BDL Recruitment 2022">
          <a:extLst>
            <a:ext uri="{FF2B5EF4-FFF2-40B4-BE49-F238E27FC236}">
              <a16:creationId xmlns:a16="http://schemas.microsoft.com/office/drawing/2014/main" id="{7E645200-359F-1BB2-700D-48D2E101FC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22" t="21672" r="23930" b="22291"/>
        <a:stretch>
          <a:fillRect/>
        </a:stretch>
      </xdr:blipFill>
      <xdr:spPr bwMode="auto">
        <a:xfrm>
          <a:off x="14270181" y="7860625"/>
          <a:ext cx="1136073" cy="68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362664</xdr:colOff>
      <xdr:row>16</xdr:row>
      <xdr:rowOff>124166</xdr:rowOff>
    </xdr:from>
    <xdr:to>
      <xdr:col>5</xdr:col>
      <xdr:colOff>1260764</xdr:colOff>
      <xdr:row>16</xdr:row>
      <xdr:rowOff>796439</xdr:rowOff>
    </xdr:to>
    <xdr:pic>
      <xdr:nvPicPr>
        <xdr:cNvPr id="8243" name="Picture 8242" descr="Vem Technologies Pvt. Ltd">
          <a:extLst>
            <a:ext uri="{FF2B5EF4-FFF2-40B4-BE49-F238E27FC236}">
              <a16:creationId xmlns:a16="http://schemas.microsoft.com/office/drawing/2014/main" id="{EB5611A5-DAC8-40A8-8540-63CE2AE37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573" y="8755548"/>
          <a:ext cx="898100" cy="672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1274616</xdr:colOff>
      <xdr:row>16</xdr:row>
      <xdr:rowOff>249382</xdr:rowOff>
    </xdr:from>
    <xdr:to>
      <xdr:col>5</xdr:col>
      <xdr:colOff>2571147</xdr:colOff>
      <xdr:row>16</xdr:row>
      <xdr:rowOff>734292</xdr:rowOff>
    </xdr:to>
    <xdr:pic>
      <xdr:nvPicPr>
        <xdr:cNvPr id="8244" name="Picture 8243" descr="Hbl Power System Limited | Equity X Stock Market Advisory">
          <a:extLst>
            <a:ext uri="{FF2B5EF4-FFF2-40B4-BE49-F238E27FC236}">
              <a16:creationId xmlns:a16="http://schemas.microsoft.com/office/drawing/2014/main" id="{9553B4A1-0FD1-2550-7513-B87244E8EF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87" t="4659" r="20478" b="54275"/>
        <a:stretch>
          <a:fillRect/>
        </a:stretch>
      </xdr:blipFill>
      <xdr:spPr bwMode="auto">
        <a:xfrm>
          <a:off x="13951525" y="8880764"/>
          <a:ext cx="1296531" cy="48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1210293</xdr:colOff>
      <xdr:row>15</xdr:row>
      <xdr:rowOff>179121</xdr:rowOff>
    </xdr:from>
    <xdr:to>
      <xdr:col>6</xdr:col>
      <xdr:colOff>1924971</xdr:colOff>
      <xdr:row>15</xdr:row>
      <xdr:rowOff>814449</xdr:rowOff>
    </xdr:to>
    <xdr:pic>
      <xdr:nvPicPr>
        <xdr:cNvPr id="8245" name="Picture 8244" descr="Drdo Projects | Photos, videos, logos, illustrations and branding on ...">
          <a:extLst>
            <a:ext uri="{FF2B5EF4-FFF2-40B4-BE49-F238E27FC236}">
              <a16:creationId xmlns:a16="http://schemas.microsoft.com/office/drawing/2014/main" id="{DD9E9854-5ED7-4290-B0DC-FE56BD449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1122" y="7907978"/>
          <a:ext cx="714678" cy="635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110837</xdr:colOff>
      <xdr:row>16</xdr:row>
      <xdr:rowOff>138545</xdr:rowOff>
    </xdr:from>
    <xdr:to>
      <xdr:col>6</xdr:col>
      <xdr:colOff>1407393</xdr:colOff>
      <xdr:row>16</xdr:row>
      <xdr:rowOff>858982</xdr:rowOff>
    </xdr:to>
    <xdr:pic>
      <xdr:nvPicPr>
        <xdr:cNvPr id="8246" name="Picture 8245" descr="Bharat Forge Ltd and Paramount Group sign MOU for Collaboration for ...">
          <a:extLst>
            <a:ext uri="{FF2B5EF4-FFF2-40B4-BE49-F238E27FC236}">
              <a16:creationId xmlns:a16="http://schemas.microsoft.com/office/drawing/2014/main" id="{204FFD9C-17E3-34E3-8CBB-198C01B69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52619" y="8769927"/>
          <a:ext cx="1296556" cy="720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304800</xdr:colOff>
      <xdr:row>17</xdr:row>
      <xdr:rowOff>304800</xdr:rowOff>
    </xdr:to>
    <xdr:sp macro="" textlink="">
      <xdr:nvSpPr>
        <xdr:cNvPr id="8252" name="AutoShape 60" descr="Sandeep Logo">
          <a:extLst>
            <a:ext uri="{FF2B5EF4-FFF2-40B4-BE49-F238E27FC236}">
              <a16:creationId xmlns:a16="http://schemas.microsoft.com/office/drawing/2014/main" id="{CD28C61F-EF00-F301-F112-679B14528406}"/>
            </a:ext>
          </a:extLst>
        </xdr:cNvPr>
        <xdr:cNvSpPr>
          <a:spLocks noChangeAspect="1" noChangeArrowheads="1"/>
        </xdr:cNvSpPr>
      </xdr:nvSpPr>
      <xdr:spPr bwMode="auto">
        <a:xfrm>
          <a:off x="18608040" y="963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1108362</xdr:colOff>
      <xdr:row>16</xdr:row>
      <xdr:rowOff>124690</xdr:rowOff>
    </xdr:from>
    <xdr:to>
      <xdr:col>6</xdr:col>
      <xdr:colOff>2826327</xdr:colOff>
      <xdr:row>16</xdr:row>
      <xdr:rowOff>544465</xdr:rowOff>
    </xdr:to>
    <xdr:pic>
      <xdr:nvPicPr>
        <xdr:cNvPr id="8247" name="Picture 8246" descr="Sandeep Logo">
          <a:extLst>
            <a:ext uri="{FF2B5EF4-FFF2-40B4-BE49-F238E27FC236}">
              <a16:creationId xmlns:a16="http://schemas.microsoft.com/office/drawing/2014/main" id="{F76FE5E7-5729-F235-C9D1-EE9676A8A7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86" t="32909" r="6147" b="36185"/>
        <a:stretch>
          <a:fillRect/>
        </a:stretch>
      </xdr:blipFill>
      <xdr:spPr bwMode="auto">
        <a:xfrm>
          <a:off x="16750144" y="8756072"/>
          <a:ext cx="1717965" cy="41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193964</xdr:colOff>
      <xdr:row>17</xdr:row>
      <xdr:rowOff>277091</xdr:rowOff>
    </xdr:from>
    <xdr:to>
      <xdr:col>6</xdr:col>
      <xdr:colOff>1241183</xdr:colOff>
      <xdr:row>17</xdr:row>
      <xdr:rowOff>858983</xdr:rowOff>
    </xdr:to>
    <xdr:pic>
      <xdr:nvPicPr>
        <xdr:cNvPr id="8249" name="Picture 8248" descr="Bharat Forge Ltd and Paramount Group sign MOU for Collaboration for ...">
          <a:extLst>
            <a:ext uri="{FF2B5EF4-FFF2-40B4-BE49-F238E27FC236}">
              <a16:creationId xmlns:a16="http://schemas.microsoft.com/office/drawing/2014/main" id="{2C3E1D3F-27EA-4819-AED6-77E54FED8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5746" y="9878291"/>
          <a:ext cx="1047219" cy="581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1343891</xdr:colOff>
      <xdr:row>17</xdr:row>
      <xdr:rowOff>124692</xdr:rowOff>
    </xdr:from>
    <xdr:to>
      <xdr:col>6</xdr:col>
      <xdr:colOff>2108669</xdr:colOff>
      <xdr:row>17</xdr:row>
      <xdr:rowOff>886690</xdr:rowOff>
    </xdr:to>
    <xdr:pic>
      <xdr:nvPicPr>
        <xdr:cNvPr id="8250" name="Picture 8249" descr="See the source image">
          <a:extLst>
            <a:ext uri="{FF2B5EF4-FFF2-40B4-BE49-F238E27FC236}">
              <a16:creationId xmlns:a16="http://schemas.microsoft.com/office/drawing/2014/main" id="{D3AC8A04-E182-4DA6-9ED8-F65F2EB92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15709" y="9725892"/>
          <a:ext cx="764778" cy="761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13853</xdr:colOff>
      <xdr:row>15</xdr:row>
      <xdr:rowOff>221671</xdr:rowOff>
    </xdr:from>
    <xdr:to>
      <xdr:col>7</xdr:col>
      <xdr:colOff>1357744</xdr:colOff>
      <xdr:row>15</xdr:row>
      <xdr:rowOff>737136</xdr:rowOff>
    </xdr:to>
    <xdr:pic>
      <xdr:nvPicPr>
        <xdr:cNvPr id="8251" name="Picture 8250" descr="L&amp;T Share Price Highlights: L&amp;T Stock Price History - The Economic Times">
          <a:extLst>
            <a:ext uri="{FF2B5EF4-FFF2-40B4-BE49-F238E27FC236}">
              <a16:creationId xmlns:a16="http://schemas.microsoft.com/office/drawing/2014/main" id="{FCBB5314-87FC-43E3-9E64-5877EA5C3C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18620508" y="7883235"/>
          <a:ext cx="1343891" cy="515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1302326</xdr:colOff>
      <xdr:row>15</xdr:row>
      <xdr:rowOff>138545</xdr:rowOff>
    </xdr:from>
    <xdr:to>
      <xdr:col>7</xdr:col>
      <xdr:colOff>2795649</xdr:colOff>
      <xdr:row>15</xdr:row>
      <xdr:rowOff>429491</xdr:rowOff>
    </xdr:to>
    <xdr:pic>
      <xdr:nvPicPr>
        <xdr:cNvPr id="8253" name="Picture 8252" descr="Tata Advanced Systems Limited (TASL) - Military Embedded Systems">
          <a:extLst>
            <a:ext uri="{FF2B5EF4-FFF2-40B4-BE49-F238E27FC236}">
              <a16:creationId xmlns:a16="http://schemas.microsoft.com/office/drawing/2014/main" id="{29C2699A-3C90-4AD4-ADE2-C0B38504B7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71" b="28571"/>
        <a:stretch>
          <a:fillRect/>
        </a:stretch>
      </xdr:blipFill>
      <xdr:spPr bwMode="auto">
        <a:xfrm>
          <a:off x="19908981" y="7800109"/>
          <a:ext cx="1493323" cy="290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16</xdr:row>
      <xdr:rowOff>304800</xdr:rowOff>
    </xdr:to>
    <xdr:sp macro="" textlink="">
      <xdr:nvSpPr>
        <xdr:cNvPr id="8254" name="AutoShape 62" descr="Bharat Earth Movers Limited | Logopedia | Fandom">
          <a:extLst>
            <a:ext uri="{FF2B5EF4-FFF2-40B4-BE49-F238E27FC236}">
              <a16:creationId xmlns:a16="http://schemas.microsoft.com/office/drawing/2014/main" id="{E181C4B2-ED6A-2C7F-6951-F151972A9C01}"/>
            </a:ext>
          </a:extLst>
        </xdr:cNvPr>
        <xdr:cNvSpPr>
          <a:spLocks noChangeAspect="1" noChangeArrowheads="1"/>
        </xdr:cNvSpPr>
      </xdr:nvSpPr>
      <xdr:spPr bwMode="auto">
        <a:xfrm>
          <a:off x="21572220" y="866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304800</xdr:colOff>
      <xdr:row>18</xdr:row>
      <xdr:rowOff>304800</xdr:rowOff>
    </xdr:to>
    <xdr:sp macro="" textlink="">
      <xdr:nvSpPr>
        <xdr:cNvPr id="8255" name="AutoShape 63" descr="Bharat Earth Movers Limited | Logopedia | Fandom">
          <a:extLst>
            <a:ext uri="{FF2B5EF4-FFF2-40B4-BE49-F238E27FC236}">
              <a16:creationId xmlns:a16="http://schemas.microsoft.com/office/drawing/2014/main" id="{2BF0C0C9-A772-3F1A-93CF-DD2AFA6E646A}"/>
            </a:ext>
          </a:extLst>
        </xdr:cNvPr>
        <xdr:cNvSpPr>
          <a:spLocks noChangeAspect="1" noChangeArrowheads="1"/>
        </xdr:cNvSpPr>
      </xdr:nvSpPr>
      <xdr:spPr bwMode="auto">
        <a:xfrm>
          <a:off x="18608040" y="105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304800</xdr:colOff>
      <xdr:row>18</xdr:row>
      <xdr:rowOff>304800</xdr:rowOff>
    </xdr:to>
    <xdr:sp macro="" textlink="">
      <xdr:nvSpPr>
        <xdr:cNvPr id="8256" name="AutoShape 64" descr="BEML Wins Rs 866.87 Cr Contract to Build Bullet Trains in India">
          <a:extLst>
            <a:ext uri="{FF2B5EF4-FFF2-40B4-BE49-F238E27FC236}">
              <a16:creationId xmlns:a16="http://schemas.microsoft.com/office/drawing/2014/main" id="{FF0DA686-1403-011E-5DAD-A59F85A1C595}"/>
            </a:ext>
          </a:extLst>
        </xdr:cNvPr>
        <xdr:cNvSpPr>
          <a:spLocks noChangeAspect="1" noChangeArrowheads="1"/>
        </xdr:cNvSpPr>
      </xdr:nvSpPr>
      <xdr:spPr bwMode="auto">
        <a:xfrm>
          <a:off x="18608040" y="105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304800</xdr:colOff>
      <xdr:row>18</xdr:row>
      <xdr:rowOff>304800</xdr:rowOff>
    </xdr:to>
    <xdr:sp macro="" textlink="">
      <xdr:nvSpPr>
        <xdr:cNvPr id="8257" name="AutoShape 65" descr="Buy BEML Excavator Battery Online, BEML Excavator Battery Price ...">
          <a:extLst>
            <a:ext uri="{FF2B5EF4-FFF2-40B4-BE49-F238E27FC236}">
              <a16:creationId xmlns:a16="http://schemas.microsoft.com/office/drawing/2014/main" id="{0021D221-ACEE-F09D-8C5C-A5F8D625C057}"/>
            </a:ext>
          </a:extLst>
        </xdr:cNvPr>
        <xdr:cNvSpPr>
          <a:spLocks noChangeAspect="1" noChangeArrowheads="1"/>
        </xdr:cNvSpPr>
      </xdr:nvSpPr>
      <xdr:spPr bwMode="auto">
        <a:xfrm>
          <a:off x="18608040" y="105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1565564</xdr:colOff>
      <xdr:row>15</xdr:row>
      <xdr:rowOff>360220</xdr:rowOff>
    </xdr:from>
    <xdr:to>
      <xdr:col>7</xdr:col>
      <xdr:colOff>2521528</xdr:colOff>
      <xdr:row>15</xdr:row>
      <xdr:rowOff>894572</xdr:rowOff>
    </xdr:to>
    <xdr:pic>
      <xdr:nvPicPr>
        <xdr:cNvPr id="8258" name="Picture 8257" descr="BEML Recruitment 2020: ವಿವಿಧ ಹುದ್ದೆಗಳಿಗೆ ಅರ್ಜಿ ಆಹ್ವಾನ - Kannada Oneindia">
          <a:extLst>
            <a:ext uri="{FF2B5EF4-FFF2-40B4-BE49-F238E27FC236}">
              <a16:creationId xmlns:a16="http://schemas.microsoft.com/office/drawing/2014/main" id="{2A3D37D0-28C2-1EF3-2F5E-60F79E900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2219" y="8021784"/>
          <a:ext cx="955964" cy="534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18</xdr:row>
      <xdr:rowOff>0</xdr:rowOff>
    </xdr:from>
    <xdr:ext cx="304800" cy="304800"/>
    <xdr:sp macro="" textlink="">
      <xdr:nvSpPr>
        <xdr:cNvPr id="8259" name="AutoShape 60" descr="Sandeep Logo">
          <a:extLst>
            <a:ext uri="{FF2B5EF4-FFF2-40B4-BE49-F238E27FC236}">
              <a16:creationId xmlns:a16="http://schemas.microsoft.com/office/drawing/2014/main" id="{EBF7FB09-581C-494B-81E0-714A45BCE4AE}"/>
            </a:ext>
          </a:extLst>
        </xdr:cNvPr>
        <xdr:cNvSpPr>
          <a:spLocks noChangeAspect="1" noChangeArrowheads="1"/>
        </xdr:cNvSpPr>
      </xdr:nvSpPr>
      <xdr:spPr bwMode="auto">
        <a:xfrm>
          <a:off x="18606655" y="96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749776</xdr:colOff>
      <xdr:row>16</xdr:row>
      <xdr:rowOff>275461</xdr:rowOff>
    </xdr:from>
    <xdr:to>
      <xdr:col>7</xdr:col>
      <xdr:colOff>2217757</xdr:colOff>
      <xdr:row>16</xdr:row>
      <xdr:rowOff>665018</xdr:rowOff>
    </xdr:to>
    <xdr:pic>
      <xdr:nvPicPr>
        <xdr:cNvPr id="8260" name="Picture 8259" descr="Bharat Electronics – Spectacular show">
          <a:extLst>
            <a:ext uri="{FF2B5EF4-FFF2-40B4-BE49-F238E27FC236}">
              <a16:creationId xmlns:a16="http://schemas.microsoft.com/office/drawing/2014/main" id="{E0A21725-5291-4ADB-8610-6C5B4BCC2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37085" y="8906843"/>
          <a:ext cx="1467981" cy="389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187036</xdr:colOff>
      <xdr:row>22</xdr:row>
      <xdr:rowOff>166256</xdr:rowOff>
    </xdr:from>
    <xdr:to>
      <xdr:col>2</xdr:col>
      <xdr:colOff>797374</xdr:colOff>
      <xdr:row>22</xdr:row>
      <xdr:rowOff>775856</xdr:rowOff>
    </xdr:to>
    <xdr:pic>
      <xdr:nvPicPr>
        <xdr:cNvPr id="8262" name="Picture 8261" descr="Drdo Projects | Photos, videos, logos, illustrations and branding on ...">
          <a:extLst>
            <a:ext uri="{FF2B5EF4-FFF2-40B4-BE49-F238E27FC236}">
              <a16:creationId xmlns:a16="http://schemas.microsoft.com/office/drawing/2014/main" id="{46ECD8AE-3D7D-4461-B1FD-6DABAEB04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0127" y="13037129"/>
          <a:ext cx="610338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2022764</xdr:colOff>
      <xdr:row>22</xdr:row>
      <xdr:rowOff>221674</xdr:rowOff>
    </xdr:from>
    <xdr:to>
      <xdr:col>2</xdr:col>
      <xdr:colOff>3161730</xdr:colOff>
      <xdr:row>22</xdr:row>
      <xdr:rowOff>858983</xdr:rowOff>
    </xdr:to>
    <xdr:pic>
      <xdr:nvPicPr>
        <xdr:cNvPr id="8263" name="Picture 8262" descr="AiutoCareer : MAZAGON DOCK SHIPBUILDERS LIMITED">
          <a:extLst>
            <a:ext uri="{FF2B5EF4-FFF2-40B4-BE49-F238E27FC236}">
              <a16:creationId xmlns:a16="http://schemas.microsoft.com/office/drawing/2014/main" id="{E23758E0-EDDA-318C-2E87-0DB78707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5855" y="13092547"/>
          <a:ext cx="1138966" cy="637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3075709</xdr:colOff>
      <xdr:row>22</xdr:row>
      <xdr:rowOff>207819</xdr:rowOff>
    </xdr:from>
    <xdr:to>
      <xdr:col>2</xdr:col>
      <xdr:colOff>4197231</xdr:colOff>
      <xdr:row>22</xdr:row>
      <xdr:rowOff>831274</xdr:rowOff>
    </xdr:to>
    <xdr:pic>
      <xdr:nvPicPr>
        <xdr:cNvPr id="8264" name="Picture 8263">
          <a:extLst>
            <a:ext uri="{FF2B5EF4-FFF2-40B4-BE49-F238E27FC236}">
              <a16:creationId xmlns:a16="http://schemas.microsoft.com/office/drawing/2014/main" id="{168CE212-5557-12AA-747D-1FF1BE45C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638800" y="13078692"/>
          <a:ext cx="1121522" cy="623455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22</xdr:row>
      <xdr:rowOff>1302328</xdr:rowOff>
    </xdr:from>
    <xdr:to>
      <xdr:col>2</xdr:col>
      <xdr:colOff>1362229</xdr:colOff>
      <xdr:row>22</xdr:row>
      <xdr:rowOff>1773382</xdr:rowOff>
    </xdr:to>
    <xdr:pic>
      <xdr:nvPicPr>
        <xdr:cNvPr id="8266" name="Picture 8265" descr="Hindustan Shipyard Limited - HSL Recruitment 2018 Last Date 28 ...">
          <a:extLst>
            <a:ext uri="{FF2B5EF4-FFF2-40B4-BE49-F238E27FC236}">
              <a16:creationId xmlns:a16="http://schemas.microsoft.com/office/drawing/2014/main" id="{78FB21BE-90B3-642F-C191-E147A57C0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0291" y="14173201"/>
          <a:ext cx="905029" cy="471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304800</xdr:colOff>
      <xdr:row>22</xdr:row>
      <xdr:rowOff>304800</xdr:rowOff>
    </xdr:to>
    <xdr:sp macro="" textlink="">
      <xdr:nvSpPr>
        <xdr:cNvPr id="8267" name="AutoShape 70" descr="Cochin Shipyard Ltd celebrates Hindi Fortnight - India Shipping News">
          <a:extLst>
            <a:ext uri="{FF2B5EF4-FFF2-40B4-BE49-F238E27FC236}">
              <a16:creationId xmlns:a16="http://schemas.microsoft.com/office/drawing/2014/main" id="{28590601-419F-9BAB-74F2-E80ED912A85E}"/>
            </a:ext>
          </a:extLst>
        </xdr:cNvPr>
        <xdr:cNvSpPr>
          <a:spLocks noChangeAspect="1" noChangeArrowheads="1"/>
        </xdr:cNvSpPr>
      </xdr:nvSpPr>
      <xdr:spPr bwMode="auto">
        <a:xfrm>
          <a:off x="9204960" y="1290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914401</xdr:colOff>
      <xdr:row>22</xdr:row>
      <xdr:rowOff>249382</xdr:rowOff>
    </xdr:from>
    <xdr:to>
      <xdr:col>2</xdr:col>
      <xdr:colOff>2022763</xdr:colOff>
      <xdr:row>22</xdr:row>
      <xdr:rowOff>858345</xdr:rowOff>
    </xdr:to>
    <xdr:pic>
      <xdr:nvPicPr>
        <xdr:cNvPr id="8268" name="Picture 8267" descr="Cochin Shipyard Ltd celebrates Hindi Fortnight - India Shipping News">
          <a:extLst>
            <a:ext uri="{FF2B5EF4-FFF2-40B4-BE49-F238E27FC236}">
              <a16:creationId xmlns:a16="http://schemas.microsoft.com/office/drawing/2014/main" id="{25094A0C-32B4-AB8D-510C-B8678F6A7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7492" y="13120255"/>
          <a:ext cx="1108362" cy="608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3006436</xdr:colOff>
      <xdr:row>22</xdr:row>
      <xdr:rowOff>1039090</xdr:rowOff>
    </xdr:from>
    <xdr:to>
      <xdr:col>2</xdr:col>
      <xdr:colOff>4021730</xdr:colOff>
      <xdr:row>22</xdr:row>
      <xdr:rowOff>1870362</xdr:rowOff>
    </xdr:to>
    <xdr:pic>
      <xdr:nvPicPr>
        <xdr:cNvPr id="8269" name="Picture 8268" descr="GOA SHIPYARD LIMITED (GSL) - ESSEN HORIZON VILLAS">
          <a:extLst>
            <a:ext uri="{FF2B5EF4-FFF2-40B4-BE49-F238E27FC236}">
              <a16:creationId xmlns:a16="http://schemas.microsoft.com/office/drawing/2014/main" id="{FFEC009C-FF4F-A8BF-10B8-8D6B98638A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00" t="15454" r="8034" b="14735"/>
        <a:stretch>
          <a:fillRect/>
        </a:stretch>
      </xdr:blipFill>
      <xdr:spPr bwMode="auto">
        <a:xfrm>
          <a:off x="5569527" y="13909963"/>
          <a:ext cx="1015294" cy="831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1440875</xdr:colOff>
      <xdr:row>22</xdr:row>
      <xdr:rowOff>1274617</xdr:rowOff>
    </xdr:from>
    <xdr:to>
      <xdr:col>2</xdr:col>
      <xdr:colOff>2770270</xdr:colOff>
      <xdr:row>22</xdr:row>
      <xdr:rowOff>1759527</xdr:rowOff>
    </xdr:to>
    <xdr:pic>
      <xdr:nvPicPr>
        <xdr:cNvPr id="8270" name="Picture 8269" descr="L&amp;T Share Price Highlights: L&amp;T Stock Price History - The Economic Times">
          <a:extLst>
            <a:ext uri="{FF2B5EF4-FFF2-40B4-BE49-F238E27FC236}">
              <a16:creationId xmlns:a16="http://schemas.microsoft.com/office/drawing/2014/main" id="{E37DD21D-BE12-4E1C-BDCD-10C55B7CEA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4003966" y="14145490"/>
          <a:ext cx="1329395" cy="48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498764</xdr:colOff>
      <xdr:row>22</xdr:row>
      <xdr:rowOff>1967346</xdr:rowOff>
    </xdr:from>
    <xdr:to>
      <xdr:col>2</xdr:col>
      <xdr:colOff>3799034</xdr:colOff>
      <xdr:row>22</xdr:row>
      <xdr:rowOff>2452254</xdr:rowOff>
    </xdr:to>
    <xdr:pic>
      <xdr:nvPicPr>
        <xdr:cNvPr id="8271" name="Picture 8270">
          <a:extLst>
            <a:ext uri="{FF2B5EF4-FFF2-40B4-BE49-F238E27FC236}">
              <a16:creationId xmlns:a16="http://schemas.microsoft.com/office/drawing/2014/main" id="{2D71C9B4-9214-CE6A-3D28-4ABEF96EB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061855" y="14838219"/>
          <a:ext cx="3300270" cy="484908"/>
        </a:xfrm>
        <a:prstGeom prst="rect">
          <a:avLst/>
        </a:prstGeom>
      </xdr:spPr>
    </xdr:pic>
    <xdr:clientData/>
  </xdr:twoCellAnchor>
  <xdr:twoCellAnchor editAs="oneCell">
    <xdr:from>
      <xdr:col>3</xdr:col>
      <xdr:colOff>498765</xdr:colOff>
      <xdr:row>22</xdr:row>
      <xdr:rowOff>498763</xdr:rowOff>
    </xdr:from>
    <xdr:to>
      <xdr:col>3</xdr:col>
      <xdr:colOff>1247817</xdr:colOff>
      <xdr:row>22</xdr:row>
      <xdr:rowOff>1246909</xdr:rowOff>
    </xdr:to>
    <xdr:pic>
      <xdr:nvPicPr>
        <xdr:cNvPr id="8272" name="Picture 8271" descr="Drdo Projects | Photos, videos, logos, illustrations and branding on ...">
          <a:extLst>
            <a:ext uri="{FF2B5EF4-FFF2-40B4-BE49-F238E27FC236}">
              <a16:creationId xmlns:a16="http://schemas.microsoft.com/office/drawing/2014/main" id="{37524A95-8920-4D85-A7EE-BD981C571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0620" y="13369636"/>
          <a:ext cx="749052" cy="748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1510147</xdr:colOff>
      <xdr:row>22</xdr:row>
      <xdr:rowOff>748144</xdr:rowOff>
    </xdr:from>
    <xdr:to>
      <xdr:col>3</xdr:col>
      <xdr:colOff>2839542</xdr:colOff>
      <xdr:row>22</xdr:row>
      <xdr:rowOff>1233054</xdr:rowOff>
    </xdr:to>
    <xdr:pic>
      <xdr:nvPicPr>
        <xdr:cNvPr id="8273" name="Picture 8272" descr="L&amp;T Share Price Highlights: L&amp;T Stock Price History - The Economic Times">
          <a:extLst>
            <a:ext uri="{FF2B5EF4-FFF2-40B4-BE49-F238E27FC236}">
              <a16:creationId xmlns:a16="http://schemas.microsoft.com/office/drawing/2014/main" id="{F305A80D-5875-4535-8C80-71B736B6A1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8382002" y="13619017"/>
          <a:ext cx="1329395" cy="48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1052945</xdr:colOff>
      <xdr:row>22</xdr:row>
      <xdr:rowOff>1620982</xdr:rowOff>
    </xdr:from>
    <xdr:to>
      <xdr:col>3</xdr:col>
      <xdr:colOff>2170920</xdr:colOff>
      <xdr:row>22</xdr:row>
      <xdr:rowOff>2202871</xdr:rowOff>
    </xdr:to>
    <xdr:pic>
      <xdr:nvPicPr>
        <xdr:cNvPr id="8274" name="Picture 8273" descr="Hindustan Shipyard Limited - HSL Recruitment 2018 Last Date 28 ...">
          <a:extLst>
            <a:ext uri="{FF2B5EF4-FFF2-40B4-BE49-F238E27FC236}">
              <a16:creationId xmlns:a16="http://schemas.microsoft.com/office/drawing/2014/main" id="{2DB9823B-771D-4A8D-908E-349891FDD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4491855"/>
          <a:ext cx="1117975" cy="581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8278" name="AutoShape 38" descr="Mapping Your Journey to Employment in Bharat Dynamics Limited 2024 ...">
          <a:extLst>
            <a:ext uri="{FF2B5EF4-FFF2-40B4-BE49-F238E27FC236}">
              <a16:creationId xmlns:a16="http://schemas.microsoft.com/office/drawing/2014/main" id="{534AED6A-CD4F-4E8E-823B-0E48B511580A}"/>
            </a:ext>
          </a:extLst>
        </xdr:cNvPr>
        <xdr:cNvSpPr>
          <a:spLocks noChangeAspect="1" noChangeArrowheads="1"/>
        </xdr:cNvSpPr>
      </xdr:nvSpPr>
      <xdr:spPr bwMode="auto">
        <a:xfrm>
          <a:off x="2563091" y="8631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279" name="AutoShape 38" descr="Mapping Your Journey to Employment in Bharat Dynamics Limited 2024 ...">
          <a:extLst>
            <a:ext uri="{FF2B5EF4-FFF2-40B4-BE49-F238E27FC236}">
              <a16:creationId xmlns:a16="http://schemas.microsoft.com/office/drawing/2014/main" id="{4C45BDF6-B6CF-4EF7-B327-EF5B1CCEA12E}"/>
            </a:ext>
          </a:extLst>
        </xdr:cNvPr>
        <xdr:cNvSpPr>
          <a:spLocks noChangeAspect="1" noChangeArrowheads="1"/>
        </xdr:cNvSpPr>
      </xdr:nvSpPr>
      <xdr:spPr bwMode="auto">
        <a:xfrm>
          <a:off x="2563091" y="8631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762000</xdr:colOff>
      <xdr:row>22</xdr:row>
      <xdr:rowOff>277090</xdr:rowOff>
    </xdr:from>
    <xdr:to>
      <xdr:col>4</xdr:col>
      <xdr:colOff>1511052</xdr:colOff>
      <xdr:row>22</xdr:row>
      <xdr:rowOff>1025236</xdr:rowOff>
    </xdr:to>
    <xdr:pic>
      <xdr:nvPicPr>
        <xdr:cNvPr id="8280" name="Picture 8279" descr="Drdo Projects | Photos, videos, logos, illustrations and branding on ...">
          <a:extLst>
            <a:ext uri="{FF2B5EF4-FFF2-40B4-BE49-F238E27FC236}">
              <a16:creationId xmlns:a16="http://schemas.microsoft.com/office/drawing/2014/main" id="{0E1E8D5F-1994-4DAA-9791-CBC188204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2073" y="13147963"/>
          <a:ext cx="749052" cy="748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1745673</xdr:colOff>
      <xdr:row>22</xdr:row>
      <xdr:rowOff>263238</xdr:rowOff>
    </xdr:from>
    <xdr:to>
      <xdr:col>4</xdr:col>
      <xdr:colOff>3166263</xdr:colOff>
      <xdr:row>22</xdr:row>
      <xdr:rowOff>1052945</xdr:rowOff>
    </xdr:to>
    <xdr:pic>
      <xdr:nvPicPr>
        <xdr:cNvPr id="8281" name="Picture 8280">
          <a:extLst>
            <a:ext uri="{FF2B5EF4-FFF2-40B4-BE49-F238E27FC236}">
              <a16:creationId xmlns:a16="http://schemas.microsoft.com/office/drawing/2014/main" id="{B5B7DB5F-6F20-42C7-93EE-20BF3427F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025746" y="13134111"/>
          <a:ext cx="1420590" cy="78970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1607126</xdr:rowOff>
    </xdr:from>
    <xdr:to>
      <xdr:col>4</xdr:col>
      <xdr:colOff>1709220</xdr:colOff>
      <xdr:row>22</xdr:row>
      <xdr:rowOff>2230581</xdr:rowOff>
    </xdr:to>
    <xdr:pic>
      <xdr:nvPicPr>
        <xdr:cNvPr id="8283" name="Picture 8282" descr="L&amp;T Share Price Highlights: L&amp;T Stock Price History - The Economic Times">
          <a:extLst>
            <a:ext uri="{FF2B5EF4-FFF2-40B4-BE49-F238E27FC236}">
              <a16:creationId xmlns:a16="http://schemas.microsoft.com/office/drawing/2014/main" id="{EE2C7ED2-5F5D-4F3D-9A8C-F422E45ECB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11028220" y="14477999"/>
          <a:ext cx="1709220" cy="623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1643544</xdr:colOff>
      <xdr:row>22</xdr:row>
      <xdr:rowOff>1085311</xdr:rowOff>
    </xdr:from>
    <xdr:to>
      <xdr:col>4</xdr:col>
      <xdr:colOff>3440262</xdr:colOff>
      <xdr:row>22</xdr:row>
      <xdr:rowOff>2342803</xdr:rowOff>
    </xdr:to>
    <xdr:pic>
      <xdr:nvPicPr>
        <xdr:cNvPr id="8284" name="Picture 8283" descr="Bharat Logo Download">
          <a:extLst>
            <a:ext uri="{FF2B5EF4-FFF2-40B4-BE49-F238E27FC236}">
              <a16:creationId xmlns:a16="http://schemas.microsoft.com/office/drawing/2014/main" id="{3E367839-21C2-8448-EFBC-E9821C02F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3617" y="13956184"/>
          <a:ext cx="1895529" cy="1257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304800</xdr:colOff>
      <xdr:row>23</xdr:row>
      <xdr:rowOff>304800</xdr:rowOff>
    </xdr:to>
    <xdr:sp macro="" textlink="">
      <xdr:nvSpPr>
        <xdr:cNvPr id="8285" name="AutoShape 74" descr="Bhel Logo Png">
          <a:extLst>
            <a:ext uri="{FF2B5EF4-FFF2-40B4-BE49-F238E27FC236}">
              <a16:creationId xmlns:a16="http://schemas.microsoft.com/office/drawing/2014/main" id="{382E5523-F8DD-F497-B5FA-016613A38F21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155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842950</xdr:colOff>
      <xdr:row>22</xdr:row>
      <xdr:rowOff>251068</xdr:rowOff>
    </xdr:from>
    <xdr:to>
      <xdr:col>5</xdr:col>
      <xdr:colOff>2200661</xdr:colOff>
      <xdr:row>22</xdr:row>
      <xdr:rowOff>1228486</xdr:rowOff>
    </xdr:to>
    <xdr:pic>
      <xdr:nvPicPr>
        <xdr:cNvPr id="8287" name="Picture 8286" descr="Bharat Logo Download">
          <a:extLst>
            <a:ext uri="{FF2B5EF4-FFF2-40B4-BE49-F238E27FC236}">
              <a16:creationId xmlns:a16="http://schemas.microsoft.com/office/drawing/2014/main" id="{2183E8A9-2030-4079-AA60-30B8A7228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0514" y="13121941"/>
          <a:ext cx="1380289" cy="915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827315</xdr:colOff>
      <xdr:row>22</xdr:row>
      <xdr:rowOff>1469572</xdr:rowOff>
    </xdr:from>
    <xdr:to>
      <xdr:col>5</xdr:col>
      <xdr:colOff>2111942</xdr:colOff>
      <xdr:row>22</xdr:row>
      <xdr:rowOff>2003952</xdr:rowOff>
    </xdr:to>
    <xdr:pic>
      <xdr:nvPicPr>
        <xdr:cNvPr id="8288" name="Picture 8287" descr="Hbl Power System Limited | Equity X Stock Market Advisory">
          <a:extLst>
            <a:ext uri="{FF2B5EF4-FFF2-40B4-BE49-F238E27FC236}">
              <a16:creationId xmlns:a16="http://schemas.microsoft.com/office/drawing/2014/main" id="{A0432D36-7D07-4710-9184-39508C38E8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87" t="4659" r="20478" b="54275"/>
        <a:stretch>
          <a:fillRect/>
        </a:stretch>
      </xdr:blipFill>
      <xdr:spPr bwMode="auto">
        <a:xfrm>
          <a:off x="17395372" y="14412686"/>
          <a:ext cx="1295400" cy="484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624096</xdr:colOff>
      <xdr:row>22</xdr:row>
      <xdr:rowOff>470417</xdr:rowOff>
    </xdr:from>
    <xdr:to>
      <xdr:col>6</xdr:col>
      <xdr:colOff>2356844</xdr:colOff>
      <xdr:row>22</xdr:row>
      <xdr:rowOff>930235</xdr:rowOff>
    </xdr:to>
    <xdr:pic>
      <xdr:nvPicPr>
        <xdr:cNvPr id="8289" name="Picture 8288" descr="Bharat Electronics – Spectacular show">
          <a:extLst>
            <a:ext uri="{FF2B5EF4-FFF2-40B4-BE49-F238E27FC236}">
              <a16:creationId xmlns:a16="http://schemas.microsoft.com/office/drawing/2014/main" id="{3573AC04-23F7-428D-ABD7-9A054781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46532" y="13341290"/>
          <a:ext cx="1732748" cy="45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1594262</xdr:colOff>
      <xdr:row>22</xdr:row>
      <xdr:rowOff>1361795</xdr:rowOff>
    </xdr:from>
    <xdr:to>
      <xdr:col>6</xdr:col>
      <xdr:colOff>2486891</xdr:colOff>
      <xdr:row>22</xdr:row>
      <xdr:rowOff>2253344</xdr:rowOff>
    </xdr:to>
    <xdr:pic>
      <xdr:nvPicPr>
        <xdr:cNvPr id="8290" name="Picture 8289" descr="Drdo Projects | Photos, videos, logos, illustrations and branding on ...">
          <a:extLst>
            <a:ext uri="{FF2B5EF4-FFF2-40B4-BE49-F238E27FC236}">
              <a16:creationId xmlns:a16="http://schemas.microsoft.com/office/drawing/2014/main" id="{86369D96-A189-4275-8E18-401E2C589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16698" y="14232668"/>
          <a:ext cx="892629" cy="891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475651</xdr:colOff>
      <xdr:row>22</xdr:row>
      <xdr:rowOff>474377</xdr:rowOff>
    </xdr:from>
    <xdr:to>
      <xdr:col>7</xdr:col>
      <xdr:colOff>2208399</xdr:colOff>
      <xdr:row>22</xdr:row>
      <xdr:rowOff>934195</xdr:rowOff>
    </xdr:to>
    <xdr:pic>
      <xdr:nvPicPr>
        <xdr:cNvPr id="8291" name="Picture 8290" descr="Bharat Electronics – Spectacular show">
          <a:extLst>
            <a:ext uri="{FF2B5EF4-FFF2-40B4-BE49-F238E27FC236}">
              <a16:creationId xmlns:a16="http://schemas.microsoft.com/office/drawing/2014/main" id="{D2A2917F-748C-4B4B-B24E-E73098B4F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62960" y="13345250"/>
          <a:ext cx="1732748" cy="45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411450</xdr:colOff>
      <xdr:row>22</xdr:row>
      <xdr:rowOff>1565564</xdr:rowOff>
    </xdr:from>
    <xdr:to>
      <xdr:col>7</xdr:col>
      <xdr:colOff>2595556</xdr:colOff>
      <xdr:row>22</xdr:row>
      <xdr:rowOff>1991096</xdr:rowOff>
    </xdr:to>
    <xdr:pic>
      <xdr:nvPicPr>
        <xdr:cNvPr id="8292" name="Picture 8291" descr="Tata Advanced Systems Limited (TASL) - Military Embedded Systems">
          <a:extLst>
            <a:ext uri="{FF2B5EF4-FFF2-40B4-BE49-F238E27FC236}">
              <a16:creationId xmlns:a16="http://schemas.microsoft.com/office/drawing/2014/main" id="{AF861248-A496-478E-AEC5-A3DAD57AF4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71" b="28571"/>
        <a:stretch>
          <a:fillRect/>
        </a:stretch>
      </xdr:blipFill>
      <xdr:spPr bwMode="auto">
        <a:xfrm>
          <a:off x="20098759" y="14436437"/>
          <a:ext cx="2184106" cy="425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980705</xdr:colOff>
      <xdr:row>22</xdr:row>
      <xdr:rowOff>309749</xdr:rowOff>
    </xdr:from>
    <xdr:to>
      <xdr:col>8</xdr:col>
      <xdr:colOff>2443034</xdr:colOff>
      <xdr:row>22</xdr:row>
      <xdr:rowOff>843148</xdr:rowOff>
    </xdr:to>
    <xdr:pic>
      <xdr:nvPicPr>
        <xdr:cNvPr id="8293" name="Picture 8292" descr="L&amp;T Share Price Highlights: L&amp;T Stock Price History - The Economic Times">
          <a:extLst>
            <a:ext uri="{FF2B5EF4-FFF2-40B4-BE49-F238E27FC236}">
              <a16:creationId xmlns:a16="http://schemas.microsoft.com/office/drawing/2014/main" id="{05B0AE55-3BC0-49BE-818C-0BB2E65A29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23632887" y="13180622"/>
          <a:ext cx="1462329" cy="533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1166750</xdr:colOff>
      <xdr:row>22</xdr:row>
      <xdr:rowOff>1053936</xdr:rowOff>
    </xdr:from>
    <xdr:to>
      <xdr:col>8</xdr:col>
      <xdr:colOff>2298864</xdr:colOff>
      <xdr:row>22</xdr:row>
      <xdr:rowOff>1614246</xdr:rowOff>
    </xdr:to>
    <xdr:pic>
      <xdr:nvPicPr>
        <xdr:cNvPr id="8294" name="Picture 8293" descr="Bharat Dynamics Ltd(BDL) - Buy-Order book provides visibility - Wealth ...">
          <a:extLst>
            <a:ext uri="{FF2B5EF4-FFF2-40B4-BE49-F238E27FC236}">
              <a16:creationId xmlns:a16="http://schemas.microsoft.com/office/drawing/2014/main" id="{382C3254-0F00-4143-9583-E30C586546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4" t="8157" r="4866" b="8115"/>
        <a:stretch>
          <a:fillRect/>
        </a:stretch>
      </xdr:blipFill>
      <xdr:spPr bwMode="auto">
        <a:xfrm>
          <a:off x="23818932" y="13924809"/>
          <a:ext cx="1132114" cy="560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804553</xdr:colOff>
      <xdr:row>22</xdr:row>
      <xdr:rowOff>1726871</xdr:rowOff>
    </xdr:from>
    <xdr:to>
      <xdr:col>8</xdr:col>
      <xdr:colOff>2655125</xdr:colOff>
      <xdr:row>22</xdr:row>
      <xdr:rowOff>2227613</xdr:rowOff>
    </xdr:to>
    <xdr:pic>
      <xdr:nvPicPr>
        <xdr:cNvPr id="8295" name="Picture 8294" descr="BrahMos Aerospace - Crunchbase Company Profile &amp; Funding">
          <a:extLst>
            <a:ext uri="{FF2B5EF4-FFF2-40B4-BE49-F238E27FC236}">
              <a16:creationId xmlns:a16="http://schemas.microsoft.com/office/drawing/2014/main" id="{09C4F293-3FA2-23A4-B08F-388AE7E2B8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>
          <a:extLst>
            <a:ext uri="{BEBA8EAE-BF5A-486C-A8C5-ECC9F3942E4B}">
              <a14:imgProps xmlns:a14="http://schemas.microsoft.com/office/drawing/2010/main">
                <a14:imgLayer r:embed="rId9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60" t="37663" r="5234" b="38275"/>
        <a:stretch>
          <a:fillRect/>
        </a:stretch>
      </xdr:blipFill>
      <xdr:spPr bwMode="auto">
        <a:xfrm>
          <a:off x="23456735" y="14597744"/>
          <a:ext cx="1850572" cy="500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415287</xdr:colOff>
      <xdr:row>22</xdr:row>
      <xdr:rowOff>461512</xdr:rowOff>
    </xdr:from>
    <xdr:to>
      <xdr:col>9</xdr:col>
      <xdr:colOff>2148035</xdr:colOff>
      <xdr:row>22</xdr:row>
      <xdr:rowOff>921330</xdr:rowOff>
    </xdr:to>
    <xdr:pic>
      <xdr:nvPicPr>
        <xdr:cNvPr id="8296" name="Picture 8295" descr="Bharat Electronics – Spectacular show">
          <a:extLst>
            <a:ext uri="{FF2B5EF4-FFF2-40B4-BE49-F238E27FC236}">
              <a16:creationId xmlns:a16="http://schemas.microsoft.com/office/drawing/2014/main" id="{3EAF43A8-07F9-4D98-BB6D-363FEB50F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5687" y="13332385"/>
          <a:ext cx="1732748" cy="45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949037</xdr:colOff>
      <xdr:row>22</xdr:row>
      <xdr:rowOff>1398322</xdr:rowOff>
    </xdr:from>
    <xdr:to>
      <xdr:col>9</xdr:col>
      <xdr:colOff>1698089</xdr:colOff>
      <xdr:row>22</xdr:row>
      <xdr:rowOff>2146468</xdr:rowOff>
    </xdr:to>
    <xdr:pic>
      <xdr:nvPicPr>
        <xdr:cNvPr id="8297" name="Picture 8296" descr="Drdo Projects | Photos, videos, logos, illustrations and branding on ...">
          <a:extLst>
            <a:ext uri="{FF2B5EF4-FFF2-40B4-BE49-F238E27FC236}">
              <a16:creationId xmlns:a16="http://schemas.microsoft.com/office/drawing/2014/main" id="{1F5308FD-5691-4E80-8BDE-780065A2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09437" y="14269195"/>
          <a:ext cx="749052" cy="748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288397</xdr:colOff>
      <xdr:row>23</xdr:row>
      <xdr:rowOff>252052</xdr:rowOff>
    </xdr:from>
    <xdr:to>
      <xdr:col>2</xdr:col>
      <xdr:colOff>1828800</xdr:colOff>
      <xdr:row>23</xdr:row>
      <xdr:rowOff>1108363</xdr:rowOff>
    </xdr:to>
    <xdr:pic>
      <xdr:nvPicPr>
        <xdr:cNvPr id="8298" name="Picture 8297">
          <a:extLst>
            <a:ext uri="{FF2B5EF4-FFF2-40B4-BE49-F238E27FC236}">
              <a16:creationId xmlns:a16="http://schemas.microsoft.com/office/drawing/2014/main" id="{D04F0C0F-4B5C-4DF8-939F-56090018D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851488" y="15810707"/>
          <a:ext cx="1540403" cy="856311"/>
        </a:xfrm>
        <a:prstGeom prst="rect">
          <a:avLst/>
        </a:prstGeom>
      </xdr:spPr>
    </xdr:pic>
    <xdr:clientData/>
  </xdr:twoCellAnchor>
  <xdr:twoCellAnchor editAs="oneCell">
    <xdr:from>
      <xdr:col>2</xdr:col>
      <xdr:colOff>2493817</xdr:colOff>
      <xdr:row>23</xdr:row>
      <xdr:rowOff>235525</xdr:rowOff>
    </xdr:from>
    <xdr:to>
      <xdr:col>2</xdr:col>
      <xdr:colOff>3851562</xdr:colOff>
      <xdr:row>23</xdr:row>
      <xdr:rowOff>981506</xdr:rowOff>
    </xdr:to>
    <xdr:pic>
      <xdr:nvPicPr>
        <xdr:cNvPr id="8299" name="Picture 8298" descr="Cochin Shipyard Ltd celebrates Hindi Fortnight - India Shipping News">
          <a:extLst>
            <a:ext uri="{FF2B5EF4-FFF2-40B4-BE49-F238E27FC236}">
              <a16:creationId xmlns:a16="http://schemas.microsoft.com/office/drawing/2014/main" id="{045E98D3-FEC0-4BFB-8DA2-D1ED80C2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6908" y="15794180"/>
          <a:ext cx="1357745" cy="745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1440875</xdr:colOff>
      <xdr:row>23</xdr:row>
      <xdr:rowOff>997524</xdr:rowOff>
    </xdr:from>
    <xdr:to>
      <xdr:col>2</xdr:col>
      <xdr:colOff>3188082</xdr:colOff>
      <xdr:row>23</xdr:row>
      <xdr:rowOff>1634835</xdr:rowOff>
    </xdr:to>
    <xdr:pic>
      <xdr:nvPicPr>
        <xdr:cNvPr id="8300" name="Picture 8299" descr="L&amp;T Share Price Highlights: L&amp;T Stock Price History - The Economic Times">
          <a:extLst>
            <a:ext uri="{FF2B5EF4-FFF2-40B4-BE49-F238E27FC236}">
              <a16:creationId xmlns:a16="http://schemas.microsoft.com/office/drawing/2014/main" id="{00E1C6B9-CE62-4F3F-8215-580FF798E6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4003966" y="16556179"/>
          <a:ext cx="1747207" cy="637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512619</xdr:colOff>
      <xdr:row>23</xdr:row>
      <xdr:rowOff>263236</xdr:rowOff>
    </xdr:from>
    <xdr:to>
      <xdr:col>3</xdr:col>
      <xdr:colOff>1261671</xdr:colOff>
      <xdr:row>23</xdr:row>
      <xdr:rowOff>1011382</xdr:rowOff>
    </xdr:to>
    <xdr:pic>
      <xdr:nvPicPr>
        <xdr:cNvPr id="8302" name="Picture 8301" descr="Drdo Projects | Photos, videos, logos, illustrations and branding on ...">
          <a:extLst>
            <a:ext uri="{FF2B5EF4-FFF2-40B4-BE49-F238E27FC236}">
              <a16:creationId xmlns:a16="http://schemas.microsoft.com/office/drawing/2014/main" id="{1DD3AEE7-0B04-4265-ACEC-DA5544A14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4474" y="15821891"/>
          <a:ext cx="749052" cy="748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1731817</xdr:colOff>
      <xdr:row>23</xdr:row>
      <xdr:rowOff>387928</xdr:rowOff>
    </xdr:from>
    <xdr:to>
      <xdr:col>3</xdr:col>
      <xdr:colOff>2849792</xdr:colOff>
      <xdr:row>23</xdr:row>
      <xdr:rowOff>969817</xdr:rowOff>
    </xdr:to>
    <xdr:pic>
      <xdr:nvPicPr>
        <xdr:cNvPr id="8303" name="Picture 8302" descr="Hindustan Shipyard Limited - HSL Recruitment 2018 Last Date 28 ...">
          <a:extLst>
            <a:ext uri="{FF2B5EF4-FFF2-40B4-BE49-F238E27FC236}">
              <a16:creationId xmlns:a16="http://schemas.microsoft.com/office/drawing/2014/main" id="{013248C0-0F8B-4952-A292-7E6D42586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672" y="15946583"/>
          <a:ext cx="1117975" cy="581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1066802</xdr:colOff>
      <xdr:row>23</xdr:row>
      <xdr:rowOff>1246907</xdr:rowOff>
    </xdr:from>
    <xdr:to>
      <xdr:col>3</xdr:col>
      <xdr:colOff>2396197</xdr:colOff>
      <xdr:row>23</xdr:row>
      <xdr:rowOff>1731817</xdr:rowOff>
    </xdr:to>
    <xdr:pic>
      <xdr:nvPicPr>
        <xdr:cNvPr id="8304" name="Picture 8303" descr="L&amp;T Share Price Highlights: L&amp;T Stock Price History - The Economic Times">
          <a:extLst>
            <a:ext uri="{FF2B5EF4-FFF2-40B4-BE49-F238E27FC236}">
              <a16:creationId xmlns:a16="http://schemas.microsoft.com/office/drawing/2014/main" id="{BF15E4D8-F25A-424D-BD78-CBF95D7835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7938657" y="16805562"/>
          <a:ext cx="1329395" cy="48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553242</xdr:colOff>
      <xdr:row>23</xdr:row>
      <xdr:rowOff>484907</xdr:rowOff>
    </xdr:from>
    <xdr:to>
      <xdr:col>4</xdr:col>
      <xdr:colOff>1330036</xdr:colOff>
      <xdr:row>23</xdr:row>
      <xdr:rowOff>1260762</xdr:rowOff>
    </xdr:to>
    <xdr:pic>
      <xdr:nvPicPr>
        <xdr:cNvPr id="8305" name="Picture 8304" descr="Drdo Projects | Photos, videos, logos, illustrations and branding on ...">
          <a:extLst>
            <a:ext uri="{FF2B5EF4-FFF2-40B4-BE49-F238E27FC236}">
              <a16:creationId xmlns:a16="http://schemas.microsoft.com/office/drawing/2014/main" id="{D7EE1685-9027-4C6C-BAB3-37C0468B1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3315" y="16043562"/>
          <a:ext cx="776794" cy="775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1699868</xdr:colOff>
      <xdr:row>23</xdr:row>
      <xdr:rowOff>443343</xdr:rowOff>
    </xdr:from>
    <xdr:to>
      <xdr:col>4</xdr:col>
      <xdr:colOff>2930961</xdr:colOff>
      <xdr:row>23</xdr:row>
      <xdr:rowOff>1413161</xdr:rowOff>
    </xdr:to>
    <xdr:pic>
      <xdr:nvPicPr>
        <xdr:cNvPr id="8307" name="Picture 8306" descr="Walchandnagar Industries is Hiring | Mulitple Positions | - Mechanical ...">
          <a:extLst>
            <a:ext uri="{FF2B5EF4-FFF2-40B4-BE49-F238E27FC236}">
              <a16:creationId xmlns:a16="http://schemas.microsoft.com/office/drawing/2014/main" id="{93F1216A-C3F9-820D-977A-2E4AAA7123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0" t="13606" r="23878" b="15452"/>
        <a:stretch>
          <a:fillRect/>
        </a:stretch>
      </xdr:blipFill>
      <xdr:spPr bwMode="auto">
        <a:xfrm>
          <a:off x="11979941" y="16001998"/>
          <a:ext cx="1231093" cy="96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328268</xdr:colOff>
      <xdr:row>24</xdr:row>
      <xdr:rowOff>429488</xdr:rowOff>
    </xdr:from>
    <xdr:to>
      <xdr:col>4</xdr:col>
      <xdr:colOff>1482436</xdr:colOff>
      <xdr:row>24</xdr:row>
      <xdr:rowOff>1305965</xdr:rowOff>
    </xdr:to>
    <xdr:pic>
      <xdr:nvPicPr>
        <xdr:cNvPr id="8308" name="Picture 8307" descr="Walchandnagar Industries is Hiring | Mulitple Positions | - Mechanical ...">
          <a:extLst>
            <a:ext uri="{FF2B5EF4-FFF2-40B4-BE49-F238E27FC236}">
              <a16:creationId xmlns:a16="http://schemas.microsoft.com/office/drawing/2014/main" id="{199C9DF2-D804-400C-8FFF-73F543999E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0" t="13606" r="23878" b="15452"/>
        <a:stretch>
          <a:fillRect/>
        </a:stretch>
      </xdr:blipFill>
      <xdr:spPr bwMode="auto">
        <a:xfrm>
          <a:off x="10608341" y="17927779"/>
          <a:ext cx="1154168" cy="876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1828800</xdr:colOff>
      <xdr:row>24</xdr:row>
      <xdr:rowOff>498764</xdr:rowOff>
    </xdr:from>
    <xdr:to>
      <xdr:col>4</xdr:col>
      <xdr:colOff>2881745</xdr:colOff>
      <xdr:row>24</xdr:row>
      <xdr:rowOff>1200727</xdr:rowOff>
    </xdr:to>
    <xdr:pic>
      <xdr:nvPicPr>
        <xdr:cNvPr id="8309" name="Picture 8308" descr="Godrej Aerospace partners with GKN Aerospace on manufacture of ...">
          <a:extLst>
            <a:ext uri="{FF2B5EF4-FFF2-40B4-BE49-F238E27FC236}">
              <a16:creationId xmlns:a16="http://schemas.microsoft.com/office/drawing/2014/main" id="{A8845541-C491-49A0-9068-EF89A7FA38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00" b="2065"/>
        <a:stretch>
          <a:fillRect/>
        </a:stretch>
      </xdr:blipFill>
      <xdr:spPr bwMode="auto">
        <a:xfrm>
          <a:off x="12108873" y="17997055"/>
          <a:ext cx="1052945" cy="701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290005</xdr:colOff>
      <xdr:row>23</xdr:row>
      <xdr:rowOff>498762</xdr:rowOff>
    </xdr:from>
    <xdr:to>
      <xdr:col>5</xdr:col>
      <xdr:colOff>1066799</xdr:colOff>
      <xdr:row>23</xdr:row>
      <xdr:rowOff>1274617</xdr:rowOff>
    </xdr:to>
    <xdr:pic>
      <xdr:nvPicPr>
        <xdr:cNvPr id="8310" name="Picture 8309" descr="Drdo Projects | Photos, videos, logos, illustrations and branding on ...">
          <a:extLst>
            <a:ext uri="{FF2B5EF4-FFF2-40B4-BE49-F238E27FC236}">
              <a16:creationId xmlns:a16="http://schemas.microsoft.com/office/drawing/2014/main" id="{2B1CA44A-7720-4766-AF4A-CD6A30700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7569" y="16057417"/>
          <a:ext cx="776794" cy="775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217516</xdr:colOff>
      <xdr:row>22</xdr:row>
      <xdr:rowOff>1362401</xdr:rowOff>
    </xdr:from>
    <xdr:to>
      <xdr:col>6</xdr:col>
      <xdr:colOff>1597805</xdr:colOff>
      <xdr:row>22</xdr:row>
      <xdr:rowOff>2278083</xdr:rowOff>
    </xdr:to>
    <xdr:pic>
      <xdr:nvPicPr>
        <xdr:cNvPr id="8311" name="Picture 8310" descr="Bharat Logo Download">
          <a:extLst>
            <a:ext uri="{FF2B5EF4-FFF2-40B4-BE49-F238E27FC236}">
              <a16:creationId xmlns:a16="http://schemas.microsoft.com/office/drawing/2014/main" id="{E1103A5C-3F14-4474-91AD-0F63A08F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9952" y="14233274"/>
          <a:ext cx="1380289" cy="915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1284315</xdr:colOff>
      <xdr:row>23</xdr:row>
      <xdr:rowOff>434146</xdr:rowOff>
    </xdr:from>
    <xdr:to>
      <xdr:col>5</xdr:col>
      <xdr:colOff>2664604</xdr:colOff>
      <xdr:row>23</xdr:row>
      <xdr:rowOff>1349828</xdr:rowOff>
    </xdr:to>
    <xdr:pic>
      <xdr:nvPicPr>
        <xdr:cNvPr id="8312" name="Picture 8311" descr="Bharat Logo Download">
          <a:extLst>
            <a:ext uri="{FF2B5EF4-FFF2-40B4-BE49-F238E27FC236}">
              <a16:creationId xmlns:a16="http://schemas.microsoft.com/office/drawing/2014/main" id="{54427E16-E804-4297-BB06-2B4E10C15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1879" y="15992801"/>
          <a:ext cx="1380289" cy="915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55418</xdr:colOff>
      <xdr:row>23</xdr:row>
      <xdr:rowOff>457200</xdr:rowOff>
    </xdr:from>
    <xdr:to>
      <xdr:col>6</xdr:col>
      <xdr:colOff>1435707</xdr:colOff>
      <xdr:row>23</xdr:row>
      <xdr:rowOff>1372882</xdr:rowOff>
    </xdr:to>
    <xdr:pic>
      <xdr:nvPicPr>
        <xdr:cNvPr id="8313" name="Picture 8312" descr="Bharat Logo Download">
          <a:extLst>
            <a:ext uri="{FF2B5EF4-FFF2-40B4-BE49-F238E27FC236}">
              <a16:creationId xmlns:a16="http://schemas.microsoft.com/office/drawing/2014/main" id="{08906841-5A57-4852-95CB-468E8F52D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77854" y="16015855"/>
          <a:ext cx="1380289" cy="915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1316182</xdr:colOff>
      <xdr:row>23</xdr:row>
      <xdr:rowOff>457199</xdr:rowOff>
    </xdr:from>
    <xdr:to>
      <xdr:col>6</xdr:col>
      <xdr:colOff>2754312</xdr:colOff>
      <xdr:row>23</xdr:row>
      <xdr:rowOff>1413163</xdr:rowOff>
    </xdr:to>
    <xdr:pic>
      <xdr:nvPicPr>
        <xdr:cNvPr id="8314" name="Picture 8313" descr="Case Studies of Mahindra Defence Land Systems Ltd | Transys Global ...">
          <a:extLst>
            <a:ext uri="{FF2B5EF4-FFF2-40B4-BE49-F238E27FC236}">
              <a16:creationId xmlns:a16="http://schemas.microsoft.com/office/drawing/2014/main" id="{5A717B4E-004E-AEFC-2F54-643BDAA08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38618" y="16015854"/>
          <a:ext cx="1438130" cy="955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586488</xdr:colOff>
      <xdr:row>23</xdr:row>
      <xdr:rowOff>197286</xdr:rowOff>
    </xdr:from>
    <xdr:to>
      <xdr:col>7</xdr:col>
      <xdr:colOff>2319236</xdr:colOff>
      <xdr:row>23</xdr:row>
      <xdr:rowOff>657104</xdr:rowOff>
    </xdr:to>
    <xdr:pic>
      <xdr:nvPicPr>
        <xdr:cNvPr id="8315" name="Picture 8314" descr="Bharat Electronics – Spectacular show">
          <a:extLst>
            <a:ext uri="{FF2B5EF4-FFF2-40B4-BE49-F238E27FC236}">
              <a16:creationId xmlns:a16="http://schemas.microsoft.com/office/drawing/2014/main" id="{E9550A33-9E78-49AE-A1F6-78D14C876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73797" y="15755941"/>
          <a:ext cx="1732748" cy="45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745178</xdr:colOff>
      <xdr:row>23</xdr:row>
      <xdr:rowOff>1016330</xdr:rowOff>
    </xdr:from>
    <xdr:to>
      <xdr:col>7</xdr:col>
      <xdr:colOff>2207507</xdr:colOff>
      <xdr:row>23</xdr:row>
      <xdr:rowOff>1549729</xdr:rowOff>
    </xdr:to>
    <xdr:pic>
      <xdr:nvPicPr>
        <xdr:cNvPr id="8316" name="Picture 8315" descr="L&amp;T Share Price Highlights: L&amp;T Stock Price History - The Economic Times">
          <a:extLst>
            <a:ext uri="{FF2B5EF4-FFF2-40B4-BE49-F238E27FC236}">
              <a16:creationId xmlns:a16="http://schemas.microsoft.com/office/drawing/2014/main" id="{BB8D820F-EA8F-46EB-A2D1-FAF2CEF2E3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20432487" y="16574985"/>
          <a:ext cx="1462329" cy="533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541316</xdr:colOff>
      <xdr:row>23</xdr:row>
      <xdr:rowOff>583869</xdr:rowOff>
    </xdr:from>
    <xdr:to>
      <xdr:col>8</xdr:col>
      <xdr:colOff>1290368</xdr:colOff>
      <xdr:row>23</xdr:row>
      <xdr:rowOff>1332015</xdr:rowOff>
    </xdr:to>
    <xdr:pic>
      <xdr:nvPicPr>
        <xdr:cNvPr id="8317" name="Picture 8316" descr="Drdo Projects | Photos, videos, logos, illustrations and branding on ...">
          <a:extLst>
            <a:ext uri="{FF2B5EF4-FFF2-40B4-BE49-F238E27FC236}">
              <a16:creationId xmlns:a16="http://schemas.microsoft.com/office/drawing/2014/main" id="{E0AE72A3-1F6D-46E9-B3B8-193FF251F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93498" y="16142524"/>
          <a:ext cx="749052" cy="748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1454727</xdr:colOff>
      <xdr:row>23</xdr:row>
      <xdr:rowOff>665017</xdr:rowOff>
    </xdr:from>
    <xdr:to>
      <xdr:col>8</xdr:col>
      <xdr:colOff>2909455</xdr:colOff>
      <xdr:row>23</xdr:row>
      <xdr:rowOff>1384996</xdr:rowOff>
    </xdr:to>
    <xdr:pic>
      <xdr:nvPicPr>
        <xdr:cNvPr id="8318" name="Picture 8317" descr="Bharat Dynamics Ltd(BDL) - Buy-Order book provides visibility - Wealth ...">
          <a:extLst>
            <a:ext uri="{FF2B5EF4-FFF2-40B4-BE49-F238E27FC236}">
              <a16:creationId xmlns:a16="http://schemas.microsoft.com/office/drawing/2014/main" id="{1F2F29D2-10ED-4660-A491-27220691CA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4" t="8157" r="4866" b="8115"/>
        <a:stretch>
          <a:fillRect/>
        </a:stretch>
      </xdr:blipFill>
      <xdr:spPr bwMode="auto">
        <a:xfrm>
          <a:off x="24106909" y="16223672"/>
          <a:ext cx="1454728" cy="71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429491</xdr:colOff>
      <xdr:row>24</xdr:row>
      <xdr:rowOff>318654</xdr:rowOff>
    </xdr:from>
    <xdr:to>
      <xdr:col>9</xdr:col>
      <xdr:colOff>2253842</xdr:colOff>
      <xdr:row>24</xdr:row>
      <xdr:rowOff>829641</xdr:rowOff>
    </xdr:to>
    <xdr:pic>
      <xdr:nvPicPr>
        <xdr:cNvPr id="8319" name="Picture 8318" descr="Astra Microwave Products Ltd. Dividend (2021)">
          <a:extLst>
            <a:ext uri="{FF2B5EF4-FFF2-40B4-BE49-F238E27FC236}">
              <a16:creationId xmlns:a16="http://schemas.microsoft.com/office/drawing/2014/main" id="{67D802DF-DA0A-481A-B10E-4960EF98E7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26489891" y="17816945"/>
          <a:ext cx="1824351" cy="510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748145</xdr:colOff>
      <xdr:row>23</xdr:row>
      <xdr:rowOff>180108</xdr:rowOff>
    </xdr:from>
    <xdr:to>
      <xdr:col>9</xdr:col>
      <xdr:colOff>2210474</xdr:colOff>
      <xdr:row>23</xdr:row>
      <xdr:rowOff>713507</xdr:rowOff>
    </xdr:to>
    <xdr:pic>
      <xdr:nvPicPr>
        <xdr:cNvPr id="8320" name="Picture 8319" descr="L&amp;T Share Price Highlights: L&amp;T Stock Price History - The Economic Times">
          <a:extLst>
            <a:ext uri="{FF2B5EF4-FFF2-40B4-BE49-F238E27FC236}">
              <a16:creationId xmlns:a16="http://schemas.microsoft.com/office/drawing/2014/main" id="{C7A2C3E6-0EC5-4FB7-9162-2CCE7A710B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26808545" y="15738763"/>
          <a:ext cx="1462329" cy="533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373724</xdr:colOff>
      <xdr:row>23</xdr:row>
      <xdr:rowOff>780166</xdr:rowOff>
    </xdr:from>
    <xdr:to>
      <xdr:col>9</xdr:col>
      <xdr:colOff>2106472</xdr:colOff>
      <xdr:row>23</xdr:row>
      <xdr:rowOff>1239984</xdr:rowOff>
    </xdr:to>
    <xdr:pic>
      <xdr:nvPicPr>
        <xdr:cNvPr id="8321" name="Picture 8320" descr="Bharat Electronics – Spectacular show">
          <a:extLst>
            <a:ext uri="{FF2B5EF4-FFF2-40B4-BE49-F238E27FC236}">
              <a16:creationId xmlns:a16="http://schemas.microsoft.com/office/drawing/2014/main" id="{00958FA8-4D4C-4EE4-977C-F0BD5FCE7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34124" y="16338821"/>
          <a:ext cx="1732748" cy="45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374073</xdr:colOff>
      <xdr:row>23</xdr:row>
      <xdr:rowOff>1413164</xdr:rowOff>
    </xdr:from>
    <xdr:to>
      <xdr:col>9</xdr:col>
      <xdr:colOff>2294063</xdr:colOff>
      <xdr:row>23</xdr:row>
      <xdr:rowOff>1787238</xdr:rowOff>
    </xdr:to>
    <xdr:pic>
      <xdr:nvPicPr>
        <xdr:cNvPr id="8322" name="Picture 8321" descr="Tata Advanced Systems Limited (TASL) - Military Embedded Systems">
          <a:extLst>
            <a:ext uri="{FF2B5EF4-FFF2-40B4-BE49-F238E27FC236}">
              <a16:creationId xmlns:a16="http://schemas.microsoft.com/office/drawing/2014/main" id="{EA014D08-1681-481E-B2D1-1DB1E6E84B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71" b="28571"/>
        <a:stretch>
          <a:fillRect/>
        </a:stretch>
      </xdr:blipFill>
      <xdr:spPr bwMode="auto">
        <a:xfrm>
          <a:off x="26434473" y="16971819"/>
          <a:ext cx="1919990" cy="374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651163</xdr:colOff>
      <xdr:row>24</xdr:row>
      <xdr:rowOff>845128</xdr:rowOff>
    </xdr:from>
    <xdr:to>
      <xdr:col>9</xdr:col>
      <xdr:colOff>2175163</xdr:colOff>
      <xdr:row>24</xdr:row>
      <xdr:rowOff>1614161</xdr:rowOff>
    </xdr:to>
    <xdr:pic>
      <xdr:nvPicPr>
        <xdr:cNvPr id="8323" name="Picture 8322" descr="Data Patterns Recruitment 2022 Hiring for Graduate Engineer Trainee ...">
          <a:extLst>
            <a:ext uri="{FF2B5EF4-FFF2-40B4-BE49-F238E27FC236}">
              <a16:creationId xmlns:a16="http://schemas.microsoft.com/office/drawing/2014/main" id="{FB2F9C60-4C65-411A-A847-05A21F6B88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26711563" y="18343419"/>
          <a:ext cx="1524000" cy="769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748145</xdr:colOff>
      <xdr:row>24</xdr:row>
      <xdr:rowOff>263236</xdr:rowOff>
    </xdr:from>
    <xdr:to>
      <xdr:col>8</xdr:col>
      <xdr:colOff>2572496</xdr:colOff>
      <xdr:row>24</xdr:row>
      <xdr:rowOff>774223</xdr:rowOff>
    </xdr:to>
    <xdr:pic>
      <xdr:nvPicPr>
        <xdr:cNvPr id="8324" name="Picture 8323" descr="Astra Microwave Products Ltd. Dividend (2021)">
          <a:extLst>
            <a:ext uri="{FF2B5EF4-FFF2-40B4-BE49-F238E27FC236}">
              <a16:creationId xmlns:a16="http://schemas.microsoft.com/office/drawing/2014/main" id="{7565FAFD-2257-4F30-880B-3300C09956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23400327" y="17761527"/>
          <a:ext cx="1824351" cy="510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969817</xdr:colOff>
      <xdr:row>24</xdr:row>
      <xdr:rowOff>789710</xdr:rowOff>
    </xdr:from>
    <xdr:to>
      <xdr:col>8</xdr:col>
      <xdr:colOff>2493817</xdr:colOff>
      <xdr:row>24</xdr:row>
      <xdr:rowOff>1558743</xdr:rowOff>
    </xdr:to>
    <xdr:pic>
      <xdr:nvPicPr>
        <xdr:cNvPr id="8325" name="Picture 8324" descr="Data Patterns Recruitment 2022 Hiring for Graduate Engineer Trainee ...">
          <a:extLst>
            <a:ext uri="{FF2B5EF4-FFF2-40B4-BE49-F238E27FC236}">
              <a16:creationId xmlns:a16="http://schemas.microsoft.com/office/drawing/2014/main" id="{B6730274-EF94-49FD-B1F1-CED3121B1A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23621999" y="18288001"/>
          <a:ext cx="1524000" cy="769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789709</xdr:colOff>
      <xdr:row>24</xdr:row>
      <xdr:rowOff>193964</xdr:rowOff>
    </xdr:from>
    <xdr:to>
      <xdr:col>7</xdr:col>
      <xdr:colOff>2313709</xdr:colOff>
      <xdr:row>24</xdr:row>
      <xdr:rowOff>962997</xdr:rowOff>
    </xdr:to>
    <xdr:pic>
      <xdr:nvPicPr>
        <xdr:cNvPr id="8326" name="Picture 8325" descr="Data Patterns Recruitment 2022 Hiring for Graduate Engineer Trainee ...">
          <a:extLst>
            <a:ext uri="{FF2B5EF4-FFF2-40B4-BE49-F238E27FC236}">
              <a16:creationId xmlns:a16="http://schemas.microsoft.com/office/drawing/2014/main" id="{8F775ABD-3C1B-4DBB-8BD5-DA5363EF49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20477018" y="17692255"/>
          <a:ext cx="1524000" cy="769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817418</xdr:colOff>
      <xdr:row>24</xdr:row>
      <xdr:rowOff>1080655</xdr:rowOff>
    </xdr:from>
    <xdr:to>
      <xdr:col>7</xdr:col>
      <xdr:colOff>2448995</xdr:colOff>
      <xdr:row>24</xdr:row>
      <xdr:rowOff>1450069</xdr:rowOff>
    </xdr:to>
    <xdr:pic>
      <xdr:nvPicPr>
        <xdr:cNvPr id="8327" name="Picture 8326" descr="Training and Placement - C V Raman Global University">
          <a:extLst>
            <a:ext uri="{FF2B5EF4-FFF2-40B4-BE49-F238E27FC236}">
              <a16:creationId xmlns:a16="http://schemas.microsoft.com/office/drawing/2014/main" id="{AC2FA9F4-6AA1-497F-92F0-45B1079393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1" t="16615" r="7875" b="30221"/>
        <a:stretch>
          <a:fillRect/>
        </a:stretch>
      </xdr:blipFill>
      <xdr:spPr bwMode="auto">
        <a:xfrm>
          <a:off x="20504727" y="18578946"/>
          <a:ext cx="1631577" cy="369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637309</xdr:colOff>
      <xdr:row>24</xdr:row>
      <xdr:rowOff>249382</xdr:rowOff>
    </xdr:from>
    <xdr:to>
      <xdr:col>6</xdr:col>
      <xdr:colOff>2461660</xdr:colOff>
      <xdr:row>24</xdr:row>
      <xdr:rowOff>760369</xdr:rowOff>
    </xdr:to>
    <xdr:pic>
      <xdr:nvPicPr>
        <xdr:cNvPr id="8328" name="Picture 8327" descr="Astra Microwave Products Ltd. Dividend (2021)">
          <a:extLst>
            <a:ext uri="{FF2B5EF4-FFF2-40B4-BE49-F238E27FC236}">
              <a16:creationId xmlns:a16="http://schemas.microsoft.com/office/drawing/2014/main" id="{A129FA46-BE83-4DE5-A81F-68ED82C249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42600" b="60800" l="11200" r="90000">
                      <a14:foregroundMark x1="13600" y1="57600" x2="70600" y2="55600"/>
                      <a14:foregroundMark x1="70600" y1="55600" x2="90000" y2="55600"/>
                      <a14:foregroundMark x1="12000" y1="60800" x2="65400" y2="59200"/>
                      <a14:foregroundMark x1="65400" y1="59200" x2="88000" y2="59200"/>
                      <a14:foregroundMark x1="38800" y1="47600" x2="66400" y2="48400"/>
                      <a14:foregroundMark x1="11200" y1="58000" x2="25600" y2="57200"/>
                      <a14:foregroundMark x1="15600" y1="57200" x2="39600" y2="58000"/>
                      <a14:foregroundMark x1="13200" y1="56400" x2="46400" y2="56400"/>
                      <a14:foregroundMark x1="88000" y1="58000" x2="63200" y2="59200"/>
                      <a14:foregroundMark x1="84800" y1="59200" x2="52800" y2="58800"/>
                      <a14:foregroundMark x1="52800" y1="58800" x2="52800" y2="58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89" t="40424" r="10646" b="36721"/>
        <a:stretch>
          <a:fillRect/>
        </a:stretch>
      </xdr:blipFill>
      <xdr:spPr bwMode="auto">
        <a:xfrm>
          <a:off x="17359745" y="17747673"/>
          <a:ext cx="1824351" cy="510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858981</xdr:colOff>
      <xdr:row>24</xdr:row>
      <xdr:rowOff>775856</xdr:rowOff>
    </xdr:from>
    <xdr:to>
      <xdr:col>6</xdr:col>
      <xdr:colOff>2382981</xdr:colOff>
      <xdr:row>24</xdr:row>
      <xdr:rowOff>1544889</xdr:rowOff>
    </xdr:to>
    <xdr:pic>
      <xdr:nvPicPr>
        <xdr:cNvPr id="8329" name="Picture 8328" descr="Data Patterns Recruitment 2022 Hiring for Graduate Engineer Trainee ...">
          <a:extLst>
            <a:ext uri="{FF2B5EF4-FFF2-40B4-BE49-F238E27FC236}">
              <a16:creationId xmlns:a16="http://schemas.microsoft.com/office/drawing/2014/main" id="{A21215E8-9980-445B-8A9C-C01189822D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17581417" y="18274147"/>
          <a:ext cx="1524000" cy="769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783772</xdr:colOff>
      <xdr:row>24</xdr:row>
      <xdr:rowOff>391885</xdr:rowOff>
    </xdr:from>
    <xdr:to>
      <xdr:col>5</xdr:col>
      <xdr:colOff>2079172</xdr:colOff>
      <xdr:row>24</xdr:row>
      <xdr:rowOff>876372</xdr:rowOff>
    </xdr:to>
    <xdr:pic>
      <xdr:nvPicPr>
        <xdr:cNvPr id="8330" name="Picture 8329" descr="Hbl Power System Limited | Equity X Stock Market Advisory">
          <a:extLst>
            <a:ext uri="{FF2B5EF4-FFF2-40B4-BE49-F238E27FC236}">
              <a16:creationId xmlns:a16="http://schemas.microsoft.com/office/drawing/2014/main" id="{F483D406-485C-4CF3-8D9B-46EB289B8D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87" t="4659" r="20478" b="54275"/>
        <a:stretch>
          <a:fillRect/>
        </a:stretch>
      </xdr:blipFill>
      <xdr:spPr bwMode="auto">
        <a:xfrm>
          <a:off x="14541336" y="17890176"/>
          <a:ext cx="1295400" cy="484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678872</xdr:colOff>
      <xdr:row>24</xdr:row>
      <xdr:rowOff>1080655</xdr:rowOff>
    </xdr:from>
    <xdr:to>
      <xdr:col>5</xdr:col>
      <xdr:colOff>2310449</xdr:colOff>
      <xdr:row>24</xdr:row>
      <xdr:rowOff>1450069</xdr:rowOff>
    </xdr:to>
    <xdr:pic>
      <xdr:nvPicPr>
        <xdr:cNvPr id="8331" name="Picture 8330" descr="Training and Placement - C V Raman Global University">
          <a:extLst>
            <a:ext uri="{FF2B5EF4-FFF2-40B4-BE49-F238E27FC236}">
              <a16:creationId xmlns:a16="http://schemas.microsoft.com/office/drawing/2014/main" id="{F7E0EF12-1177-4238-B4F8-E9ED59B3B9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1" t="16615" r="7875" b="30221"/>
        <a:stretch>
          <a:fillRect/>
        </a:stretch>
      </xdr:blipFill>
      <xdr:spPr bwMode="auto">
        <a:xfrm>
          <a:off x="14436436" y="18578946"/>
          <a:ext cx="1631577" cy="369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1510145</xdr:colOff>
      <xdr:row>24</xdr:row>
      <xdr:rowOff>374073</xdr:rowOff>
    </xdr:from>
    <xdr:to>
      <xdr:col>2</xdr:col>
      <xdr:colOff>2463897</xdr:colOff>
      <xdr:row>24</xdr:row>
      <xdr:rowOff>1260765</xdr:rowOff>
    </xdr:to>
    <xdr:pic>
      <xdr:nvPicPr>
        <xdr:cNvPr id="8332" name="Picture 8331">
          <a:extLst>
            <a:ext uri="{FF2B5EF4-FFF2-40B4-BE49-F238E27FC236}">
              <a16:creationId xmlns:a16="http://schemas.microsoft.com/office/drawing/2014/main" id="{5ADF19BF-1CFB-46A8-ACAA-72BE870F2E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/>
        <a:srcRect l="6369" t="11727" r="12102" b="3559"/>
        <a:stretch>
          <a:fillRect/>
        </a:stretch>
      </xdr:blipFill>
      <xdr:spPr>
        <a:xfrm>
          <a:off x="4073236" y="17872364"/>
          <a:ext cx="953752" cy="886692"/>
        </a:xfrm>
        <a:prstGeom prst="rect">
          <a:avLst/>
        </a:prstGeom>
      </xdr:spPr>
    </xdr:pic>
    <xdr:clientData/>
  </xdr:twoCellAnchor>
  <xdr:twoCellAnchor editAs="oneCell">
    <xdr:from>
      <xdr:col>2</xdr:col>
      <xdr:colOff>965577</xdr:colOff>
      <xdr:row>25</xdr:row>
      <xdr:rowOff>152398</xdr:rowOff>
    </xdr:from>
    <xdr:to>
      <xdr:col>2</xdr:col>
      <xdr:colOff>2119745</xdr:colOff>
      <xdr:row>25</xdr:row>
      <xdr:rowOff>1028875</xdr:rowOff>
    </xdr:to>
    <xdr:pic>
      <xdr:nvPicPr>
        <xdr:cNvPr id="8333" name="Picture 8332" descr="Walchandnagar Industries is Hiring | Mulitple Positions | - Mechanical ...">
          <a:extLst>
            <a:ext uri="{FF2B5EF4-FFF2-40B4-BE49-F238E27FC236}">
              <a16:creationId xmlns:a16="http://schemas.microsoft.com/office/drawing/2014/main" id="{5056CB4D-86EF-4736-B1D6-47B94AF4B3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0" t="13606" r="23878" b="15452"/>
        <a:stretch>
          <a:fillRect/>
        </a:stretch>
      </xdr:blipFill>
      <xdr:spPr bwMode="auto">
        <a:xfrm>
          <a:off x="3528668" y="19382507"/>
          <a:ext cx="1154168" cy="876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2466109</xdr:colOff>
      <xdr:row>25</xdr:row>
      <xdr:rowOff>221674</xdr:rowOff>
    </xdr:from>
    <xdr:to>
      <xdr:col>2</xdr:col>
      <xdr:colOff>3519054</xdr:colOff>
      <xdr:row>25</xdr:row>
      <xdr:rowOff>923637</xdr:rowOff>
    </xdr:to>
    <xdr:pic>
      <xdr:nvPicPr>
        <xdr:cNvPr id="8334" name="Picture 8333" descr="Godrej Aerospace partners with GKN Aerospace on manufacture of ...">
          <a:extLst>
            <a:ext uri="{FF2B5EF4-FFF2-40B4-BE49-F238E27FC236}">
              <a16:creationId xmlns:a16="http://schemas.microsoft.com/office/drawing/2014/main" id="{35AE17C9-1298-415D-813E-9CF4F77DD5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00" b="2065"/>
        <a:stretch>
          <a:fillRect/>
        </a:stretch>
      </xdr:blipFill>
      <xdr:spPr bwMode="auto">
        <a:xfrm>
          <a:off x="5029200" y="19451783"/>
          <a:ext cx="1052945" cy="701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2133603</xdr:colOff>
      <xdr:row>25</xdr:row>
      <xdr:rowOff>1011380</xdr:rowOff>
    </xdr:from>
    <xdr:to>
      <xdr:col>2</xdr:col>
      <xdr:colOff>3462998</xdr:colOff>
      <xdr:row>25</xdr:row>
      <xdr:rowOff>1496290</xdr:rowOff>
    </xdr:to>
    <xdr:pic>
      <xdr:nvPicPr>
        <xdr:cNvPr id="8335" name="Picture 8334" descr="L&amp;T Share Price Highlights: L&amp;T Stock Price History - The Economic Times">
          <a:extLst>
            <a:ext uri="{FF2B5EF4-FFF2-40B4-BE49-F238E27FC236}">
              <a16:creationId xmlns:a16="http://schemas.microsoft.com/office/drawing/2014/main" id="{7DBDEF9B-5345-4D43-B611-0435D4D96A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4696694" y="20241489"/>
          <a:ext cx="1329395" cy="48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332510</xdr:colOff>
      <xdr:row>26</xdr:row>
      <xdr:rowOff>387928</xdr:rowOff>
    </xdr:from>
    <xdr:to>
      <xdr:col>2</xdr:col>
      <xdr:colOff>1096038</xdr:colOff>
      <xdr:row>26</xdr:row>
      <xdr:rowOff>1191492</xdr:rowOff>
    </xdr:to>
    <xdr:pic>
      <xdr:nvPicPr>
        <xdr:cNvPr id="8336" name="Picture 8335" descr="Sail Logo">
          <a:extLst>
            <a:ext uri="{FF2B5EF4-FFF2-40B4-BE49-F238E27FC236}">
              <a16:creationId xmlns:a16="http://schemas.microsoft.com/office/drawing/2014/main" id="{78024A1C-AA45-018D-5117-3E5A51EBF0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38881" b="-4987"/>
        <a:stretch>
          <a:fillRect/>
        </a:stretch>
      </xdr:blipFill>
      <xdr:spPr bwMode="auto">
        <a:xfrm>
          <a:off x="2895601" y="21349855"/>
          <a:ext cx="763528" cy="803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1136073</xdr:colOff>
      <xdr:row>26</xdr:row>
      <xdr:rowOff>415636</xdr:rowOff>
    </xdr:from>
    <xdr:to>
      <xdr:col>2</xdr:col>
      <xdr:colOff>2591281</xdr:colOff>
      <xdr:row>26</xdr:row>
      <xdr:rowOff>1177636</xdr:rowOff>
    </xdr:to>
    <xdr:pic>
      <xdr:nvPicPr>
        <xdr:cNvPr id="8337" name="Picture 8336" descr="Mishra Dhatu Nigam (NSE:MIDHANI) Company Profile &amp; Description">
          <a:extLst>
            <a:ext uri="{FF2B5EF4-FFF2-40B4-BE49-F238E27FC236}">
              <a16:creationId xmlns:a16="http://schemas.microsoft.com/office/drawing/2014/main" id="{CBD88DA2-D3C5-4104-A142-A33FF04D27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3699164" y="21377563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2507674</xdr:colOff>
      <xdr:row>26</xdr:row>
      <xdr:rowOff>512619</xdr:rowOff>
    </xdr:from>
    <xdr:to>
      <xdr:col>2</xdr:col>
      <xdr:colOff>3725856</xdr:colOff>
      <xdr:row>26</xdr:row>
      <xdr:rowOff>969818</xdr:rowOff>
    </xdr:to>
    <xdr:pic>
      <xdr:nvPicPr>
        <xdr:cNvPr id="8338" name="Picture 8337" descr="Tata Advanced Materials Walkin for Diploma mechanical Freshers 2011 or ...">
          <a:extLst>
            <a:ext uri="{FF2B5EF4-FFF2-40B4-BE49-F238E27FC236}">
              <a16:creationId xmlns:a16="http://schemas.microsoft.com/office/drawing/2014/main" id="{CF3F49AC-7943-4682-B3E8-93F29C8C3C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346" b="36221"/>
        <a:stretch>
          <a:fillRect/>
        </a:stretch>
      </xdr:blipFill>
      <xdr:spPr bwMode="auto">
        <a:xfrm>
          <a:off x="5070765" y="21474546"/>
          <a:ext cx="1218182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637310</xdr:colOff>
      <xdr:row>26</xdr:row>
      <xdr:rowOff>374074</xdr:rowOff>
    </xdr:from>
    <xdr:to>
      <xdr:col>3</xdr:col>
      <xdr:colOff>1400838</xdr:colOff>
      <xdr:row>26</xdr:row>
      <xdr:rowOff>1177638</xdr:rowOff>
    </xdr:to>
    <xdr:pic>
      <xdr:nvPicPr>
        <xdr:cNvPr id="8339" name="Picture 8338" descr="Sail Logo">
          <a:extLst>
            <a:ext uri="{FF2B5EF4-FFF2-40B4-BE49-F238E27FC236}">
              <a16:creationId xmlns:a16="http://schemas.microsoft.com/office/drawing/2014/main" id="{CFBA7115-03FA-4ED0-A2B2-907B0A6680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38881" b="-4987"/>
        <a:stretch>
          <a:fillRect/>
        </a:stretch>
      </xdr:blipFill>
      <xdr:spPr bwMode="auto">
        <a:xfrm>
          <a:off x="7509165" y="21336001"/>
          <a:ext cx="763528" cy="803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1440873</xdr:colOff>
      <xdr:row>26</xdr:row>
      <xdr:rowOff>401782</xdr:rowOff>
    </xdr:from>
    <xdr:to>
      <xdr:col>3</xdr:col>
      <xdr:colOff>2896081</xdr:colOff>
      <xdr:row>26</xdr:row>
      <xdr:rowOff>1163782</xdr:rowOff>
    </xdr:to>
    <xdr:pic>
      <xdr:nvPicPr>
        <xdr:cNvPr id="8340" name="Picture 8339" descr="Mishra Dhatu Nigam (NSE:MIDHANI) Company Profile &amp; Description">
          <a:extLst>
            <a:ext uri="{FF2B5EF4-FFF2-40B4-BE49-F238E27FC236}">
              <a16:creationId xmlns:a16="http://schemas.microsoft.com/office/drawing/2014/main" id="{B51D0A57-6A88-432D-91AB-48ABD76159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8312728" y="21363709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581892</xdr:colOff>
      <xdr:row>26</xdr:row>
      <xdr:rowOff>235528</xdr:rowOff>
    </xdr:from>
    <xdr:to>
      <xdr:col>4</xdr:col>
      <xdr:colOff>1345420</xdr:colOff>
      <xdr:row>26</xdr:row>
      <xdr:rowOff>1039092</xdr:rowOff>
    </xdr:to>
    <xdr:pic>
      <xdr:nvPicPr>
        <xdr:cNvPr id="8341" name="Picture 8340" descr="Sail Logo">
          <a:extLst>
            <a:ext uri="{FF2B5EF4-FFF2-40B4-BE49-F238E27FC236}">
              <a16:creationId xmlns:a16="http://schemas.microsoft.com/office/drawing/2014/main" id="{3B0CAF00-4B54-48E3-9F4D-543BD2EF96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38881" b="-4987"/>
        <a:stretch>
          <a:fillRect/>
        </a:stretch>
      </xdr:blipFill>
      <xdr:spPr bwMode="auto">
        <a:xfrm>
          <a:off x="10861965" y="21197455"/>
          <a:ext cx="763528" cy="803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1731819</xdr:colOff>
      <xdr:row>26</xdr:row>
      <xdr:rowOff>235527</xdr:rowOff>
    </xdr:from>
    <xdr:to>
      <xdr:col>4</xdr:col>
      <xdr:colOff>3187027</xdr:colOff>
      <xdr:row>26</xdr:row>
      <xdr:rowOff>997527</xdr:rowOff>
    </xdr:to>
    <xdr:pic>
      <xdr:nvPicPr>
        <xdr:cNvPr id="8342" name="Picture 8341" descr="Mishra Dhatu Nigam (NSE:MIDHANI) Company Profile &amp; Description">
          <a:extLst>
            <a:ext uri="{FF2B5EF4-FFF2-40B4-BE49-F238E27FC236}">
              <a16:creationId xmlns:a16="http://schemas.microsoft.com/office/drawing/2014/main" id="{D1A24F7D-1B5B-4542-8709-2BABC9A86F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12011892" y="21197454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1690255</xdr:colOff>
      <xdr:row>26</xdr:row>
      <xdr:rowOff>1052946</xdr:rowOff>
    </xdr:from>
    <xdr:to>
      <xdr:col>4</xdr:col>
      <xdr:colOff>2908437</xdr:colOff>
      <xdr:row>26</xdr:row>
      <xdr:rowOff>1510145</xdr:rowOff>
    </xdr:to>
    <xdr:pic>
      <xdr:nvPicPr>
        <xdr:cNvPr id="8343" name="Picture 8342" descr="Tata Advanced Materials Walkin for Diploma mechanical Freshers 2011 or ...">
          <a:extLst>
            <a:ext uri="{FF2B5EF4-FFF2-40B4-BE49-F238E27FC236}">
              <a16:creationId xmlns:a16="http://schemas.microsoft.com/office/drawing/2014/main" id="{9E70D538-8B50-4827-BF4D-AF8BA32A74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346" b="36221"/>
        <a:stretch>
          <a:fillRect/>
        </a:stretch>
      </xdr:blipFill>
      <xdr:spPr bwMode="auto">
        <a:xfrm>
          <a:off x="11970328" y="22014873"/>
          <a:ext cx="1218182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249382</xdr:colOff>
      <xdr:row>26</xdr:row>
      <xdr:rowOff>263237</xdr:rowOff>
    </xdr:from>
    <xdr:to>
      <xdr:col>5</xdr:col>
      <xdr:colOff>1012910</xdr:colOff>
      <xdr:row>26</xdr:row>
      <xdr:rowOff>1066801</xdr:rowOff>
    </xdr:to>
    <xdr:pic>
      <xdr:nvPicPr>
        <xdr:cNvPr id="8344" name="Picture 8343" descr="Sail Logo">
          <a:extLst>
            <a:ext uri="{FF2B5EF4-FFF2-40B4-BE49-F238E27FC236}">
              <a16:creationId xmlns:a16="http://schemas.microsoft.com/office/drawing/2014/main" id="{FC473050-C505-4BEE-B812-BBB671419C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38881" b="-4987"/>
        <a:stretch>
          <a:fillRect/>
        </a:stretch>
      </xdr:blipFill>
      <xdr:spPr bwMode="auto">
        <a:xfrm>
          <a:off x="14006946" y="21225164"/>
          <a:ext cx="763528" cy="803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1399309</xdr:colOff>
      <xdr:row>26</xdr:row>
      <xdr:rowOff>263236</xdr:rowOff>
    </xdr:from>
    <xdr:to>
      <xdr:col>5</xdr:col>
      <xdr:colOff>2854517</xdr:colOff>
      <xdr:row>26</xdr:row>
      <xdr:rowOff>1025236</xdr:rowOff>
    </xdr:to>
    <xdr:pic>
      <xdr:nvPicPr>
        <xdr:cNvPr id="8345" name="Picture 8344" descr="Mishra Dhatu Nigam (NSE:MIDHANI) Company Profile &amp; Description">
          <a:extLst>
            <a:ext uri="{FF2B5EF4-FFF2-40B4-BE49-F238E27FC236}">
              <a16:creationId xmlns:a16="http://schemas.microsoft.com/office/drawing/2014/main" id="{278F89AB-CEDA-4791-8834-42A04CDAD1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15156873" y="21225163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1052945</xdr:colOff>
      <xdr:row>26</xdr:row>
      <xdr:rowOff>415636</xdr:rowOff>
    </xdr:from>
    <xdr:to>
      <xdr:col>6</xdr:col>
      <xdr:colOff>1898073</xdr:colOff>
      <xdr:row>26</xdr:row>
      <xdr:rowOff>1257692</xdr:rowOff>
    </xdr:to>
    <xdr:pic>
      <xdr:nvPicPr>
        <xdr:cNvPr id="8346" name="Picture 8345" descr="See the source image">
          <a:extLst>
            <a:ext uri="{FF2B5EF4-FFF2-40B4-BE49-F238E27FC236}">
              <a16:creationId xmlns:a16="http://schemas.microsoft.com/office/drawing/2014/main" id="{B04DFFBB-824C-4D2B-927F-8D263532F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75381" y="21377563"/>
          <a:ext cx="845128" cy="842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817418</xdr:colOff>
      <xdr:row>26</xdr:row>
      <xdr:rowOff>166255</xdr:rowOff>
    </xdr:from>
    <xdr:to>
      <xdr:col>9</xdr:col>
      <xdr:colOff>2035600</xdr:colOff>
      <xdr:row>26</xdr:row>
      <xdr:rowOff>623454</xdr:rowOff>
    </xdr:to>
    <xdr:pic>
      <xdr:nvPicPr>
        <xdr:cNvPr id="8348" name="Picture 8347" descr="Tata Advanced Materials Walkin for Diploma mechanical Freshers 2011 or ...">
          <a:extLst>
            <a:ext uri="{FF2B5EF4-FFF2-40B4-BE49-F238E27FC236}">
              <a16:creationId xmlns:a16="http://schemas.microsoft.com/office/drawing/2014/main" id="{A331208D-5CE2-4D4B-B662-38A6313707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346" b="36221"/>
        <a:stretch>
          <a:fillRect/>
        </a:stretch>
      </xdr:blipFill>
      <xdr:spPr bwMode="auto">
        <a:xfrm>
          <a:off x="26877818" y="21128182"/>
          <a:ext cx="1218182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762000</xdr:colOff>
      <xdr:row>26</xdr:row>
      <xdr:rowOff>803563</xdr:rowOff>
    </xdr:from>
    <xdr:to>
      <xdr:col>9</xdr:col>
      <xdr:colOff>2217208</xdr:colOff>
      <xdr:row>26</xdr:row>
      <xdr:rowOff>1565563</xdr:rowOff>
    </xdr:to>
    <xdr:pic>
      <xdr:nvPicPr>
        <xdr:cNvPr id="8349" name="Picture 8348" descr="Mishra Dhatu Nigam (NSE:MIDHANI) Company Profile &amp; Description">
          <a:extLst>
            <a:ext uri="{FF2B5EF4-FFF2-40B4-BE49-F238E27FC236}">
              <a16:creationId xmlns:a16="http://schemas.microsoft.com/office/drawing/2014/main" id="{53D59F67-1C2C-44EF-9055-3B18D811BC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26822400" y="21765490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983673</xdr:colOff>
      <xdr:row>26</xdr:row>
      <xdr:rowOff>554182</xdr:rowOff>
    </xdr:from>
    <xdr:to>
      <xdr:col>8</xdr:col>
      <xdr:colOff>2438881</xdr:colOff>
      <xdr:row>26</xdr:row>
      <xdr:rowOff>1316182</xdr:rowOff>
    </xdr:to>
    <xdr:pic>
      <xdr:nvPicPr>
        <xdr:cNvPr id="8350" name="Picture 8349" descr="Mishra Dhatu Nigam (NSE:MIDHANI) Company Profile &amp; Description">
          <a:extLst>
            <a:ext uri="{FF2B5EF4-FFF2-40B4-BE49-F238E27FC236}">
              <a16:creationId xmlns:a16="http://schemas.microsoft.com/office/drawing/2014/main" id="{F5B20F32-7551-4B06-9687-0F8A41B25B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23635855" y="21516109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554181</xdr:colOff>
      <xdr:row>25</xdr:row>
      <xdr:rowOff>415638</xdr:rowOff>
    </xdr:from>
    <xdr:to>
      <xdr:col>3</xdr:col>
      <xdr:colOff>1708349</xdr:colOff>
      <xdr:row>25</xdr:row>
      <xdr:rowOff>1292115</xdr:rowOff>
    </xdr:to>
    <xdr:pic>
      <xdr:nvPicPr>
        <xdr:cNvPr id="8351" name="Picture 8350" descr="Walchandnagar Industries is Hiring | Mulitple Positions | - Mechanical ...">
          <a:extLst>
            <a:ext uri="{FF2B5EF4-FFF2-40B4-BE49-F238E27FC236}">
              <a16:creationId xmlns:a16="http://schemas.microsoft.com/office/drawing/2014/main" id="{46A36AE1-BE93-47E0-A9EA-84B3E78977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0" t="13606" r="23878" b="15452"/>
        <a:stretch>
          <a:fillRect/>
        </a:stretch>
      </xdr:blipFill>
      <xdr:spPr bwMode="auto">
        <a:xfrm>
          <a:off x="7426036" y="19645747"/>
          <a:ext cx="1154168" cy="876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2133600</xdr:colOff>
      <xdr:row>25</xdr:row>
      <xdr:rowOff>498765</xdr:rowOff>
    </xdr:from>
    <xdr:to>
      <xdr:col>3</xdr:col>
      <xdr:colOff>3186545</xdr:colOff>
      <xdr:row>25</xdr:row>
      <xdr:rowOff>1200728</xdr:rowOff>
    </xdr:to>
    <xdr:pic>
      <xdr:nvPicPr>
        <xdr:cNvPr id="8352" name="Picture 8351" descr="Godrej Aerospace partners with GKN Aerospace on manufacture of ...">
          <a:extLst>
            <a:ext uri="{FF2B5EF4-FFF2-40B4-BE49-F238E27FC236}">
              <a16:creationId xmlns:a16="http://schemas.microsoft.com/office/drawing/2014/main" id="{503647A2-A780-4532-B386-EACE5F1396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00" b="2065"/>
        <a:stretch>
          <a:fillRect/>
        </a:stretch>
      </xdr:blipFill>
      <xdr:spPr bwMode="auto">
        <a:xfrm>
          <a:off x="9005455" y="19728874"/>
          <a:ext cx="1052945" cy="701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387930</xdr:colOff>
      <xdr:row>25</xdr:row>
      <xdr:rowOff>346361</xdr:rowOff>
    </xdr:from>
    <xdr:to>
      <xdr:col>4</xdr:col>
      <xdr:colOff>1717325</xdr:colOff>
      <xdr:row>25</xdr:row>
      <xdr:rowOff>831271</xdr:rowOff>
    </xdr:to>
    <xdr:pic>
      <xdr:nvPicPr>
        <xdr:cNvPr id="8353" name="Picture 8352" descr="L&amp;T Share Price Highlights: L&amp;T Stock Price History - The Economic Times">
          <a:extLst>
            <a:ext uri="{FF2B5EF4-FFF2-40B4-BE49-F238E27FC236}">
              <a16:creationId xmlns:a16="http://schemas.microsoft.com/office/drawing/2014/main" id="{B0550EDC-9427-4A85-8A9A-C25C55E552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10668003" y="19576470"/>
          <a:ext cx="1329395" cy="48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124691</xdr:colOff>
      <xdr:row>25</xdr:row>
      <xdr:rowOff>1052946</xdr:rowOff>
    </xdr:from>
    <xdr:to>
      <xdr:col>4</xdr:col>
      <xdr:colOff>3377336</xdr:colOff>
      <xdr:row>25</xdr:row>
      <xdr:rowOff>1537854</xdr:rowOff>
    </xdr:to>
    <xdr:pic>
      <xdr:nvPicPr>
        <xdr:cNvPr id="8354" name="Picture 8353">
          <a:extLst>
            <a:ext uri="{FF2B5EF4-FFF2-40B4-BE49-F238E27FC236}">
              <a16:creationId xmlns:a16="http://schemas.microsoft.com/office/drawing/2014/main" id="{0072C87D-30F0-4141-905E-B846AC5DC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404764" y="20283055"/>
          <a:ext cx="3300270" cy="484908"/>
        </a:xfrm>
        <a:prstGeom prst="rect">
          <a:avLst/>
        </a:prstGeom>
      </xdr:spPr>
    </xdr:pic>
    <xdr:clientData/>
  </xdr:twoCellAnchor>
  <xdr:twoCellAnchor editAs="oneCell">
    <xdr:from>
      <xdr:col>4</xdr:col>
      <xdr:colOff>1870364</xdr:colOff>
      <xdr:row>25</xdr:row>
      <xdr:rowOff>263238</xdr:rowOff>
    </xdr:from>
    <xdr:to>
      <xdr:col>4</xdr:col>
      <xdr:colOff>2923309</xdr:colOff>
      <xdr:row>25</xdr:row>
      <xdr:rowOff>965201</xdr:rowOff>
    </xdr:to>
    <xdr:pic>
      <xdr:nvPicPr>
        <xdr:cNvPr id="8355" name="Picture 8354" descr="Godrej Aerospace partners with GKN Aerospace on manufacture of ...">
          <a:extLst>
            <a:ext uri="{FF2B5EF4-FFF2-40B4-BE49-F238E27FC236}">
              <a16:creationId xmlns:a16="http://schemas.microsoft.com/office/drawing/2014/main" id="{57AC394E-DEE1-466A-92F0-A10D4FB167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00" b="2065"/>
        <a:stretch>
          <a:fillRect/>
        </a:stretch>
      </xdr:blipFill>
      <xdr:spPr bwMode="auto">
        <a:xfrm>
          <a:off x="12150437" y="19493347"/>
          <a:ext cx="1052945" cy="701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942109</xdr:colOff>
      <xdr:row>25</xdr:row>
      <xdr:rowOff>512620</xdr:rowOff>
    </xdr:from>
    <xdr:to>
      <xdr:col>5</xdr:col>
      <xdr:colOff>1995054</xdr:colOff>
      <xdr:row>25</xdr:row>
      <xdr:rowOff>1214583</xdr:rowOff>
    </xdr:to>
    <xdr:pic>
      <xdr:nvPicPr>
        <xdr:cNvPr id="8356" name="Picture 8355" descr="Godrej Aerospace partners with GKN Aerospace on manufacture of ...">
          <a:extLst>
            <a:ext uri="{FF2B5EF4-FFF2-40B4-BE49-F238E27FC236}">
              <a16:creationId xmlns:a16="http://schemas.microsoft.com/office/drawing/2014/main" id="{49429AE2-A3E5-405D-BD05-6CD3505BC6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00" b="2065"/>
        <a:stretch>
          <a:fillRect/>
        </a:stretch>
      </xdr:blipFill>
      <xdr:spPr bwMode="auto">
        <a:xfrm>
          <a:off x="14699673" y="19742729"/>
          <a:ext cx="1052945" cy="701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886691</xdr:colOff>
      <xdr:row>25</xdr:row>
      <xdr:rowOff>512619</xdr:rowOff>
    </xdr:from>
    <xdr:to>
      <xdr:col>6</xdr:col>
      <xdr:colOff>1939636</xdr:colOff>
      <xdr:row>25</xdr:row>
      <xdr:rowOff>1214582</xdr:rowOff>
    </xdr:to>
    <xdr:pic>
      <xdr:nvPicPr>
        <xdr:cNvPr id="8357" name="Picture 8356" descr="Godrej Aerospace partners with GKN Aerospace on manufacture of ...">
          <a:extLst>
            <a:ext uri="{FF2B5EF4-FFF2-40B4-BE49-F238E27FC236}">
              <a16:creationId xmlns:a16="http://schemas.microsoft.com/office/drawing/2014/main" id="{4EC4F84D-80A0-4061-94E5-1DED65C337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00" b="2065"/>
        <a:stretch>
          <a:fillRect/>
        </a:stretch>
      </xdr:blipFill>
      <xdr:spPr bwMode="auto">
        <a:xfrm>
          <a:off x="17609127" y="19742728"/>
          <a:ext cx="1052945" cy="701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900545</xdr:colOff>
      <xdr:row>25</xdr:row>
      <xdr:rowOff>166254</xdr:rowOff>
    </xdr:from>
    <xdr:to>
      <xdr:col>8</xdr:col>
      <xdr:colOff>2362874</xdr:colOff>
      <xdr:row>25</xdr:row>
      <xdr:rowOff>699653</xdr:rowOff>
    </xdr:to>
    <xdr:pic>
      <xdr:nvPicPr>
        <xdr:cNvPr id="8360" name="Picture 8359" descr="L&amp;T Share Price Highlights: L&amp;T Stock Price History - The Economic Times">
          <a:extLst>
            <a:ext uri="{FF2B5EF4-FFF2-40B4-BE49-F238E27FC236}">
              <a16:creationId xmlns:a16="http://schemas.microsoft.com/office/drawing/2014/main" id="{2DF473C7-E129-47E9-981E-B70499E694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23705127" y="19396363"/>
          <a:ext cx="1462329" cy="533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1166749</xdr:colOff>
      <xdr:row>25</xdr:row>
      <xdr:rowOff>797252</xdr:rowOff>
    </xdr:from>
    <xdr:to>
      <xdr:col>8</xdr:col>
      <xdr:colOff>2067294</xdr:colOff>
      <xdr:row>25</xdr:row>
      <xdr:rowOff>1481127</xdr:rowOff>
    </xdr:to>
    <xdr:pic>
      <xdr:nvPicPr>
        <xdr:cNvPr id="8361" name="Picture 8360" descr="Walchandnagar Industries is Hiring | Mulitple Positions | - Mechanical ...">
          <a:extLst>
            <a:ext uri="{FF2B5EF4-FFF2-40B4-BE49-F238E27FC236}">
              <a16:creationId xmlns:a16="http://schemas.microsoft.com/office/drawing/2014/main" id="{D57BAC33-B4E6-434A-AE27-1A0D054700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0" t="13606" r="23878" b="15452"/>
        <a:stretch>
          <a:fillRect/>
        </a:stretch>
      </xdr:blipFill>
      <xdr:spPr bwMode="auto">
        <a:xfrm>
          <a:off x="23971331" y="20027361"/>
          <a:ext cx="900545" cy="68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748145</xdr:colOff>
      <xdr:row>25</xdr:row>
      <xdr:rowOff>166254</xdr:rowOff>
    </xdr:from>
    <xdr:to>
      <xdr:col>9</xdr:col>
      <xdr:colOff>2210474</xdr:colOff>
      <xdr:row>25</xdr:row>
      <xdr:rowOff>699653</xdr:rowOff>
    </xdr:to>
    <xdr:pic>
      <xdr:nvPicPr>
        <xdr:cNvPr id="8362" name="Picture 8361" descr="L&amp;T Share Price Highlights: L&amp;T Stock Price History - The Economic Times">
          <a:extLst>
            <a:ext uri="{FF2B5EF4-FFF2-40B4-BE49-F238E27FC236}">
              <a16:creationId xmlns:a16="http://schemas.microsoft.com/office/drawing/2014/main" id="{9EFE6D40-B37E-40FF-98A6-944EDF342D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26960945" y="19396363"/>
          <a:ext cx="1462329" cy="533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900546</xdr:colOff>
      <xdr:row>25</xdr:row>
      <xdr:rowOff>817419</xdr:rowOff>
    </xdr:from>
    <xdr:to>
      <xdr:col>9</xdr:col>
      <xdr:colOff>1953491</xdr:colOff>
      <xdr:row>25</xdr:row>
      <xdr:rowOff>1519382</xdr:rowOff>
    </xdr:to>
    <xdr:pic>
      <xdr:nvPicPr>
        <xdr:cNvPr id="8363" name="Picture 8362" descr="Godrej Aerospace partners with GKN Aerospace on manufacture of ...">
          <a:extLst>
            <a:ext uri="{FF2B5EF4-FFF2-40B4-BE49-F238E27FC236}">
              <a16:creationId xmlns:a16="http://schemas.microsoft.com/office/drawing/2014/main" id="{193A0D54-FE7A-45C5-A70D-9D21E8260D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00" b="2065"/>
        <a:stretch>
          <a:fillRect/>
        </a:stretch>
      </xdr:blipFill>
      <xdr:spPr bwMode="auto">
        <a:xfrm>
          <a:off x="27113346" y="20047528"/>
          <a:ext cx="1052945" cy="701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582066</xdr:colOff>
      <xdr:row>9</xdr:row>
      <xdr:rowOff>187903</xdr:rowOff>
    </xdr:from>
    <xdr:ext cx="1192306" cy="521180"/>
    <xdr:pic>
      <xdr:nvPicPr>
        <xdr:cNvPr id="8364" name="Picture 8363" descr="General Electric Archives - PLC Source">
          <a:extLst>
            <a:ext uri="{FF2B5EF4-FFF2-40B4-BE49-F238E27FC236}">
              <a16:creationId xmlns:a16="http://schemas.microsoft.com/office/drawing/2014/main" id="{0CF706D9-F8B5-448B-B808-D9F9ACB69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1521" y="1739612"/>
          <a:ext cx="1192306" cy="52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353466</xdr:colOff>
      <xdr:row>9</xdr:row>
      <xdr:rowOff>635211</xdr:rowOff>
    </xdr:from>
    <xdr:ext cx="1446666" cy="421341"/>
    <xdr:pic>
      <xdr:nvPicPr>
        <xdr:cNvPr id="8365" name="Picture 8364" descr="safran-logo-2">
          <a:extLst>
            <a:ext uri="{FF2B5EF4-FFF2-40B4-BE49-F238E27FC236}">
              <a16:creationId xmlns:a16="http://schemas.microsoft.com/office/drawing/2014/main" id="{2E98BBEF-35FA-4373-9ADD-F42BC2791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2921" y="2186920"/>
          <a:ext cx="1446666" cy="421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2238615</xdr:colOff>
      <xdr:row>9</xdr:row>
      <xdr:rowOff>277900</xdr:rowOff>
    </xdr:from>
    <xdr:ext cx="930983" cy="753618"/>
    <xdr:pic>
      <xdr:nvPicPr>
        <xdr:cNvPr id="8366" name="Picture 8365" descr="Rolls Royce Brand Logo Car Symbol Black Design British Automobile ...">
          <a:extLst>
            <a:ext uri="{FF2B5EF4-FFF2-40B4-BE49-F238E27FC236}">
              <a16:creationId xmlns:a16="http://schemas.microsoft.com/office/drawing/2014/main" id="{78E9257E-585E-4654-ABE8-9ED51274B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8070" y="1829609"/>
          <a:ext cx="930983" cy="753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387928</xdr:colOff>
      <xdr:row>10</xdr:row>
      <xdr:rowOff>345781</xdr:rowOff>
    </xdr:from>
    <xdr:to>
      <xdr:col>4</xdr:col>
      <xdr:colOff>1801091</xdr:colOff>
      <xdr:row>10</xdr:row>
      <xdr:rowOff>826764</xdr:rowOff>
    </xdr:to>
    <xdr:pic>
      <xdr:nvPicPr>
        <xdr:cNvPr id="8367" name="Picture 8366" descr="Godrej Aerospace partners with GKN Aerospace on manufacture of ...">
          <a:extLst>
            <a:ext uri="{FF2B5EF4-FFF2-40B4-BE49-F238E27FC236}">
              <a16:creationId xmlns:a16="http://schemas.microsoft.com/office/drawing/2014/main" id="{F68E2687-4B76-4D80-B20D-CDDE7E65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7383" y="4197345"/>
          <a:ext cx="1413163" cy="48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1995054</xdr:colOff>
      <xdr:row>10</xdr:row>
      <xdr:rowOff>110835</xdr:rowOff>
    </xdr:from>
    <xdr:to>
      <xdr:col>4</xdr:col>
      <xdr:colOff>3066729</xdr:colOff>
      <xdr:row>10</xdr:row>
      <xdr:rowOff>903580</xdr:rowOff>
    </xdr:to>
    <xdr:pic>
      <xdr:nvPicPr>
        <xdr:cNvPr id="8368" name="Picture 8367" descr="Mtar Technologies - Crunchbase Company Profile &amp; Funding">
          <a:extLst>
            <a:ext uri="{FF2B5EF4-FFF2-40B4-BE49-F238E27FC236}">
              <a16:creationId xmlns:a16="http://schemas.microsoft.com/office/drawing/2014/main" id="{428CB1A5-0F6F-4B87-9F8C-E2DD81D5F8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59" t="24671" r="23821" b="26094"/>
        <a:stretch>
          <a:fillRect/>
        </a:stretch>
      </xdr:blipFill>
      <xdr:spPr bwMode="auto">
        <a:xfrm>
          <a:off x="12524509" y="3962399"/>
          <a:ext cx="1071675" cy="792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429491</xdr:colOff>
      <xdr:row>11</xdr:row>
      <xdr:rowOff>165672</xdr:rowOff>
    </xdr:from>
    <xdr:to>
      <xdr:col>4</xdr:col>
      <xdr:colOff>1842654</xdr:colOff>
      <xdr:row>11</xdr:row>
      <xdr:rowOff>646655</xdr:rowOff>
    </xdr:to>
    <xdr:pic>
      <xdr:nvPicPr>
        <xdr:cNvPr id="8369" name="Picture 8368" descr="Godrej Aerospace partners with GKN Aerospace on manufacture of ...">
          <a:extLst>
            <a:ext uri="{FF2B5EF4-FFF2-40B4-BE49-F238E27FC236}">
              <a16:creationId xmlns:a16="http://schemas.microsoft.com/office/drawing/2014/main" id="{3EAC3DEC-806B-45A5-A5A1-30368E28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8946" y="5167163"/>
          <a:ext cx="1413163" cy="48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1898072</xdr:colOff>
      <xdr:row>11</xdr:row>
      <xdr:rowOff>457200</xdr:rowOff>
    </xdr:from>
    <xdr:to>
      <xdr:col>4</xdr:col>
      <xdr:colOff>3227467</xdr:colOff>
      <xdr:row>11</xdr:row>
      <xdr:rowOff>942110</xdr:rowOff>
    </xdr:to>
    <xdr:pic>
      <xdr:nvPicPr>
        <xdr:cNvPr id="8370" name="Picture 8369" descr="L&amp;T Share Price Highlights: L&amp;T Stock Price History - The Economic Times">
          <a:extLst>
            <a:ext uri="{FF2B5EF4-FFF2-40B4-BE49-F238E27FC236}">
              <a16:creationId xmlns:a16="http://schemas.microsoft.com/office/drawing/2014/main" id="{AE78160A-E4FC-4AFA-A657-8E8B9E027C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12427527" y="5458691"/>
          <a:ext cx="1329395" cy="48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928254</xdr:colOff>
      <xdr:row>12</xdr:row>
      <xdr:rowOff>221673</xdr:rowOff>
    </xdr:from>
    <xdr:to>
      <xdr:col>4</xdr:col>
      <xdr:colOff>2383462</xdr:colOff>
      <xdr:row>12</xdr:row>
      <xdr:rowOff>983673</xdr:rowOff>
    </xdr:to>
    <xdr:pic>
      <xdr:nvPicPr>
        <xdr:cNvPr id="8371" name="Picture 8370" descr="Mishra Dhatu Nigam (NSE:MIDHANI) Company Profile &amp; Description">
          <a:extLst>
            <a:ext uri="{FF2B5EF4-FFF2-40B4-BE49-F238E27FC236}">
              <a16:creationId xmlns:a16="http://schemas.microsoft.com/office/drawing/2014/main" id="{AAFEA2A2-E753-49F5-9A90-165759D11D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11457709" y="6373091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720437</xdr:colOff>
      <xdr:row>11</xdr:row>
      <xdr:rowOff>373490</xdr:rowOff>
    </xdr:from>
    <xdr:to>
      <xdr:col>5</xdr:col>
      <xdr:colOff>2133600</xdr:colOff>
      <xdr:row>11</xdr:row>
      <xdr:rowOff>854473</xdr:rowOff>
    </xdr:to>
    <xdr:pic>
      <xdr:nvPicPr>
        <xdr:cNvPr id="8372" name="Picture 8371" descr="Godrej Aerospace partners with GKN Aerospace on manufacture of ...">
          <a:extLst>
            <a:ext uri="{FF2B5EF4-FFF2-40B4-BE49-F238E27FC236}">
              <a16:creationId xmlns:a16="http://schemas.microsoft.com/office/drawing/2014/main" id="{8E806E96-E56D-47CD-BFD8-84BA983E5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27382" y="5374981"/>
          <a:ext cx="1413163" cy="48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734291</xdr:colOff>
      <xdr:row>12</xdr:row>
      <xdr:rowOff>249382</xdr:rowOff>
    </xdr:from>
    <xdr:to>
      <xdr:col>5</xdr:col>
      <xdr:colOff>2189499</xdr:colOff>
      <xdr:row>12</xdr:row>
      <xdr:rowOff>1011382</xdr:rowOff>
    </xdr:to>
    <xdr:pic>
      <xdr:nvPicPr>
        <xdr:cNvPr id="8373" name="Picture 8372" descr="Mishra Dhatu Nigam (NSE:MIDHANI) Company Profile &amp; Description">
          <a:extLst>
            <a:ext uri="{FF2B5EF4-FFF2-40B4-BE49-F238E27FC236}">
              <a16:creationId xmlns:a16="http://schemas.microsoft.com/office/drawing/2014/main" id="{9257C395-1C68-4A70-8AA2-60FD2D3FD0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14741236" y="6400800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734291</xdr:colOff>
      <xdr:row>12</xdr:row>
      <xdr:rowOff>235527</xdr:rowOff>
    </xdr:from>
    <xdr:to>
      <xdr:col>6</xdr:col>
      <xdr:colOff>2189499</xdr:colOff>
      <xdr:row>12</xdr:row>
      <xdr:rowOff>997527</xdr:rowOff>
    </xdr:to>
    <xdr:pic>
      <xdr:nvPicPr>
        <xdr:cNvPr id="8374" name="Picture 8373" descr="Mishra Dhatu Nigam (NSE:MIDHANI) Company Profile &amp; Description">
          <a:extLst>
            <a:ext uri="{FF2B5EF4-FFF2-40B4-BE49-F238E27FC236}">
              <a16:creationId xmlns:a16="http://schemas.microsoft.com/office/drawing/2014/main" id="{AA081BF3-A7CB-493F-A26D-3C802916FE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17706109" y="6386945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720438</xdr:colOff>
      <xdr:row>11</xdr:row>
      <xdr:rowOff>345781</xdr:rowOff>
    </xdr:from>
    <xdr:to>
      <xdr:col>6</xdr:col>
      <xdr:colOff>2133601</xdr:colOff>
      <xdr:row>11</xdr:row>
      <xdr:rowOff>826764</xdr:rowOff>
    </xdr:to>
    <xdr:pic>
      <xdr:nvPicPr>
        <xdr:cNvPr id="8375" name="Picture 8374" descr="Godrej Aerospace partners with GKN Aerospace on manufacture of ...">
          <a:extLst>
            <a:ext uri="{FF2B5EF4-FFF2-40B4-BE49-F238E27FC236}">
              <a16:creationId xmlns:a16="http://schemas.microsoft.com/office/drawing/2014/main" id="{818E5DF6-44F1-4CAC-A7AC-E9206057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92256" y="5347272"/>
          <a:ext cx="1413163" cy="48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720437</xdr:colOff>
      <xdr:row>11</xdr:row>
      <xdr:rowOff>345781</xdr:rowOff>
    </xdr:from>
    <xdr:to>
      <xdr:col>7</xdr:col>
      <xdr:colOff>2133600</xdr:colOff>
      <xdr:row>11</xdr:row>
      <xdr:rowOff>826764</xdr:rowOff>
    </xdr:to>
    <xdr:pic>
      <xdr:nvPicPr>
        <xdr:cNvPr id="8376" name="Picture 8375" descr="Godrej Aerospace partners with GKN Aerospace on manufacture of ...">
          <a:extLst>
            <a:ext uri="{FF2B5EF4-FFF2-40B4-BE49-F238E27FC236}">
              <a16:creationId xmlns:a16="http://schemas.microsoft.com/office/drawing/2014/main" id="{398482B0-15D9-4F4B-BDCB-A4231C5A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7128" y="5347272"/>
          <a:ext cx="1413163" cy="48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387928</xdr:colOff>
      <xdr:row>11</xdr:row>
      <xdr:rowOff>415054</xdr:rowOff>
    </xdr:from>
    <xdr:to>
      <xdr:col>8</xdr:col>
      <xdr:colOff>1801091</xdr:colOff>
      <xdr:row>11</xdr:row>
      <xdr:rowOff>896037</xdr:rowOff>
    </xdr:to>
    <xdr:pic>
      <xdr:nvPicPr>
        <xdr:cNvPr id="8377" name="Picture 8376" descr="Godrej Aerospace partners with GKN Aerospace on manufacture of ...">
          <a:extLst>
            <a:ext uri="{FF2B5EF4-FFF2-40B4-BE49-F238E27FC236}">
              <a16:creationId xmlns:a16="http://schemas.microsoft.com/office/drawing/2014/main" id="{06E07586-9FF2-4232-BC49-35234F489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41892" y="5416545"/>
          <a:ext cx="1413163" cy="48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2133598</xdr:colOff>
      <xdr:row>11</xdr:row>
      <xdr:rowOff>346365</xdr:rowOff>
    </xdr:from>
    <xdr:to>
      <xdr:col>8</xdr:col>
      <xdr:colOff>2820131</xdr:colOff>
      <xdr:row>11</xdr:row>
      <xdr:rowOff>845128</xdr:rowOff>
    </xdr:to>
    <xdr:pic>
      <xdr:nvPicPr>
        <xdr:cNvPr id="8378" name="Picture 8377" descr="Vem Technologies Office Photos | Glassdoor">
          <a:extLst>
            <a:ext uri="{FF2B5EF4-FFF2-40B4-BE49-F238E27FC236}">
              <a16:creationId xmlns:a16="http://schemas.microsoft.com/office/drawing/2014/main" id="{B68D4AD3-1564-4619-A602-8E68358479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4" t="18593" r="3031" b="12692"/>
        <a:stretch>
          <a:fillRect/>
        </a:stretch>
      </xdr:blipFill>
      <xdr:spPr bwMode="auto">
        <a:xfrm>
          <a:off x="25187562" y="5347856"/>
          <a:ext cx="686533" cy="498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290945</xdr:colOff>
      <xdr:row>12</xdr:row>
      <xdr:rowOff>207819</xdr:rowOff>
    </xdr:from>
    <xdr:to>
      <xdr:col>9</xdr:col>
      <xdr:colOff>1054473</xdr:colOff>
      <xdr:row>12</xdr:row>
      <xdr:rowOff>1011383</xdr:rowOff>
    </xdr:to>
    <xdr:pic>
      <xdr:nvPicPr>
        <xdr:cNvPr id="8379" name="Picture 8378" descr="Sail Logo">
          <a:extLst>
            <a:ext uri="{FF2B5EF4-FFF2-40B4-BE49-F238E27FC236}">
              <a16:creationId xmlns:a16="http://schemas.microsoft.com/office/drawing/2014/main" id="{BB25374B-80FE-4BB9-9D29-CCDADDA1DE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38881" b="-4987"/>
        <a:stretch>
          <a:fillRect/>
        </a:stretch>
      </xdr:blipFill>
      <xdr:spPr bwMode="auto">
        <a:xfrm>
          <a:off x="26753127" y="6359237"/>
          <a:ext cx="763528" cy="803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1233054</xdr:colOff>
      <xdr:row>12</xdr:row>
      <xdr:rowOff>193964</xdr:rowOff>
    </xdr:from>
    <xdr:to>
      <xdr:col>9</xdr:col>
      <xdr:colOff>2688262</xdr:colOff>
      <xdr:row>12</xdr:row>
      <xdr:rowOff>955964</xdr:rowOff>
    </xdr:to>
    <xdr:pic>
      <xdr:nvPicPr>
        <xdr:cNvPr id="8380" name="Picture 8379" descr="Mishra Dhatu Nigam (NSE:MIDHANI) Company Profile &amp; Description">
          <a:extLst>
            <a:ext uri="{FF2B5EF4-FFF2-40B4-BE49-F238E27FC236}">
              <a16:creationId xmlns:a16="http://schemas.microsoft.com/office/drawing/2014/main" id="{815B5992-CDAE-4040-BBEF-8269206321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27695236" y="6345382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110835</xdr:colOff>
      <xdr:row>11</xdr:row>
      <xdr:rowOff>380334</xdr:rowOff>
    </xdr:from>
    <xdr:to>
      <xdr:col>9</xdr:col>
      <xdr:colOff>1330036</xdr:colOff>
      <xdr:row>11</xdr:row>
      <xdr:rowOff>847973</xdr:rowOff>
    </xdr:to>
    <xdr:pic>
      <xdr:nvPicPr>
        <xdr:cNvPr id="8381" name="Picture 8380" descr="L&amp;T Share Price Highlights: L&amp;T Stock Price History - The Economic Times">
          <a:extLst>
            <a:ext uri="{FF2B5EF4-FFF2-40B4-BE49-F238E27FC236}">
              <a16:creationId xmlns:a16="http://schemas.microsoft.com/office/drawing/2014/main" id="{69C5EF92-FA18-427F-B80A-3B9FDADEDB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26573017" y="5381825"/>
          <a:ext cx="1219201" cy="467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1302329</xdr:colOff>
      <xdr:row>11</xdr:row>
      <xdr:rowOff>249383</xdr:rowOff>
    </xdr:from>
    <xdr:to>
      <xdr:col>9</xdr:col>
      <xdr:colOff>2590019</xdr:colOff>
      <xdr:row>11</xdr:row>
      <xdr:rowOff>886691</xdr:rowOff>
    </xdr:to>
    <xdr:pic>
      <xdr:nvPicPr>
        <xdr:cNvPr id="8382" name="Picture 8381" descr="Bharat Dynamics Ltd(BDL) - Buy-Order book provides visibility - Wealth ...">
          <a:extLst>
            <a:ext uri="{FF2B5EF4-FFF2-40B4-BE49-F238E27FC236}">
              <a16:creationId xmlns:a16="http://schemas.microsoft.com/office/drawing/2014/main" id="{8D819B3E-D660-41AE-8A60-825B6B4750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4" t="8157" r="4866" b="8115"/>
        <a:stretch>
          <a:fillRect/>
        </a:stretch>
      </xdr:blipFill>
      <xdr:spPr bwMode="auto">
        <a:xfrm>
          <a:off x="27764511" y="5250874"/>
          <a:ext cx="1287690" cy="637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124689</xdr:colOff>
      <xdr:row>11</xdr:row>
      <xdr:rowOff>144807</xdr:rowOff>
    </xdr:from>
    <xdr:to>
      <xdr:col>10</xdr:col>
      <xdr:colOff>1343890</xdr:colOff>
      <xdr:row>11</xdr:row>
      <xdr:rowOff>612446</xdr:rowOff>
    </xdr:to>
    <xdr:pic>
      <xdr:nvPicPr>
        <xdr:cNvPr id="8383" name="Picture 8382" descr="L&amp;T Share Price Highlights: L&amp;T Stock Price History - The Economic Times">
          <a:extLst>
            <a:ext uri="{FF2B5EF4-FFF2-40B4-BE49-F238E27FC236}">
              <a16:creationId xmlns:a16="http://schemas.microsoft.com/office/drawing/2014/main" id="{3D598487-36CC-435F-A754-FBBE2172A7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29357780" y="5146298"/>
          <a:ext cx="1219201" cy="467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568036</xdr:colOff>
      <xdr:row>12</xdr:row>
      <xdr:rowOff>207818</xdr:rowOff>
    </xdr:from>
    <xdr:to>
      <xdr:col>11</xdr:col>
      <xdr:colOff>2023244</xdr:colOff>
      <xdr:row>12</xdr:row>
      <xdr:rowOff>969818</xdr:rowOff>
    </xdr:to>
    <xdr:pic>
      <xdr:nvPicPr>
        <xdr:cNvPr id="8384" name="Picture 8383" descr="Mishra Dhatu Nigam (NSE:MIDHANI) Company Profile &amp; Description">
          <a:extLst>
            <a:ext uri="{FF2B5EF4-FFF2-40B4-BE49-F238E27FC236}">
              <a16:creationId xmlns:a16="http://schemas.microsoft.com/office/drawing/2014/main" id="{9A532341-E283-4856-8469-B048EA2954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32572036" y="6359236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443345</xdr:colOff>
      <xdr:row>18</xdr:row>
      <xdr:rowOff>83127</xdr:rowOff>
    </xdr:from>
    <xdr:to>
      <xdr:col>3</xdr:col>
      <xdr:colOff>1208123</xdr:colOff>
      <xdr:row>18</xdr:row>
      <xdr:rowOff>845125</xdr:rowOff>
    </xdr:to>
    <xdr:pic>
      <xdr:nvPicPr>
        <xdr:cNvPr id="8385" name="Picture 8384" descr="See the source image">
          <a:extLst>
            <a:ext uri="{FF2B5EF4-FFF2-40B4-BE49-F238E27FC236}">
              <a16:creationId xmlns:a16="http://schemas.microsoft.com/office/drawing/2014/main" id="{345EDB20-A39A-43C9-9D24-CD120687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4581" y="10654145"/>
          <a:ext cx="764778" cy="761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1648691</xdr:colOff>
      <xdr:row>18</xdr:row>
      <xdr:rowOff>196736</xdr:rowOff>
    </xdr:from>
    <xdr:to>
      <xdr:col>3</xdr:col>
      <xdr:colOff>2630409</xdr:colOff>
      <xdr:row>18</xdr:row>
      <xdr:rowOff>804974</xdr:rowOff>
    </xdr:to>
    <xdr:pic>
      <xdr:nvPicPr>
        <xdr:cNvPr id="8386" name="Picture 8385">
          <a:extLst>
            <a:ext uri="{FF2B5EF4-FFF2-40B4-BE49-F238E27FC236}">
              <a16:creationId xmlns:a16="http://schemas.microsoft.com/office/drawing/2014/main" id="{7F443A3B-A83D-4A04-A39B-AB96E49FD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769927" y="10767754"/>
          <a:ext cx="981718" cy="608238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831273</xdr:colOff>
      <xdr:row>19</xdr:row>
      <xdr:rowOff>96983</xdr:rowOff>
    </xdr:from>
    <xdr:to>
      <xdr:col>3</xdr:col>
      <xdr:colOff>2286481</xdr:colOff>
      <xdr:row>19</xdr:row>
      <xdr:rowOff>858983</xdr:rowOff>
    </xdr:to>
    <xdr:pic>
      <xdr:nvPicPr>
        <xdr:cNvPr id="8387" name="Picture 8386" descr="Mishra Dhatu Nigam (NSE:MIDHANI) Company Profile &amp; Description">
          <a:extLst>
            <a:ext uri="{FF2B5EF4-FFF2-40B4-BE49-F238E27FC236}">
              <a16:creationId xmlns:a16="http://schemas.microsoft.com/office/drawing/2014/main" id="{C20B84D2-3BC5-4184-8BEE-1972AE077F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7952509" y="11637819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665017</xdr:colOff>
      <xdr:row>18</xdr:row>
      <xdr:rowOff>221674</xdr:rowOff>
    </xdr:from>
    <xdr:to>
      <xdr:col>4</xdr:col>
      <xdr:colOff>2456063</xdr:colOff>
      <xdr:row>18</xdr:row>
      <xdr:rowOff>831274</xdr:rowOff>
    </xdr:to>
    <xdr:pic>
      <xdr:nvPicPr>
        <xdr:cNvPr id="8389" name="Picture 8388" descr="Godrej Aerospace partners with GKN Aerospace on manufacture of ...">
          <a:extLst>
            <a:ext uri="{FF2B5EF4-FFF2-40B4-BE49-F238E27FC236}">
              <a16:creationId xmlns:a16="http://schemas.microsoft.com/office/drawing/2014/main" id="{0F001D51-33DA-4D64-A0C9-AD952267A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4472" y="10792692"/>
          <a:ext cx="1791046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221672</xdr:colOff>
      <xdr:row>18</xdr:row>
      <xdr:rowOff>235527</xdr:rowOff>
    </xdr:from>
    <xdr:to>
      <xdr:col>5</xdr:col>
      <xdr:colOff>1551067</xdr:colOff>
      <xdr:row>18</xdr:row>
      <xdr:rowOff>720437</xdr:rowOff>
    </xdr:to>
    <xdr:pic>
      <xdr:nvPicPr>
        <xdr:cNvPr id="8390" name="Picture 8389" descr="L&amp;T Share Price Highlights: L&amp;T Stock Price History - The Economic Times">
          <a:extLst>
            <a:ext uri="{FF2B5EF4-FFF2-40B4-BE49-F238E27FC236}">
              <a16:creationId xmlns:a16="http://schemas.microsoft.com/office/drawing/2014/main" id="{EC4810F9-263E-4BE8-80BF-49DD466D4C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14228617" y="10806545"/>
          <a:ext cx="1329395" cy="48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1551709</xdr:colOff>
      <xdr:row>18</xdr:row>
      <xdr:rowOff>143642</xdr:rowOff>
    </xdr:from>
    <xdr:to>
      <xdr:col>5</xdr:col>
      <xdr:colOff>2687782</xdr:colOff>
      <xdr:row>18</xdr:row>
      <xdr:rowOff>831365</xdr:rowOff>
    </xdr:to>
    <xdr:pic>
      <xdr:nvPicPr>
        <xdr:cNvPr id="8392" name="Picture 8391" descr="Bharat Dynamics Limited - BDL Recruitment 2022">
          <a:extLst>
            <a:ext uri="{FF2B5EF4-FFF2-40B4-BE49-F238E27FC236}">
              <a16:creationId xmlns:a16="http://schemas.microsoft.com/office/drawing/2014/main" id="{1A8ADBA4-E6EB-4D21-A4C6-101A0E6B51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22" t="21672" r="23930" b="22291"/>
        <a:stretch>
          <a:fillRect/>
        </a:stretch>
      </xdr:blipFill>
      <xdr:spPr bwMode="auto">
        <a:xfrm>
          <a:off x="15558654" y="10714660"/>
          <a:ext cx="1136073" cy="68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678873</xdr:colOff>
      <xdr:row>19</xdr:row>
      <xdr:rowOff>69273</xdr:rowOff>
    </xdr:from>
    <xdr:to>
      <xdr:col>5</xdr:col>
      <xdr:colOff>2134081</xdr:colOff>
      <xdr:row>19</xdr:row>
      <xdr:rowOff>831273</xdr:rowOff>
    </xdr:to>
    <xdr:pic>
      <xdr:nvPicPr>
        <xdr:cNvPr id="8393" name="Picture 8392" descr="Mishra Dhatu Nigam (NSE:MIDHANI) Company Profile &amp; Description">
          <a:extLst>
            <a:ext uri="{FF2B5EF4-FFF2-40B4-BE49-F238E27FC236}">
              <a16:creationId xmlns:a16="http://schemas.microsoft.com/office/drawing/2014/main" id="{6ACB03C4-3F9C-4F24-9BF2-299821B4C9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7" t="23281" r="727" b="24336"/>
        <a:stretch>
          <a:fillRect/>
        </a:stretch>
      </xdr:blipFill>
      <xdr:spPr bwMode="auto">
        <a:xfrm>
          <a:off x="14685818" y="11610109"/>
          <a:ext cx="1455208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273018</xdr:colOff>
      <xdr:row>17</xdr:row>
      <xdr:rowOff>26689</xdr:rowOff>
    </xdr:from>
    <xdr:to>
      <xdr:col>5</xdr:col>
      <xdr:colOff>1482438</xdr:colOff>
      <xdr:row>17</xdr:row>
      <xdr:rowOff>636981</xdr:rowOff>
    </xdr:to>
    <xdr:pic>
      <xdr:nvPicPr>
        <xdr:cNvPr id="8394" name="Picture 8393" descr="Data Patterns Recruitment 2022 Hiring for Graduate Engineer Trainee ...">
          <a:extLst>
            <a:ext uri="{FF2B5EF4-FFF2-40B4-BE49-F238E27FC236}">
              <a16:creationId xmlns:a16="http://schemas.microsoft.com/office/drawing/2014/main" id="{AE4DED0B-BA57-477A-92BC-74F130B2A9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BEBA8EAE-BF5A-486C-A8C5-ECC9F3942E4B}">
              <a14:imgProps xmlns:a14="http://schemas.microsoft.com/office/drawing/2010/main">
                <a14:imgLayer r:embed="rId65">
                  <a14:imgEffect>
                    <a14:backgroundRemoval t="22672" b="72749" l="23675" r="7938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14279963" y="9627889"/>
          <a:ext cx="1209420" cy="6102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1413164</xdr:colOff>
      <xdr:row>17</xdr:row>
      <xdr:rowOff>397152</xdr:rowOff>
    </xdr:from>
    <xdr:to>
      <xdr:col>5</xdr:col>
      <xdr:colOff>2729347</xdr:colOff>
      <xdr:row>17</xdr:row>
      <xdr:rowOff>845128</xdr:rowOff>
    </xdr:to>
    <xdr:pic>
      <xdr:nvPicPr>
        <xdr:cNvPr id="8395" name="Picture 8394" descr="Godrej Aerospace partners with GKN Aerospace on manufacture of ...">
          <a:extLst>
            <a:ext uri="{FF2B5EF4-FFF2-40B4-BE49-F238E27FC236}">
              <a16:creationId xmlns:a16="http://schemas.microsoft.com/office/drawing/2014/main" id="{F45D9E54-C79F-45ED-BF38-5FA080EB3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20109" y="9998352"/>
          <a:ext cx="1316183" cy="447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124692</xdr:colOff>
      <xdr:row>18</xdr:row>
      <xdr:rowOff>207818</xdr:rowOff>
    </xdr:from>
    <xdr:to>
      <xdr:col>6</xdr:col>
      <xdr:colOff>1537260</xdr:colOff>
      <xdr:row>18</xdr:row>
      <xdr:rowOff>734291</xdr:rowOff>
    </xdr:to>
    <xdr:pic>
      <xdr:nvPicPr>
        <xdr:cNvPr id="8396" name="Picture 8395" descr="Sandeep Logo">
          <a:extLst>
            <a:ext uri="{FF2B5EF4-FFF2-40B4-BE49-F238E27FC236}">
              <a16:creationId xmlns:a16="http://schemas.microsoft.com/office/drawing/2014/main" id="{055AF7C9-D235-D73F-0A30-61524ECDE5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13" t="25962" r="7614" b="27675"/>
        <a:stretch>
          <a:fillRect/>
        </a:stretch>
      </xdr:blipFill>
      <xdr:spPr bwMode="auto">
        <a:xfrm>
          <a:off x="17096510" y="10778836"/>
          <a:ext cx="1412568" cy="526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8397" name="AutoShape 63" descr="Bharat Earth Movers Limited | Logopedia | Fandom">
          <a:extLst>
            <a:ext uri="{FF2B5EF4-FFF2-40B4-BE49-F238E27FC236}">
              <a16:creationId xmlns:a16="http://schemas.microsoft.com/office/drawing/2014/main" id="{EE1776BB-5132-4AB0-9F8B-74975F998576}"/>
            </a:ext>
          </a:extLst>
        </xdr:cNvPr>
        <xdr:cNvSpPr>
          <a:spLocks noChangeAspect="1" noChangeArrowheads="1"/>
        </xdr:cNvSpPr>
      </xdr:nvSpPr>
      <xdr:spPr bwMode="auto">
        <a:xfrm>
          <a:off x="19936691" y="105710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8398" name="AutoShape 64" descr="BEML Wins Rs 866.87 Cr Contract to Build Bullet Trains in India">
          <a:extLst>
            <a:ext uri="{FF2B5EF4-FFF2-40B4-BE49-F238E27FC236}">
              <a16:creationId xmlns:a16="http://schemas.microsoft.com/office/drawing/2014/main" id="{77F40A6D-D88F-4020-8CA4-76D0DB86407F}"/>
            </a:ext>
          </a:extLst>
        </xdr:cNvPr>
        <xdr:cNvSpPr>
          <a:spLocks noChangeAspect="1" noChangeArrowheads="1"/>
        </xdr:cNvSpPr>
      </xdr:nvSpPr>
      <xdr:spPr bwMode="auto">
        <a:xfrm>
          <a:off x="19936691" y="105710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8399" name="AutoShape 65" descr="Buy BEML Excavator Battery Online, BEML Excavator Battery Price ...">
          <a:extLst>
            <a:ext uri="{FF2B5EF4-FFF2-40B4-BE49-F238E27FC236}">
              <a16:creationId xmlns:a16="http://schemas.microsoft.com/office/drawing/2014/main" id="{08925F12-E2C5-471C-80EC-8A7DB5858DDC}"/>
            </a:ext>
          </a:extLst>
        </xdr:cNvPr>
        <xdr:cNvSpPr>
          <a:spLocks noChangeAspect="1" noChangeArrowheads="1"/>
        </xdr:cNvSpPr>
      </xdr:nvSpPr>
      <xdr:spPr bwMode="auto">
        <a:xfrm>
          <a:off x="19936691" y="105710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8400" name="AutoShape 60" descr="Sandeep Logo">
          <a:extLst>
            <a:ext uri="{FF2B5EF4-FFF2-40B4-BE49-F238E27FC236}">
              <a16:creationId xmlns:a16="http://schemas.microsoft.com/office/drawing/2014/main" id="{71B08A05-D2DA-4F2A-B70D-E709867A17A2}"/>
            </a:ext>
          </a:extLst>
        </xdr:cNvPr>
        <xdr:cNvSpPr>
          <a:spLocks noChangeAspect="1" noChangeArrowheads="1"/>
        </xdr:cNvSpPr>
      </xdr:nvSpPr>
      <xdr:spPr bwMode="auto">
        <a:xfrm>
          <a:off x="19936691" y="105710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19</xdr:row>
      <xdr:rowOff>0</xdr:rowOff>
    </xdr:from>
    <xdr:to>
      <xdr:col>7</xdr:col>
      <xdr:colOff>304800</xdr:colOff>
      <xdr:row>19</xdr:row>
      <xdr:rowOff>304800</xdr:rowOff>
    </xdr:to>
    <xdr:sp macro="" textlink="">
      <xdr:nvSpPr>
        <xdr:cNvPr id="8401" name="AutoShape 80" descr="EEL BATTERY OFFICIAL STORE">
          <a:extLst>
            <a:ext uri="{FF2B5EF4-FFF2-40B4-BE49-F238E27FC236}">
              <a16:creationId xmlns:a16="http://schemas.microsoft.com/office/drawing/2014/main" id="{2F5B418D-26EB-1A30-AC87-FF2C7FDA6537}"/>
            </a:ext>
          </a:extLst>
        </xdr:cNvPr>
        <xdr:cNvSpPr>
          <a:spLocks noChangeAspect="1" noChangeArrowheads="1"/>
        </xdr:cNvSpPr>
      </xdr:nvSpPr>
      <xdr:spPr bwMode="auto">
        <a:xfrm>
          <a:off x="19941540" y="1156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8402" name="AutoShape 63" descr="Bharat Earth Movers Limited | Logopedia | Fandom">
          <a:extLst>
            <a:ext uri="{FF2B5EF4-FFF2-40B4-BE49-F238E27FC236}">
              <a16:creationId xmlns:a16="http://schemas.microsoft.com/office/drawing/2014/main" id="{EA576FA7-F863-4316-A55F-28CAD4B171F4}"/>
            </a:ext>
          </a:extLst>
        </xdr:cNvPr>
        <xdr:cNvSpPr>
          <a:spLocks noChangeAspect="1" noChangeArrowheads="1"/>
        </xdr:cNvSpPr>
      </xdr:nvSpPr>
      <xdr:spPr bwMode="auto">
        <a:xfrm>
          <a:off x="19936691" y="105710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8403" name="AutoShape 64" descr="BEML Wins Rs 866.87 Cr Contract to Build Bullet Trains in India">
          <a:extLst>
            <a:ext uri="{FF2B5EF4-FFF2-40B4-BE49-F238E27FC236}">
              <a16:creationId xmlns:a16="http://schemas.microsoft.com/office/drawing/2014/main" id="{31C5BE88-58A9-4697-8A12-6A93DAA9977B}"/>
            </a:ext>
          </a:extLst>
        </xdr:cNvPr>
        <xdr:cNvSpPr>
          <a:spLocks noChangeAspect="1" noChangeArrowheads="1"/>
        </xdr:cNvSpPr>
      </xdr:nvSpPr>
      <xdr:spPr bwMode="auto">
        <a:xfrm>
          <a:off x="19936691" y="105710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8404" name="AutoShape 65" descr="Buy BEML Excavator Battery Online, BEML Excavator Battery Price ...">
          <a:extLst>
            <a:ext uri="{FF2B5EF4-FFF2-40B4-BE49-F238E27FC236}">
              <a16:creationId xmlns:a16="http://schemas.microsoft.com/office/drawing/2014/main" id="{BFE355ED-D1E4-4E8E-B461-A961E35CC526}"/>
            </a:ext>
          </a:extLst>
        </xdr:cNvPr>
        <xdr:cNvSpPr>
          <a:spLocks noChangeAspect="1" noChangeArrowheads="1"/>
        </xdr:cNvSpPr>
      </xdr:nvSpPr>
      <xdr:spPr bwMode="auto">
        <a:xfrm>
          <a:off x="19936691" y="105710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8405" name="AutoShape 60" descr="Sandeep Logo">
          <a:extLst>
            <a:ext uri="{FF2B5EF4-FFF2-40B4-BE49-F238E27FC236}">
              <a16:creationId xmlns:a16="http://schemas.microsoft.com/office/drawing/2014/main" id="{6B8CCF72-1E20-4286-8202-C545DA4212D8}"/>
            </a:ext>
          </a:extLst>
        </xdr:cNvPr>
        <xdr:cNvSpPr>
          <a:spLocks noChangeAspect="1" noChangeArrowheads="1"/>
        </xdr:cNvSpPr>
      </xdr:nvSpPr>
      <xdr:spPr bwMode="auto">
        <a:xfrm>
          <a:off x="19936691" y="105710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1620982</xdr:colOff>
      <xdr:row>18</xdr:row>
      <xdr:rowOff>290946</xdr:rowOff>
    </xdr:from>
    <xdr:to>
      <xdr:col>6</xdr:col>
      <xdr:colOff>2739953</xdr:colOff>
      <xdr:row>18</xdr:row>
      <xdr:rowOff>741264</xdr:rowOff>
    </xdr:to>
    <xdr:pic>
      <xdr:nvPicPr>
        <xdr:cNvPr id="8406" name="Picture 8405">
          <a:extLst>
            <a:ext uri="{FF2B5EF4-FFF2-40B4-BE49-F238E27FC236}">
              <a16:creationId xmlns:a16="http://schemas.microsoft.com/office/drawing/2014/main" id="{D493514B-96A5-A235-564B-0117F2B5D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8592800" y="10861964"/>
          <a:ext cx="1118971" cy="450318"/>
        </a:xfrm>
        <a:prstGeom prst="rect">
          <a:avLst/>
        </a:prstGeom>
      </xdr:spPr>
    </xdr:pic>
    <xdr:clientData/>
  </xdr:twoCellAnchor>
  <xdr:twoCellAnchor editAs="oneCell">
    <xdr:from>
      <xdr:col>7</xdr:col>
      <xdr:colOff>1040027</xdr:colOff>
      <xdr:row>19</xdr:row>
      <xdr:rowOff>61784</xdr:rowOff>
    </xdr:from>
    <xdr:to>
      <xdr:col>7</xdr:col>
      <xdr:colOff>1803555</xdr:colOff>
      <xdr:row>19</xdr:row>
      <xdr:rowOff>865348</xdr:rowOff>
    </xdr:to>
    <xdr:pic>
      <xdr:nvPicPr>
        <xdr:cNvPr id="8407" name="Picture 8406" descr="Sail Logo">
          <a:extLst>
            <a:ext uri="{FF2B5EF4-FFF2-40B4-BE49-F238E27FC236}">
              <a16:creationId xmlns:a16="http://schemas.microsoft.com/office/drawing/2014/main" id="{C0760263-B57E-40EE-B054-3A6BBD3769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38881" b="-4987"/>
        <a:stretch>
          <a:fillRect/>
        </a:stretch>
      </xdr:blipFill>
      <xdr:spPr bwMode="auto">
        <a:xfrm>
          <a:off x="20985892" y="11666838"/>
          <a:ext cx="763528" cy="803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1666103</xdr:colOff>
      <xdr:row>19</xdr:row>
      <xdr:rowOff>90616</xdr:rowOff>
    </xdr:from>
    <xdr:to>
      <xdr:col>6</xdr:col>
      <xdr:colOff>2408112</xdr:colOff>
      <xdr:row>19</xdr:row>
      <xdr:rowOff>948861</xdr:rowOff>
    </xdr:to>
    <xdr:pic>
      <xdr:nvPicPr>
        <xdr:cNvPr id="8408" name="Picture 8407" descr="Sail Logo">
          <a:extLst>
            <a:ext uri="{FF2B5EF4-FFF2-40B4-BE49-F238E27FC236}">
              <a16:creationId xmlns:a16="http://schemas.microsoft.com/office/drawing/2014/main" id="{7F201C6B-26A3-405C-AFD5-79D9171EA8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38881" b="-4987"/>
        <a:stretch>
          <a:fillRect/>
        </a:stretch>
      </xdr:blipFill>
      <xdr:spPr bwMode="auto">
        <a:xfrm>
          <a:off x="18646346" y="11695670"/>
          <a:ext cx="763528" cy="803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195649</xdr:colOff>
      <xdr:row>18</xdr:row>
      <xdr:rowOff>236837</xdr:rowOff>
    </xdr:from>
    <xdr:to>
      <xdr:col>7</xdr:col>
      <xdr:colOff>1539540</xdr:colOff>
      <xdr:row>18</xdr:row>
      <xdr:rowOff>752302</xdr:rowOff>
    </xdr:to>
    <xdr:pic>
      <xdr:nvPicPr>
        <xdr:cNvPr id="8410" name="Picture 8409" descr="L&amp;T Share Price Highlights: L&amp;T Stock Price History - The Economic Times">
          <a:extLst>
            <a:ext uri="{FF2B5EF4-FFF2-40B4-BE49-F238E27FC236}">
              <a16:creationId xmlns:a16="http://schemas.microsoft.com/office/drawing/2014/main" id="{6C4592B7-F711-42B1-A55C-4664CC9E96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3" t="25269" r="368" b="22958"/>
        <a:stretch>
          <a:fillRect/>
        </a:stretch>
      </xdr:blipFill>
      <xdr:spPr bwMode="auto">
        <a:xfrm>
          <a:off x="20141514" y="10873945"/>
          <a:ext cx="1343891" cy="515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1544594</xdr:colOff>
      <xdr:row>18</xdr:row>
      <xdr:rowOff>339811</xdr:rowOff>
    </xdr:from>
    <xdr:to>
      <xdr:col>7</xdr:col>
      <xdr:colOff>2860777</xdr:colOff>
      <xdr:row>18</xdr:row>
      <xdr:rowOff>787787</xdr:rowOff>
    </xdr:to>
    <xdr:pic>
      <xdr:nvPicPr>
        <xdr:cNvPr id="8411" name="Picture 8410" descr="Godrej Aerospace partners with GKN Aerospace on manufacture of ...">
          <a:extLst>
            <a:ext uri="{FF2B5EF4-FFF2-40B4-BE49-F238E27FC236}">
              <a16:creationId xmlns:a16="http://schemas.microsoft.com/office/drawing/2014/main" id="{2D1E244B-78B1-4FA3-913B-58945F9D3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90459" y="10976919"/>
          <a:ext cx="1316183" cy="447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110220</xdr:colOff>
      <xdr:row>17</xdr:row>
      <xdr:rowOff>143843</xdr:rowOff>
    </xdr:from>
    <xdr:to>
      <xdr:col>7</xdr:col>
      <xdr:colOff>1578201</xdr:colOff>
      <xdr:row>17</xdr:row>
      <xdr:rowOff>533400</xdr:rowOff>
    </xdr:to>
    <xdr:pic>
      <xdr:nvPicPr>
        <xdr:cNvPr id="8412" name="Picture 8411" descr="Bharat Electronics – Spectacular show">
          <a:extLst>
            <a:ext uri="{FF2B5EF4-FFF2-40B4-BE49-F238E27FC236}">
              <a16:creationId xmlns:a16="http://schemas.microsoft.com/office/drawing/2014/main" id="{06B2E87D-6E05-4C47-8F38-084E2F0F3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6085" y="9813005"/>
          <a:ext cx="1467981" cy="389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1812325</xdr:colOff>
      <xdr:row>17</xdr:row>
      <xdr:rowOff>381000</xdr:rowOff>
    </xdr:from>
    <xdr:to>
      <xdr:col>7</xdr:col>
      <xdr:colOff>3021745</xdr:colOff>
      <xdr:row>18</xdr:row>
      <xdr:rowOff>23346</xdr:rowOff>
    </xdr:to>
    <xdr:pic>
      <xdr:nvPicPr>
        <xdr:cNvPr id="8413" name="Picture 8412" descr="Data Patterns Recruitment 2022 Hiring for Graduate Engineer Trainee ...">
          <a:extLst>
            <a:ext uri="{FF2B5EF4-FFF2-40B4-BE49-F238E27FC236}">
              <a16:creationId xmlns:a16="http://schemas.microsoft.com/office/drawing/2014/main" id="{72524BC2-9D19-4D9E-859B-B436A9939D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BEBA8EAE-BF5A-486C-A8C5-ECC9F3942E4B}">
              <a14:imgProps xmlns:a14="http://schemas.microsoft.com/office/drawing/2010/main">
                <a14:imgLayer r:embed="rId65">
                  <a14:imgEffect>
                    <a14:backgroundRemoval t="22672" b="72749" l="23675" r="7938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712" t="16412" r="13656" b="20992"/>
        <a:stretch>
          <a:fillRect/>
        </a:stretch>
      </xdr:blipFill>
      <xdr:spPr bwMode="auto">
        <a:xfrm>
          <a:off x="21758190" y="10050162"/>
          <a:ext cx="1209420" cy="6102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183914</xdr:colOff>
      <xdr:row>19</xdr:row>
      <xdr:rowOff>148868</xdr:rowOff>
    </xdr:from>
    <xdr:to>
      <xdr:col>6</xdr:col>
      <xdr:colOff>1480470</xdr:colOff>
      <xdr:row>19</xdr:row>
      <xdr:rowOff>869305</xdr:rowOff>
    </xdr:to>
    <xdr:pic>
      <xdr:nvPicPr>
        <xdr:cNvPr id="8414" name="Picture 8413" descr="Bharat Forge Ltd and Paramount Group sign MOU for Collaboration for ...">
          <a:extLst>
            <a:ext uri="{FF2B5EF4-FFF2-40B4-BE49-F238E27FC236}">
              <a16:creationId xmlns:a16="http://schemas.microsoft.com/office/drawing/2014/main" id="{370547D3-7C7D-4A06-8251-E6F21C45D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57090" y="11698397"/>
          <a:ext cx="1296556" cy="720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reeksha Makam" id="{80BC4C7D-262E-47FE-A05D-480FC3CE89B8}" userId="S::nmakam@Farleycap.com::066b7703-8d63-4cfe-bfc2-92dece750f61" providerId="AD"/>
</personList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6-02-12T13:55:28.38" personId="{80BC4C7D-262E-47FE-A05D-480FC3CE89B8}" id="{8DB58AEF-0E4D-4573-A762-E8943CCFA614}">
    <text>https://hal-india.co.in/backend/wp-content/uploads/2025/07/HAL_AR_2024-25.pdf</text>
    <extLst>
      <x:ext xmlns:xltc2="http://schemas.microsoft.com/office/spreadsheetml/2020/threadedcomments2" uri="{F7C98A9C-CBB3-438F-8F68-D28B6AF4A901}">
        <xltc2:checksum>310927518</xltc2:checksum>
        <xltc2:hyperlink startIndex="0" length="77" url="https://hal-india.co.in/backend/wp-content/uploads/2025/07/HAL_AR_2024-25.pdf"/>
      </x:ext>
    </extLst>
  </threadedComment>
  <threadedComment ref="K4" dT="2026-02-12T14:04:03.53" personId="{80BC4C7D-262E-47FE-A05D-480FC3CE89B8}" id="{8D469761-DF03-4B2A-991E-3EB7AD3D5917}">
    <text>https://www.fortunebusinessinsights.com/india-defense-electronics-market-114279</text>
    <extLst>
      <x:ext xmlns:xltc2="http://schemas.microsoft.com/office/spreadsheetml/2020/threadedcomments2" uri="{F7C98A9C-CBB3-438F-8F68-D28B6AF4A901}">
        <xltc2:checksum>1605320307</xltc2:checksum>
        <xltc2:hyperlink startIndex="0" length="79" url="https://www.fortunebusinessinsights.com/india-defense-electronics-market-114279"/>
      </x:ext>
    </extLst>
  </threadedComment>
  <threadedComment ref="AC5" dT="2026-01-20T03:57:59.13" personId="{80BC4C7D-262E-47FE-A05D-480FC3CE89B8}" id="{BE7EA361-ABD4-4639-B660-DE92C52E1BE0}">
    <text>BDL has monopoly / oligopoly status in specific sectors. For eg: BDL is the designated manufacturing base for guided missiles and underwater weapon systems for the Indian Armed Forces.</text>
  </threadedComment>
  <threadedComment ref="AC6" dT="2026-01-20T03:59:02.79" personId="{80BC4C7D-262E-47FE-A05D-480FC3CE89B8}" id="{E49F4B30-765F-413D-A0B0-92BFE9E235B0}">
    <text>Monopoly in building submarines and destroyers.</text>
  </threadedComment>
  <threadedComment ref="AC6" dT="2026-01-20T04:00:36.63" personId="{80BC4C7D-262E-47FE-A05D-480FC3CE89B8}" id="{2B44369A-E597-40EE-8889-7947C92B13D8}" parentId="{E49F4B30-765F-413D-A0B0-92BFE9E235B0}">
    <text>Termed as “Shipbuilder of the nation” in various articles</text>
  </threadedComment>
  <threadedComment ref="AC7" dT="2026-01-20T04:02:01.92" personId="{80BC4C7D-262E-47FE-A05D-480FC3CE89B8}" id="{CE33F3AC-53E8-46A4-8A1F-28810C303E31}">
    <text>Leading warship builder, specializing in designing and constructing naval vessels like frigates and corvettes for the Indian Navy and Coast Guard.</text>
  </threadedComment>
  <threadedComment ref="AE9" dT="2026-01-20T04:07:08.81" personId="{80BC4C7D-262E-47FE-A05D-480FC3CE89B8}" id="{7D9B40A7-E378-4059-B22F-02904D5D850D}">
    <text>https://www.scribd.com/document/45490497/BEML</text>
    <extLst>
      <x:ext xmlns:xltc2="http://schemas.microsoft.com/office/spreadsheetml/2020/threadedcomments2" uri="{F7C98A9C-CBB3-438F-8F68-D28B6AF4A901}">
        <xltc2:checksum>254560038</xltc2:checksum>
        <xltc2:hyperlink startIndex="0" length="45" url="https://www.scribd.com/document/45490497/BEML"/>
      </x:ext>
    </extLst>
  </threadedComment>
  <threadedComment ref="AE9" dT="2026-01-20T04:07:47.69" personId="{80BC4C7D-262E-47FE-A05D-480FC3CE89B8}" id="{B1261D2D-AFD9-4DD1-BF98-BFAFECD7B399}" parentId="{7D9B40A7-E378-4059-B22F-02904D5D850D}">
    <text xml:space="preserve">BEML has outdated tech &amp; production capabilities which is laying stress on customer satisfaction. </text>
  </threadedComment>
  <threadedComment ref="AE9" dT="2026-01-20T04:14:08.44" personId="{80BC4C7D-262E-47FE-A05D-480FC3CE89B8}" id="{5012223A-16E7-42D7-80BD-E4DE8D4488F6}" parentId="{7D9B40A7-E378-4059-B22F-02904D5D850D}">
    <text>Post liberalization BEML has had heavy competition both from domestic and international companies such as Hindustan Motors, L&amp;T, HM, Telco, Escorts</text>
  </threadedComment>
  <threadedComment ref="AC10" dT="2026-01-20T04:26:51.99" personId="{80BC4C7D-262E-47FE-A05D-480FC3CE89B8}" id="{D46D57DF-85ED-41D5-A859-C95302673C20}">
    <text>Often sole-source supplier in India for critical materials</text>
  </threadedComment>
  <threadedComment ref="C40" dT="2025-07-04T01:18:40.55" personId="{80BC4C7D-262E-47FE-A05D-480FC3CE89B8}" id="{3A3CB7FB-5369-4B5C-98DC-314A129883A7}">
    <text xml:space="preserve">It is the first private sector company in India to obtain the licence and contract to build warships. </text>
  </threadedComment>
  <threadedComment ref="C40" dT="2025-07-04T01:22:14.82" personId="{80BC4C7D-262E-47FE-A05D-480FC3CE89B8}" id="{23C77E64-331C-4701-8421-10BEA5C25827}" parentId="{3A3CB7FB-5369-4B5C-98DC-314A129883A7}">
    <text>However, Swan Energy acquired the naval/shipyard piece in 2023. Reliance Defence only manufactures small arms, ammo &amp; aircraft offsets now</text>
  </threadedComment>
  <threadedComment ref="AC44" dT="2026-02-12T10:41:34.10" personId="{80BC4C7D-262E-47FE-A05D-480FC3CE89B8}" id="{6F24578F-C95F-4D95-9E2B-59FABA528E74}">
    <text>Nuclear/power/oil &amp; gas process piping capability; welding/NDT/PWHT know-how; project execution track record</text>
  </threadedComment>
  <threadedComment ref="AD44" dT="2026-02-12T10:41:45.38" personId="{80BC4C7D-262E-47FE-A05D-480FC3CE89B8}" id="{DFFD7C5B-4E41-4168-B84F-BF1262FE6608}">
    <text>High: re-engineering + re-inspection + schedule risk</text>
  </threadedComment>
  <threadedComment ref="AE44" dT="2026-02-12T10:41:56.12" personId="{80BC4C7D-262E-47FE-A05D-480FC3CE89B8}" id="{5AD0A68B-44DB-4B0A-A23A-8771637F4979}">
    <text>Medium–high: repeat EPC packages, brownfield modifications, long service cycles</text>
  </threadedComment>
  <threadedComment ref="AC45" dT="2026-02-12T10:42:14.28" personId="{80BC4C7D-262E-47FE-A05D-480FC3CE89B8}" id="{A06FF614-9A18-44CD-9DFC-DF509B981D68}">
    <text>DGCA-linked training capability; instructor network; ops/process maturity</text>
  </threadedComment>
  <threadedComment ref="AD45" dT="2026-02-12T10:42:43.08" personId="{80BC4C7D-262E-47FE-A05D-480FC3CE89B8}" id="{BA9967BC-342E-43FB-8B55-5DD9DF24774B}">
    <text>training can be substituted, but quality + compliance matter</text>
  </threadedComment>
  <threadedComment ref="AE45" dT="2026-02-12T10:42:59.53" personId="{80BC4C7D-262E-47FE-A05D-480FC3CE89B8}" id="{98770378-28ED-43AC-848F-0A093CA98C7E}">
    <text>repeat training, enterprise drone services, multi-site contracts</text>
  </threadedComment>
  <threadedComment ref="AH45" dT="2025-07-04T16:23:58.76" personId="{80BC4C7D-262E-47FE-A05D-480FC3CE89B8}" id="{545BA8EF-91B4-4E92-8540-959100AA9A26}">
    <text xml:space="preserve">UAVs
</text>
  </threadedComment>
  <threadedComment ref="AC46" dT="2026-02-12T10:43:54.77" personId="{80BC4C7D-262E-47FE-A05D-480FC3CE89B8}" id="{AC669212-18F3-46C1-A0E5-BDE674650BF3}">
    <text>High-precision machining/assemblies for critical programmes which requires proven qualification history</text>
  </threadedComment>
  <threadedComment ref="AD46" dT="2026-02-12T10:44:07.50" personId="{80BC4C7D-262E-47FE-A05D-480FC3CE89B8}" id="{0B3831A5-D806-4C83-9030-1DAD4CBF74CA}">
    <text>part re-qualification, PPAP/FAI equivalents, re-validation</text>
  </threadedComment>
  <threadedComment ref="AC47" dT="2026-02-12T10:44:29.38" personId="{80BC4C7D-262E-47FE-A05D-480FC3CE89B8}" id="{3DF15854-4E3A-4F90-BFFB-9DACE29C515D}">
    <text xml:space="preserve">Rocket-engine component capability; high metallurgy/process discipline; </text>
  </threadedComment>
  <threadedComment ref="AD47" dT="2026-02-12T10:44:48.05" personId="{80BC4C7D-262E-47FE-A05D-480FC3CE89B8}" id="{9782C935-952B-4AA1-8058-8E08AA4B884E}">
    <text>mission-critical qualification and flight heritage are hard to replicate</text>
  </threadedComment>
  <threadedComment ref="AE47" dT="2026-02-12T10:45:08.41" personId="{80BC4C7D-262E-47FE-A05D-480FC3CE89B8}" id="{776C3E2C-24E9-46D3-A36F-FE26F1624A05}">
    <text>recurring launches, upgrades, and spares over programme life</text>
  </threadedComment>
  <threadedComment ref="AO58" dT="2025-07-04T16:46:14.11" personId="{80BC4C7D-262E-47FE-A05D-480FC3CE89B8}" id="{62B534E1-8A22-4392-9326-23EEB83E1A35}">
    <text xml:space="preserve">Parachutes
</text>
  </threadedComment>
  <threadedComment ref="AJ64" dT="2025-07-04T16:50:36.25" personId="{80BC4C7D-262E-47FE-A05D-480FC3CE89B8}" id="{9952A7C2-6751-4E31-B6A5-6F8B10EB61E8}">
    <text>Unmanned Systems</text>
  </threadedComment>
  <threadedComment ref="I82" dT="2026-01-19T07:58:41.77" personId="{80BC4C7D-262E-47FE-A05D-480FC3CE89B8}" id="{E6497756-AB66-4977-A014-3E8208962B39}">
    <text>Soon to be listed as per Andrei’s email on 24/12/2025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0" dT="2025-07-04T01:18:40.55" personId="{80BC4C7D-262E-47FE-A05D-480FC3CE89B8}" id="{42F26535-9B2C-471F-9931-6D19D8AA73F8}">
    <text xml:space="preserve">It is the first private sector company in India to obtain the licence and contract to build warships. </text>
  </threadedComment>
  <threadedComment ref="C40" dT="2025-07-04T01:22:14.82" personId="{80BC4C7D-262E-47FE-A05D-480FC3CE89B8}" id="{946DC590-3911-4EFA-B283-CEE6657CD4FD}" parentId="{42F26535-9B2C-471F-9931-6D19D8AA73F8}">
    <text>However, Swan Energy acquired the naval/shipyard piece in 2023. Reliance Defence only manufactures small arms, ammo &amp; aircraft offsets now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X1" dT="2025-12-08T10:34:22.67" personId="{80BC4C7D-262E-47FE-A05D-480FC3CE89B8}" id="{3947A4D2-CB0E-4E49-99B3-6C7CADD4B8B3}">
    <text>(Historicals + Mgmt Est. if available)</text>
  </threadedComment>
  <threadedComment ref="V14" dT="2025-12-05T10:27:06.81" personId="{80BC4C7D-262E-47FE-A05D-480FC3CE89B8}" id="{10EDBA59-CDAC-406F-A1C6-A15AD91891C4}">
    <text xml:space="preserve">Mistral Solutions (Completed in phases since 2017)
</text>
  </threadedComment>
  <threadedComment ref="V14" dT="2025-12-05T12:08:49.60" personId="{80BC4C7D-262E-47FE-A05D-480FC3CE89B8}" id="{CD5932E2-0EC4-4AC1-9F1F-5C0C5C767D21}" parentId="{10EDBA59-CDAC-406F-A1C6-A15AD91891C4}">
    <text>Axiscades was recording 100% revenue from December 2017 onwards (effective interest as 100% as per the share purchase agreement)</text>
  </threadedComment>
  <threadedComment ref="V53" dT="2025-12-09T03:52:58.37" personId="{80BC4C7D-262E-47FE-A05D-480FC3CE89B8}" id="{906B4CEE-3CA5-48B8-B9CC-220195D4825E}">
    <text xml:space="preserve">Triumph was already consolidated as a subsidiary prior to the extra 49%; revenue from the FSRU LNG terminal is already inside Swan’s consolidated numbers.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8320-49F0-402D-88D2-DBFA27F97F3D}">
  <dimension ref="B1:D15"/>
  <sheetViews>
    <sheetView showGridLines="0" workbookViewId="0">
      <selection activeCell="G14" sqref="A1:XFD1048576"/>
    </sheetView>
  </sheetViews>
  <sheetFormatPr defaultRowHeight="13.8" x14ac:dyDescent="0.25"/>
  <cols>
    <col min="1" max="1" width="2.5" customWidth="1"/>
    <col min="2" max="2" width="22.69921875" customWidth="1"/>
    <col min="3" max="3" width="8.59765625" customWidth="1"/>
  </cols>
  <sheetData>
    <row r="1" spans="2:4" ht="9.6" customHeight="1" x14ac:dyDescent="0.25"/>
    <row r="2" spans="2:4" s="41" customFormat="1" x14ac:dyDescent="0.25">
      <c r="B2" s="39" t="s">
        <v>140</v>
      </c>
      <c r="C2" s="40"/>
      <c r="D2" s="40"/>
    </row>
    <row r="4" spans="2:4" ht="31.95" customHeight="1" x14ac:dyDescent="0.55000000000000004">
      <c r="B4" s="38" t="s">
        <v>141</v>
      </c>
      <c r="C4" s="37">
        <f>COUNTA(CCA_Defense!C3:C1048576)</f>
        <v>84</v>
      </c>
    </row>
    <row r="5" spans="2:4" ht="31.95" customHeight="1" x14ac:dyDescent="0.55000000000000004">
      <c r="B5" s="38"/>
      <c r="C5" s="37"/>
    </row>
    <row r="6" spans="2:4" ht="14.4" customHeight="1" x14ac:dyDescent="0.55000000000000004">
      <c r="B6" s="38"/>
      <c r="C6" s="37"/>
    </row>
    <row r="7" spans="2:4" ht="31.95" customHeight="1" x14ac:dyDescent="0.55000000000000004">
      <c r="B7" s="38"/>
      <c r="C7" s="37"/>
    </row>
    <row r="8" spans="2:4" ht="31.95" customHeight="1" x14ac:dyDescent="0.55000000000000004">
      <c r="B8" s="38"/>
      <c r="C8" s="37"/>
    </row>
    <row r="9" spans="2:4" ht="31.95" customHeight="1" x14ac:dyDescent="0.55000000000000004">
      <c r="B9" s="38"/>
      <c r="C9" s="37"/>
    </row>
    <row r="10" spans="2:4" ht="31.95" customHeight="1" x14ac:dyDescent="0.55000000000000004">
      <c r="B10" s="38"/>
      <c r="C10" s="37"/>
    </row>
    <row r="11" spans="2:4" ht="31.95" customHeight="1" x14ac:dyDescent="0.55000000000000004">
      <c r="B11" s="38"/>
      <c r="C11" s="37"/>
    </row>
    <row r="12" spans="2:4" ht="31.95" customHeight="1" x14ac:dyDescent="0.55000000000000004">
      <c r="B12" s="38"/>
      <c r="C12" s="37"/>
    </row>
    <row r="13" spans="2:4" ht="31.95" customHeight="1" x14ac:dyDescent="0.55000000000000004">
      <c r="B13" s="38"/>
      <c r="C13" s="37"/>
    </row>
    <row r="14" spans="2:4" ht="31.95" customHeight="1" x14ac:dyDescent="0.55000000000000004">
      <c r="B14" s="38"/>
      <c r="C14" s="37"/>
    </row>
    <row r="15" spans="2:4" ht="31.95" customHeight="1" x14ac:dyDescent="0.55000000000000004">
      <c r="B15" s="38"/>
      <c r="C15" s="3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6BD2-BD36-4269-88A6-FF3BBF90DCB3}">
  <sheetPr>
    <tabColor rgb="FFFFFF00"/>
  </sheetPr>
  <dimension ref="B1:CK734"/>
  <sheetViews>
    <sheetView showGridLines="0"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4" sqref="A4"/>
    </sheetView>
  </sheetViews>
  <sheetFormatPr defaultColWidth="8.69921875" defaultRowHeight="13.8" outlineLevelCol="1" x14ac:dyDescent="0.25"/>
  <cols>
    <col min="1" max="1" width="2.19921875" style="315" customWidth="1"/>
    <col min="2" max="2" width="3.19921875" style="315" customWidth="1"/>
    <col min="3" max="3" width="37.8984375" style="315" customWidth="1"/>
    <col min="4" max="4" width="11.5" style="315" customWidth="1"/>
    <col min="5" max="5" width="15.09765625" style="315" customWidth="1"/>
    <col min="6" max="8" width="14" style="315" customWidth="1"/>
    <col min="9" max="9" width="31.8984375" style="315" customWidth="1"/>
    <col min="10" max="12" width="24.09765625" style="315" customWidth="1"/>
    <col min="13" max="18" width="13" style="315" customWidth="1"/>
    <col min="19" max="19" width="10.59765625" style="315" customWidth="1"/>
    <col min="20" max="20" width="10.8984375" style="315" customWidth="1"/>
    <col min="21" max="21" width="10.59765625" style="315" customWidth="1"/>
    <col min="22" max="23" width="12.59765625" style="315" customWidth="1"/>
    <col min="24" max="24" width="12.5" style="315" customWidth="1"/>
    <col min="25" max="26" width="13" style="315" customWidth="1"/>
    <col min="27" max="32" width="14.3984375" style="315" customWidth="1"/>
    <col min="33" max="33" width="64" style="315" customWidth="1"/>
    <col min="34" max="34" width="10.59765625" style="415" customWidth="1" outlineLevel="1"/>
    <col min="35" max="36" width="10.59765625" style="315" customWidth="1" outlineLevel="1"/>
    <col min="37" max="37" width="10.59765625" style="415" customWidth="1" outlineLevel="1"/>
    <col min="38" max="39" width="10.59765625" style="315" customWidth="1" outlineLevel="1"/>
    <col min="40" max="40" width="10.59765625" style="415" customWidth="1" outlineLevel="1"/>
    <col min="41" max="41" width="10.8984375" style="315" customWidth="1" outlineLevel="1"/>
    <col min="42" max="42" width="12.19921875" style="415" customWidth="1" outlineLevel="1"/>
    <col min="43" max="44" width="12.19921875" style="315" customWidth="1" outlineLevel="1"/>
    <col min="45" max="45" width="11.69921875" style="415" customWidth="1" outlineLevel="1"/>
    <col min="46" max="46" width="11.69921875" style="315" customWidth="1" outlineLevel="1"/>
    <col min="47" max="47" width="11.69921875" style="416" customWidth="1" outlineLevel="1"/>
    <col min="48" max="50" width="11.69921875" style="415" customWidth="1" outlineLevel="1"/>
    <col min="51" max="51" width="9.19921875" style="415" customWidth="1"/>
    <col min="52" max="54" width="9.19921875" style="315" customWidth="1"/>
    <col min="55" max="55" width="8.8984375" style="417" customWidth="1"/>
    <col min="56" max="57" width="9.19921875" style="315" customWidth="1"/>
    <col min="58" max="58" width="8.8984375" style="418" customWidth="1"/>
    <col min="59" max="59" width="9.19921875" style="417" customWidth="1"/>
    <col min="60" max="60" width="9" style="315" customWidth="1"/>
    <col min="61" max="62" width="9.19921875" style="315" customWidth="1"/>
    <col min="63" max="63" width="8.8984375" style="417" customWidth="1"/>
    <col min="64" max="66" width="9.19921875" style="315" customWidth="1"/>
    <col min="67" max="67" width="10" style="417" customWidth="1"/>
    <col min="68" max="68" width="10" style="315" customWidth="1"/>
    <col min="69" max="70" width="9.19921875" style="315" customWidth="1"/>
    <col min="71" max="71" width="8.8984375" style="417" customWidth="1"/>
    <col min="72" max="72" width="9.19921875" style="315" customWidth="1"/>
    <col min="73" max="73" width="9.19921875" style="418" customWidth="1"/>
    <col min="74" max="75" width="8.69921875" style="315"/>
    <col min="76" max="76" width="8.69921875" style="418"/>
    <col min="77" max="78" width="8.69921875" style="315"/>
    <col min="79" max="79" width="8.69921875" style="418"/>
    <col min="80" max="82" width="8.69921875" style="315"/>
    <col min="83" max="84" width="13.8984375" style="419" customWidth="1"/>
    <col min="85" max="87" width="12.69921875" style="315" customWidth="1"/>
    <col min="88" max="88" width="9.19921875" style="315" customWidth="1"/>
    <col min="89" max="89" width="12.5" style="315" customWidth="1"/>
    <col min="90" max="16384" width="8.69921875" style="315"/>
  </cols>
  <sheetData>
    <row r="1" spans="2:89" x14ac:dyDescent="0.25">
      <c r="B1" s="307"/>
      <c r="C1" s="307"/>
      <c r="D1" s="318" t="s">
        <v>407</v>
      </c>
      <c r="E1" s="319"/>
      <c r="F1" s="307"/>
      <c r="G1" s="307"/>
      <c r="H1" s="307"/>
      <c r="I1" s="307"/>
      <c r="J1" s="307"/>
      <c r="K1" s="307"/>
      <c r="L1" s="307"/>
      <c r="M1" s="320" t="s">
        <v>437</v>
      </c>
      <c r="N1" s="320"/>
      <c r="O1" s="320"/>
      <c r="P1" s="320"/>
      <c r="Q1" s="320"/>
      <c r="R1" s="320"/>
      <c r="S1" s="307"/>
      <c r="T1" s="321" t="s">
        <v>1080</v>
      </c>
      <c r="U1" s="321" t="s">
        <v>1081</v>
      </c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16"/>
      <c r="AH1" s="322" t="s">
        <v>203</v>
      </c>
      <c r="AI1" s="323"/>
      <c r="AJ1" s="323"/>
      <c r="AK1" s="322" t="s">
        <v>194</v>
      </c>
      <c r="AL1" s="323"/>
      <c r="AM1" s="323"/>
      <c r="AN1" s="322" t="s">
        <v>195</v>
      </c>
      <c r="AO1" s="323"/>
      <c r="AP1" s="322" t="s">
        <v>196</v>
      </c>
      <c r="AQ1" s="323"/>
      <c r="AR1" s="323"/>
      <c r="AS1" s="322" t="s">
        <v>199</v>
      </c>
      <c r="AT1" s="323"/>
      <c r="AU1" s="324" t="s">
        <v>262</v>
      </c>
      <c r="AV1" s="325" t="s">
        <v>384</v>
      </c>
      <c r="AW1" s="326"/>
      <c r="AX1" s="326"/>
      <c r="AY1" s="327" t="s">
        <v>163</v>
      </c>
      <c r="AZ1" s="328"/>
      <c r="BA1" s="328"/>
      <c r="BB1" s="328"/>
      <c r="BC1" s="329" t="s">
        <v>4</v>
      </c>
      <c r="BD1" s="330"/>
      <c r="BE1" s="330"/>
      <c r="BF1" s="331"/>
      <c r="BG1" s="329" t="s">
        <v>5</v>
      </c>
      <c r="BH1" s="330"/>
      <c r="BI1" s="330"/>
      <c r="BJ1" s="330"/>
      <c r="BK1" s="329" t="s">
        <v>6</v>
      </c>
      <c r="BL1" s="330"/>
      <c r="BM1" s="330"/>
      <c r="BN1" s="330"/>
      <c r="BO1" s="329" t="s">
        <v>282</v>
      </c>
      <c r="BP1" s="330"/>
      <c r="BQ1" s="330"/>
      <c r="BR1" s="330"/>
      <c r="BS1" s="329" t="s">
        <v>283</v>
      </c>
      <c r="BT1" s="330"/>
      <c r="BU1" s="331"/>
      <c r="BV1" s="330" t="s">
        <v>1111</v>
      </c>
      <c r="BW1" s="330"/>
      <c r="BX1" s="331"/>
      <c r="BY1" s="330" t="s">
        <v>1129</v>
      </c>
      <c r="BZ1" s="330"/>
      <c r="CA1" s="331"/>
      <c r="CB1" s="330" t="s">
        <v>1112</v>
      </c>
      <c r="CC1" s="330"/>
      <c r="CD1" s="330"/>
      <c r="CE1" s="332" t="s">
        <v>262</v>
      </c>
      <c r="CF1" s="333" t="s">
        <v>274</v>
      </c>
      <c r="CG1" s="334"/>
      <c r="CH1" s="334"/>
      <c r="CI1" s="334"/>
      <c r="CJ1" s="334"/>
      <c r="CK1" s="335"/>
    </row>
    <row r="2" spans="2:89" s="348" customFormat="1" ht="27" customHeight="1" x14ac:dyDescent="0.25">
      <c r="B2" s="308" t="s">
        <v>103</v>
      </c>
      <c r="C2" s="336" t="s">
        <v>259</v>
      </c>
      <c r="D2" s="336" t="s">
        <v>409</v>
      </c>
      <c r="E2" s="336" t="s">
        <v>408</v>
      </c>
      <c r="F2" s="337" t="s">
        <v>438</v>
      </c>
      <c r="G2" s="337" t="s">
        <v>1178</v>
      </c>
      <c r="H2" s="337" t="s">
        <v>1103</v>
      </c>
      <c r="I2" s="321" t="s">
        <v>439</v>
      </c>
      <c r="J2" s="321" t="s">
        <v>956</v>
      </c>
      <c r="K2" s="336" t="s">
        <v>1185</v>
      </c>
      <c r="L2" s="321" t="s">
        <v>1084</v>
      </c>
      <c r="M2" s="336" t="s">
        <v>460</v>
      </c>
      <c r="N2" s="336" t="s">
        <v>461</v>
      </c>
      <c r="O2" s="336" t="s">
        <v>462</v>
      </c>
      <c r="P2" s="336" t="s">
        <v>463</v>
      </c>
      <c r="Q2" s="336" t="s">
        <v>464</v>
      </c>
      <c r="R2" s="336" t="s">
        <v>465</v>
      </c>
      <c r="S2" s="336" t="s">
        <v>1019</v>
      </c>
      <c r="T2" s="422" t="s">
        <v>1078</v>
      </c>
      <c r="U2" s="422"/>
      <c r="V2" s="336" t="s">
        <v>436</v>
      </c>
      <c r="W2" s="336" t="s">
        <v>1179</v>
      </c>
      <c r="X2" s="336" t="s">
        <v>433</v>
      </c>
      <c r="Y2" s="308" t="s">
        <v>144</v>
      </c>
      <c r="Z2" s="336" t="s">
        <v>434</v>
      </c>
      <c r="AA2" s="336" t="s">
        <v>435</v>
      </c>
      <c r="AB2" s="336" t="s">
        <v>452</v>
      </c>
      <c r="AC2" s="336" t="s">
        <v>1107</v>
      </c>
      <c r="AD2" s="336" t="s">
        <v>1108</v>
      </c>
      <c r="AE2" s="336" t="s">
        <v>1159</v>
      </c>
      <c r="AF2" s="336" t="s">
        <v>1082</v>
      </c>
      <c r="AG2" s="317" t="s">
        <v>359</v>
      </c>
      <c r="AH2" s="338" t="s">
        <v>7</v>
      </c>
      <c r="AI2" s="339" t="s">
        <v>249</v>
      </c>
      <c r="AJ2" s="339" t="s">
        <v>8</v>
      </c>
      <c r="AK2" s="338" t="s">
        <v>200</v>
      </c>
      <c r="AL2" s="339" t="s">
        <v>201</v>
      </c>
      <c r="AM2" s="339" t="s">
        <v>202</v>
      </c>
      <c r="AN2" s="338" t="s">
        <v>248</v>
      </c>
      <c r="AO2" s="339" t="s">
        <v>250</v>
      </c>
      <c r="AP2" s="338" t="s">
        <v>207</v>
      </c>
      <c r="AQ2" s="339" t="s">
        <v>206</v>
      </c>
      <c r="AR2" s="339" t="s">
        <v>251</v>
      </c>
      <c r="AS2" s="338" t="s">
        <v>192</v>
      </c>
      <c r="AT2" s="339" t="s">
        <v>193</v>
      </c>
      <c r="AU2" s="340" t="s">
        <v>263</v>
      </c>
      <c r="AV2" s="341" t="s">
        <v>284</v>
      </c>
      <c r="AW2" s="342" t="s">
        <v>1</v>
      </c>
      <c r="AX2" s="342" t="s">
        <v>2</v>
      </c>
      <c r="AY2" s="341" t="s">
        <v>0</v>
      </c>
      <c r="AZ2" s="342" t="s">
        <v>1</v>
      </c>
      <c r="BA2" s="342" t="s">
        <v>2</v>
      </c>
      <c r="BB2" s="343" t="s">
        <v>3</v>
      </c>
      <c r="BC2" s="344" t="s">
        <v>284</v>
      </c>
      <c r="BD2" s="342" t="s">
        <v>1</v>
      </c>
      <c r="BE2" s="342" t="s">
        <v>2</v>
      </c>
      <c r="BF2" s="343" t="s">
        <v>3</v>
      </c>
      <c r="BG2" s="344" t="s">
        <v>284</v>
      </c>
      <c r="BH2" s="342" t="s">
        <v>1</v>
      </c>
      <c r="BI2" s="342" t="s">
        <v>2</v>
      </c>
      <c r="BJ2" s="342" t="s">
        <v>3</v>
      </c>
      <c r="BK2" s="344" t="s">
        <v>284</v>
      </c>
      <c r="BL2" s="342" t="s">
        <v>1</v>
      </c>
      <c r="BM2" s="342" t="s">
        <v>2</v>
      </c>
      <c r="BN2" s="342" t="s">
        <v>3</v>
      </c>
      <c r="BO2" s="344" t="s">
        <v>284</v>
      </c>
      <c r="BP2" s="342" t="s">
        <v>1</v>
      </c>
      <c r="BQ2" s="342" t="s">
        <v>2</v>
      </c>
      <c r="BR2" s="342" t="s">
        <v>3</v>
      </c>
      <c r="BS2" s="344" t="s">
        <v>1</v>
      </c>
      <c r="BT2" s="342" t="s">
        <v>2</v>
      </c>
      <c r="BU2" s="343" t="s">
        <v>3</v>
      </c>
      <c r="BV2" s="342" t="s">
        <v>284</v>
      </c>
      <c r="BW2" s="342" t="s">
        <v>1</v>
      </c>
      <c r="BX2" s="343" t="s">
        <v>2</v>
      </c>
      <c r="BY2" s="342" t="s">
        <v>284</v>
      </c>
      <c r="BZ2" s="342" t="s">
        <v>1</v>
      </c>
      <c r="CA2" s="343" t="s">
        <v>2</v>
      </c>
      <c r="CB2" s="342" t="s">
        <v>284</v>
      </c>
      <c r="CC2" s="342" t="s">
        <v>1</v>
      </c>
      <c r="CD2" s="342" t="s">
        <v>2</v>
      </c>
      <c r="CE2" s="345" t="s">
        <v>261</v>
      </c>
      <c r="CF2" s="346" t="s">
        <v>276</v>
      </c>
      <c r="CG2" s="347" t="s">
        <v>275</v>
      </c>
      <c r="CH2" s="347" t="s">
        <v>5</v>
      </c>
      <c r="CI2" s="347" t="s">
        <v>6</v>
      </c>
      <c r="CJ2" s="347" t="s">
        <v>278</v>
      </c>
      <c r="CK2" s="335" t="s">
        <v>1072</v>
      </c>
    </row>
    <row r="3" spans="2:89" x14ac:dyDescent="0.25">
      <c r="B3" s="312">
        <v>1</v>
      </c>
      <c r="C3" s="311" t="s">
        <v>14</v>
      </c>
      <c r="D3" s="349" t="s">
        <v>410</v>
      </c>
      <c r="E3" s="312" t="s">
        <v>15</v>
      </c>
      <c r="F3" s="350">
        <f>_xlfn.XLOOKUP(CCA_Defense!$D3,BB_Input!$C$4:$C$172,BB_Input!$G$4:$G$172)</f>
        <v>32941.5311500764</v>
      </c>
      <c r="G3" s="364">
        <v>1940</v>
      </c>
      <c r="H3" s="364">
        <f ca="1">YEAR(TODAY())-G3</f>
        <v>86</v>
      </c>
      <c r="I3" s="313" t="s">
        <v>280</v>
      </c>
      <c r="J3" s="313" t="s">
        <v>957</v>
      </c>
      <c r="K3" s="359">
        <v>7.0000000000000007E-2</v>
      </c>
      <c r="L3" s="313"/>
      <c r="M3" s="313">
        <v>39.65</v>
      </c>
      <c r="N3" s="313">
        <f>IFERROR(_xlfn.XLOOKUP($D3,PE_Projections!$D:$D,PE_Projections!L:L),"")</f>
        <v>34.750905626531036</v>
      </c>
      <c r="O3" s="313">
        <f>IFERROR(_xlfn.XLOOKUP($D3,PE_Projections!$D:$D,PE_Projections!M:M),"")</f>
        <v>29.185423491237042</v>
      </c>
      <c r="P3" s="313">
        <f>IFERROR(_xlfn.XLOOKUP($D3,PE_Projections!$D:$D,PE_Projections!N:N),"")</f>
        <v>25.131016908358436</v>
      </c>
      <c r="Q3" s="313">
        <f>IFERROR(_xlfn.XLOOKUP($D3,PE_Projections!$D:$D,PE_Projections!O:O),"")</f>
        <v>21.546295344480995</v>
      </c>
      <c r="R3" s="313" t="str">
        <f>IFERROR(_xlfn.XLOOKUP($D3,PE_Projections!$D:$D,PE_Projections!P:P),"")</f>
        <v/>
      </c>
      <c r="S3" s="313">
        <v>79.36</v>
      </c>
      <c r="T3" s="351">
        <f>IFERROR(RATE(5,,BB3,-AY3),"")</f>
        <v>7.3652200579954599E-2</v>
      </c>
      <c r="U3" s="351"/>
      <c r="V3" s="352">
        <f>AVERAGE(0.6,0.7)</f>
        <v>0.64999999999999991</v>
      </c>
      <c r="W3" s="356">
        <v>7.6</v>
      </c>
      <c r="X3" s="313" t="str" cm="1">
        <f t="array" ref="X3">_xlfn.IFS($F3&lt;Glossary!$C$54,Glossary!$B$54,$F3&lt;Glossary!$C$55,Glossary!$B$55,$F3&gt;Glossary!$C$56,Glossary!$B$56)</f>
        <v>Large Cap</v>
      </c>
      <c r="Y3" s="313" t="s">
        <v>145</v>
      </c>
      <c r="Z3" s="313" t="s">
        <v>131</v>
      </c>
      <c r="AA3" s="351">
        <v>0.71640000000000004</v>
      </c>
      <c r="AB3" s="423"/>
      <c r="AC3" s="400" t="s">
        <v>1180</v>
      </c>
      <c r="AD3" s="400" t="s">
        <v>1180</v>
      </c>
      <c r="AE3" s="400" t="s">
        <v>1180</v>
      </c>
      <c r="AF3" s="423"/>
      <c r="AG3" s="309"/>
      <c r="AH3" s="353" t="s">
        <v>41</v>
      </c>
      <c r="AI3" s="313"/>
      <c r="AJ3" s="313"/>
      <c r="AK3" s="353"/>
      <c r="AL3" s="313"/>
      <c r="AM3" s="313" t="s">
        <v>41</v>
      </c>
      <c r="AN3" s="353"/>
      <c r="AO3" s="313"/>
      <c r="AP3" s="353"/>
      <c r="AQ3" s="313" t="s">
        <v>41</v>
      </c>
      <c r="AR3" s="313"/>
      <c r="AS3" s="353"/>
      <c r="AT3" s="313" t="s">
        <v>41</v>
      </c>
      <c r="AU3" s="354" t="s">
        <v>264</v>
      </c>
      <c r="AV3" s="353">
        <v>3344</v>
      </c>
      <c r="AW3" s="313">
        <v>3344</v>
      </c>
      <c r="AX3" s="313">
        <v>3344</v>
      </c>
      <c r="AY3" s="353">
        <v>3929</v>
      </c>
      <c r="AZ3" s="313">
        <v>3490</v>
      </c>
      <c r="BA3" s="313">
        <v>3135</v>
      </c>
      <c r="BB3" s="313">
        <v>2754</v>
      </c>
      <c r="BC3" s="355">
        <v>24.2</v>
      </c>
      <c r="BD3" s="356">
        <v>4.7</v>
      </c>
      <c r="BE3" s="356">
        <v>6.8</v>
      </c>
      <c r="BF3" s="357"/>
      <c r="BG3" s="358">
        <v>0.26700000000000002</v>
      </c>
      <c r="BH3" s="359">
        <v>0.28899999999999998</v>
      </c>
      <c r="BI3" s="359">
        <v>0.2717</v>
      </c>
      <c r="BJ3" s="359">
        <v>0.29549999999999998</v>
      </c>
      <c r="BK3" s="358">
        <v>0.33800000000000002</v>
      </c>
      <c r="BL3" s="359">
        <v>0.35</v>
      </c>
      <c r="BM3" s="359">
        <v>0.28000000000000003</v>
      </c>
      <c r="BN3" s="359">
        <v>0.27</v>
      </c>
      <c r="BO3" s="355">
        <v>0</v>
      </c>
      <c r="BP3" s="356">
        <v>0</v>
      </c>
      <c r="BQ3" s="356">
        <v>0</v>
      </c>
      <c r="BR3" s="357">
        <v>0</v>
      </c>
      <c r="BS3" s="355">
        <v>0</v>
      </c>
      <c r="BT3" s="356">
        <v>0</v>
      </c>
      <c r="BU3" s="360">
        <v>0</v>
      </c>
      <c r="BV3" s="359"/>
      <c r="BW3" s="359"/>
      <c r="BX3" s="361"/>
      <c r="BY3" s="359"/>
      <c r="BZ3" s="359"/>
      <c r="CA3" s="361"/>
      <c r="CB3" s="359"/>
      <c r="CC3" s="359"/>
      <c r="CD3" s="359"/>
      <c r="CE3" s="362">
        <f t="shared" ref="CE3:CE21" si="0">IFERROR(RATE(4,,BB3,-AY3),"")</f>
        <v>9.2897728264327101E-2</v>
      </c>
      <c r="CF3" s="363" t="str">
        <f>IF(CE3&gt;='Conviction List'!$D$4,1,"")</f>
        <v/>
      </c>
      <c r="CG3" s="364" t="str">
        <f>IF(M1&lt;='Conviction List'!$E$4,1,"")</f>
        <v/>
      </c>
      <c r="CH3" s="364">
        <f>IF(BG3&gt;='Conviction List'!$F$4,1,"")</f>
        <v>1</v>
      </c>
      <c r="CI3" s="364">
        <f>IF(BK3&gt;='Conviction List'!$G$4,1,"")</f>
        <v>1</v>
      </c>
      <c r="CJ3" s="365">
        <f t="shared" ref="CJ3:CJ13" si="1">SUM(CF3:CI3)</f>
        <v>2</v>
      </c>
      <c r="CK3" s="424">
        <f t="shared" ref="CK3:CK34" ca="1" si="2">MATCH($D3,INDIRECT($C$90&amp;"!$C$1:$C$164"),0)</f>
        <v>5</v>
      </c>
    </row>
    <row r="4" spans="2:89" x14ac:dyDescent="0.25">
      <c r="B4" s="366">
        <f t="shared" ref="B4:B13" si="3">B3+1</f>
        <v>2</v>
      </c>
      <c r="C4" s="311" t="s">
        <v>16</v>
      </c>
      <c r="D4" s="367" t="s">
        <v>411</v>
      </c>
      <c r="E4" s="312" t="s">
        <v>17</v>
      </c>
      <c r="F4" s="350">
        <f>_xlfn.XLOOKUP(CCA_Defense!$D4,BB_Input!$C$4:$C$172,BB_Input!$G$4:$G$172)</f>
        <v>32574.519232867202</v>
      </c>
      <c r="G4" s="364">
        <v>1954</v>
      </c>
      <c r="H4" s="364">
        <f t="shared" ref="H4:H67" ca="1" si="4">YEAR(TODAY())-G4</f>
        <v>72</v>
      </c>
      <c r="I4" s="313" t="s">
        <v>280</v>
      </c>
      <c r="J4" s="313" t="s">
        <v>958</v>
      </c>
      <c r="K4" s="359">
        <v>6.1800000000000001E-2</v>
      </c>
      <c r="L4" s="313"/>
      <c r="M4" s="313">
        <v>61.39</v>
      </c>
      <c r="N4" s="313">
        <f>IFERROR(_xlfn.XLOOKUP($D4,PE_Projections!$D:$D,PE_Projections!L:L),"")</f>
        <v>48.548221454579398</v>
      </c>
      <c r="O4" s="313">
        <f>IFERROR(_xlfn.XLOOKUP($D4,PE_Projections!$D:$D,PE_Projections!M:M),"")</f>
        <v>40.935212154609147</v>
      </c>
      <c r="P4" s="313">
        <f>IFERROR(_xlfn.XLOOKUP($D4,PE_Projections!$D:$D,PE_Projections!N:N),"")</f>
        <v>34.95175138667274</v>
      </c>
      <c r="Q4" s="313">
        <f>IFERROR(_xlfn.XLOOKUP($D4,PE_Projections!$D:$D,PE_Projections!O:O),"")</f>
        <v>31.397174254317111</v>
      </c>
      <c r="R4" s="313" t="str">
        <f>IFERROR(_xlfn.XLOOKUP($D4,PE_Projections!$D:$D,PE_Projections!P:P),"")</f>
        <v/>
      </c>
      <c r="S4" s="313">
        <v>172.03</v>
      </c>
      <c r="T4" s="351">
        <f t="shared" ref="T4:T13" si="5">IFERROR(RATE(5,,BB4,-AY4),"")</f>
        <v>6.9230987580708461E-2</v>
      </c>
      <c r="U4" s="351"/>
      <c r="V4" s="351">
        <v>0.92</v>
      </c>
      <c r="W4" s="356">
        <v>3.6</v>
      </c>
      <c r="X4" s="313" t="str" cm="1">
        <f t="array" ref="X4">_xlfn.IFS($F4&lt;Glossary!$C$54,Glossary!$B$54,$F4&lt;Glossary!$C$55,Glossary!$B$55,$F4&gt;Glossary!$C$56,Glossary!$B$56)</f>
        <v>Large Cap</v>
      </c>
      <c r="Y4" s="313" t="s">
        <v>145</v>
      </c>
      <c r="Z4" s="313" t="s">
        <v>131</v>
      </c>
      <c r="AA4" s="351">
        <v>0.51139999999999997</v>
      </c>
      <c r="AB4" s="423"/>
      <c r="AC4" s="400" t="s">
        <v>1180</v>
      </c>
      <c r="AD4" s="400" t="s">
        <v>1180</v>
      </c>
      <c r="AE4" s="400" t="s">
        <v>1180</v>
      </c>
      <c r="AF4" s="423"/>
      <c r="AG4" s="309"/>
      <c r="AH4" s="353" t="s">
        <v>41</v>
      </c>
      <c r="AI4" s="313"/>
      <c r="AJ4" s="313"/>
      <c r="AK4" s="353"/>
      <c r="AL4" s="313"/>
      <c r="AM4" s="313"/>
      <c r="AN4" s="353"/>
      <c r="AO4" s="313"/>
      <c r="AP4" s="353"/>
      <c r="AQ4" s="313" t="s">
        <v>41</v>
      </c>
      <c r="AR4" s="313"/>
      <c r="AS4" s="353"/>
      <c r="AT4" s="313"/>
      <c r="AU4" s="354" t="s">
        <v>264</v>
      </c>
      <c r="AV4" s="353">
        <v>7280</v>
      </c>
      <c r="AW4" s="313">
        <v>7280</v>
      </c>
      <c r="AX4" s="313">
        <v>7280</v>
      </c>
      <c r="AY4" s="353">
        <v>2591</v>
      </c>
      <c r="AZ4" s="313">
        <v>2318</v>
      </c>
      <c r="BA4" s="313">
        <v>2144</v>
      </c>
      <c r="BB4" s="313">
        <v>1854</v>
      </c>
      <c r="BC4" s="355">
        <v>40.06</v>
      </c>
      <c r="BD4" s="356">
        <v>8</v>
      </c>
      <c r="BE4" s="356">
        <v>9.5</v>
      </c>
      <c r="BF4" s="357"/>
      <c r="BG4" s="358">
        <v>0.29320000000000002</v>
      </c>
      <c r="BH4" s="359">
        <v>0.18</v>
      </c>
      <c r="BI4" s="359">
        <v>0.16500000000000001</v>
      </c>
      <c r="BJ4" s="359">
        <v>0.15</v>
      </c>
      <c r="BK4" s="358">
        <v>0.38990000000000002</v>
      </c>
      <c r="BL4" s="359">
        <v>0.2</v>
      </c>
      <c r="BM4" s="359">
        <v>0.18</v>
      </c>
      <c r="BN4" s="359">
        <v>0.16500000000000001</v>
      </c>
      <c r="BO4" s="355">
        <v>0</v>
      </c>
      <c r="BP4" s="356">
        <v>0</v>
      </c>
      <c r="BQ4" s="356">
        <v>0</v>
      </c>
      <c r="BR4" s="357">
        <v>0</v>
      </c>
      <c r="BS4" s="355">
        <v>0</v>
      </c>
      <c r="BT4" s="356">
        <v>0</v>
      </c>
      <c r="BU4" s="360">
        <v>0</v>
      </c>
      <c r="BV4" s="359"/>
      <c r="BW4" s="359"/>
      <c r="BX4" s="361"/>
      <c r="BY4" s="359"/>
      <c r="BZ4" s="359"/>
      <c r="CA4" s="361"/>
      <c r="CB4" s="359"/>
      <c r="CC4" s="359"/>
      <c r="CD4" s="359"/>
      <c r="CE4" s="362">
        <f t="shared" si="0"/>
        <v>8.7275046302854334E-2</v>
      </c>
      <c r="CF4" s="363" t="str">
        <f>IF(CE4&gt;='Conviction List'!$D$4,1,"")</f>
        <v/>
      </c>
      <c r="CG4" s="364" t="str">
        <f>IF(M2&lt;='Conviction List'!$E$4,1,"")</f>
        <v/>
      </c>
      <c r="CH4" s="364">
        <f>IF(BG4&gt;='Conviction List'!$F$4,1,"")</f>
        <v>1</v>
      </c>
      <c r="CI4" s="364">
        <f>IF(BK4&gt;='Conviction List'!$G$4,1,"")</f>
        <v>1</v>
      </c>
      <c r="CJ4" s="365">
        <f t="shared" si="1"/>
        <v>2</v>
      </c>
      <c r="CK4" s="424">
        <f t="shared" ca="1" si="2"/>
        <v>6</v>
      </c>
    </row>
    <row r="5" spans="2:89" x14ac:dyDescent="0.25">
      <c r="B5" s="366">
        <f t="shared" si="3"/>
        <v>3</v>
      </c>
      <c r="C5" s="311" t="s">
        <v>18</v>
      </c>
      <c r="D5" s="367" t="s">
        <v>19</v>
      </c>
      <c r="E5" s="312" t="s">
        <v>19</v>
      </c>
      <c r="F5" s="350">
        <f>_xlfn.XLOOKUP(CCA_Defense!$D5,BB_Input!$C$4:$C$172,BB_Input!$G$4:$G$172)</f>
        <v>6048.8875288416239</v>
      </c>
      <c r="G5" s="364">
        <v>1970</v>
      </c>
      <c r="H5" s="364">
        <f t="shared" ca="1" si="4"/>
        <v>56</v>
      </c>
      <c r="I5" s="313" t="s">
        <v>280</v>
      </c>
      <c r="J5" s="313" t="s">
        <v>959</v>
      </c>
      <c r="K5" s="313"/>
      <c r="L5" s="313"/>
      <c r="M5" s="313">
        <v>61.75</v>
      </c>
      <c r="N5" s="313">
        <f>IFERROR(_xlfn.XLOOKUP($D5,PE_Projections!$D:$D,PE_Projections!L:L),"")</f>
        <v>58.607225712419208</v>
      </c>
      <c r="O5" s="313">
        <f>IFERROR(_xlfn.XLOOKUP($D5,PE_Projections!$D:$D,PE_Projections!M:M),"")</f>
        <v>44.206126676438764</v>
      </c>
      <c r="P5" s="313">
        <f>IFERROR(_xlfn.XLOOKUP($D5,PE_Projections!$D:$D,PE_Projections!N:N),"")</f>
        <v>34.064669315391995</v>
      </c>
      <c r="Q5" s="313">
        <f>IFERROR(_xlfn.XLOOKUP($D5,PE_Projections!$D:$D,PE_Projections!O:O),"")</f>
        <v>39.967618758010659</v>
      </c>
      <c r="R5" s="313" t="str">
        <f>IFERROR(_xlfn.XLOOKUP($D5,PE_Projections!$D:$D,PE_Projections!P:P),"")</f>
        <v/>
      </c>
      <c r="S5" s="313">
        <v>98.4</v>
      </c>
      <c r="T5" s="351">
        <f t="shared" si="5"/>
        <v>6.2356498236636311E-2</v>
      </c>
      <c r="U5" s="351"/>
      <c r="V5" s="351">
        <v>1</v>
      </c>
      <c r="W5" s="356">
        <v>3.54</v>
      </c>
      <c r="X5" s="313" t="str" cm="1">
        <f t="array" ref="X5">_xlfn.IFS($F5&lt;Glossary!$C$54,Glossary!$B$54,$F5&lt;Glossary!$C$55,Glossary!$B$55,$F5&gt;Glossary!$C$56,Glossary!$B$56)</f>
        <v>Mid Cap</v>
      </c>
      <c r="Y5" s="313" t="s">
        <v>146</v>
      </c>
      <c r="Z5" s="313" t="s">
        <v>131</v>
      </c>
      <c r="AA5" s="351">
        <v>0.74929999999999997</v>
      </c>
      <c r="AB5" s="423"/>
      <c r="AC5" s="400" t="s">
        <v>1180</v>
      </c>
      <c r="AD5" s="400" t="s">
        <v>1180</v>
      </c>
      <c r="AE5" s="400" t="s">
        <v>1180</v>
      </c>
      <c r="AF5" s="423"/>
      <c r="AG5" s="309"/>
      <c r="AH5" s="353"/>
      <c r="AI5" s="313"/>
      <c r="AJ5" s="313"/>
      <c r="AK5" s="353"/>
      <c r="AL5" s="313"/>
      <c r="AM5" s="313" t="s">
        <v>41</v>
      </c>
      <c r="AN5" s="353"/>
      <c r="AO5" s="313"/>
      <c r="AP5" s="353"/>
      <c r="AQ5" s="313"/>
      <c r="AR5" s="313"/>
      <c r="AS5" s="353"/>
      <c r="AT5" s="313"/>
      <c r="AU5" s="354" t="s">
        <v>194</v>
      </c>
      <c r="AV5" s="353">
        <v>183.3</v>
      </c>
      <c r="AW5" s="313">
        <v>183.3</v>
      </c>
      <c r="AX5" s="313">
        <v>183.3</v>
      </c>
      <c r="AY5" s="353">
        <v>705</v>
      </c>
      <c r="AZ5" s="313">
        <v>638</v>
      </c>
      <c r="BA5" s="313">
        <v>579</v>
      </c>
      <c r="BB5" s="313">
        <v>521</v>
      </c>
      <c r="BC5" s="355">
        <v>83.5</v>
      </c>
      <c r="BD5" s="356">
        <v>10.199999999999999</v>
      </c>
      <c r="BE5" s="356">
        <v>11</v>
      </c>
      <c r="BF5" s="357"/>
      <c r="BG5" s="358">
        <v>0.14380000000000001</v>
      </c>
      <c r="BH5" s="359">
        <v>0.15</v>
      </c>
      <c r="BI5" s="359">
        <v>0.14000000000000001</v>
      </c>
      <c r="BJ5" s="359">
        <v>0.125</v>
      </c>
      <c r="BK5" s="358">
        <v>0.19650000000000001</v>
      </c>
      <c r="BL5" s="359">
        <v>0.155</v>
      </c>
      <c r="BM5" s="359">
        <v>0.14000000000000001</v>
      </c>
      <c r="BN5" s="359">
        <v>0.125</v>
      </c>
      <c r="BO5" s="355">
        <v>0</v>
      </c>
      <c r="BP5" s="356">
        <v>0</v>
      </c>
      <c r="BQ5" s="356">
        <v>0</v>
      </c>
      <c r="BR5" s="357">
        <v>0</v>
      </c>
      <c r="BS5" s="355">
        <v>0</v>
      </c>
      <c r="BT5" s="356">
        <v>0</v>
      </c>
      <c r="BU5" s="360">
        <v>0</v>
      </c>
      <c r="BV5" s="359"/>
      <c r="BW5" s="359"/>
      <c r="BX5" s="361"/>
      <c r="BY5" s="359"/>
      <c r="BZ5" s="359"/>
      <c r="CA5" s="361"/>
      <c r="CB5" s="359"/>
      <c r="CC5" s="359"/>
      <c r="CD5" s="359"/>
      <c r="CE5" s="362">
        <f t="shared" si="0"/>
        <v>7.8543953456870721E-2</v>
      </c>
      <c r="CF5" s="368">
        <f>IF(CE5&gt;='Conviction List'!$D$6,1,"")</f>
        <v>1</v>
      </c>
      <c r="CG5" s="312">
        <f>IF(M5&lt;='Conviction List'!$E$6,1,"")</f>
        <v>1</v>
      </c>
      <c r="CH5" s="312">
        <f>IF(BG5&gt;='Conviction List'!$F$6,1,"")</f>
        <v>1</v>
      </c>
      <c r="CI5" s="312">
        <f>IF(BK5&gt;='Conviction List'!$G$6,1,"")</f>
        <v>1</v>
      </c>
      <c r="CJ5" s="365">
        <f t="shared" si="1"/>
        <v>4</v>
      </c>
      <c r="CK5" s="424">
        <f t="shared" ca="1" si="2"/>
        <v>7</v>
      </c>
    </row>
    <row r="6" spans="2:89" x14ac:dyDescent="0.25">
      <c r="B6" s="366">
        <f t="shared" si="3"/>
        <v>4</v>
      </c>
      <c r="C6" s="311" t="s">
        <v>20</v>
      </c>
      <c r="D6" s="367" t="s">
        <v>412</v>
      </c>
      <c r="E6" s="312" t="s">
        <v>42</v>
      </c>
      <c r="F6" s="350">
        <f>_xlfn.XLOOKUP(CCA_Defense!$D6,BB_Input!$C$4:$C$172,BB_Input!$G$4:$G$172)</f>
        <v>11415.979094043627</v>
      </c>
      <c r="G6" s="364">
        <v>1934</v>
      </c>
      <c r="H6" s="364">
        <f t="shared" ca="1" si="4"/>
        <v>92</v>
      </c>
      <c r="I6" s="313" t="s">
        <v>280</v>
      </c>
      <c r="J6" s="313" t="s">
        <v>960</v>
      </c>
      <c r="K6" s="313"/>
      <c r="L6" s="313"/>
      <c r="M6" s="313">
        <v>38.06</v>
      </c>
      <c r="N6" s="313">
        <f>IFERROR(_xlfn.XLOOKUP($D6,PE_Projections!$D:$D,PE_Projections!L:L),"")</f>
        <v>37.053118495122767</v>
      </c>
      <c r="O6" s="313">
        <f>IFERROR(_xlfn.XLOOKUP($D6,PE_Projections!$D:$D,PE_Projections!M:M),"")</f>
        <v>30.39666612083192</v>
      </c>
      <c r="P6" s="313">
        <f>IFERROR(_xlfn.XLOOKUP($D6,PE_Projections!$D:$D,PE_Projections!N:N),"")</f>
        <v>28.263240418648476</v>
      </c>
      <c r="Q6" s="313" t="str">
        <f>IFERROR(_xlfn.XLOOKUP($D6,PE_Projections!$D:$D,PE_Projections!O:O),"")</f>
        <v/>
      </c>
      <c r="R6" s="313" t="str">
        <f>IFERROR(_xlfn.XLOOKUP($D6,PE_Projections!$D:$D,PE_Projections!P:P),"")</f>
        <v/>
      </c>
      <c r="S6" s="313">
        <v>75.760000000000005</v>
      </c>
      <c r="T6" s="351">
        <f t="shared" si="5"/>
        <v>4.7036670931645368E-2</v>
      </c>
      <c r="U6" s="351"/>
      <c r="V6" s="351">
        <v>1</v>
      </c>
      <c r="W6" s="356">
        <v>5.7</v>
      </c>
      <c r="X6" s="313" t="str" cm="1">
        <f t="array" ref="X6">_xlfn.IFS($F6&lt;Glossary!$C$54,Glossary!$B$54,$F6&lt;Glossary!$C$55,Glossary!$B$55,$F6&gt;Glossary!$C$56,Glossary!$B$56)</f>
        <v>Large Cap</v>
      </c>
      <c r="Y6" s="313" t="s">
        <v>147</v>
      </c>
      <c r="Z6" s="313" t="s">
        <v>131</v>
      </c>
      <c r="AA6" s="351">
        <v>0.84830000000000005</v>
      </c>
      <c r="AB6" s="423"/>
      <c r="AC6" s="400" t="s">
        <v>1180</v>
      </c>
      <c r="AD6" s="400" t="s">
        <v>1180</v>
      </c>
      <c r="AE6" s="400" t="s">
        <v>1180</v>
      </c>
      <c r="AF6" s="423"/>
      <c r="AG6" s="309"/>
      <c r="AH6" s="353"/>
      <c r="AI6" s="313"/>
      <c r="AJ6" s="313" t="s">
        <v>41</v>
      </c>
      <c r="AK6" s="353"/>
      <c r="AL6" s="313"/>
      <c r="AM6" s="313"/>
      <c r="AN6" s="353"/>
      <c r="AO6" s="313"/>
      <c r="AP6" s="353"/>
      <c r="AQ6" s="313"/>
      <c r="AR6" s="313"/>
      <c r="AS6" s="353"/>
      <c r="AT6" s="313"/>
      <c r="AU6" s="354" t="s">
        <v>203</v>
      </c>
      <c r="AV6" s="353">
        <v>201.7</v>
      </c>
      <c r="AW6" s="313">
        <v>201.7</v>
      </c>
      <c r="AX6" s="313">
        <v>201.7</v>
      </c>
      <c r="AY6" s="353">
        <v>526</v>
      </c>
      <c r="AZ6" s="313">
        <v>487</v>
      </c>
      <c r="BA6" s="313">
        <v>441</v>
      </c>
      <c r="BB6" s="313">
        <v>418</v>
      </c>
      <c r="BC6" s="355">
        <v>37.130000000000003</v>
      </c>
      <c r="BD6" s="356">
        <v>9.5</v>
      </c>
      <c r="BE6" s="356">
        <v>10</v>
      </c>
      <c r="BF6" s="357"/>
      <c r="BG6" s="358"/>
      <c r="BH6" s="359">
        <v>0.10199999999999999</v>
      </c>
      <c r="BI6" s="359">
        <v>9.8000000000000004E-2</v>
      </c>
      <c r="BJ6" s="359">
        <v>8.5000000000000006E-2</v>
      </c>
      <c r="BK6" s="358"/>
      <c r="BL6" s="359">
        <v>0.12</v>
      </c>
      <c r="BM6" s="359">
        <v>0.115</v>
      </c>
      <c r="BN6" s="359">
        <v>0.1</v>
      </c>
      <c r="BO6" s="355">
        <v>0</v>
      </c>
      <c r="BP6" s="356">
        <v>0</v>
      </c>
      <c r="BQ6" s="356">
        <v>0</v>
      </c>
      <c r="BR6" s="357">
        <v>0</v>
      </c>
      <c r="BS6" s="355">
        <v>0</v>
      </c>
      <c r="BT6" s="356">
        <v>0</v>
      </c>
      <c r="BU6" s="360">
        <v>0</v>
      </c>
      <c r="BV6" s="359"/>
      <c r="BW6" s="359"/>
      <c r="BX6" s="361"/>
      <c r="BY6" s="359"/>
      <c r="BZ6" s="359"/>
      <c r="CA6" s="361"/>
      <c r="CB6" s="359"/>
      <c r="CC6" s="359"/>
      <c r="CD6" s="359"/>
      <c r="CE6" s="362">
        <f t="shared" si="0"/>
        <v>5.9137550193781689E-2</v>
      </c>
      <c r="CF6" s="369" t="str">
        <f>IF(CE6&gt;='Conviction List'!$D$5,1,"")</f>
        <v/>
      </c>
      <c r="CG6" s="312">
        <f>IF(M6&lt;='Conviction List'!$E$5,1,"")</f>
        <v>1</v>
      </c>
      <c r="CH6" s="312" t="str">
        <f>IF(BG6&gt;='Conviction List'!$F$5,1,"")</f>
        <v/>
      </c>
      <c r="CI6" s="312" t="str">
        <f>IF(BK6&gt;='Conviction List'!$G$5,1,"")</f>
        <v/>
      </c>
      <c r="CJ6" s="365">
        <f t="shared" si="1"/>
        <v>1</v>
      </c>
      <c r="CK6" s="424">
        <f t="shared" ca="1" si="2"/>
        <v>8</v>
      </c>
    </row>
    <row r="7" spans="2:89" x14ac:dyDescent="0.25">
      <c r="B7" s="366">
        <f t="shared" si="3"/>
        <v>5</v>
      </c>
      <c r="C7" s="311" t="s">
        <v>21</v>
      </c>
      <c r="D7" s="349" t="s">
        <v>22</v>
      </c>
      <c r="E7" s="312" t="s">
        <v>22</v>
      </c>
      <c r="F7" s="350">
        <f>_xlfn.XLOOKUP(CCA_Defense!$D7,BB_Input!$C$4:$C$172,BB_Input!$G$4:$G$172)</f>
        <v>3131.5231992618174</v>
      </c>
      <c r="G7" s="364">
        <v>1934</v>
      </c>
      <c r="H7" s="364">
        <f t="shared" ca="1" si="4"/>
        <v>92</v>
      </c>
      <c r="I7" s="313" t="s">
        <v>280</v>
      </c>
      <c r="J7" s="313" t="s">
        <v>960</v>
      </c>
      <c r="K7" s="313"/>
      <c r="L7" s="313"/>
      <c r="M7" s="313">
        <v>88.75</v>
      </c>
      <c r="N7" s="313">
        <f>IFERROR(_xlfn.XLOOKUP($D7,PE_Projections!$D:$D,PE_Projections!L:L),"")</f>
        <v>38.480116184106834</v>
      </c>
      <c r="O7" s="313">
        <f>IFERROR(_xlfn.XLOOKUP($D7,PE_Projections!$D:$D,PE_Projections!M:M),"")</f>
        <v>28.728984789351905</v>
      </c>
      <c r="P7" s="313">
        <f>IFERROR(_xlfn.XLOOKUP($D7,PE_Projections!$D:$D,PE_Projections!N:N),"")</f>
        <v>26.55771469049326</v>
      </c>
      <c r="Q7" s="313" t="str">
        <f>IFERROR(_xlfn.XLOOKUP($D7,PE_Projections!$D:$D,PE_Projections!O:O),"")</f>
        <v/>
      </c>
      <c r="R7" s="313" t="str">
        <f>IFERROR(_xlfn.XLOOKUP($D7,PE_Projections!$D:$D,PE_Projections!P:P),"")</f>
        <v/>
      </c>
      <c r="S7" s="313">
        <v>225.73</v>
      </c>
      <c r="T7" s="351">
        <f t="shared" si="5"/>
        <v>4.382685810433818E-2</v>
      </c>
      <c r="U7" s="351"/>
      <c r="V7" s="351">
        <v>1</v>
      </c>
      <c r="W7" s="356">
        <v>4</v>
      </c>
      <c r="X7" s="313" t="str" cm="1">
        <f t="array" ref="X7">_xlfn.IFS($F7&lt;Glossary!$C$54,Glossary!$B$54,$F7&lt;Glossary!$C$55,Glossary!$B$55,$F7&gt;Glossary!$C$56,Glossary!$B$56)</f>
        <v>Mid Cap</v>
      </c>
      <c r="Y7" s="313" t="s">
        <v>148</v>
      </c>
      <c r="Z7" s="313" t="s">
        <v>131</v>
      </c>
      <c r="AA7" s="351">
        <v>0.745</v>
      </c>
      <c r="AB7" s="423"/>
      <c r="AC7" s="400" t="s">
        <v>1180</v>
      </c>
      <c r="AD7" s="400" t="s">
        <v>1180</v>
      </c>
      <c r="AE7" s="400" t="s">
        <v>1180</v>
      </c>
      <c r="AF7" s="423"/>
      <c r="AG7" s="309"/>
      <c r="AH7" s="353"/>
      <c r="AI7" s="313"/>
      <c r="AJ7" s="313" t="s">
        <v>41</v>
      </c>
      <c r="AK7" s="353"/>
      <c r="AL7" s="313"/>
      <c r="AM7" s="313"/>
      <c r="AN7" s="353"/>
      <c r="AO7" s="313"/>
      <c r="AP7" s="353"/>
      <c r="AQ7" s="313"/>
      <c r="AR7" s="313"/>
      <c r="AS7" s="353"/>
      <c r="AT7" s="313"/>
      <c r="AU7" s="354" t="s">
        <v>203</v>
      </c>
      <c r="AV7" s="353">
        <v>114.6</v>
      </c>
      <c r="AW7" s="313">
        <v>114.6</v>
      </c>
      <c r="AX7" s="313">
        <v>114.6</v>
      </c>
      <c r="AY7" s="353">
        <v>373</v>
      </c>
      <c r="AZ7" s="313">
        <v>348</v>
      </c>
      <c r="BA7" s="313">
        <v>324</v>
      </c>
      <c r="BB7" s="313">
        <v>301</v>
      </c>
      <c r="BC7" s="355">
        <v>40.299999999999997</v>
      </c>
      <c r="BD7" s="356"/>
      <c r="BE7" s="356"/>
      <c r="BF7" s="357"/>
      <c r="BG7" s="358">
        <v>0.28110000000000002</v>
      </c>
      <c r="BH7" s="359">
        <v>0.12</v>
      </c>
      <c r="BI7" s="359">
        <v>0.115</v>
      </c>
      <c r="BJ7" s="359">
        <v>0.1</v>
      </c>
      <c r="BK7" s="358">
        <v>0.37280000000000002</v>
      </c>
      <c r="BL7" s="359">
        <v>0.125</v>
      </c>
      <c r="BM7" s="359">
        <v>0.11</v>
      </c>
      <c r="BN7" s="359">
        <v>0.105</v>
      </c>
      <c r="BO7" s="355">
        <v>3.5</v>
      </c>
      <c r="BP7" s="356">
        <v>3.4</v>
      </c>
      <c r="BQ7" s="356">
        <v>3.2</v>
      </c>
      <c r="BR7" s="357">
        <v>3</v>
      </c>
      <c r="BS7" s="355">
        <v>5.0000000000000001E-3</v>
      </c>
      <c r="BT7" s="356">
        <v>7.0000000000000001E-3</v>
      </c>
      <c r="BU7" s="360">
        <v>8.0000000000000002E-3</v>
      </c>
      <c r="BV7" s="359"/>
      <c r="BW7" s="359"/>
      <c r="BX7" s="361"/>
      <c r="BY7" s="359"/>
      <c r="BZ7" s="359"/>
      <c r="CA7" s="361"/>
      <c r="CB7" s="359"/>
      <c r="CC7" s="359"/>
      <c r="CD7" s="359"/>
      <c r="CE7" s="362">
        <f t="shared" si="0"/>
        <v>5.5080469813218728E-2</v>
      </c>
      <c r="CF7" s="369" t="str">
        <f>IF(CE7&gt;='Conviction List'!$D$5,1,"")</f>
        <v/>
      </c>
      <c r="CG7" s="312" t="str">
        <f>IF(M7&lt;='Conviction List'!$E$5,1,"")</f>
        <v/>
      </c>
      <c r="CH7" s="312">
        <f>IF(BG7&gt;='Conviction List'!$F$5,1,"")</f>
        <v>1</v>
      </c>
      <c r="CI7" s="312">
        <f>IF(BK7&gt;='Conviction List'!$G$5,1,"")</f>
        <v>1</v>
      </c>
      <c r="CJ7" s="365">
        <f t="shared" si="1"/>
        <v>2</v>
      </c>
      <c r="CK7" s="424">
        <f t="shared" ca="1" si="2"/>
        <v>9</v>
      </c>
    </row>
    <row r="8" spans="2:89" x14ac:dyDescent="0.25">
      <c r="B8" s="366">
        <f t="shared" si="3"/>
        <v>6</v>
      </c>
      <c r="C8" s="311" t="s">
        <v>23</v>
      </c>
      <c r="D8" s="367" t="s">
        <v>413</v>
      </c>
      <c r="E8" s="312" t="s">
        <v>132</v>
      </c>
      <c r="F8" s="350">
        <f>_xlfn.XLOOKUP(CCA_Defense!$D8,BB_Input!$C$4:$C$172,BB_Input!$G$4:$G$172)</f>
        <v>4833.9547335099069</v>
      </c>
      <c r="G8" s="364">
        <v>1972</v>
      </c>
      <c r="H8" s="364">
        <f t="shared" ca="1" si="4"/>
        <v>54</v>
      </c>
      <c r="I8" s="313" t="s">
        <v>280</v>
      </c>
      <c r="J8" s="313" t="s">
        <v>961</v>
      </c>
      <c r="K8" s="313"/>
      <c r="L8" s="313"/>
      <c r="M8" s="313">
        <v>48.8</v>
      </c>
      <c r="N8" s="313">
        <f>IFERROR(_xlfn.XLOOKUP($D8,PE_Projections!$D:$D,PE_Projections!L:L),"")</f>
        <v>59.974547230113636</v>
      </c>
      <c r="O8" s="313">
        <f>IFERROR(_xlfn.XLOOKUP($D8,PE_Projections!$D:$D,PE_Projections!M:M),"")</f>
        <v>45.560774829506215</v>
      </c>
      <c r="P8" s="313">
        <f>IFERROR(_xlfn.XLOOKUP($D8,PE_Projections!$D:$D,PE_Projections!N:N),"")</f>
        <v>37.626617083531364</v>
      </c>
      <c r="Q8" s="313" t="str">
        <f>IFERROR(_xlfn.XLOOKUP($D8,PE_Projections!$D:$D,PE_Projections!O:O),"")</f>
        <v/>
      </c>
      <c r="R8" s="313" t="str">
        <f>IFERROR(_xlfn.XLOOKUP($D8,PE_Projections!$D:$D,PE_Projections!P:P),"")</f>
        <v/>
      </c>
      <c r="S8" s="313">
        <v>156.69999999999999</v>
      </c>
      <c r="T8" s="351">
        <f t="shared" si="5"/>
        <v>0.15561323700522059</v>
      </c>
      <c r="U8" s="351"/>
      <c r="V8" s="352">
        <f>AVERAGE(0.6,0.7)</f>
        <v>0.64999999999999991</v>
      </c>
      <c r="W8" s="356">
        <v>5</v>
      </c>
      <c r="X8" s="313" t="str" cm="1">
        <f t="array" ref="X8">_xlfn.IFS($F8&lt;Glossary!$C$54,Glossary!$B$54,$F8&lt;Glossary!$C$55,Glossary!$B$55,$F8&gt;Glossary!$C$56,Glossary!$B$56)</f>
        <v>Mid Cap</v>
      </c>
      <c r="Y8" s="313" t="s">
        <v>149</v>
      </c>
      <c r="Z8" s="313" t="s">
        <v>131</v>
      </c>
      <c r="AA8" s="351">
        <v>0.67910000000000004</v>
      </c>
      <c r="AB8" s="423"/>
      <c r="AC8" s="400" t="s">
        <v>1180</v>
      </c>
      <c r="AD8" s="400" t="s">
        <v>1180</v>
      </c>
      <c r="AE8" s="400" t="s">
        <v>1180</v>
      </c>
      <c r="AF8" s="423"/>
      <c r="AG8" s="309"/>
      <c r="AH8" s="353"/>
      <c r="AI8" s="313"/>
      <c r="AJ8" s="313" t="s">
        <v>41</v>
      </c>
      <c r="AK8" s="353"/>
      <c r="AL8" s="313"/>
      <c r="AM8" s="313"/>
      <c r="AN8" s="353"/>
      <c r="AO8" s="313"/>
      <c r="AP8" s="353"/>
      <c r="AQ8" s="313"/>
      <c r="AR8" s="313"/>
      <c r="AS8" s="353"/>
      <c r="AT8" s="313"/>
      <c r="AU8" s="354" t="s">
        <v>203</v>
      </c>
      <c r="AV8" s="353">
        <v>131.6</v>
      </c>
      <c r="AW8" s="313">
        <v>131.6</v>
      </c>
      <c r="AX8" s="313">
        <v>131.6</v>
      </c>
      <c r="AY8" s="353">
        <v>5649</v>
      </c>
      <c r="AZ8" s="313">
        <v>4439</v>
      </c>
      <c r="BA8" s="313">
        <v>3698</v>
      </c>
      <c r="BB8" s="313">
        <v>2741</v>
      </c>
      <c r="BC8" s="355">
        <v>41.04</v>
      </c>
      <c r="BD8" s="356">
        <v>36.9</v>
      </c>
      <c r="BE8" s="356">
        <v>47.3</v>
      </c>
      <c r="BF8" s="357"/>
      <c r="BG8" s="358"/>
      <c r="BH8" s="359">
        <v>0.16</v>
      </c>
      <c r="BI8" s="359">
        <v>0.13</v>
      </c>
      <c r="BJ8" s="359">
        <v>0.06</v>
      </c>
      <c r="BK8" s="358"/>
      <c r="BL8" s="359">
        <v>0.22</v>
      </c>
      <c r="BM8" s="359">
        <v>0.2</v>
      </c>
      <c r="BN8" s="359">
        <v>0.09</v>
      </c>
      <c r="BO8" s="355">
        <v>3</v>
      </c>
      <c r="BP8" s="356">
        <v>2.8</v>
      </c>
      <c r="BQ8" s="356">
        <v>2.5</v>
      </c>
      <c r="BR8" s="357">
        <v>2.1</v>
      </c>
      <c r="BS8" s="355">
        <v>1.18</v>
      </c>
      <c r="BT8" s="356">
        <v>2.1</v>
      </c>
      <c r="BU8" s="360">
        <v>3.46</v>
      </c>
      <c r="BV8" s="359"/>
      <c r="BW8" s="359"/>
      <c r="BX8" s="361"/>
      <c r="BY8" s="359"/>
      <c r="BZ8" s="359"/>
      <c r="CA8" s="361"/>
      <c r="CB8" s="359"/>
      <c r="CC8" s="359"/>
      <c r="CD8" s="359"/>
      <c r="CE8" s="362">
        <f t="shared" si="0"/>
        <v>0.19816225679815022</v>
      </c>
      <c r="CF8" s="368">
        <f>IF(CE8&gt;='Conviction List'!$D$5,1,"")</f>
        <v>1</v>
      </c>
      <c r="CG8" s="312" t="str">
        <f>IF(M8&lt;='Conviction List'!$E$5,1,"")</f>
        <v/>
      </c>
      <c r="CH8" s="312" t="str">
        <f>IF(BG8&gt;='Conviction List'!$F$5,1,"")</f>
        <v/>
      </c>
      <c r="CI8" s="312" t="str">
        <f>IF(BK8&gt;='Conviction List'!$G$5,1,"")</f>
        <v/>
      </c>
      <c r="CJ8" s="365">
        <f t="shared" si="1"/>
        <v>1</v>
      </c>
      <c r="CK8" s="424">
        <f t="shared" ca="1" si="2"/>
        <v>10</v>
      </c>
    </row>
    <row r="9" spans="2:89" x14ac:dyDescent="0.25">
      <c r="B9" s="366">
        <f t="shared" si="3"/>
        <v>7</v>
      </c>
      <c r="C9" s="311" t="s">
        <v>24</v>
      </c>
      <c r="D9" s="349" t="s">
        <v>43</v>
      </c>
      <c r="E9" s="312" t="s">
        <v>43</v>
      </c>
      <c r="F9" s="350">
        <f>_xlfn.XLOOKUP(CCA_Defense!$D9,BB_Input!$C$4:$C$172,BB_Input!$G$4:$G$172)</f>
        <v>1733.225468982961</v>
      </c>
      <c r="G9" s="364">
        <v>1964</v>
      </c>
      <c r="H9" s="364">
        <f t="shared" ca="1" si="4"/>
        <v>62</v>
      </c>
      <c r="I9" s="313" t="s">
        <v>280</v>
      </c>
      <c r="J9" s="313" t="s">
        <v>962</v>
      </c>
      <c r="K9" s="313"/>
      <c r="L9" s="313"/>
      <c r="M9" s="313">
        <v>59.41</v>
      </c>
      <c r="N9" s="313">
        <f>IFERROR(_xlfn.XLOOKUP($D9,PE_Projections!$D:$D,PE_Projections!L:L),"")</f>
        <v>38.804099946279258</v>
      </c>
      <c r="O9" s="313">
        <f>IFERROR(_xlfn.XLOOKUP($D9,PE_Projections!$D:$D,PE_Projections!M:M),"")</f>
        <v>27.780973046661977</v>
      </c>
      <c r="P9" s="313">
        <f>IFERROR(_xlfn.XLOOKUP($D9,PE_Projections!$D:$D,PE_Projections!N:N),"")</f>
        <v>22.834963623643791</v>
      </c>
      <c r="Q9" s="313" t="str">
        <f>IFERROR(_xlfn.XLOOKUP($D9,PE_Projections!$D:$D,PE_Projections!O:O),"")</f>
        <v/>
      </c>
      <c r="R9" s="313" t="str">
        <f>IFERROR(_xlfn.XLOOKUP($D9,PE_Projections!$D:$D,PE_Projections!P:P),"")</f>
        <v/>
      </c>
      <c r="S9" s="313">
        <v>49.9</v>
      </c>
      <c r="T9" s="351">
        <f t="shared" si="5"/>
        <v>5.1918151629170982E-2</v>
      </c>
      <c r="U9" s="351"/>
      <c r="V9" s="352">
        <f>AVERAGE(0.45,0.5)</f>
        <v>0.47499999999999998</v>
      </c>
      <c r="W9" s="356">
        <v>3.4</v>
      </c>
      <c r="X9" s="313" t="str" cm="1">
        <f t="array" ref="X9">_xlfn.IFS($F9&lt;Glossary!$C$54,Glossary!$B$54,$F9&lt;Glossary!$C$55,Glossary!$B$55,$F9&gt;Glossary!$C$56,Glossary!$B$56)</f>
        <v>Small Cap</v>
      </c>
      <c r="Y9" s="313" t="s">
        <v>145</v>
      </c>
      <c r="Z9" s="313" t="s">
        <v>131</v>
      </c>
      <c r="AA9" s="351">
        <v>0.5403</v>
      </c>
      <c r="AB9" s="423"/>
      <c r="AC9" s="400" t="s">
        <v>1181</v>
      </c>
      <c r="AD9" s="400" t="s">
        <v>1180</v>
      </c>
      <c r="AE9" s="400" t="s">
        <v>1181</v>
      </c>
      <c r="AF9" s="423"/>
      <c r="AG9" s="309"/>
      <c r="AH9" s="353" t="s">
        <v>41</v>
      </c>
      <c r="AI9" s="313" t="s">
        <v>41</v>
      </c>
      <c r="AJ9" s="313"/>
      <c r="AK9" s="353"/>
      <c r="AL9" s="313"/>
      <c r="AM9" s="313"/>
      <c r="AN9" s="353"/>
      <c r="AO9" s="313"/>
      <c r="AP9" s="353"/>
      <c r="AQ9" s="313"/>
      <c r="AR9" s="313"/>
      <c r="AS9" s="353"/>
      <c r="AT9" s="313" t="s">
        <v>41</v>
      </c>
      <c r="AU9" s="354" t="s">
        <v>264</v>
      </c>
      <c r="AV9" s="353">
        <v>41.7</v>
      </c>
      <c r="AW9" s="313">
        <v>41.7</v>
      </c>
      <c r="AX9" s="313">
        <v>41.7</v>
      </c>
      <c r="AY9" s="353">
        <v>568</v>
      </c>
      <c r="AZ9" s="313">
        <v>522</v>
      </c>
      <c r="BA9" s="313">
        <v>487</v>
      </c>
      <c r="BB9" s="313">
        <v>441</v>
      </c>
      <c r="BC9" s="355">
        <v>36.1</v>
      </c>
      <c r="BD9" s="356">
        <v>11.5</v>
      </c>
      <c r="BE9" s="356">
        <v>12</v>
      </c>
      <c r="BF9" s="357"/>
      <c r="BG9" s="358"/>
      <c r="BH9" s="359">
        <v>0.14000000000000001</v>
      </c>
      <c r="BI9" s="359">
        <v>0.125</v>
      </c>
      <c r="BJ9" s="359">
        <v>0.1</v>
      </c>
      <c r="BK9" s="358"/>
      <c r="BL9" s="359">
        <v>0.125</v>
      </c>
      <c r="BM9" s="359">
        <v>0.11</v>
      </c>
      <c r="BN9" s="359">
        <v>0.1</v>
      </c>
      <c r="BO9" s="355">
        <v>1.2</v>
      </c>
      <c r="BP9" s="356">
        <v>1</v>
      </c>
      <c r="BQ9" s="356">
        <v>0.9</v>
      </c>
      <c r="BR9" s="357">
        <v>0.6</v>
      </c>
      <c r="BS9" s="355">
        <v>1.18</v>
      </c>
      <c r="BT9" s="356">
        <v>2.1</v>
      </c>
      <c r="BU9" s="360">
        <v>3.46</v>
      </c>
      <c r="BV9" s="359"/>
      <c r="BW9" s="359"/>
      <c r="BX9" s="361"/>
      <c r="BY9" s="359"/>
      <c r="BZ9" s="359"/>
      <c r="CA9" s="361"/>
      <c r="CB9" s="359"/>
      <c r="CC9" s="359"/>
      <c r="CD9" s="359"/>
      <c r="CE9" s="362">
        <f t="shared" si="0"/>
        <v>6.5313514677072623E-2</v>
      </c>
      <c r="CF9" s="363" t="str">
        <f>IF(CE9&gt;='Conviction List'!$D$4,1,"")</f>
        <v/>
      </c>
      <c r="CG9" s="364" t="str">
        <f>IF(M7&lt;='Conviction List'!$E$4,1,"")</f>
        <v/>
      </c>
      <c r="CH9" s="364" t="str">
        <f>IF(BG9&gt;='Conviction List'!$F$4,1,"")</f>
        <v/>
      </c>
      <c r="CI9" s="364" t="str">
        <f>IF(BK9&gt;='Conviction List'!$G$4,1,"")</f>
        <v/>
      </c>
      <c r="CJ9" s="365">
        <f t="shared" si="1"/>
        <v>0</v>
      </c>
      <c r="CK9" s="424">
        <f t="shared" ca="1" si="2"/>
        <v>11</v>
      </c>
    </row>
    <row r="10" spans="2:89" s="376" customFormat="1" x14ac:dyDescent="0.25">
      <c r="B10" s="366">
        <f t="shared" si="3"/>
        <v>8</v>
      </c>
      <c r="C10" s="370" t="s">
        <v>25</v>
      </c>
      <c r="D10" s="349" t="s">
        <v>44</v>
      </c>
      <c r="E10" s="371" t="s">
        <v>44</v>
      </c>
      <c r="F10" s="350">
        <f>_xlfn.XLOOKUP(CCA_Defense!$D10,BB_Input!$C$4:$C$172,BB_Input!$G$4:$G$172)</f>
        <v>649.8201604438342</v>
      </c>
      <c r="G10" s="364">
        <v>1973</v>
      </c>
      <c r="H10" s="364">
        <f t="shared" ca="1" si="4"/>
        <v>53</v>
      </c>
      <c r="I10" s="313" t="s">
        <v>280</v>
      </c>
      <c r="J10" s="313" t="s">
        <v>963</v>
      </c>
      <c r="K10" s="313"/>
      <c r="L10" s="313"/>
      <c r="M10" s="372">
        <v>73.81</v>
      </c>
      <c r="N10" s="313">
        <f>IFERROR(_xlfn.XLOOKUP($D10,PE_Projections!$D:$D,PE_Projections!L:L),"")</f>
        <v>39.336703234809299</v>
      </c>
      <c r="O10" s="313">
        <f>IFERROR(_xlfn.XLOOKUP($D10,PE_Projections!$D:$D,PE_Projections!M:M),"")</f>
        <v>30.554465760894562</v>
      </c>
      <c r="P10" s="313">
        <f>IFERROR(_xlfn.XLOOKUP($D10,PE_Projections!$D:$D,PE_Projections!N:N),"")</f>
        <v>24.070352230654478</v>
      </c>
      <c r="Q10" s="313" t="str">
        <f>IFERROR(_xlfn.XLOOKUP($D10,PE_Projections!$D:$D,PE_Projections!O:O),"")</f>
        <v/>
      </c>
      <c r="R10" s="313" t="str">
        <f>IFERROR(_xlfn.XLOOKUP($D10,PE_Projections!$D:$D,PE_Projections!P:P),"")</f>
        <v/>
      </c>
      <c r="S10" s="372">
        <v>-12.63</v>
      </c>
      <c r="T10" s="351">
        <f t="shared" si="5"/>
        <v>5.39406656124942E-2</v>
      </c>
      <c r="U10" s="351"/>
      <c r="V10" s="351">
        <f>AVERAGE(80%,85%)</f>
        <v>0.82499999999999996</v>
      </c>
      <c r="W10" s="356">
        <v>1.9</v>
      </c>
      <c r="X10" s="313" t="str" cm="1">
        <f t="array" ref="X10">_xlfn.IFS($F10&lt;Glossary!$C$54,Glossary!$B$54,$F10&lt;Glossary!$C$55,Glossary!$B$55,$F10&gt;Glossary!$C$56,Glossary!$B$56)</f>
        <v>Small Cap</v>
      </c>
      <c r="Y10" s="372" t="s">
        <v>146</v>
      </c>
      <c r="Z10" s="372" t="s">
        <v>131</v>
      </c>
      <c r="AA10" s="351">
        <v>0.74</v>
      </c>
      <c r="AB10" s="423"/>
      <c r="AC10" s="400" t="s">
        <v>1180</v>
      </c>
      <c r="AD10" s="400" t="s">
        <v>1180</v>
      </c>
      <c r="AE10" s="400" t="s">
        <v>1180</v>
      </c>
      <c r="AF10" s="423"/>
      <c r="AG10" s="309"/>
      <c r="AH10" s="373"/>
      <c r="AI10" s="372"/>
      <c r="AJ10" s="372"/>
      <c r="AK10" s="373"/>
      <c r="AL10" s="372"/>
      <c r="AM10" s="372"/>
      <c r="AN10" s="373"/>
      <c r="AO10" s="372"/>
      <c r="AP10" s="373"/>
      <c r="AQ10" s="372"/>
      <c r="AR10" s="372"/>
      <c r="AS10" s="373" t="s">
        <v>41</v>
      </c>
      <c r="AT10" s="372"/>
      <c r="AU10" s="374" t="s">
        <v>199</v>
      </c>
      <c r="AV10" s="373">
        <v>187.3</v>
      </c>
      <c r="AW10" s="372">
        <v>187.3</v>
      </c>
      <c r="AX10" s="372">
        <v>187.3</v>
      </c>
      <c r="AY10" s="373">
        <v>316</v>
      </c>
      <c r="AZ10" s="372">
        <v>290</v>
      </c>
      <c r="BA10" s="372">
        <v>266</v>
      </c>
      <c r="BB10" s="372">
        <v>243</v>
      </c>
      <c r="BC10" s="355">
        <v>33.950000000000003</v>
      </c>
      <c r="BD10" s="356"/>
      <c r="BE10" s="356"/>
      <c r="BF10" s="357"/>
      <c r="BG10" s="358"/>
      <c r="BH10" s="359">
        <v>0.15</v>
      </c>
      <c r="BI10" s="359">
        <v>0.14000000000000001</v>
      </c>
      <c r="BJ10" s="359">
        <v>0.125</v>
      </c>
      <c r="BK10" s="358"/>
      <c r="BL10" s="359">
        <v>0.15</v>
      </c>
      <c r="BM10" s="359">
        <v>0.14000000000000001</v>
      </c>
      <c r="BN10" s="359">
        <v>0.125</v>
      </c>
      <c r="BO10" s="355">
        <v>1.3</v>
      </c>
      <c r="BP10" s="356">
        <v>1.2</v>
      </c>
      <c r="BQ10" s="356">
        <v>1</v>
      </c>
      <c r="BR10" s="357">
        <v>0.8</v>
      </c>
      <c r="BS10" s="355">
        <v>0.25</v>
      </c>
      <c r="BT10" s="356">
        <v>0.3</v>
      </c>
      <c r="BU10" s="360">
        <v>0.22</v>
      </c>
      <c r="BV10" s="359"/>
      <c r="BW10" s="359"/>
      <c r="BX10" s="361"/>
      <c r="BY10" s="359"/>
      <c r="BZ10" s="359"/>
      <c r="CA10" s="361"/>
      <c r="CB10" s="359"/>
      <c r="CC10" s="359"/>
      <c r="CD10" s="359"/>
      <c r="CE10" s="362">
        <f t="shared" si="0"/>
        <v>6.7874466139461909E-2</v>
      </c>
      <c r="CF10" s="369" t="str">
        <f>IF(CE10&gt;='Conviction List'!$D$9,1,"")</f>
        <v/>
      </c>
      <c r="CG10" s="312">
        <f>IF(M10&lt;='Conviction List'!$E$9,1,"")</f>
        <v>1</v>
      </c>
      <c r="CH10" s="312" t="str">
        <f>IF(BG10&gt;='Conviction List'!$F$9,1,"")</f>
        <v/>
      </c>
      <c r="CI10" s="312" t="str">
        <f>IF(BK10&gt;='Conviction List'!$G$9,1,"")</f>
        <v/>
      </c>
      <c r="CJ10" s="375">
        <f t="shared" si="1"/>
        <v>1</v>
      </c>
      <c r="CK10" s="424">
        <f t="shared" ca="1" si="2"/>
        <v>12</v>
      </c>
    </row>
    <row r="11" spans="2:89" x14ac:dyDescent="0.25">
      <c r="B11" s="366">
        <f t="shared" si="3"/>
        <v>9</v>
      </c>
      <c r="C11" s="377" t="s">
        <v>27</v>
      </c>
      <c r="D11" s="367" t="s">
        <v>26</v>
      </c>
      <c r="E11" s="312" t="s">
        <v>26</v>
      </c>
      <c r="F11" s="350">
        <f>_xlfn.XLOOKUP(CCA_Defense!$D11,BB_Input!$C$4:$C$172,BB_Input!$G$4:$G$172)</f>
        <v>1666.7201690041356</v>
      </c>
      <c r="G11" s="364">
        <v>1985</v>
      </c>
      <c r="H11" s="364">
        <f t="shared" ca="1" si="4"/>
        <v>41</v>
      </c>
      <c r="I11" s="313" t="s">
        <v>280</v>
      </c>
      <c r="J11" s="313" t="s">
        <v>964</v>
      </c>
      <c r="K11" s="313"/>
      <c r="L11" s="313"/>
      <c r="M11" s="313"/>
      <c r="N11" s="313">
        <f>IFERROR(_xlfn.XLOOKUP($D11,PE_Projections!$D:$D,PE_Projections!L:L),"")</f>
        <v>48.318592954235541</v>
      </c>
      <c r="O11" s="313">
        <f>IFERROR(_xlfn.XLOOKUP($D11,PE_Projections!$D:$D,PE_Projections!M:M),"")</f>
        <v>38.101024878932769</v>
      </c>
      <c r="P11" s="313">
        <f>IFERROR(_xlfn.XLOOKUP($D11,PE_Projections!$D:$D,PE_Projections!N:N),"")</f>
        <v>29.124122595608046</v>
      </c>
      <c r="Q11" s="313">
        <f>IFERROR(_xlfn.XLOOKUP($D11,PE_Projections!$D:$D,PE_Projections!O:O),"")</f>
        <v>23.970578779881372</v>
      </c>
      <c r="R11" s="313" t="str">
        <f>IFERROR(_xlfn.XLOOKUP($D11,PE_Projections!$D:$D,PE_Projections!P:P),"")</f>
        <v/>
      </c>
      <c r="S11" s="313"/>
      <c r="T11" s="351">
        <f t="shared" si="5"/>
        <v>0.19573800863209587</v>
      </c>
      <c r="U11" s="351"/>
      <c r="V11" s="351">
        <v>0.9</v>
      </c>
      <c r="W11" s="356">
        <v>1.3</v>
      </c>
      <c r="X11" s="313" t="str" cm="1">
        <f t="array" ref="X11">_xlfn.IFS($F11&lt;Glossary!$C$54,Glossary!$B$54,$F11&lt;Glossary!$C$55,Glossary!$B$55,$F11&gt;Glossary!$C$56,Glossary!$B$56)</f>
        <v>Small Cap</v>
      </c>
      <c r="Y11" s="313" t="s">
        <v>150</v>
      </c>
      <c r="Z11" s="313" t="s">
        <v>133</v>
      </c>
      <c r="AA11" s="351">
        <v>0.42409999999999998</v>
      </c>
      <c r="AB11" s="423" t="s">
        <v>455</v>
      </c>
      <c r="AC11" s="400" t="s">
        <v>1180</v>
      </c>
      <c r="AD11" s="400" t="s">
        <v>1180</v>
      </c>
      <c r="AE11" s="400" t="s">
        <v>1180</v>
      </c>
      <c r="AF11" s="423"/>
      <c r="AG11" s="309"/>
      <c r="AH11" s="353"/>
      <c r="AI11" s="313"/>
      <c r="AJ11" s="313"/>
      <c r="AK11" s="353"/>
      <c r="AL11" s="313"/>
      <c r="AM11" s="313"/>
      <c r="AN11" s="353"/>
      <c r="AO11" s="313"/>
      <c r="AP11" s="353" t="s">
        <v>41</v>
      </c>
      <c r="AQ11" s="313" t="s">
        <v>41</v>
      </c>
      <c r="AR11" s="313"/>
      <c r="AS11" s="353"/>
      <c r="AT11" s="313"/>
      <c r="AU11" s="354" t="s">
        <v>196</v>
      </c>
      <c r="AV11" s="353">
        <v>52.5</v>
      </c>
      <c r="AW11" s="313">
        <v>52.5</v>
      </c>
      <c r="AX11" s="313">
        <v>52.5</v>
      </c>
      <c r="AY11" s="353">
        <v>88</v>
      </c>
      <c r="AZ11" s="313">
        <v>66</v>
      </c>
      <c r="BA11" s="313">
        <v>54</v>
      </c>
      <c r="BB11" s="313">
        <v>36</v>
      </c>
      <c r="BC11" s="355">
        <v>51.8</v>
      </c>
      <c r="BD11" s="356"/>
      <c r="BE11" s="356"/>
      <c r="BF11" s="357"/>
      <c r="BG11" s="358">
        <v>0.15659999999999999</v>
      </c>
      <c r="BH11" s="359"/>
      <c r="BI11" s="359"/>
      <c r="BJ11" s="359"/>
      <c r="BK11" s="358">
        <v>0.51600000000000001</v>
      </c>
      <c r="BL11" s="359"/>
      <c r="BM11" s="359"/>
      <c r="BN11" s="359"/>
      <c r="BO11" s="355">
        <v>1.8</v>
      </c>
      <c r="BP11" s="356">
        <v>1.7</v>
      </c>
      <c r="BQ11" s="356">
        <v>1.5</v>
      </c>
      <c r="BR11" s="357">
        <v>1.4</v>
      </c>
      <c r="BS11" s="355">
        <v>0</v>
      </c>
      <c r="BT11" s="356">
        <v>0.01</v>
      </c>
      <c r="BU11" s="360">
        <v>0.16</v>
      </c>
      <c r="BV11" s="359"/>
      <c r="BW11" s="359"/>
      <c r="BX11" s="361"/>
      <c r="BY11" s="359"/>
      <c r="BZ11" s="359"/>
      <c r="CA11" s="361"/>
      <c r="CB11" s="359"/>
      <c r="CC11" s="359"/>
      <c r="CD11" s="359"/>
      <c r="CE11" s="362">
        <f t="shared" si="0"/>
        <v>0.25038870753903536</v>
      </c>
      <c r="CF11" s="368" t="str">
        <f>IF(CE11&gt;='Conviction List'!$D$8,1,"")</f>
        <v/>
      </c>
      <c r="CG11" s="312">
        <f>IF(M11&lt;='Conviction List'!$E$8,1,"")</f>
        <v>1</v>
      </c>
      <c r="CH11" s="312">
        <f>IF(BG11&gt;='Conviction List'!$F$8,1,"")</f>
        <v>1</v>
      </c>
      <c r="CI11" s="312">
        <f>IF(BK11&gt;='Conviction List'!$G$8,1,"")</f>
        <v>1</v>
      </c>
      <c r="CJ11" s="365">
        <f t="shared" si="1"/>
        <v>3</v>
      </c>
      <c r="CK11" s="424">
        <f t="shared" ca="1" si="2"/>
        <v>13</v>
      </c>
    </row>
    <row r="12" spans="2:89" x14ac:dyDescent="0.25">
      <c r="B12" s="366">
        <f t="shared" si="3"/>
        <v>10</v>
      </c>
      <c r="C12" s="311" t="s">
        <v>29</v>
      </c>
      <c r="D12" s="367" t="s">
        <v>28</v>
      </c>
      <c r="E12" s="312" t="s">
        <v>28</v>
      </c>
      <c r="F12" s="350">
        <f>_xlfn.XLOOKUP(CCA_Defense!$D12,BB_Input!$C$4:$C$172,BB_Input!$G$4:$G$172)</f>
        <v>602.33536309504859</v>
      </c>
      <c r="G12" s="364">
        <v>2009</v>
      </c>
      <c r="H12" s="364">
        <f t="shared" ca="1" si="4"/>
        <v>17</v>
      </c>
      <c r="I12" s="313" t="s">
        <v>280</v>
      </c>
      <c r="J12" s="313" t="s">
        <v>965</v>
      </c>
      <c r="K12" s="313"/>
      <c r="L12" s="313"/>
      <c r="M12" s="313">
        <v>105</v>
      </c>
      <c r="N12" s="313">
        <f>IFERROR(_xlfn.XLOOKUP($D12,PE_Projections!$D:$D,PE_Projections!L:L),"")</f>
        <v>59.901787894112729</v>
      </c>
      <c r="O12" s="313">
        <f>IFERROR(_xlfn.XLOOKUP($D12,PE_Projections!$D:$D,PE_Projections!M:M),"")</f>
        <v>45.026847276111575</v>
      </c>
      <c r="P12" s="313" t="str">
        <f>IFERROR(_xlfn.XLOOKUP($D12,PE_Projections!$D:$D,PE_Projections!N:N),"")</f>
        <v/>
      </c>
      <c r="Q12" s="313" t="str">
        <f>IFERROR(_xlfn.XLOOKUP($D12,PE_Projections!$D:$D,PE_Projections!O:O),"")</f>
        <v/>
      </c>
      <c r="R12" s="313" t="str">
        <f>IFERROR(_xlfn.XLOOKUP($D12,PE_Projections!$D:$D,PE_Projections!P:P),"")</f>
        <v/>
      </c>
      <c r="S12" s="313">
        <v>47</v>
      </c>
      <c r="T12" s="351">
        <f t="shared" si="5"/>
        <v>0.10143232856742476</v>
      </c>
      <c r="U12" s="351"/>
      <c r="V12" s="351">
        <f t="shared" ref="V12:V13" si="6">AVERAGE(80%,85%)</f>
        <v>0.82499999999999996</v>
      </c>
      <c r="W12" s="356">
        <v>2</v>
      </c>
      <c r="X12" s="313" t="str" cm="1">
        <f t="array" ref="X12">_xlfn.IFS($F12&lt;Glossary!$C$54,Glossary!$B$54,$F12&lt;Glossary!$C$55,Glossary!$B$55,$F12&gt;Glossary!$C$56,Glossary!$B$56)</f>
        <v>Small Cap</v>
      </c>
      <c r="Y12" s="313" t="s">
        <v>151</v>
      </c>
      <c r="Z12" s="313" t="s">
        <v>133</v>
      </c>
      <c r="AA12" s="351">
        <v>0.57050000000000001</v>
      </c>
      <c r="AB12" s="423" t="s">
        <v>456</v>
      </c>
      <c r="AC12" s="400" t="s">
        <v>1180</v>
      </c>
      <c r="AD12" s="400" t="s">
        <v>1180</v>
      </c>
      <c r="AE12" s="400" t="s">
        <v>1180</v>
      </c>
      <c r="AF12" s="423"/>
      <c r="AG12" s="309"/>
      <c r="AH12" s="353" t="s">
        <v>41</v>
      </c>
      <c r="AI12" s="313"/>
      <c r="AJ12" s="313"/>
      <c r="AK12" s="353"/>
      <c r="AL12" s="313"/>
      <c r="AM12" s="313"/>
      <c r="AN12" s="353"/>
      <c r="AO12" s="313"/>
      <c r="AP12" s="353"/>
      <c r="AQ12" s="313" t="s">
        <v>41</v>
      </c>
      <c r="AR12" s="313"/>
      <c r="AS12" s="353"/>
      <c r="AT12" s="313"/>
      <c r="AU12" s="354" t="s">
        <v>196</v>
      </c>
      <c r="AV12" s="353">
        <v>39.200000000000003</v>
      </c>
      <c r="AW12" s="313">
        <v>39.200000000000003</v>
      </c>
      <c r="AX12" s="313">
        <v>39.200000000000003</v>
      </c>
      <c r="AY12" s="353">
        <f>AZ12*(1+(RATE(3,,BB12,-AZ12,0)))</f>
        <v>34.527783577922555</v>
      </c>
      <c r="AZ12" s="313">
        <v>30.6</v>
      </c>
      <c r="BA12" s="313">
        <v>26</v>
      </c>
      <c r="BB12" s="313">
        <v>21.3</v>
      </c>
      <c r="BC12" s="355">
        <v>70.7</v>
      </c>
      <c r="BD12" s="356"/>
      <c r="BE12" s="356"/>
      <c r="BF12" s="357"/>
      <c r="BG12" s="358"/>
      <c r="BH12" s="359">
        <v>7.9600000000000004E-2</v>
      </c>
      <c r="BI12" s="359">
        <v>9.0899999999999995E-2</v>
      </c>
      <c r="BJ12" s="359">
        <v>9.2200000000000004E-2</v>
      </c>
      <c r="BK12" s="358"/>
      <c r="BL12" s="359">
        <v>9.6799999999999997E-2</v>
      </c>
      <c r="BM12" s="359">
        <v>0.1225</v>
      </c>
      <c r="BN12" s="359">
        <v>0.1032</v>
      </c>
      <c r="BO12" s="355">
        <v>1</v>
      </c>
      <c r="BP12" s="356">
        <v>0.9</v>
      </c>
      <c r="BQ12" s="356">
        <v>0.8</v>
      </c>
      <c r="BR12" s="357">
        <v>0.6</v>
      </c>
      <c r="BS12" s="355">
        <v>0.08</v>
      </c>
      <c r="BT12" s="356">
        <v>0</v>
      </c>
      <c r="BU12" s="360">
        <v>0.08</v>
      </c>
      <c r="BV12" s="359"/>
      <c r="BW12" s="359"/>
      <c r="BX12" s="361"/>
      <c r="BY12" s="359"/>
      <c r="BZ12" s="359"/>
      <c r="CA12" s="361"/>
      <c r="CB12" s="359"/>
      <c r="CC12" s="359"/>
      <c r="CD12" s="359"/>
      <c r="CE12" s="362">
        <f t="shared" si="0"/>
        <v>0.1283589404578781</v>
      </c>
      <c r="CF12" s="368" t="str">
        <f>IF(CE12&gt;='Conviction List'!$D$8,1,"")</f>
        <v/>
      </c>
      <c r="CG12" s="312" t="str">
        <f>IF(M12&lt;='Conviction List'!$E$8,1,"")</f>
        <v/>
      </c>
      <c r="CH12" s="312" t="str">
        <f>IF(BG12&gt;='Conviction List'!$F$8,1,"")</f>
        <v/>
      </c>
      <c r="CI12" s="312" t="str">
        <f>IF(BK12&gt;='Conviction List'!$G$8,1,"")</f>
        <v/>
      </c>
      <c r="CJ12" s="365">
        <f t="shared" si="1"/>
        <v>0</v>
      </c>
      <c r="CK12" s="424">
        <f t="shared" ca="1" si="2"/>
        <v>14</v>
      </c>
    </row>
    <row r="13" spans="2:89" x14ac:dyDescent="0.25">
      <c r="B13" s="366">
        <f t="shared" si="3"/>
        <v>11</v>
      </c>
      <c r="C13" s="378" t="s">
        <v>31</v>
      </c>
      <c r="D13" s="367" t="s">
        <v>30</v>
      </c>
      <c r="E13" s="312" t="s">
        <v>30</v>
      </c>
      <c r="F13" s="350">
        <f>_xlfn.XLOOKUP(CCA_Defense!$D13,BB_Input!$C$4:$C$172,BB_Input!$G$4:$G$172)</f>
        <v>1026.2887621778134</v>
      </c>
      <c r="G13" s="364">
        <v>1991</v>
      </c>
      <c r="H13" s="364">
        <f t="shared" ca="1" si="4"/>
        <v>35</v>
      </c>
      <c r="I13" s="313" t="s">
        <v>280</v>
      </c>
      <c r="J13" s="313" t="s">
        <v>966</v>
      </c>
      <c r="K13" s="313"/>
      <c r="L13" s="313" t="s">
        <v>1085</v>
      </c>
      <c r="M13" s="313">
        <v>58.07</v>
      </c>
      <c r="N13" s="313">
        <f>IFERROR(_xlfn.XLOOKUP($D13,PE_Projections!$D:$D,PE_Projections!L:L),"")</f>
        <v>53.831009445320106</v>
      </c>
      <c r="O13" s="313">
        <f>IFERROR(_xlfn.XLOOKUP($D13,PE_Projections!$D:$D,PE_Projections!M:M),"")</f>
        <v>44.264575758915662</v>
      </c>
      <c r="P13" s="313">
        <f>IFERROR(_xlfn.XLOOKUP($D13,PE_Projections!$D:$D,PE_Projections!N:N),"")</f>
        <v>36.398215216585029</v>
      </c>
      <c r="Q13" s="313">
        <f>IFERROR(_xlfn.XLOOKUP($D13,PE_Projections!$D:$D,PE_Projections!O:O),"")</f>
        <v>29.929803872253277</v>
      </c>
      <c r="R13" s="313">
        <f>IFERROR(_xlfn.XLOOKUP($D13,PE_Projections!$D:$D,PE_Projections!P:P),"")</f>
        <v>24.61090892784695</v>
      </c>
      <c r="S13" s="313">
        <v>30.72</v>
      </c>
      <c r="T13" s="351">
        <f t="shared" si="5"/>
        <v>7.5507964882346193E-2</v>
      </c>
      <c r="U13" s="351">
        <v>0.26</v>
      </c>
      <c r="V13" s="351">
        <f t="shared" si="6"/>
        <v>0.82499999999999996</v>
      </c>
      <c r="W13" s="356">
        <v>2.1</v>
      </c>
      <c r="X13" s="313" t="str" cm="1">
        <f t="array" ref="X13">_xlfn.IFS($F13&lt;Glossary!$C$54,Glossary!$B$54,$F13&lt;Glossary!$C$55,Glossary!$B$55,$F13&gt;Glossary!$C$56,Glossary!$B$56)</f>
        <v>Small Cap</v>
      </c>
      <c r="Y13" s="313" t="s">
        <v>146</v>
      </c>
      <c r="Z13" s="313" t="s">
        <v>133</v>
      </c>
      <c r="AA13" s="351">
        <v>6.54E-2</v>
      </c>
      <c r="AB13" s="423" t="s">
        <v>454</v>
      </c>
      <c r="AC13" s="400" t="s">
        <v>1180</v>
      </c>
      <c r="AD13" s="400" t="s">
        <v>1180</v>
      </c>
      <c r="AE13" s="400" t="s">
        <v>1180</v>
      </c>
      <c r="AF13" s="423"/>
      <c r="AG13" s="309"/>
      <c r="AH13" s="353"/>
      <c r="AI13" s="313"/>
      <c r="AJ13" s="313"/>
      <c r="AK13" s="353"/>
      <c r="AL13" s="313"/>
      <c r="AM13" s="313"/>
      <c r="AN13" s="353"/>
      <c r="AO13" s="313"/>
      <c r="AP13" s="353"/>
      <c r="AQ13" s="313" t="s">
        <v>41</v>
      </c>
      <c r="AR13" s="313" t="s">
        <v>41</v>
      </c>
      <c r="AS13" s="353"/>
      <c r="AT13" s="313"/>
      <c r="AU13" s="354" t="s">
        <v>196</v>
      </c>
      <c r="AV13" s="353">
        <v>91.2</v>
      </c>
      <c r="AW13" s="313">
        <v>91.2</v>
      </c>
      <c r="AX13" s="313">
        <v>91.2</v>
      </c>
      <c r="AY13" s="353">
        <v>118</v>
      </c>
      <c r="AZ13" s="313">
        <v>105</v>
      </c>
      <c r="BA13" s="313">
        <v>94</v>
      </c>
      <c r="BB13" s="313">
        <v>82</v>
      </c>
      <c r="BC13" s="355">
        <v>35.799999999999997</v>
      </c>
      <c r="BD13" s="356">
        <v>37.6</v>
      </c>
      <c r="BE13" s="356">
        <v>41</v>
      </c>
      <c r="BF13" s="357"/>
      <c r="BG13" s="358">
        <v>0.14799999999999999</v>
      </c>
      <c r="BH13" s="359">
        <v>0.125</v>
      </c>
      <c r="BI13" s="359">
        <v>0.1</v>
      </c>
      <c r="BJ13" s="359">
        <v>0.09</v>
      </c>
      <c r="BK13" s="358">
        <v>0.19139999999999999</v>
      </c>
      <c r="BL13" s="359">
        <v>0.17199999999999999</v>
      </c>
      <c r="BM13" s="359">
        <v>0.15</v>
      </c>
      <c r="BN13" s="359">
        <v>0.14000000000000001</v>
      </c>
      <c r="BO13" s="355">
        <v>0.8</v>
      </c>
      <c r="BP13" s="356">
        <v>0.7</v>
      </c>
      <c r="BQ13" s="356">
        <v>0.5</v>
      </c>
      <c r="BR13" s="357">
        <v>0.4</v>
      </c>
      <c r="BS13" s="355">
        <v>0.23</v>
      </c>
      <c r="BT13" s="356">
        <v>0.26</v>
      </c>
      <c r="BU13" s="360">
        <v>0.1</v>
      </c>
      <c r="BV13" s="359"/>
      <c r="BW13" s="359"/>
      <c r="BX13" s="361"/>
      <c r="BY13" s="359"/>
      <c r="BZ13" s="359"/>
      <c r="CA13" s="361"/>
      <c r="CB13" s="359"/>
      <c r="CC13" s="359"/>
      <c r="CD13" s="359"/>
      <c r="CE13" s="362">
        <f t="shared" si="0"/>
        <v>9.5259524979952451E-2</v>
      </c>
      <c r="CF13" s="368" t="str">
        <f>IF(CE13&gt;='Conviction List'!$D$8,1,"")</f>
        <v/>
      </c>
      <c r="CG13" s="312">
        <f>IF(M13&lt;='Conviction List'!$E$8,1,"")</f>
        <v>1</v>
      </c>
      <c r="CH13" s="312">
        <f>IF(BG13&gt;='Conviction List'!$F$8,1,"")</f>
        <v>1</v>
      </c>
      <c r="CI13" s="312" t="str">
        <f>IF(BK13&gt;='Conviction List'!$G$8,1,"")</f>
        <v/>
      </c>
      <c r="CJ13" s="365">
        <f t="shared" si="1"/>
        <v>2</v>
      </c>
      <c r="CK13" s="424">
        <f t="shared" ca="1" si="2"/>
        <v>15</v>
      </c>
    </row>
    <row r="14" spans="2:89" s="376" customFormat="1" x14ac:dyDescent="0.25">
      <c r="B14" s="366">
        <f t="shared" ref="B14:B45" si="7">B13+1</f>
        <v>12</v>
      </c>
      <c r="C14" s="311" t="s">
        <v>180</v>
      </c>
      <c r="D14" s="349" t="s">
        <v>421</v>
      </c>
      <c r="E14" s="312" t="s">
        <v>181</v>
      </c>
      <c r="F14" s="350">
        <f>_xlfn.XLOOKUP(CCA_Defense!$D14,BB_Input!$C$4:$C$172,BB_Input!$G$4:$G$172)</f>
        <v>637.04538612548106</v>
      </c>
      <c r="G14" s="364">
        <v>1990</v>
      </c>
      <c r="H14" s="364">
        <f t="shared" ca="1" si="4"/>
        <v>36</v>
      </c>
      <c r="I14" s="313" t="s">
        <v>280</v>
      </c>
      <c r="J14" s="313" t="s">
        <v>985</v>
      </c>
      <c r="K14" s="313"/>
      <c r="L14" s="313" t="s">
        <v>1085</v>
      </c>
      <c r="M14" s="312">
        <v>76.099999999999994</v>
      </c>
      <c r="N14" s="313">
        <f>IFERROR(_xlfn.XLOOKUP($D14,PE_Projections!$D:$D,PE_Projections!L:L),"")</f>
        <v>52.028001315409924</v>
      </c>
      <c r="O14" s="313">
        <f>IFERROR(_xlfn.XLOOKUP($D14,PE_Projections!$D:$D,PE_Projections!M:M),"")</f>
        <v>35.472710132855568</v>
      </c>
      <c r="P14" s="313">
        <f>IFERROR(_xlfn.XLOOKUP($D14,PE_Projections!$D:$D,PE_Projections!N:N),"")</f>
        <v>24.185306610978735</v>
      </c>
      <c r="Q14" s="313">
        <f>IFERROR(_xlfn.XLOOKUP($D14,PE_Projections!$D:$D,PE_Projections!O:O),"")</f>
        <v>16.489550803316778</v>
      </c>
      <c r="R14" s="313">
        <f>IFERROR(_xlfn.XLOOKUP($D14,PE_Projections!$D:$D,PE_Projections!P:P),"")</f>
        <v>11.242581707512267</v>
      </c>
      <c r="S14" s="312">
        <v>10</v>
      </c>
      <c r="T14" s="351">
        <f t="shared" ref="T14:T45" si="8">IFERROR(RATE(5,,BB14,-AY14),"")</f>
        <v>0.10881150248535115</v>
      </c>
      <c r="U14" s="351">
        <v>0.54390000000000005</v>
      </c>
      <c r="V14" s="351">
        <f>AVERAGE(60%,70%)</f>
        <v>0.64999999999999991</v>
      </c>
      <c r="W14" s="356">
        <v>1.68</v>
      </c>
      <c r="X14" s="313" t="str" cm="1">
        <f t="array" ref="X14">_xlfn.IFS($F14&lt;Glossary!$C$54,Glossary!$B$54,$F14&lt;Glossary!$C$55,Glossary!$B$55,$F14&gt;Glossary!$C$56,Glossary!$B$56)</f>
        <v>Small Cap</v>
      </c>
      <c r="Y14" s="312" t="s">
        <v>189</v>
      </c>
      <c r="Z14" s="312" t="s">
        <v>133</v>
      </c>
      <c r="AA14" s="351">
        <v>0.59489999999999998</v>
      </c>
      <c r="AB14" s="423"/>
      <c r="AC14" s="400" t="s">
        <v>1180</v>
      </c>
      <c r="AD14" s="400" t="s">
        <v>1180</v>
      </c>
      <c r="AE14" s="400" t="s">
        <v>1180</v>
      </c>
      <c r="AF14" s="423" t="s">
        <v>1088</v>
      </c>
      <c r="AG14" s="309"/>
      <c r="AH14" s="379"/>
      <c r="AI14" s="312" t="s">
        <v>41</v>
      </c>
      <c r="AJ14" s="312"/>
      <c r="AK14" s="379"/>
      <c r="AL14" s="312"/>
      <c r="AM14" s="312" t="s">
        <v>41</v>
      </c>
      <c r="AN14" s="379"/>
      <c r="AO14" s="312"/>
      <c r="AP14" s="379" t="s">
        <v>41</v>
      </c>
      <c r="AQ14" s="312" t="s">
        <v>41</v>
      </c>
      <c r="AR14" s="312" t="s">
        <v>41</v>
      </c>
      <c r="AS14" s="379"/>
      <c r="AT14" s="312"/>
      <c r="AU14" s="354" t="s">
        <v>264</v>
      </c>
      <c r="AV14" s="353">
        <v>37.700000000000003</v>
      </c>
      <c r="AW14" s="313">
        <v>37.700000000000003</v>
      </c>
      <c r="AX14" s="313">
        <v>37.700000000000003</v>
      </c>
      <c r="AY14" s="353">
        <v>119</v>
      </c>
      <c r="AZ14" s="313">
        <v>111</v>
      </c>
      <c r="BA14" s="313">
        <v>96</v>
      </c>
      <c r="BB14" s="313">
        <v>71</v>
      </c>
      <c r="BC14" s="355">
        <v>38.24</v>
      </c>
      <c r="BD14" s="356">
        <v>15.8</v>
      </c>
      <c r="BE14" s="356">
        <v>14.08</v>
      </c>
      <c r="BF14" s="360">
        <v>5.14</v>
      </c>
      <c r="BG14" s="358">
        <v>0.12609999999999999</v>
      </c>
      <c r="BH14" s="359">
        <v>5.6000000000000001E-2</v>
      </c>
      <c r="BI14" s="359">
        <v>-1.41E-2</v>
      </c>
      <c r="BJ14" s="359">
        <v>6.7100000000000007E-2</v>
      </c>
      <c r="BK14" s="358">
        <v>0.13569999999999999</v>
      </c>
      <c r="BL14" s="359">
        <v>0.13769999999999999</v>
      </c>
      <c r="BM14" s="359">
        <v>0.1041</v>
      </c>
      <c r="BN14" s="359">
        <v>0.1477</v>
      </c>
      <c r="BO14" s="355"/>
      <c r="BP14" s="356"/>
      <c r="BQ14" s="356"/>
      <c r="BR14" s="360"/>
      <c r="BS14" s="355">
        <v>0.54</v>
      </c>
      <c r="BT14" s="356">
        <v>1.01</v>
      </c>
      <c r="BU14" s="360">
        <v>0.21</v>
      </c>
      <c r="BV14" s="359"/>
      <c r="BW14" s="359"/>
      <c r="BX14" s="361"/>
      <c r="BY14" s="359"/>
      <c r="BZ14" s="359"/>
      <c r="CA14" s="361"/>
      <c r="CB14" s="359"/>
      <c r="CC14" s="359"/>
      <c r="CD14" s="359"/>
      <c r="CE14" s="362">
        <f t="shared" si="0"/>
        <v>0.1378163055681153</v>
      </c>
      <c r="CF14" s="363" t="str">
        <f>IF(CE14&gt;='Conviction List'!$D$4,1,"")</f>
        <v/>
      </c>
      <c r="CG14" s="364" t="str">
        <f>IF(M12&lt;='Conviction List'!$E$4,1,"")</f>
        <v/>
      </c>
      <c r="CH14" s="364" t="str">
        <f>IF(BG14&gt;='Conviction List'!$F$4,1,"")</f>
        <v/>
      </c>
      <c r="CI14" s="364" t="str">
        <f>IF(BK14&gt;='Conviction List'!$G$4,1,"")</f>
        <v/>
      </c>
      <c r="CJ14" s="365">
        <f t="shared" ref="CJ14:CJ57" si="9">SUM(CF14:CI14)</f>
        <v>0</v>
      </c>
      <c r="CK14" s="424">
        <f t="shared" ca="1" si="2"/>
        <v>37</v>
      </c>
    </row>
    <row r="15" spans="2:89" x14ac:dyDescent="0.25">
      <c r="B15" s="366">
        <f t="shared" si="7"/>
        <v>13</v>
      </c>
      <c r="C15" s="377" t="s">
        <v>35</v>
      </c>
      <c r="D15" s="349" t="s">
        <v>34</v>
      </c>
      <c r="E15" s="312" t="s">
        <v>34</v>
      </c>
      <c r="F15" s="350">
        <f>_xlfn.XLOOKUP(CCA_Defense!$D15,BB_Input!$C$4:$C$172,BB_Input!$G$4:$G$172)</f>
        <v>251.06425894065927</v>
      </c>
      <c r="G15" s="364">
        <v>2011</v>
      </c>
      <c r="H15" s="364">
        <f t="shared" ca="1" si="4"/>
        <v>15</v>
      </c>
      <c r="I15" s="313" t="s">
        <v>280</v>
      </c>
      <c r="J15" s="313" t="s">
        <v>968</v>
      </c>
      <c r="K15" s="313"/>
      <c r="L15" s="313"/>
      <c r="M15" s="313">
        <v>67.45</v>
      </c>
      <c r="N15" s="313">
        <f>IFERROR(_xlfn.XLOOKUP($D15,PE_Projections!$D:$D,PE_Projections!L:L),"")</f>
        <v>39.670589671415442</v>
      </c>
      <c r="O15" s="313">
        <f>IFERROR(_xlfn.XLOOKUP($D15,PE_Projections!$D:$D,PE_Projections!M:M),"")</f>
        <v>27.340541530299831</v>
      </c>
      <c r="P15" s="313">
        <f>IFERROR(_xlfn.XLOOKUP($D15,PE_Projections!$D:$D,PE_Projections!N:N),"")</f>
        <v>21.75483949722782</v>
      </c>
      <c r="Q15" s="313" t="str">
        <f>IFERROR(_xlfn.XLOOKUP($D15,PE_Projections!$D:$D,PE_Projections!O:O),"")</f>
        <v/>
      </c>
      <c r="R15" s="313" t="str">
        <f>IFERROR(_xlfn.XLOOKUP($D15,PE_Projections!$D:$D,PE_Projections!P:P),"")</f>
        <v/>
      </c>
      <c r="S15" s="313"/>
      <c r="T15" s="351">
        <f t="shared" si="8"/>
        <v>7.9915005883559653E-2</v>
      </c>
      <c r="U15" s="351"/>
      <c r="V15" s="351">
        <f>AVERAGE(80%,85%)</f>
        <v>0.82499999999999996</v>
      </c>
      <c r="W15" s="356">
        <v>2.5</v>
      </c>
      <c r="X15" s="313" t="str" cm="1">
        <f t="array" ref="X15">_xlfn.IFS($F15&lt;Glossary!$C$54,Glossary!$B$54,$F15&lt;Glossary!$C$55,Glossary!$B$55,$F15&gt;Glossary!$C$56,Glossary!$B$56)</f>
        <v>Small Cap</v>
      </c>
      <c r="Y15" s="313" t="s">
        <v>145</v>
      </c>
      <c r="Z15" s="313" t="s">
        <v>133</v>
      </c>
      <c r="AA15" s="351">
        <v>0.56799999999999995</v>
      </c>
      <c r="AB15" s="423"/>
      <c r="AC15" s="400" t="s">
        <v>1180</v>
      </c>
      <c r="AD15" s="400" t="s">
        <v>1180</v>
      </c>
      <c r="AE15" s="400" t="s">
        <v>1180</v>
      </c>
      <c r="AF15" s="423"/>
      <c r="AG15" s="309"/>
      <c r="AH15" s="353"/>
      <c r="AI15" s="313"/>
      <c r="AJ15" s="313"/>
      <c r="AK15" s="353"/>
      <c r="AL15" s="313"/>
      <c r="AM15" s="313"/>
      <c r="AN15" s="353"/>
      <c r="AO15" s="313"/>
      <c r="AP15" s="353" t="s">
        <v>41</v>
      </c>
      <c r="AQ15" s="313" t="s">
        <v>41</v>
      </c>
      <c r="AR15" s="313"/>
      <c r="AS15" s="353"/>
      <c r="AT15" s="313"/>
      <c r="AU15" s="354" t="s">
        <v>196</v>
      </c>
      <c r="AV15" s="353">
        <v>77.099999999999994</v>
      </c>
      <c r="AW15" s="313">
        <v>77.099999999999994</v>
      </c>
      <c r="AX15" s="313">
        <v>77.099999999999994</v>
      </c>
      <c r="AY15" s="353">
        <v>188</v>
      </c>
      <c r="AZ15" s="313">
        <v>165</v>
      </c>
      <c r="BA15" s="313">
        <v>145</v>
      </c>
      <c r="BB15" s="313">
        <v>128</v>
      </c>
      <c r="BC15" s="355">
        <v>25.37</v>
      </c>
      <c r="BD15" s="356"/>
      <c r="BE15" s="356"/>
      <c r="BF15" s="357"/>
      <c r="BG15" s="358"/>
      <c r="BH15" s="359"/>
      <c r="BI15" s="359"/>
      <c r="BJ15" s="359"/>
      <c r="BK15" s="358"/>
      <c r="BL15" s="359">
        <v>0.1</v>
      </c>
      <c r="BM15" s="359">
        <v>0.13</v>
      </c>
      <c r="BN15" s="359">
        <v>0.22</v>
      </c>
      <c r="BO15" s="355">
        <v>0.3</v>
      </c>
      <c r="BP15" s="356">
        <v>0.4</v>
      </c>
      <c r="BQ15" s="356">
        <v>0.8</v>
      </c>
      <c r="BR15" s="357">
        <v>1.3</v>
      </c>
      <c r="BS15" s="355">
        <v>0.24</v>
      </c>
      <c r="BT15" s="356">
        <v>0.89</v>
      </c>
      <c r="BU15" s="360">
        <v>4.2699999999999996</v>
      </c>
      <c r="BV15" s="359"/>
      <c r="BW15" s="359"/>
      <c r="BX15" s="361"/>
      <c r="BY15" s="359"/>
      <c r="BZ15" s="359"/>
      <c r="CA15" s="361"/>
      <c r="CB15" s="359"/>
      <c r="CC15" s="359"/>
      <c r="CD15" s="359"/>
      <c r="CE15" s="362">
        <f t="shared" si="0"/>
        <v>0.10087236515142044</v>
      </c>
      <c r="CF15" s="368" t="str">
        <f>IF(CE15&gt;='Conviction List'!$D$8,1,"")</f>
        <v/>
      </c>
      <c r="CG15" s="312">
        <f>IF(M15&lt;='Conviction List'!$E$8,1,"")</f>
        <v>1</v>
      </c>
      <c r="CH15" s="312" t="str">
        <f>IF(BG15&gt;='Conviction List'!$F$8,1,"")</f>
        <v/>
      </c>
      <c r="CI15" s="312" t="str">
        <f>IF(BK15&gt;='Conviction List'!$G$8,1,"")</f>
        <v/>
      </c>
      <c r="CJ15" s="365">
        <f t="shared" si="9"/>
        <v>1</v>
      </c>
      <c r="CK15" s="424">
        <f t="shared" ca="1" si="2"/>
        <v>17</v>
      </c>
    </row>
    <row r="16" spans="2:89" s="376" customFormat="1" x14ac:dyDescent="0.25">
      <c r="B16" s="366">
        <f t="shared" si="7"/>
        <v>14</v>
      </c>
      <c r="C16" s="380" t="s">
        <v>37</v>
      </c>
      <c r="D16" s="349" t="s">
        <v>36</v>
      </c>
      <c r="E16" s="371" t="s">
        <v>36</v>
      </c>
      <c r="F16" s="350">
        <f>_xlfn.XLOOKUP(CCA_Defense!$D16,BB_Input!$C$4:$C$172,BB_Input!$G$4:$G$172)</f>
        <v>476.85876105258313</v>
      </c>
      <c r="G16" s="364">
        <v>2010</v>
      </c>
      <c r="H16" s="364">
        <f t="shared" ca="1" si="4"/>
        <v>16</v>
      </c>
      <c r="I16" s="313" t="s">
        <v>280</v>
      </c>
      <c r="J16" s="313" t="s">
        <v>969</v>
      </c>
      <c r="K16" s="313"/>
      <c r="L16" s="313"/>
      <c r="M16" s="372"/>
      <c r="N16" s="313">
        <f>IFERROR(_xlfn.XLOOKUP($D16,PE_Projections!$D:$D,PE_Projections!L:L),"")</f>
        <v>61.963867170181338</v>
      </c>
      <c r="O16" s="313">
        <f>IFERROR(_xlfn.XLOOKUP($D16,PE_Projections!$D:$D,PE_Projections!M:M),"")</f>
        <v>51.794235195473021</v>
      </c>
      <c r="P16" s="313">
        <f>IFERROR(_xlfn.XLOOKUP($D16,PE_Projections!$D:$D,PE_Projections!N:N),"")</f>
        <v>43.293663258882837</v>
      </c>
      <c r="Q16" s="313">
        <f>IFERROR(_xlfn.XLOOKUP($D16,PE_Projections!$D:$D,PE_Projections!O:O),"")</f>
        <v>36.188221938208379</v>
      </c>
      <c r="R16" s="313">
        <f>IFERROR(_xlfn.XLOOKUP($D16,PE_Projections!$D:$D,PE_Projections!P:P),"")</f>
        <v>30.248939647774669</v>
      </c>
      <c r="S16" s="372">
        <v>3</v>
      </c>
      <c r="T16" s="351">
        <f t="shared" si="8"/>
        <v>0.25927467693590334</v>
      </c>
      <c r="U16" s="351"/>
      <c r="V16" s="351">
        <f>AVERAGE(80%,85%)</f>
        <v>0.82499999999999996</v>
      </c>
      <c r="W16" s="356"/>
      <c r="X16" s="313" t="str" cm="1">
        <f t="array" ref="X16">_xlfn.IFS($F16&lt;Glossary!$C$54,Glossary!$B$54,$F16&lt;Glossary!$C$55,Glossary!$B$55,$F16&gt;Glossary!$C$56,Glossary!$B$56)</f>
        <v>Small Cap</v>
      </c>
      <c r="Y16" s="372" t="s">
        <v>146</v>
      </c>
      <c r="Z16" s="372" t="s">
        <v>134</v>
      </c>
      <c r="AA16" s="351">
        <v>0.38569999999999999</v>
      </c>
      <c r="AB16" s="423"/>
      <c r="AC16" s="400" t="s">
        <v>1180</v>
      </c>
      <c r="AD16" s="400" t="s">
        <v>1180</v>
      </c>
      <c r="AE16" s="400" t="s">
        <v>1180</v>
      </c>
      <c r="AF16" s="423"/>
      <c r="AG16" s="309"/>
      <c r="AH16" s="373"/>
      <c r="AI16" s="372"/>
      <c r="AJ16" s="372"/>
      <c r="AK16" s="373"/>
      <c r="AL16" s="372"/>
      <c r="AM16" s="372"/>
      <c r="AN16" s="373"/>
      <c r="AO16" s="372"/>
      <c r="AP16" s="373" t="s">
        <v>41</v>
      </c>
      <c r="AQ16" s="372" t="s">
        <v>41</v>
      </c>
      <c r="AR16" s="372"/>
      <c r="AS16" s="373"/>
      <c r="AT16" s="311"/>
      <c r="AU16" s="354" t="s">
        <v>196</v>
      </c>
      <c r="AV16" s="353">
        <v>17.2</v>
      </c>
      <c r="AW16" s="313">
        <v>17.2</v>
      </c>
      <c r="AX16" s="313">
        <v>17.2</v>
      </c>
      <c r="AY16" s="373">
        <v>38</v>
      </c>
      <c r="AZ16" s="372">
        <v>26</v>
      </c>
      <c r="BA16" s="372">
        <v>18</v>
      </c>
      <c r="BB16" s="372">
        <v>12</v>
      </c>
      <c r="BC16" s="355">
        <v>43.23</v>
      </c>
      <c r="BD16" s="356"/>
      <c r="BE16" s="356"/>
      <c r="BF16" s="357"/>
      <c r="BG16" s="358"/>
      <c r="BH16" s="359"/>
      <c r="BI16" s="359"/>
      <c r="BJ16" s="359"/>
      <c r="BK16" s="358"/>
      <c r="BL16" s="359">
        <v>0.47</v>
      </c>
      <c r="BM16" s="359">
        <v>0.35</v>
      </c>
      <c r="BN16" s="359">
        <v>0.28999999999999998</v>
      </c>
      <c r="BO16" s="355">
        <v>0.6</v>
      </c>
      <c r="BP16" s="356">
        <v>0.5</v>
      </c>
      <c r="BQ16" s="356">
        <v>0.4</v>
      </c>
      <c r="BR16" s="357">
        <v>0.3</v>
      </c>
      <c r="BS16" s="355">
        <v>7.0000000000000007E-2</v>
      </c>
      <c r="BT16" s="356">
        <v>0.25</v>
      </c>
      <c r="BU16" s="360">
        <v>0.15</v>
      </c>
      <c r="BV16" s="359"/>
      <c r="BW16" s="359"/>
      <c r="BX16" s="361"/>
      <c r="BY16" s="359"/>
      <c r="BZ16" s="359"/>
      <c r="CA16" s="361"/>
      <c r="CB16" s="359"/>
      <c r="CC16" s="359"/>
      <c r="CD16" s="359"/>
      <c r="CE16" s="362">
        <f t="shared" si="0"/>
        <v>0.33398389870538481</v>
      </c>
      <c r="CF16" s="368">
        <f>IF(CE16&gt;='Conviction List'!$D$8,1,"")</f>
        <v>1</v>
      </c>
      <c r="CG16" s="312">
        <f>IF(M16&lt;='Conviction List'!$E$8,1,"")</f>
        <v>1</v>
      </c>
      <c r="CH16" s="312" t="str">
        <f>IF(BG16&gt;='Conviction List'!$F$8,1,"")</f>
        <v/>
      </c>
      <c r="CI16" s="312" t="str">
        <f>IF(BK16&gt;='Conviction List'!$G$8,1,"")</f>
        <v/>
      </c>
      <c r="CJ16" s="365">
        <f t="shared" si="9"/>
        <v>2</v>
      </c>
      <c r="CK16" s="424">
        <f t="shared" ca="1" si="2"/>
        <v>18</v>
      </c>
    </row>
    <row r="17" spans="2:89" x14ac:dyDescent="0.25">
      <c r="B17" s="366">
        <f t="shared" si="7"/>
        <v>15</v>
      </c>
      <c r="C17" s="311" t="s">
        <v>39</v>
      </c>
      <c r="D17" s="349" t="s">
        <v>38</v>
      </c>
      <c r="E17" s="312" t="s">
        <v>38</v>
      </c>
      <c r="F17" s="350">
        <f>_xlfn.XLOOKUP(CCA_Defense!$D17,BB_Input!$C$4:$C$172,BB_Input!$G$4:$G$172)</f>
        <v>983.42850438325775</v>
      </c>
      <c r="G17" s="364">
        <v>1997</v>
      </c>
      <c r="H17" s="364">
        <f t="shared" ca="1" si="4"/>
        <v>29</v>
      </c>
      <c r="I17" s="313" t="s">
        <v>280</v>
      </c>
      <c r="J17" s="313" t="s">
        <v>970</v>
      </c>
      <c r="K17" s="313"/>
      <c r="L17" s="313"/>
      <c r="M17" s="313"/>
      <c r="N17" s="313">
        <f>IFERROR(_xlfn.XLOOKUP($D17,PE_Projections!$D:$D,PE_Projections!L:L),"")</f>
        <v>84.838709677419359</v>
      </c>
      <c r="O17" s="313">
        <f>IFERROR(_xlfn.XLOOKUP($D17,PE_Projections!$D:$D,PE_Projections!M:M),"")</f>
        <v>57.173913043478265</v>
      </c>
      <c r="P17" s="313">
        <f>IFERROR(_xlfn.XLOOKUP($D17,PE_Projections!$D:$D,PE_Projections!N:N),"")</f>
        <v>35.06666666666667</v>
      </c>
      <c r="Q17" s="313" t="str">
        <f>IFERROR(_xlfn.XLOOKUP($D17,PE_Projections!$D:$D,PE_Projections!O:O),"")</f>
        <v/>
      </c>
      <c r="R17" s="313" t="str">
        <f>IFERROR(_xlfn.XLOOKUP($D17,PE_Projections!$D:$D,PE_Projections!P:P),"")</f>
        <v/>
      </c>
      <c r="S17" s="313"/>
      <c r="T17" s="351">
        <f t="shared" si="8"/>
        <v>0.13611833235028162</v>
      </c>
      <c r="U17" s="351"/>
      <c r="V17" s="351">
        <f>AVERAGE(80%,85%)</f>
        <v>0.82499999999999996</v>
      </c>
      <c r="W17" s="356">
        <v>15.1</v>
      </c>
      <c r="X17" s="313" t="str" cm="1">
        <f t="array" ref="X17">_xlfn.IFS($F17&lt;Glossary!$C$54,Glossary!$B$54,$F17&lt;Glossary!$C$55,Glossary!$B$55,$F17&gt;Glossary!$C$56,Glossary!$B$56)</f>
        <v>Small Cap</v>
      </c>
      <c r="Y17" s="313" t="s">
        <v>146</v>
      </c>
      <c r="Z17" s="313" t="s">
        <v>133</v>
      </c>
      <c r="AA17" s="351">
        <v>0.55120000000000002</v>
      </c>
      <c r="AB17" s="423"/>
      <c r="AC17" s="400" t="s">
        <v>1180</v>
      </c>
      <c r="AD17" s="400" t="s">
        <v>1180</v>
      </c>
      <c r="AE17" s="400" t="s">
        <v>1180</v>
      </c>
      <c r="AF17" s="423"/>
      <c r="AG17" s="309"/>
      <c r="AH17" s="353"/>
      <c r="AI17" s="313"/>
      <c r="AJ17" s="313"/>
      <c r="AK17" s="353"/>
      <c r="AL17" s="313"/>
      <c r="AM17" s="313"/>
      <c r="AN17" s="353"/>
      <c r="AO17" s="313"/>
      <c r="AP17" s="353"/>
      <c r="AQ17" s="313" t="s">
        <v>41</v>
      </c>
      <c r="AR17" s="313"/>
      <c r="AS17" s="353"/>
      <c r="AT17" s="312"/>
      <c r="AU17" s="354" t="s">
        <v>196</v>
      </c>
      <c r="AV17" s="353">
        <v>51.7</v>
      </c>
      <c r="AW17" s="313">
        <v>51.7</v>
      </c>
      <c r="AX17" s="313">
        <v>51.7</v>
      </c>
      <c r="AY17" s="353">
        <v>53</v>
      </c>
      <c r="AZ17" s="313">
        <v>43</v>
      </c>
      <c r="BA17" s="313">
        <v>35</v>
      </c>
      <c r="BB17" s="313">
        <v>28</v>
      </c>
      <c r="BC17" s="355">
        <v>45.88</v>
      </c>
      <c r="BD17" s="356"/>
      <c r="BE17" s="356"/>
      <c r="BF17" s="357"/>
      <c r="BG17" s="358"/>
      <c r="BH17" s="359"/>
      <c r="BI17" s="359"/>
      <c r="BJ17" s="359"/>
      <c r="BK17" s="358"/>
      <c r="BL17" s="359">
        <v>0.23</v>
      </c>
      <c r="BM17" s="359">
        <v>0.22</v>
      </c>
      <c r="BN17" s="359">
        <v>0.19</v>
      </c>
      <c r="BO17" s="355">
        <v>0.2</v>
      </c>
      <c r="BP17" s="356">
        <v>0.3</v>
      </c>
      <c r="BQ17" s="356">
        <v>0.4</v>
      </c>
      <c r="BR17" s="357">
        <v>0.5</v>
      </c>
      <c r="BS17" s="355">
        <v>0.84</v>
      </c>
      <c r="BT17" s="356">
        <v>0.8</v>
      </c>
      <c r="BU17" s="360">
        <v>0.87</v>
      </c>
      <c r="BV17" s="359"/>
      <c r="BW17" s="359"/>
      <c r="BX17" s="361"/>
      <c r="BY17" s="359"/>
      <c r="BZ17" s="359"/>
      <c r="CA17" s="361"/>
      <c r="CB17" s="359"/>
      <c r="CC17" s="359"/>
      <c r="CD17" s="359"/>
      <c r="CE17" s="362">
        <f t="shared" si="0"/>
        <v>0.17294989188603346</v>
      </c>
      <c r="CF17" s="368" t="str">
        <f>IF(CE17&gt;='Conviction List'!$D$8,1,"")</f>
        <v/>
      </c>
      <c r="CG17" s="312">
        <f>IF(M17&lt;='Conviction List'!$E$8,1,"")</f>
        <v>1</v>
      </c>
      <c r="CH17" s="312" t="str">
        <f>IF(BG17&gt;='Conviction List'!$F$8,1,"")</f>
        <v/>
      </c>
      <c r="CI17" s="312" t="str">
        <f>IF(BK17&gt;='Conviction List'!$G$8,1,"")</f>
        <v/>
      </c>
      <c r="CJ17" s="365">
        <f t="shared" si="9"/>
        <v>1</v>
      </c>
      <c r="CK17" s="424">
        <f t="shared" ca="1" si="2"/>
        <v>19</v>
      </c>
    </row>
    <row r="18" spans="2:89" s="384" customFormat="1" x14ac:dyDescent="0.25">
      <c r="B18" s="312">
        <f t="shared" si="7"/>
        <v>16</v>
      </c>
      <c r="C18" s="381" t="s">
        <v>40</v>
      </c>
      <c r="D18" s="367" t="s">
        <v>414</v>
      </c>
      <c r="E18" s="312" t="s">
        <v>109</v>
      </c>
      <c r="F18" s="350">
        <f>_xlfn.XLOOKUP(CCA_Defense!$D18,BB_Input!$C$4:$C$172,BB_Input!$G$4:$G$172)</f>
        <v>31344.866794862148</v>
      </c>
      <c r="G18" s="364">
        <v>2021</v>
      </c>
      <c r="H18" s="364">
        <f t="shared" ca="1" si="4"/>
        <v>5</v>
      </c>
      <c r="I18" s="313" t="s">
        <v>281</v>
      </c>
      <c r="J18" s="313" t="s">
        <v>971</v>
      </c>
      <c r="K18" s="313"/>
      <c r="L18" s="313"/>
      <c r="M18" s="312">
        <v>105</v>
      </c>
      <c r="N18" s="313">
        <f>IFERROR(_xlfn.XLOOKUP($D18,PE_Projections!$D:$D,PE_Projections!L:L),"")</f>
        <v>66.283298742700055</v>
      </c>
      <c r="O18" s="313">
        <f>IFERROR(_xlfn.XLOOKUP($D18,PE_Projections!$D:$D,PE_Projections!M:M),"")</f>
        <v>52.057926875756309</v>
      </c>
      <c r="P18" s="313">
        <f>IFERROR(_xlfn.XLOOKUP($D18,PE_Projections!$D:$D,PE_Projections!N:N),"")</f>
        <v>46.357757602305512</v>
      </c>
      <c r="Q18" s="313">
        <f>IFERROR(_xlfn.XLOOKUP($D18,PE_Projections!$D:$D,PE_Projections!O:O),"")</f>
        <v>50.407074524818576</v>
      </c>
      <c r="R18" s="313" t="str">
        <f>IFERROR(_xlfn.XLOOKUP($D18,PE_Projections!$D:$D,PE_Projections!P:P),"")</f>
        <v/>
      </c>
      <c r="S18" s="381"/>
      <c r="T18" s="351">
        <f t="shared" si="8"/>
        <v>9.0495011157345845E-2</v>
      </c>
      <c r="U18" s="351"/>
      <c r="V18" s="351">
        <v>1</v>
      </c>
      <c r="W18" s="356">
        <v>0.1</v>
      </c>
      <c r="X18" s="313" t="str" cm="1">
        <f t="array" ref="X18">_xlfn.IFS($F18&lt;Glossary!$C$54,Glossary!$B$54,$F18&lt;Glossary!$C$55,Glossary!$B$55,$F18&gt;Glossary!$C$56,Glossary!$B$56)</f>
        <v>Large Cap</v>
      </c>
      <c r="Y18" s="313" t="s">
        <v>152</v>
      </c>
      <c r="Z18" s="313" t="s">
        <v>134</v>
      </c>
      <c r="AA18" s="351"/>
      <c r="AB18" s="423"/>
      <c r="AC18" s="400" t="s">
        <v>1180</v>
      </c>
      <c r="AD18" s="400" t="s">
        <v>1180</v>
      </c>
      <c r="AE18" s="400" t="s">
        <v>1180</v>
      </c>
      <c r="AF18" s="423"/>
      <c r="AG18" s="309" t="s">
        <v>360</v>
      </c>
      <c r="AH18" s="353" t="s">
        <v>41</v>
      </c>
      <c r="AI18" s="313" t="s">
        <v>41</v>
      </c>
      <c r="AJ18" s="313" t="s">
        <v>41</v>
      </c>
      <c r="AK18" s="382"/>
      <c r="AL18" s="381"/>
      <c r="AM18" s="313" t="s">
        <v>41</v>
      </c>
      <c r="AN18" s="382"/>
      <c r="AO18" s="381"/>
      <c r="AP18" s="382"/>
      <c r="AQ18" s="313" t="s">
        <v>41</v>
      </c>
      <c r="AR18" s="381"/>
      <c r="AS18" s="382"/>
      <c r="AT18" s="381"/>
      <c r="AU18" s="354" t="s">
        <v>264</v>
      </c>
      <c r="AV18" s="353"/>
      <c r="AW18" s="313"/>
      <c r="AX18" s="313"/>
      <c r="AY18" s="353">
        <v>78514</v>
      </c>
      <c r="AZ18" s="313">
        <v>67957</v>
      </c>
      <c r="BA18" s="313">
        <v>59465</v>
      </c>
      <c r="BB18" s="313">
        <v>50913</v>
      </c>
      <c r="BC18" s="355"/>
      <c r="BD18" s="356"/>
      <c r="BE18" s="356"/>
      <c r="BF18" s="357"/>
      <c r="BG18" s="358"/>
      <c r="BH18" s="359"/>
      <c r="BI18" s="359"/>
      <c r="BJ18" s="359"/>
      <c r="BK18" s="358"/>
      <c r="BL18" s="359"/>
      <c r="BM18" s="359"/>
      <c r="BN18" s="359"/>
      <c r="BO18" s="355"/>
      <c r="BP18" s="356"/>
      <c r="BQ18" s="356"/>
      <c r="BR18" s="357"/>
      <c r="BS18" s="355"/>
      <c r="BT18" s="356"/>
      <c r="BU18" s="360"/>
      <c r="BV18" s="359"/>
      <c r="BW18" s="359"/>
      <c r="BX18" s="361"/>
      <c r="BY18" s="359"/>
      <c r="BZ18" s="359"/>
      <c r="CA18" s="361"/>
      <c r="CB18" s="359"/>
      <c r="CC18" s="359"/>
      <c r="CD18" s="359"/>
      <c r="CE18" s="369">
        <f t="shared" si="0"/>
        <v>0.11437049252876945</v>
      </c>
      <c r="CF18" s="383" t="str">
        <f>IF(CE18&gt;='Conviction List'!$D$4,1,"")</f>
        <v/>
      </c>
      <c r="CG18" s="364">
        <f>IF(M16&lt;='Conviction List'!$E$4,1,"")</f>
        <v>1</v>
      </c>
      <c r="CH18" s="364" t="str">
        <f>IF(BG18&gt;='Conviction List'!$F$4,1,"")</f>
        <v/>
      </c>
      <c r="CI18" s="364" t="str">
        <f>IF(BK18&gt;='Conviction List'!$G$4,1,"")</f>
        <v/>
      </c>
      <c r="CJ18" s="365">
        <f t="shared" si="9"/>
        <v>1</v>
      </c>
      <c r="CK18" s="424">
        <f t="shared" ca="1" si="2"/>
        <v>20</v>
      </c>
    </row>
    <row r="19" spans="2:89" x14ac:dyDescent="0.25">
      <c r="B19" s="366">
        <f t="shared" si="7"/>
        <v>17</v>
      </c>
      <c r="C19" s="311" t="s">
        <v>104</v>
      </c>
      <c r="D19" s="349" t="s">
        <v>110</v>
      </c>
      <c r="E19" s="312" t="s">
        <v>110</v>
      </c>
      <c r="F19" s="350">
        <f>_xlfn.XLOOKUP(CCA_Defense!$D19,BB_Input!$C$4:$C$172,BB_Input!$G$4:$G$172)</f>
        <v>183.75245428899439</v>
      </c>
      <c r="G19" s="364">
        <v>1986</v>
      </c>
      <c r="H19" s="364">
        <f t="shared" ca="1" si="4"/>
        <v>40</v>
      </c>
      <c r="I19" s="313" t="s">
        <v>280</v>
      </c>
      <c r="J19" s="313" t="s">
        <v>972</v>
      </c>
      <c r="K19" s="313"/>
      <c r="L19" s="313"/>
      <c r="M19" s="312">
        <v>59</v>
      </c>
      <c r="N19" s="313">
        <f>IFERROR(_xlfn.XLOOKUP($D19,PE_Projections!$D:$D,PE_Projections!L:L),"")</f>
        <v>44.785977228963084</v>
      </c>
      <c r="O19" s="313">
        <f>IFERROR(_xlfn.XLOOKUP($D19,PE_Projections!$D:$D,PE_Projections!M:M),"")</f>
        <v>32.741084482103304</v>
      </c>
      <c r="P19" s="313">
        <f>IFERROR(_xlfn.XLOOKUP($D19,PE_Projections!$D:$D,PE_Projections!N:N),"")</f>
        <v>23.965090652809675</v>
      </c>
      <c r="Q19" s="313">
        <f>IFERROR(_xlfn.XLOOKUP($D19,PE_Projections!$D:$D,PE_Projections!O:O),"")</f>
        <v>17.854307451638356</v>
      </c>
      <c r="R19" s="313">
        <f>IFERROR(_xlfn.XLOOKUP($D19,PE_Projections!$D:$D,PE_Projections!P:P),"")</f>
        <v>13.527146102546062</v>
      </c>
      <c r="S19" s="311"/>
      <c r="T19" s="351">
        <f t="shared" si="8"/>
        <v>1.0662907796143433</v>
      </c>
      <c r="U19" s="351"/>
      <c r="V19" s="351">
        <f>AVERAGE(60%,70%)</f>
        <v>0.64999999999999991</v>
      </c>
      <c r="W19" s="356"/>
      <c r="X19" s="313" t="str" cm="1">
        <f t="array" ref="X19">_xlfn.IFS($F19&lt;Glossary!$C$54,Glossary!$B$54,$F19&lt;Glossary!$C$55,Glossary!$B$55,$F19&gt;Glossary!$C$56,Glossary!$B$56)</f>
        <v>Small Cap</v>
      </c>
      <c r="Y19" s="313" t="s">
        <v>153</v>
      </c>
      <c r="Z19" s="313" t="s">
        <v>134</v>
      </c>
      <c r="AA19" s="351">
        <v>0.53739999999999999</v>
      </c>
      <c r="AB19" s="423"/>
      <c r="AC19" s="400" t="s">
        <v>1180</v>
      </c>
      <c r="AD19" s="400" t="s">
        <v>1180</v>
      </c>
      <c r="AE19" s="400" t="s">
        <v>1180</v>
      </c>
      <c r="AF19" s="423"/>
      <c r="AG19" s="309"/>
      <c r="AH19" s="385"/>
      <c r="AI19" s="311"/>
      <c r="AJ19" s="311"/>
      <c r="AK19" s="385"/>
      <c r="AL19" s="311"/>
      <c r="AM19" s="311"/>
      <c r="AN19" s="385"/>
      <c r="AO19" s="311"/>
      <c r="AP19" s="385"/>
      <c r="AQ19" s="313" t="s">
        <v>41</v>
      </c>
      <c r="AR19" s="311"/>
      <c r="AS19" s="385"/>
      <c r="AT19" s="311"/>
      <c r="AU19" s="354" t="s">
        <v>196</v>
      </c>
      <c r="AV19" s="353">
        <v>13.3</v>
      </c>
      <c r="AW19" s="313">
        <v>13.3</v>
      </c>
      <c r="AX19" s="313">
        <v>13.3</v>
      </c>
      <c r="AY19" s="353">
        <v>113</v>
      </c>
      <c r="AZ19" s="313">
        <v>32</v>
      </c>
      <c r="BA19" s="313">
        <v>12</v>
      </c>
      <c r="BB19" s="313">
        <v>3</v>
      </c>
      <c r="BC19" s="355">
        <v>38</v>
      </c>
      <c r="BD19" s="356">
        <v>44.1</v>
      </c>
      <c r="BE19" s="356"/>
      <c r="BF19" s="357"/>
      <c r="BG19" s="358"/>
      <c r="BH19" s="359">
        <v>0.14199999999999999</v>
      </c>
      <c r="BI19" s="359"/>
      <c r="BJ19" s="359"/>
      <c r="BK19" s="358"/>
      <c r="BL19" s="359"/>
      <c r="BM19" s="359"/>
      <c r="BN19" s="359"/>
      <c r="BO19" s="355">
        <v>3.9</v>
      </c>
      <c r="BP19" s="356">
        <v>3.9</v>
      </c>
      <c r="BQ19" s="356">
        <v>2.1</v>
      </c>
      <c r="BR19" s="357">
        <v>0.9</v>
      </c>
      <c r="BS19" s="355">
        <v>0.37</v>
      </c>
      <c r="BT19" s="356">
        <v>0.27</v>
      </c>
      <c r="BU19" s="360">
        <v>0.02</v>
      </c>
      <c r="BV19" s="359"/>
      <c r="BW19" s="359"/>
      <c r="BX19" s="361"/>
      <c r="BY19" s="359"/>
      <c r="BZ19" s="359"/>
      <c r="CA19" s="361"/>
      <c r="CB19" s="359"/>
      <c r="CC19" s="359"/>
      <c r="CD19" s="359"/>
      <c r="CE19" s="362">
        <f t="shared" si="0"/>
        <v>1.477361004477814</v>
      </c>
      <c r="CF19" s="368">
        <f>IF(CE19&gt;='Conviction List'!$D$8,1,"")</f>
        <v>1</v>
      </c>
      <c r="CG19" s="312">
        <f>IF(M19&lt;='Conviction List'!$E$8,1,"")</f>
        <v>1</v>
      </c>
      <c r="CH19" s="312" t="str">
        <f>IF(BG19&gt;='Conviction List'!$F$8,1,"")</f>
        <v/>
      </c>
      <c r="CI19" s="312" t="str">
        <f>IF(BK19&gt;='Conviction List'!$G$8,1,"")</f>
        <v/>
      </c>
      <c r="CJ19" s="365">
        <f t="shared" si="9"/>
        <v>2</v>
      </c>
      <c r="CK19" s="424">
        <f t="shared" ca="1" si="2"/>
        <v>21</v>
      </c>
    </row>
    <row r="20" spans="2:89" x14ac:dyDescent="0.25">
      <c r="B20" s="386">
        <f t="shared" si="7"/>
        <v>18</v>
      </c>
      <c r="C20" s="377" t="s">
        <v>154</v>
      </c>
      <c r="D20" s="349" t="s">
        <v>157</v>
      </c>
      <c r="E20" s="371" t="s">
        <v>157</v>
      </c>
      <c r="F20" s="350">
        <f>_xlfn.XLOOKUP(CCA_Defense!$D20,BB_Input!$C$4:$C$172,BB_Input!$G$4:$G$172)</f>
        <v>1191.4721106679779</v>
      </c>
      <c r="G20" s="364">
        <v>1983</v>
      </c>
      <c r="H20" s="364">
        <f t="shared" ca="1" si="4"/>
        <v>43</v>
      </c>
      <c r="I20" s="372" t="s">
        <v>280</v>
      </c>
      <c r="J20" s="313" t="s">
        <v>977</v>
      </c>
      <c r="K20" s="313"/>
      <c r="L20" s="313" t="s">
        <v>1085</v>
      </c>
      <c r="M20" s="371">
        <v>108</v>
      </c>
      <c r="N20" s="313">
        <f>IFERROR(_xlfn.XLOOKUP($D20,PE_Projections!$D:$D,PE_Projections!L:L),"")</f>
        <v>84.32863542279388</v>
      </c>
      <c r="O20" s="313">
        <f>IFERROR(_xlfn.XLOOKUP($D20,PE_Projections!$D:$D,PE_Projections!M:M),"")</f>
        <v>55.772907025657339</v>
      </c>
      <c r="P20" s="313">
        <f>IFERROR(_xlfn.XLOOKUP($D20,PE_Projections!$D:$D,PE_Projections!N:N),"")</f>
        <v>36.886843270937391</v>
      </c>
      <c r="Q20" s="313">
        <f>IFERROR(_xlfn.XLOOKUP($D20,PE_Projections!$D:$D,PE_Projections!O:O),"")</f>
        <v>24.396060364376581</v>
      </c>
      <c r="R20" s="313">
        <f>IFERROR(_xlfn.XLOOKUP($D20,PE_Projections!$D:$D,PE_Projections!P:P),"")</f>
        <v>16.134960558450118</v>
      </c>
      <c r="S20" s="387">
        <v>27</v>
      </c>
      <c r="T20" s="351">
        <f t="shared" si="8"/>
        <v>0.18772564182493784</v>
      </c>
      <c r="U20" s="351">
        <v>0.44</v>
      </c>
      <c r="V20" s="351">
        <f>AVERAGE(60%,70%)</f>
        <v>0.64999999999999991</v>
      </c>
      <c r="W20" s="356">
        <v>6.3</v>
      </c>
      <c r="X20" s="372" t="str" cm="1">
        <f t="array" ref="X20">_xlfn.IFS($F20&lt;Glossary!$C$54,Glossary!$B$54,$F20&lt;Glossary!$C$55,Glossary!$B$55,$F20&gt;Glossary!$C$56,Glossary!$B$56)</f>
        <v>Small Cap</v>
      </c>
      <c r="Y20" s="371" t="s">
        <v>146</v>
      </c>
      <c r="Z20" s="371" t="s">
        <v>134</v>
      </c>
      <c r="AA20" s="388">
        <v>0.60319999999999996</v>
      </c>
      <c r="AB20" s="423"/>
      <c r="AC20" s="400" t="s">
        <v>1180</v>
      </c>
      <c r="AD20" s="400" t="s">
        <v>1180</v>
      </c>
      <c r="AE20" s="400" t="s">
        <v>1180</v>
      </c>
      <c r="AF20" s="423"/>
      <c r="AG20" s="310"/>
      <c r="AH20" s="389"/>
      <c r="AI20" s="387"/>
      <c r="AJ20" s="387"/>
      <c r="AK20" s="389"/>
      <c r="AL20" s="387"/>
      <c r="AM20" s="387"/>
      <c r="AN20" s="389"/>
      <c r="AO20" s="387"/>
      <c r="AP20" s="389"/>
      <c r="AQ20" s="387"/>
      <c r="AR20" s="387"/>
      <c r="AS20" s="389"/>
      <c r="AT20" s="387" t="s">
        <v>41</v>
      </c>
      <c r="AU20" s="374" t="s">
        <v>199</v>
      </c>
      <c r="AV20" s="373">
        <v>78</v>
      </c>
      <c r="AW20" s="372">
        <v>78</v>
      </c>
      <c r="AX20" s="372">
        <v>78</v>
      </c>
      <c r="AY20" s="373">
        <v>52</v>
      </c>
      <c r="AZ20" s="372">
        <v>40</v>
      </c>
      <c r="BA20" s="372">
        <v>29</v>
      </c>
      <c r="BB20" s="372">
        <v>22</v>
      </c>
      <c r="BC20" s="390">
        <v>58.74</v>
      </c>
      <c r="BD20" s="391"/>
      <c r="BE20" s="391"/>
      <c r="BF20" s="392"/>
      <c r="BG20" s="393">
        <v>0.216</v>
      </c>
      <c r="BH20" s="394"/>
      <c r="BI20" s="394"/>
      <c r="BJ20" s="394"/>
      <c r="BK20" s="393">
        <v>0.12230000000000001</v>
      </c>
      <c r="BL20" s="394">
        <v>0.22</v>
      </c>
      <c r="BM20" s="394">
        <v>0.16</v>
      </c>
      <c r="BN20" s="394">
        <v>0.22</v>
      </c>
      <c r="BO20" s="390"/>
      <c r="BP20" s="391"/>
      <c r="BQ20" s="391"/>
      <c r="BR20" s="392"/>
      <c r="BS20" s="390" t="s">
        <v>277</v>
      </c>
      <c r="BT20" s="391"/>
      <c r="BU20" s="395"/>
      <c r="BV20" s="394"/>
      <c r="BW20" s="394"/>
      <c r="BX20" s="396"/>
      <c r="BY20" s="394"/>
      <c r="BZ20" s="394"/>
      <c r="CA20" s="396"/>
      <c r="CB20" s="394"/>
      <c r="CC20" s="394"/>
      <c r="CD20" s="394"/>
      <c r="CE20" s="397">
        <f t="shared" si="0"/>
        <v>0.23992428380591618</v>
      </c>
      <c r="CF20" s="398" t="str">
        <f>IF(CE20&gt;='Conviction List'!$D$9,1,"")</f>
        <v/>
      </c>
      <c r="CG20" s="371">
        <f>IF(M20&lt;='Conviction List'!$E$9,1,"")</f>
        <v>1</v>
      </c>
      <c r="CH20" s="371">
        <f>IF(BG20&gt;='Conviction List'!$F$9,1,"")</f>
        <v>1</v>
      </c>
      <c r="CI20" s="371">
        <f>IF(BK20&gt;='Conviction List'!$G$9,1,"")</f>
        <v>1</v>
      </c>
      <c r="CJ20" s="375">
        <f t="shared" si="9"/>
        <v>3</v>
      </c>
      <c r="CK20" s="424">
        <f t="shared" ca="1" si="2"/>
        <v>27</v>
      </c>
    </row>
    <row r="21" spans="2:89" x14ac:dyDescent="0.25">
      <c r="B21" s="366">
        <f t="shared" si="7"/>
        <v>19</v>
      </c>
      <c r="C21" s="377" t="s">
        <v>105</v>
      </c>
      <c r="D21" s="367" t="s">
        <v>415</v>
      </c>
      <c r="E21" s="312" t="s">
        <v>112</v>
      </c>
      <c r="F21" s="350">
        <f>_xlfn.XLOOKUP(CCA_Defense!$D21,BB_Input!$C$4:$C$172,BB_Input!$G$4:$G$172)</f>
        <v>1399.8115236287513</v>
      </c>
      <c r="G21" s="364">
        <v>1993</v>
      </c>
      <c r="H21" s="364">
        <f t="shared" ca="1" si="4"/>
        <v>33</v>
      </c>
      <c r="I21" s="313" t="s">
        <v>280</v>
      </c>
      <c r="J21" s="313" t="s">
        <v>974</v>
      </c>
      <c r="K21" s="313"/>
      <c r="L21" s="313" t="s">
        <v>1085</v>
      </c>
      <c r="M21" s="312">
        <v>61</v>
      </c>
      <c r="N21" s="313">
        <f>IFERROR(_xlfn.XLOOKUP($D21,PE_Projections!$D:$D,PE_Projections!L:L),"")</f>
        <v>46.506808441338045</v>
      </c>
      <c r="O21" s="313">
        <f>IFERROR(_xlfn.XLOOKUP($D21,PE_Projections!$D:$D,PE_Projections!M:M),"")</f>
        <v>30.078892804191884</v>
      </c>
      <c r="P21" s="313">
        <f>IFERROR(_xlfn.XLOOKUP($D21,PE_Projections!$D:$D,PE_Projections!N:N),"")</f>
        <v>23.192366577824885</v>
      </c>
      <c r="Q21" s="313" t="str">
        <f>IFERROR(_xlfn.XLOOKUP($D21,PE_Projections!$D:$D,PE_Projections!O:O),"")</f>
        <v/>
      </c>
      <c r="R21" s="313" t="str">
        <f>IFERROR(_xlfn.XLOOKUP($D21,PE_Projections!$D:$D,PE_Projections!P:P),"")</f>
        <v/>
      </c>
      <c r="S21" s="311"/>
      <c r="T21" s="351">
        <f t="shared" si="8"/>
        <v>0.39868041650340957</v>
      </c>
      <c r="U21" s="351"/>
      <c r="V21" s="351">
        <f>AVERAGE(70%,80%)</f>
        <v>0.75</v>
      </c>
      <c r="W21" s="356">
        <v>1</v>
      </c>
      <c r="X21" s="313" t="str" cm="1">
        <f t="array" ref="X21">_xlfn.IFS($F21&lt;Glossary!$C$54,Glossary!$B$54,$F21&lt;Glossary!$C$55,Glossary!$B$55,$F21&gt;Glossary!$C$56,Glossary!$B$56)</f>
        <v>Small Cap</v>
      </c>
      <c r="Y21" s="313" t="s">
        <v>146</v>
      </c>
      <c r="Z21" s="313" t="s">
        <v>134</v>
      </c>
      <c r="AA21" s="351">
        <v>0.49049999999999999</v>
      </c>
      <c r="AB21" s="423"/>
      <c r="AC21" s="400" t="s">
        <v>1181</v>
      </c>
      <c r="AD21" s="400" t="s">
        <v>1180</v>
      </c>
      <c r="AE21" s="400" t="s">
        <v>1180</v>
      </c>
      <c r="AF21" s="423"/>
      <c r="AG21" s="309"/>
      <c r="AH21" s="385"/>
      <c r="AI21" s="311"/>
      <c r="AJ21" s="311"/>
      <c r="AK21" s="385"/>
      <c r="AL21" s="311"/>
      <c r="AM21" s="311"/>
      <c r="AN21" s="385"/>
      <c r="AO21" s="311"/>
      <c r="AP21" s="385"/>
      <c r="AQ21" s="311"/>
      <c r="AR21" s="312" t="s">
        <v>41</v>
      </c>
      <c r="AS21" s="385"/>
      <c r="AT21" s="311"/>
      <c r="AU21" s="354" t="s">
        <v>196</v>
      </c>
      <c r="AV21" s="353">
        <v>83.2</v>
      </c>
      <c r="AW21" s="313">
        <v>83.2</v>
      </c>
      <c r="AX21" s="313">
        <v>83.2</v>
      </c>
      <c r="AY21" s="353">
        <v>91</v>
      </c>
      <c r="AZ21" s="313">
        <v>53</v>
      </c>
      <c r="BA21" s="313">
        <v>26</v>
      </c>
      <c r="BB21" s="313">
        <v>17</v>
      </c>
      <c r="BC21" s="355">
        <v>38.700000000000003</v>
      </c>
      <c r="BD21" s="356">
        <v>41.2</v>
      </c>
      <c r="BE21" s="356"/>
      <c r="BF21" s="357"/>
      <c r="BG21" s="358">
        <v>0.26079999999999998</v>
      </c>
      <c r="BH21" s="359">
        <v>0.26900000000000002</v>
      </c>
      <c r="BI21" s="359">
        <v>8.5000000000000006E-2</v>
      </c>
      <c r="BJ21" s="359">
        <v>3.0000000000000001E-3</v>
      </c>
      <c r="BK21" s="358">
        <v>0.36709999999999998</v>
      </c>
      <c r="BL21" s="359">
        <v>0.33</v>
      </c>
      <c r="BM21" s="359"/>
      <c r="BN21" s="359"/>
      <c r="BO21" s="355"/>
      <c r="BP21" s="356"/>
      <c r="BQ21" s="356"/>
      <c r="BR21" s="357"/>
      <c r="BS21" s="355">
        <v>0</v>
      </c>
      <c r="BT21" s="356">
        <v>0.02</v>
      </c>
      <c r="BU21" s="360">
        <v>0.04</v>
      </c>
      <c r="BV21" s="359"/>
      <c r="BW21" s="359"/>
      <c r="BX21" s="361"/>
      <c r="BY21" s="359"/>
      <c r="BZ21" s="359"/>
      <c r="CA21" s="361"/>
      <c r="CB21" s="359"/>
      <c r="CC21" s="359"/>
      <c r="CD21" s="359"/>
      <c r="CE21" s="362">
        <f t="shared" si="0"/>
        <v>0.52106620652198821</v>
      </c>
      <c r="CF21" s="368">
        <f>IF(CE21&gt;='Conviction List'!$D$8,1,"")</f>
        <v>1</v>
      </c>
      <c r="CG21" s="312">
        <f>IF(M21&lt;='Conviction List'!$E$8,1,"")</f>
        <v>1</v>
      </c>
      <c r="CH21" s="312">
        <f>IF(BG21&gt;='Conviction List'!$F$8,1,"")</f>
        <v>1</v>
      </c>
      <c r="CI21" s="312">
        <f>IF(BK21&gt;='Conviction List'!$G$8,1,"")</f>
        <v>1</v>
      </c>
      <c r="CJ21" s="365">
        <f t="shared" si="9"/>
        <v>4</v>
      </c>
      <c r="CK21" s="424">
        <f t="shared" ca="1" si="2"/>
        <v>23</v>
      </c>
    </row>
    <row r="22" spans="2:89" x14ac:dyDescent="0.25">
      <c r="B22" s="366">
        <f t="shared" si="7"/>
        <v>20</v>
      </c>
      <c r="C22" s="311" t="s">
        <v>394</v>
      </c>
      <c r="D22" s="349" t="s">
        <v>401</v>
      </c>
      <c r="E22" s="312" t="s">
        <v>401</v>
      </c>
      <c r="F22" s="350">
        <f>_xlfn.XLOOKUP(CCA_Defense!$D22,BB_Input!$C$4:$C$172,BB_Input!$G$4:$G$172)</f>
        <v>91.853864980894514</v>
      </c>
      <c r="G22" s="364">
        <v>2012</v>
      </c>
      <c r="H22" s="364">
        <f t="shared" ca="1" si="4"/>
        <v>14</v>
      </c>
      <c r="I22" s="313" t="s">
        <v>280</v>
      </c>
      <c r="J22" s="313" t="s">
        <v>1009</v>
      </c>
      <c r="K22" s="313"/>
      <c r="L22" s="313" t="s">
        <v>1085</v>
      </c>
      <c r="M22" s="399">
        <v>36</v>
      </c>
      <c r="N22" s="313">
        <f>IFERROR(_xlfn.XLOOKUP($D22,PE_Projections!$D:$D,PE_Projections!L:L),"")</f>
        <v>20.472867216503555</v>
      </c>
      <c r="O22" s="313">
        <f>IFERROR(_xlfn.XLOOKUP($D22,PE_Projections!$D:$D,PE_Projections!M:M),"")</f>
        <v>17.930853193332471</v>
      </c>
      <c r="P22" s="313">
        <f>IFERROR(_xlfn.XLOOKUP($D22,PE_Projections!$D:$D,PE_Projections!N:N),"")</f>
        <v>15.704468399114205</v>
      </c>
      <c r="Q22" s="313">
        <f>IFERROR(_xlfn.XLOOKUP($D22,PE_Projections!$D:$D,PE_Projections!O:O),"")</f>
        <v>13.754522723463342</v>
      </c>
      <c r="R22" s="313">
        <f>IFERROR(_xlfn.XLOOKUP($D22,PE_Projections!$D:$D,PE_Projections!P:P),"")</f>
        <v>12.046692096941042</v>
      </c>
      <c r="S22" s="312">
        <v>180</v>
      </c>
      <c r="T22" s="351" t="str">
        <f t="shared" si="8"/>
        <v/>
      </c>
      <c r="U22" s="351">
        <v>0.44269999999999998</v>
      </c>
      <c r="V22" s="400">
        <v>0.36499999999999999</v>
      </c>
      <c r="W22" s="356"/>
      <c r="X22" s="313" t="str" cm="1">
        <f t="array" ref="X22">_xlfn.IFS($F22&lt;Glossary!$C$54,Glossary!$B$54,$F22&lt;Glossary!$C$55,Glossary!$B$55,$F22&gt;Glossary!$C$56,Glossary!$B$56)</f>
        <v>Small Cap</v>
      </c>
      <c r="Y22" s="312" t="s">
        <v>152</v>
      </c>
      <c r="Z22" s="312" t="s">
        <v>133</v>
      </c>
      <c r="AA22" s="400">
        <v>0.41450000000000004</v>
      </c>
      <c r="AB22" s="423"/>
      <c r="AC22" s="400" t="s">
        <v>1180</v>
      </c>
      <c r="AD22" s="400" t="s">
        <v>1180</v>
      </c>
      <c r="AE22" s="400" t="s">
        <v>1180</v>
      </c>
      <c r="AF22" s="423" t="s">
        <v>1089</v>
      </c>
      <c r="AG22" s="311"/>
      <c r="AH22" s="385"/>
      <c r="AI22" s="311"/>
      <c r="AJ22" s="311"/>
      <c r="AK22" s="379"/>
      <c r="AL22" s="311"/>
      <c r="AM22" s="311"/>
      <c r="AN22" s="385"/>
      <c r="AO22" s="311"/>
      <c r="AP22" s="385"/>
      <c r="AQ22" s="312" t="s">
        <v>41</v>
      </c>
      <c r="AR22" s="311"/>
      <c r="AS22" s="385"/>
      <c r="AT22" s="311"/>
      <c r="AU22" s="401" t="s">
        <v>196</v>
      </c>
      <c r="AV22" s="353">
        <v>16.64</v>
      </c>
      <c r="AW22" s="312">
        <v>17</v>
      </c>
      <c r="AX22" s="312">
        <v>1.5</v>
      </c>
      <c r="AY22" s="353">
        <v>13.2</v>
      </c>
      <c r="AZ22" s="313">
        <v>4.7</v>
      </c>
      <c r="BA22" s="313">
        <v>0.92</v>
      </c>
      <c r="BB22" s="313"/>
      <c r="BC22" s="402">
        <v>24.7</v>
      </c>
      <c r="BD22" s="311"/>
      <c r="BE22" s="311"/>
      <c r="BF22" s="403"/>
      <c r="BG22" s="404">
        <v>0.1774</v>
      </c>
      <c r="BH22" s="405">
        <v>0.16059999999999999</v>
      </c>
      <c r="BI22" s="405"/>
      <c r="BJ22" s="405"/>
      <c r="BK22" s="358">
        <v>0.26</v>
      </c>
      <c r="BL22" s="359">
        <v>0.22500000000000001</v>
      </c>
      <c r="BM22" s="359">
        <v>0.35</v>
      </c>
      <c r="BN22" s="359"/>
      <c r="BO22" s="406">
        <v>1.63</v>
      </c>
      <c r="BP22" s="311"/>
      <c r="BQ22" s="311"/>
      <c r="BR22" s="403"/>
      <c r="BS22" s="406">
        <v>0.24</v>
      </c>
      <c r="BT22" s="311"/>
      <c r="BU22" s="403"/>
      <c r="BV22" s="311"/>
      <c r="BW22" s="311"/>
      <c r="BX22" s="403"/>
      <c r="BY22" s="311"/>
      <c r="BZ22" s="311"/>
      <c r="CA22" s="403"/>
      <c r="CB22" s="311"/>
      <c r="CC22" s="311"/>
      <c r="CD22" s="311"/>
      <c r="CE22" s="407"/>
      <c r="CF22" s="368" t="str">
        <f>IF(CE22&gt;='Conviction List'!$D$8,1,"")</f>
        <v/>
      </c>
      <c r="CG22" s="312">
        <f>IF(M22&lt;='Conviction List'!$E$8,1,"")</f>
        <v>1</v>
      </c>
      <c r="CH22" s="312">
        <f>IF(BG22&gt;='Conviction List'!$F$8,1,"")</f>
        <v>1</v>
      </c>
      <c r="CI22" s="312">
        <f>IF(BK22&gt;='Conviction List'!$G$8,1,"")</f>
        <v>1</v>
      </c>
      <c r="CJ22" s="365">
        <f t="shared" si="9"/>
        <v>3</v>
      </c>
      <c r="CK22" s="424">
        <f t="shared" ca="1" si="2"/>
        <v>71</v>
      </c>
    </row>
    <row r="23" spans="2:89" x14ac:dyDescent="0.25">
      <c r="B23" s="366">
        <f t="shared" si="7"/>
        <v>21</v>
      </c>
      <c r="C23" s="380" t="s">
        <v>33</v>
      </c>
      <c r="D23" s="367" t="s">
        <v>32</v>
      </c>
      <c r="E23" s="371" t="s">
        <v>32</v>
      </c>
      <c r="F23" s="350">
        <f>_xlfn.XLOOKUP(CCA_Defense!$D23,BB_Input!$C$4:$C$172,BB_Input!$G$4:$G$172)</f>
        <v>393.71613215423162</v>
      </c>
      <c r="G23" s="364">
        <v>1993</v>
      </c>
      <c r="H23" s="364">
        <f t="shared" ca="1" si="4"/>
        <v>33</v>
      </c>
      <c r="I23" s="313" t="s">
        <v>280</v>
      </c>
      <c r="J23" s="313" t="s">
        <v>967</v>
      </c>
      <c r="K23" s="313"/>
      <c r="L23" s="313" t="s">
        <v>1085</v>
      </c>
      <c r="M23" s="372"/>
      <c r="N23" s="313">
        <f>IFERROR(_xlfn.XLOOKUP($D23,PE_Projections!$D:$D,PE_Projections!L:L),"")</f>
        <v>65.524588829832652</v>
      </c>
      <c r="O23" s="313">
        <f>IFERROR(_xlfn.XLOOKUP($D23,PE_Projections!$D:$D,PE_Projections!M:M),"")</f>
        <v>35.955021756699772</v>
      </c>
      <c r="P23" s="313">
        <f>IFERROR(_xlfn.XLOOKUP($D23,PE_Projections!$D:$D,PE_Projections!N:N),"")</f>
        <v>22.949281829395932</v>
      </c>
      <c r="Q23" s="313" t="str">
        <f>IFERROR(_xlfn.XLOOKUP($D23,PE_Projections!$D:$D,PE_Projections!O:O),"")</f>
        <v/>
      </c>
      <c r="R23" s="313" t="str">
        <f>IFERROR(_xlfn.XLOOKUP($D23,PE_Projections!$D:$D,PE_Projections!P:P),"")</f>
        <v/>
      </c>
      <c r="S23" s="372"/>
      <c r="T23" s="351">
        <f t="shared" si="8"/>
        <v>7.2374263686593346E-2</v>
      </c>
      <c r="U23" s="351"/>
      <c r="V23" s="351">
        <f>AVERAGE(60%,70%)</f>
        <v>0.64999999999999991</v>
      </c>
      <c r="W23" s="356">
        <v>12.8</v>
      </c>
      <c r="X23" s="313" t="str" cm="1">
        <f t="array" ref="X23">_xlfn.IFS($F23&lt;Glossary!$C$54,Glossary!$B$54,$F23&lt;Glossary!$C$55,Glossary!$B$55,$F23&gt;Glossary!$C$56,Glossary!$B$56)</f>
        <v>Small Cap</v>
      </c>
      <c r="Y23" s="372" t="s">
        <v>145</v>
      </c>
      <c r="Z23" s="372" t="s">
        <v>133</v>
      </c>
      <c r="AA23" s="351">
        <v>0.51519999999999999</v>
      </c>
      <c r="AB23" s="423"/>
      <c r="AC23" s="400" t="s">
        <v>1180</v>
      </c>
      <c r="AD23" s="400" t="s">
        <v>1180</v>
      </c>
      <c r="AE23" s="400" t="s">
        <v>1180</v>
      </c>
      <c r="AF23" s="423"/>
      <c r="AG23" s="309"/>
      <c r="AH23" s="373"/>
      <c r="AI23" s="372"/>
      <c r="AJ23" s="372"/>
      <c r="AK23" s="373"/>
      <c r="AL23" s="372"/>
      <c r="AM23" s="372" t="s">
        <v>41</v>
      </c>
      <c r="AN23" s="373"/>
      <c r="AO23" s="372"/>
      <c r="AP23" s="373" t="s">
        <v>41</v>
      </c>
      <c r="AQ23" s="372" t="s">
        <v>41</v>
      </c>
      <c r="AR23" s="372" t="s">
        <v>41</v>
      </c>
      <c r="AS23" s="373"/>
      <c r="AT23" s="372"/>
      <c r="AU23" s="354" t="s">
        <v>264</v>
      </c>
      <c r="AV23" s="353">
        <v>13.1</v>
      </c>
      <c r="AW23" s="313">
        <v>13.1</v>
      </c>
      <c r="AX23" s="313">
        <v>13.1</v>
      </c>
      <c r="AY23" s="373">
        <v>156</v>
      </c>
      <c r="AZ23" s="372">
        <v>139</v>
      </c>
      <c r="BA23" s="372">
        <v>127</v>
      </c>
      <c r="BB23" s="372">
        <v>110</v>
      </c>
      <c r="BC23" s="355">
        <v>33.4</v>
      </c>
      <c r="BD23" s="356">
        <v>10.5</v>
      </c>
      <c r="BE23" s="356">
        <v>12</v>
      </c>
      <c r="BF23" s="357"/>
      <c r="BG23" s="358"/>
      <c r="BH23" s="359">
        <v>0.18</v>
      </c>
      <c r="BI23" s="359">
        <v>0.16500000000000001</v>
      </c>
      <c r="BJ23" s="359">
        <v>0.15</v>
      </c>
      <c r="BK23" s="358"/>
      <c r="BL23" s="359">
        <v>0.15</v>
      </c>
      <c r="BM23" s="359">
        <v>0.14000000000000001</v>
      </c>
      <c r="BN23" s="359">
        <v>0.12</v>
      </c>
      <c r="BO23" s="355">
        <v>0</v>
      </c>
      <c r="BP23" s="356">
        <v>0</v>
      </c>
      <c r="BQ23" s="356">
        <v>0.1</v>
      </c>
      <c r="BR23" s="357">
        <v>0.3</v>
      </c>
      <c r="BS23" s="355">
        <v>0.85</v>
      </c>
      <c r="BT23" s="356">
        <v>1.25</v>
      </c>
      <c r="BU23" s="360">
        <v>1.34</v>
      </c>
      <c r="BV23" s="359"/>
      <c r="BW23" s="359"/>
      <c r="BX23" s="361"/>
      <c r="BY23" s="359"/>
      <c r="BZ23" s="359"/>
      <c r="CA23" s="361"/>
      <c r="CB23" s="359"/>
      <c r="CC23" s="359"/>
      <c r="CD23" s="359"/>
      <c r="CE23" s="362">
        <f>IFERROR(RATE(4,,BB23,-AY23),"")</f>
        <v>9.1271914912729721E-2</v>
      </c>
      <c r="CF23" s="363" t="str">
        <f>IF(CE23&gt;='Conviction List'!$D$4,1,"")</f>
        <v/>
      </c>
      <c r="CG23" s="364">
        <f>IF(M21&lt;='Conviction List'!$E$4,1,"")</f>
        <v>1</v>
      </c>
      <c r="CH23" s="364" t="str">
        <f>IF(BG23&gt;='Conviction List'!$F$4,1,"")</f>
        <v/>
      </c>
      <c r="CI23" s="364" t="str">
        <f>IF(BK23&gt;='Conviction List'!$G$4,1,"")</f>
        <v/>
      </c>
      <c r="CJ23" s="365">
        <f t="shared" si="9"/>
        <v>1</v>
      </c>
      <c r="CK23" s="424">
        <f t="shared" ca="1" si="2"/>
        <v>16</v>
      </c>
    </row>
    <row r="24" spans="2:89" x14ac:dyDescent="0.25">
      <c r="B24" s="366">
        <f t="shared" si="7"/>
        <v>22</v>
      </c>
      <c r="C24" s="378" t="s">
        <v>108</v>
      </c>
      <c r="D24" s="367" t="s">
        <v>416</v>
      </c>
      <c r="E24" s="312" t="s">
        <v>115</v>
      </c>
      <c r="F24" s="350">
        <f>_xlfn.XLOOKUP(CCA_Defense!$D24,BB_Input!$C$4:$C$172,BB_Input!$G$4:$G$172)</f>
        <v>231.34957797546713</v>
      </c>
      <c r="G24" s="364">
        <v>2007</v>
      </c>
      <c r="H24" s="364">
        <f t="shared" ca="1" si="4"/>
        <v>19</v>
      </c>
      <c r="I24" s="313" t="s">
        <v>280</v>
      </c>
      <c r="J24" s="313" t="s">
        <v>971</v>
      </c>
      <c r="K24" s="313"/>
      <c r="L24" s="313" t="s">
        <v>1085</v>
      </c>
      <c r="M24" s="312"/>
      <c r="N24" s="313" t="str">
        <f>IFERROR(_xlfn.XLOOKUP($D24,PE_Projections!$D:$D,PE_Projections!L:L),"")</f>
        <v/>
      </c>
      <c r="O24" s="313" t="str">
        <f>IFERROR(_xlfn.XLOOKUP($D24,PE_Projections!$D:$D,PE_Projections!M:M),"")</f>
        <v/>
      </c>
      <c r="P24" s="313">
        <f>IFERROR(_xlfn.XLOOKUP($D24,PE_Projections!$D:$D,PE_Projections!N:N),"")</f>
        <v>27.268411390396164</v>
      </c>
      <c r="Q24" s="313">
        <f>IFERROR(_xlfn.XLOOKUP($D24,PE_Projections!$D:$D,PE_Projections!O:O),"")</f>
        <v>33.792365467564089</v>
      </c>
      <c r="R24" s="313">
        <f>IFERROR(_xlfn.XLOOKUP($D24,PE_Projections!$D:$D,PE_Projections!P:P),"")</f>
        <v>25.126303418517423</v>
      </c>
      <c r="S24" s="311"/>
      <c r="T24" s="351">
        <f t="shared" si="8"/>
        <v>0.25007157075047903</v>
      </c>
      <c r="U24" s="351">
        <v>0.34489999999999998</v>
      </c>
      <c r="V24" s="351">
        <f>AVERAGE(50%,60%)</f>
        <v>0.55000000000000004</v>
      </c>
      <c r="W24" s="356">
        <v>0.7</v>
      </c>
      <c r="X24" s="313" t="str" cm="1">
        <f t="array" ref="X24">_xlfn.IFS($F24&lt;Glossary!$C$54,Glossary!$B$54,$F24&lt;Glossary!$C$55,Glossary!$B$55,$F24&gt;Glossary!$C$56,Glossary!$B$56)</f>
        <v>Small Cap</v>
      </c>
      <c r="Y24" s="313" t="s">
        <v>151</v>
      </c>
      <c r="Z24" s="313" t="s">
        <v>133</v>
      </c>
      <c r="AA24" s="351">
        <v>0.29170000000000001</v>
      </c>
      <c r="AB24" s="423"/>
      <c r="AC24" s="400" t="s">
        <v>1181</v>
      </c>
      <c r="AD24" s="400" t="s">
        <v>1180</v>
      </c>
      <c r="AE24" s="400" t="s">
        <v>1180</v>
      </c>
      <c r="AF24" s="423" t="s">
        <v>1086</v>
      </c>
      <c r="AG24" s="309"/>
      <c r="AH24" s="353" t="s">
        <v>41</v>
      </c>
      <c r="AI24" s="311"/>
      <c r="AJ24" s="311"/>
      <c r="AK24" s="385"/>
      <c r="AL24" s="311"/>
      <c r="AM24" s="311"/>
      <c r="AN24" s="385"/>
      <c r="AO24" s="311"/>
      <c r="AP24" s="385"/>
      <c r="AQ24" s="311"/>
      <c r="AR24" s="311"/>
      <c r="AS24" s="385"/>
      <c r="AT24" s="311"/>
      <c r="AU24" s="354" t="s">
        <v>264</v>
      </c>
      <c r="AV24" s="353">
        <v>43.8</v>
      </c>
      <c r="AW24" s="313">
        <v>43.8</v>
      </c>
      <c r="AX24" s="313">
        <v>43.8</v>
      </c>
      <c r="AY24" s="353">
        <v>58</v>
      </c>
      <c r="AZ24" s="313">
        <v>40</v>
      </c>
      <c r="BA24" s="313">
        <v>23</v>
      </c>
      <c r="BB24" s="313">
        <v>19</v>
      </c>
      <c r="BC24" s="355">
        <v>-77.400000000000006</v>
      </c>
      <c r="BD24" s="356">
        <v>48.9</v>
      </c>
      <c r="BE24" s="356"/>
      <c r="BF24" s="357"/>
      <c r="BG24" s="358">
        <v>-9.8000000000000004E-2</v>
      </c>
      <c r="BH24" s="359">
        <v>0.14399999999999999</v>
      </c>
      <c r="BI24" s="359">
        <v>0.17199999999999999</v>
      </c>
      <c r="BJ24" s="359"/>
      <c r="BK24" s="358">
        <v>-9.3600000000000003E-2</v>
      </c>
      <c r="BL24" s="359">
        <v>0.496</v>
      </c>
      <c r="BM24" s="359">
        <v>0.125</v>
      </c>
      <c r="BN24" s="359">
        <v>0.112</v>
      </c>
      <c r="BO24" s="355"/>
      <c r="BP24" s="356"/>
      <c r="BQ24" s="356"/>
      <c r="BR24" s="357"/>
      <c r="BS24" s="355">
        <v>0</v>
      </c>
      <c r="BT24" s="356">
        <v>0.27</v>
      </c>
      <c r="BU24" s="360"/>
      <c r="BV24" s="359"/>
      <c r="BW24" s="359"/>
      <c r="BX24" s="361"/>
      <c r="BY24" s="359"/>
      <c r="BZ24" s="359"/>
      <c r="CA24" s="361"/>
      <c r="CB24" s="359"/>
      <c r="CC24" s="359"/>
      <c r="CD24" s="359"/>
      <c r="CE24" s="362">
        <f>IFERROR(RATE(4,,BB24,-AY24),"")</f>
        <v>0.32180867604332969</v>
      </c>
      <c r="CF24" s="408">
        <f>IF(CE24&gt;='Conviction List'!$D$4,1,"")</f>
        <v>1</v>
      </c>
      <c r="CG24" s="364">
        <f>IF(M22&lt;='Conviction List'!$E$4,1,"")</f>
        <v>1</v>
      </c>
      <c r="CH24" s="364" t="str">
        <f>IF(BG24&gt;='Conviction List'!$F$4,1,"")</f>
        <v/>
      </c>
      <c r="CI24" s="364" t="str">
        <f>IF(BK24&gt;='Conviction List'!$G$4,1,"")</f>
        <v/>
      </c>
      <c r="CJ24" s="365">
        <f t="shared" si="9"/>
        <v>2</v>
      </c>
      <c r="CK24" s="424">
        <f t="shared" ca="1" si="2"/>
        <v>26</v>
      </c>
    </row>
    <row r="25" spans="2:89" s="376" customFormat="1" x14ac:dyDescent="0.25">
      <c r="B25" s="366">
        <f t="shared" si="7"/>
        <v>23</v>
      </c>
      <c r="C25" s="311" t="s">
        <v>164</v>
      </c>
      <c r="D25" s="349" t="s">
        <v>418</v>
      </c>
      <c r="E25" s="312" t="s">
        <v>165</v>
      </c>
      <c r="F25" s="350">
        <f>_xlfn.XLOOKUP(CCA_Defense!$D25,BB_Input!$C$4:$C$172,BB_Input!$G$4:$G$172)</f>
        <v>376.5270310091982</v>
      </c>
      <c r="G25" s="364">
        <v>2022</v>
      </c>
      <c r="H25" s="364">
        <f t="shared" ca="1" si="4"/>
        <v>4</v>
      </c>
      <c r="I25" s="313" t="s">
        <v>280</v>
      </c>
      <c r="J25" s="313" t="s">
        <v>980</v>
      </c>
      <c r="K25" s="313"/>
      <c r="L25" s="313" t="s">
        <v>1085</v>
      </c>
      <c r="M25" s="312">
        <v>54.4</v>
      </c>
      <c r="N25" s="313">
        <f>IFERROR(_xlfn.XLOOKUP($D25,PE_Projections!$D:$D,PE_Projections!L:L),"")</f>
        <v>39.887601555182357</v>
      </c>
      <c r="O25" s="313">
        <f>IFERROR(_xlfn.XLOOKUP($D25,PE_Projections!$D:$D,PE_Projections!M:M),"")</f>
        <v>26.816751014075287</v>
      </c>
      <c r="P25" s="313">
        <f>IFERROR(_xlfn.XLOOKUP($D25,PE_Projections!$D:$D,PE_Projections!N:N),"")</f>
        <v>20.122066755560667</v>
      </c>
      <c r="Q25" s="313">
        <f>IFERROR(_xlfn.XLOOKUP($D25,PE_Projections!$D:$D,PE_Projections!O:O),"")</f>
        <v>15.005285627326133</v>
      </c>
      <c r="R25" s="313" t="str">
        <f>IFERROR(_xlfn.XLOOKUP($D25,PE_Projections!$D:$D,PE_Projections!P:P),"")</f>
        <v/>
      </c>
      <c r="S25" s="312">
        <v>23</v>
      </c>
      <c r="T25" s="351">
        <f t="shared" si="8"/>
        <v>0.16353388300369021</v>
      </c>
      <c r="U25" s="351"/>
      <c r="V25" s="351">
        <f>AVERAGE(60%,70%)</f>
        <v>0.64999999999999991</v>
      </c>
      <c r="W25" s="356">
        <v>1.6</v>
      </c>
      <c r="X25" s="313" t="str" cm="1">
        <f t="array" ref="X25">_xlfn.IFS($F25&lt;Glossary!$C$54,Glossary!$B$54,$F25&lt;Glossary!$C$55,Glossary!$B$55,$F25&gt;Glossary!$C$56,Glossary!$B$56)</f>
        <v>Small Cap</v>
      </c>
      <c r="Y25" s="312" t="s">
        <v>145</v>
      </c>
      <c r="Z25" s="313" t="s">
        <v>133</v>
      </c>
      <c r="AA25" s="351">
        <v>0.52159999999999995</v>
      </c>
      <c r="AB25" s="423" t="s">
        <v>458</v>
      </c>
      <c r="AC25" s="400" t="s">
        <v>1180</v>
      </c>
      <c r="AD25" s="400" t="s">
        <v>1180</v>
      </c>
      <c r="AE25" s="400" t="s">
        <v>1180</v>
      </c>
      <c r="AF25" s="423"/>
      <c r="AG25" s="309"/>
      <c r="AH25" s="379"/>
      <c r="AI25" s="312"/>
      <c r="AJ25" s="312"/>
      <c r="AK25" s="379"/>
      <c r="AL25" s="312"/>
      <c r="AM25" s="312"/>
      <c r="AN25" s="379"/>
      <c r="AO25" s="312"/>
      <c r="AP25" s="373" t="s">
        <v>41</v>
      </c>
      <c r="AQ25" s="372" t="s">
        <v>41</v>
      </c>
      <c r="AR25" s="372" t="s">
        <v>41</v>
      </c>
      <c r="AS25" s="379"/>
      <c r="AT25" s="312"/>
      <c r="AU25" s="354" t="s">
        <v>196</v>
      </c>
      <c r="AV25" s="353">
        <v>57.1</v>
      </c>
      <c r="AW25" s="313">
        <v>57.1</v>
      </c>
      <c r="AX25" s="313">
        <v>57.1</v>
      </c>
      <c r="AY25" s="353">
        <v>177</v>
      </c>
      <c r="AZ25" s="313">
        <v>138</v>
      </c>
      <c r="BA25" s="313">
        <v>96</v>
      </c>
      <c r="BB25" s="313">
        <v>83</v>
      </c>
      <c r="BC25" s="355">
        <v>23.32</v>
      </c>
      <c r="BD25" s="356"/>
      <c r="BE25" s="356"/>
      <c r="BF25" s="357"/>
      <c r="BG25" s="358">
        <v>7.3300000000000004E-2</v>
      </c>
      <c r="BH25" s="359"/>
      <c r="BI25" s="359"/>
      <c r="BJ25" s="359"/>
      <c r="BK25" s="358">
        <v>0.109</v>
      </c>
      <c r="BL25" s="359">
        <v>0.16</v>
      </c>
      <c r="BM25" s="359">
        <v>0.14000000000000001</v>
      </c>
      <c r="BN25" s="359">
        <v>0.2</v>
      </c>
      <c r="BO25" s="355"/>
      <c r="BP25" s="356"/>
      <c r="BQ25" s="356"/>
      <c r="BR25" s="357"/>
      <c r="BS25" s="355"/>
      <c r="BT25" s="356">
        <v>1.8</v>
      </c>
      <c r="BU25" s="360">
        <v>4.37</v>
      </c>
      <c r="BV25" s="359"/>
      <c r="BW25" s="359"/>
      <c r="BX25" s="361"/>
      <c r="BY25" s="359"/>
      <c r="BZ25" s="359"/>
      <c r="CA25" s="361"/>
      <c r="CB25" s="359"/>
      <c r="CC25" s="359"/>
      <c r="CD25" s="359"/>
      <c r="CE25" s="362">
        <f>IFERROR(RATE(4,,BB25,-AY25),"")</f>
        <v>0.20843638627409533</v>
      </c>
      <c r="CF25" s="368" t="str">
        <f>IF(CE25&gt;='Conviction List'!$D$8,1,"")</f>
        <v/>
      </c>
      <c r="CG25" s="312">
        <f>IF(M25&lt;='Conviction List'!$E$8,1,"")</f>
        <v>1</v>
      </c>
      <c r="CH25" s="312" t="str">
        <f>IF(BG25&gt;='Conviction List'!$F$8,1,"")</f>
        <v/>
      </c>
      <c r="CI25" s="312" t="str">
        <f>IF(BK25&gt;='Conviction List'!$G$8,1,"")</f>
        <v/>
      </c>
      <c r="CJ25" s="365">
        <f t="shared" si="9"/>
        <v>1</v>
      </c>
      <c r="CK25" s="424">
        <f t="shared" ca="1" si="2"/>
        <v>30</v>
      </c>
    </row>
    <row r="26" spans="2:89" x14ac:dyDescent="0.25">
      <c r="B26" s="366">
        <f t="shared" si="7"/>
        <v>24</v>
      </c>
      <c r="C26" s="311" t="s">
        <v>155</v>
      </c>
      <c r="D26" s="367" t="s">
        <v>417</v>
      </c>
      <c r="E26" s="312" t="s">
        <v>158</v>
      </c>
      <c r="F26" s="350">
        <f>_xlfn.XLOOKUP(CCA_Defense!$D26,BB_Input!$C$4:$C$172,BB_Input!$G$4:$G$172)</f>
        <v>288.03437059694005</v>
      </c>
      <c r="G26" s="364">
        <v>1978</v>
      </c>
      <c r="H26" s="364">
        <f t="shared" ca="1" si="4"/>
        <v>48</v>
      </c>
      <c r="I26" s="313" t="s">
        <v>280</v>
      </c>
      <c r="J26" s="313" t="s">
        <v>978</v>
      </c>
      <c r="K26" s="313"/>
      <c r="L26" s="313"/>
      <c r="M26" s="312">
        <v>100</v>
      </c>
      <c r="N26" s="313">
        <f>IFERROR(_xlfn.XLOOKUP($D26,PE_Projections!$D:$D,PE_Projections!L:L),"")</f>
        <v>78.98918379149201</v>
      </c>
      <c r="O26" s="313">
        <f>IFERROR(_xlfn.XLOOKUP($D26,PE_Projections!$D:$D,PE_Projections!M:M),"")</f>
        <v>51.417814303735796</v>
      </c>
      <c r="P26" s="313">
        <f>IFERROR(_xlfn.XLOOKUP($D26,PE_Projections!$D:$D,PE_Projections!N:N),"")</f>
        <v>33.470299360888234</v>
      </c>
      <c r="Q26" s="313">
        <f>IFERROR(_xlfn.XLOOKUP($D26,PE_Projections!$D:$D,PE_Projections!O:O),"")</f>
        <v>21.787408789682495</v>
      </c>
      <c r="R26" s="313">
        <f>IFERROR(_xlfn.XLOOKUP($D26,PE_Projections!$D:$D,PE_Projections!P:P),"")</f>
        <v>14.182459996860226</v>
      </c>
      <c r="S26" s="312">
        <v>202</v>
      </c>
      <c r="T26" s="351">
        <f t="shared" si="8"/>
        <v>0.67027765233480996</v>
      </c>
      <c r="U26" s="351"/>
      <c r="V26" s="351">
        <f>AVERAGE(50%,60%)</f>
        <v>0.55000000000000004</v>
      </c>
      <c r="W26" s="356"/>
      <c r="X26" s="313" t="str" cm="1">
        <f t="array" ref="X26">_xlfn.IFS($F26&lt;Glossary!$C$54,Glossary!$B$54,$F26&lt;Glossary!$C$55,Glossary!$B$55,$F26&gt;Glossary!$C$56,Glossary!$B$56)</f>
        <v>Small Cap</v>
      </c>
      <c r="Y26" s="312" t="s">
        <v>147</v>
      </c>
      <c r="Z26" s="312" t="s">
        <v>134</v>
      </c>
      <c r="AA26" s="351">
        <v>0.6331</v>
      </c>
      <c r="AB26" s="423"/>
      <c r="AC26" s="400" t="s">
        <v>1180</v>
      </c>
      <c r="AD26" s="400" t="s">
        <v>1180</v>
      </c>
      <c r="AE26" s="400" t="s">
        <v>1180</v>
      </c>
      <c r="AF26" s="423"/>
      <c r="AG26" s="309"/>
      <c r="AH26" s="379"/>
      <c r="AI26" s="312"/>
      <c r="AJ26" s="312"/>
      <c r="AK26" s="379"/>
      <c r="AL26" s="312"/>
      <c r="AM26" s="312"/>
      <c r="AN26" s="379"/>
      <c r="AO26" s="312"/>
      <c r="AP26" s="379"/>
      <c r="AQ26" s="312"/>
      <c r="AR26" s="312"/>
      <c r="AS26" s="385"/>
      <c r="AT26" s="364" t="s">
        <v>41</v>
      </c>
      <c r="AU26" s="374" t="s">
        <v>199</v>
      </c>
      <c r="AV26" s="373">
        <v>72.3</v>
      </c>
      <c r="AW26" s="372">
        <v>72.3</v>
      </c>
      <c r="AX26" s="372">
        <v>72.3</v>
      </c>
      <c r="AY26" s="353">
        <v>13</v>
      </c>
      <c r="AZ26" s="313">
        <v>6</v>
      </c>
      <c r="BA26" s="313">
        <v>5</v>
      </c>
      <c r="BB26" s="313">
        <v>1</v>
      </c>
      <c r="BC26" s="355">
        <v>70.38</v>
      </c>
      <c r="BD26" s="356"/>
      <c r="BE26" s="356"/>
      <c r="BF26" s="357"/>
      <c r="BG26" s="358">
        <v>0.14299999999999999</v>
      </c>
      <c r="BH26" s="359"/>
      <c r="BI26" s="359"/>
      <c r="BJ26" s="359"/>
      <c r="BK26" s="358">
        <v>3.3000000000000002E-2</v>
      </c>
      <c r="BL26" s="359">
        <v>0.17</v>
      </c>
      <c r="BM26" s="359">
        <v>0.03</v>
      </c>
      <c r="BN26" s="359">
        <v>0.04</v>
      </c>
      <c r="BO26" s="355"/>
      <c r="BP26" s="356"/>
      <c r="BQ26" s="356"/>
      <c r="BR26" s="357"/>
      <c r="BS26" s="355">
        <v>0.02</v>
      </c>
      <c r="BT26" s="356">
        <v>0</v>
      </c>
      <c r="BU26" s="360">
        <v>0</v>
      </c>
      <c r="BV26" s="311"/>
      <c r="BW26" s="311"/>
      <c r="BX26" s="403"/>
      <c r="BY26" s="311"/>
      <c r="BZ26" s="311"/>
      <c r="CA26" s="403"/>
      <c r="CB26" s="311"/>
      <c r="CC26" s="311"/>
      <c r="CD26" s="311"/>
      <c r="CE26" s="362">
        <f>IFERROR(RATE(4,,BB26,-AY26),"")</f>
        <v>0.89882892211691678</v>
      </c>
      <c r="CF26" s="368">
        <f>IF(CE26&gt;='Conviction List'!$D$9,1,"")</f>
        <v>1</v>
      </c>
      <c r="CG26" s="312">
        <f>IF(M26&lt;='Conviction List'!$E$9,1,"")</f>
        <v>1</v>
      </c>
      <c r="CH26" s="312">
        <f>IF(BG26&gt;='Conviction List'!$F$9,1,"")</f>
        <v>1</v>
      </c>
      <c r="CI26" s="312" t="str">
        <f>IF(BK26&gt;='Conviction List'!$G$9,1,"")</f>
        <v/>
      </c>
      <c r="CJ26" s="375">
        <f t="shared" si="9"/>
        <v>3</v>
      </c>
      <c r="CK26" s="424">
        <f t="shared" ca="1" si="2"/>
        <v>28</v>
      </c>
    </row>
    <row r="27" spans="2:89" x14ac:dyDescent="0.25">
      <c r="B27" s="366">
        <f t="shared" si="7"/>
        <v>25</v>
      </c>
      <c r="C27" s="377" t="s">
        <v>156</v>
      </c>
      <c r="D27" s="349" t="s">
        <v>159</v>
      </c>
      <c r="E27" s="312" t="s">
        <v>159</v>
      </c>
      <c r="F27" s="350">
        <f>_xlfn.XLOOKUP(CCA_Defense!$D27,BB_Input!$C$4:$C$172,BB_Input!$G$4:$G$172)</f>
        <v>213.04635563888289</v>
      </c>
      <c r="G27" s="364">
        <v>1993</v>
      </c>
      <c r="H27" s="364">
        <f t="shared" ca="1" si="4"/>
        <v>33</v>
      </c>
      <c r="I27" s="313" t="s">
        <v>280</v>
      </c>
      <c r="J27" s="313" t="s">
        <v>979</v>
      </c>
      <c r="K27" s="313"/>
      <c r="L27" s="313"/>
      <c r="M27" s="312">
        <v>82</v>
      </c>
      <c r="N27" s="313">
        <f>IFERROR(_xlfn.XLOOKUP($D27,PE_Projections!$D:$D,PE_Projections!L:L),"")</f>
        <v>73.677848188511703</v>
      </c>
      <c r="O27" s="313">
        <f>IFERROR(_xlfn.XLOOKUP($D27,PE_Projections!$D:$D,PE_Projections!M:M),"")</f>
        <v>69.220968718685512</v>
      </c>
      <c r="P27" s="313">
        <f>IFERROR(_xlfn.XLOOKUP($D27,PE_Projections!$D:$D,PE_Projections!N:N),"")</f>
        <v>66.946447982924141</v>
      </c>
      <c r="Q27" s="313">
        <f>IFERROR(_xlfn.XLOOKUP($D27,PE_Projections!$D:$D,PE_Projections!O:O),"")</f>
        <v>64.746665360095463</v>
      </c>
      <c r="R27" s="313">
        <f>IFERROR(_xlfn.XLOOKUP($D27,PE_Projections!$D:$D,PE_Projections!P:P),"")</f>
        <v>60.879743791324067</v>
      </c>
      <c r="S27" s="312">
        <v>58</v>
      </c>
      <c r="T27" s="351">
        <f t="shared" si="8"/>
        <v>3.3975226532429875E-2</v>
      </c>
      <c r="U27" s="351"/>
      <c r="V27" s="351">
        <f>AVERAGE(80%,85%)</f>
        <v>0.82499999999999996</v>
      </c>
      <c r="W27" s="356"/>
      <c r="X27" s="313" t="str" cm="1">
        <f t="array" ref="X27">_xlfn.IFS($F27&lt;Glossary!$C$54,Glossary!$B$54,$F27&lt;Glossary!$C$55,Glossary!$B$55,$F27&gt;Glossary!$C$56,Glossary!$B$56)</f>
        <v>Small Cap</v>
      </c>
      <c r="Y27" s="312" t="s">
        <v>145</v>
      </c>
      <c r="Z27" s="312" t="s">
        <v>134</v>
      </c>
      <c r="AA27" s="351">
        <v>0.71719999999999995</v>
      </c>
      <c r="AB27" s="423"/>
      <c r="AC27" s="400" t="s">
        <v>1180</v>
      </c>
      <c r="AD27" s="400" t="s">
        <v>1180</v>
      </c>
      <c r="AE27" s="400" t="s">
        <v>1180</v>
      </c>
      <c r="AF27" s="423"/>
      <c r="AG27" s="309"/>
      <c r="AH27" s="379"/>
      <c r="AI27" s="312"/>
      <c r="AJ27" s="312"/>
      <c r="AK27" s="379"/>
      <c r="AL27" s="312"/>
      <c r="AM27" s="312"/>
      <c r="AN27" s="379"/>
      <c r="AO27" s="312"/>
      <c r="AP27" s="373" t="s">
        <v>41</v>
      </c>
      <c r="AQ27" s="372" t="s">
        <v>41</v>
      </c>
      <c r="AR27" s="312"/>
      <c r="AS27" s="379"/>
      <c r="AT27" s="312"/>
      <c r="AU27" s="354" t="s">
        <v>196</v>
      </c>
      <c r="AV27" s="353">
        <v>3.4</v>
      </c>
      <c r="AW27" s="313">
        <v>3.4</v>
      </c>
      <c r="AX27" s="313">
        <v>3.4</v>
      </c>
      <c r="AY27" s="353">
        <v>13</v>
      </c>
      <c r="AZ27" s="313">
        <v>12</v>
      </c>
      <c r="BA27" s="313">
        <v>7</v>
      </c>
      <c r="BB27" s="313">
        <v>11</v>
      </c>
      <c r="BC27" s="355">
        <v>90.49</v>
      </c>
      <c r="BD27" s="356"/>
      <c r="BE27" s="356"/>
      <c r="BF27" s="357"/>
      <c r="BG27" s="358">
        <v>0.22040000000000001</v>
      </c>
      <c r="BH27" s="359"/>
      <c r="BI27" s="359"/>
      <c r="BJ27" s="359"/>
      <c r="BK27" s="358">
        <v>0.29039999999999999</v>
      </c>
      <c r="BL27" s="359">
        <v>0.26</v>
      </c>
      <c r="BM27" s="359">
        <v>0.15</v>
      </c>
      <c r="BN27" s="359">
        <v>0.31</v>
      </c>
      <c r="BO27" s="355"/>
      <c r="BP27" s="356"/>
      <c r="BQ27" s="356"/>
      <c r="BR27" s="357"/>
      <c r="BS27" s="355">
        <v>2.84</v>
      </c>
      <c r="BT27" s="356">
        <v>3.14</v>
      </c>
      <c r="BU27" s="360">
        <v>0</v>
      </c>
      <c r="BV27" s="359"/>
      <c r="BW27" s="359"/>
      <c r="BX27" s="361"/>
      <c r="BY27" s="359"/>
      <c r="BZ27" s="359"/>
      <c r="CA27" s="361"/>
      <c r="CB27" s="359"/>
      <c r="CC27" s="359"/>
      <c r="CD27" s="359"/>
      <c r="CE27" s="362">
        <f>IFERROR(RATE(4,,BB27,-AY27),"")</f>
        <v>4.264788543842727E-2</v>
      </c>
      <c r="CF27" s="368" t="str">
        <f>IF(CE27&gt;='Conviction List'!$D$8,1,"")</f>
        <v/>
      </c>
      <c r="CG27" s="312">
        <f>IF(M27&lt;='Conviction List'!$E$8,1,"")</f>
        <v>1</v>
      </c>
      <c r="CH27" s="312">
        <f>IF(BG27&gt;='Conviction List'!$F$8,1,"")</f>
        <v>1</v>
      </c>
      <c r="CI27" s="312">
        <f>IF(BK27&gt;='Conviction List'!$G$8,1,"")</f>
        <v>1</v>
      </c>
      <c r="CJ27" s="365">
        <f t="shared" si="9"/>
        <v>3</v>
      </c>
      <c r="CK27" s="424">
        <f t="shared" ca="1" si="2"/>
        <v>29</v>
      </c>
    </row>
    <row r="28" spans="2:89" x14ac:dyDescent="0.25">
      <c r="B28" s="366">
        <f t="shared" si="7"/>
        <v>26</v>
      </c>
      <c r="C28" s="311" t="s">
        <v>293</v>
      </c>
      <c r="D28" s="367" t="s">
        <v>426</v>
      </c>
      <c r="E28" s="312" t="s">
        <v>319</v>
      </c>
      <c r="F28" s="350">
        <f>_xlfn.XLOOKUP(CCA_Defense!$D28,BB_Input!$C$4:$C$172,BB_Input!$G$4:$G$172)</f>
        <v>731.76171309599408</v>
      </c>
      <c r="G28" s="364">
        <v>1973</v>
      </c>
      <c r="H28" s="364">
        <f t="shared" ca="1" si="4"/>
        <v>53</v>
      </c>
      <c r="I28" s="313" t="s">
        <v>280</v>
      </c>
      <c r="J28" s="313" t="s">
        <v>986</v>
      </c>
      <c r="K28" s="313"/>
      <c r="L28" s="313" t="s">
        <v>1085</v>
      </c>
      <c r="M28" s="312">
        <v>113</v>
      </c>
      <c r="N28" s="313">
        <f>IFERROR(_xlfn.XLOOKUP($D28,PE_Projections!$D:$D,PE_Projections!L:L),"")</f>
        <v>124.1527599486521</v>
      </c>
      <c r="O28" s="313">
        <f>IFERROR(_xlfn.XLOOKUP($D28,PE_Projections!$D:$D,PE_Projections!M:M),"")</f>
        <v>68.013361462728554</v>
      </c>
      <c r="P28" s="313">
        <f>IFERROR(_xlfn.XLOOKUP($D28,PE_Projections!$D:$D,PE_Projections!N:N),"")</f>
        <v>48.576092415871422</v>
      </c>
      <c r="Q28" s="313">
        <f>IFERROR(_xlfn.XLOOKUP($D28,PE_Projections!$D:$D,PE_Projections!O:O),"")</f>
        <v>25.326681855081571</v>
      </c>
      <c r="R28" s="313" t="str">
        <f>IFERROR(_xlfn.XLOOKUP($D28,PE_Projections!$D:$D,PE_Projections!P:P),"")</f>
        <v/>
      </c>
      <c r="S28" s="312">
        <v>-2</v>
      </c>
      <c r="T28" s="351">
        <f t="shared" si="8"/>
        <v>2.2702436309467392E-2</v>
      </c>
      <c r="U28" s="351"/>
      <c r="V28" s="400">
        <f>AVERAGE(55%,60%)</f>
        <v>0.57499999999999996</v>
      </c>
      <c r="W28" s="356">
        <v>6.8</v>
      </c>
      <c r="X28" s="313" t="str" cm="1">
        <f t="array" ref="X28">_xlfn.IFS($F28&lt;Glossary!$C$54,Glossary!$B$54,$F28&lt;Glossary!$C$55,Glossary!$B$55,$F28&gt;Glossary!$C$56,Glossary!$B$56)</f>
        <v>Small Cap</v>
      </c>
      <c r="Y28" s="312" t="s">
        <v>145</v>
      </c>
      <c r="Z28" s="312" t="s">
        <v>133</v>
      </c>
      <c r="AA28" s="400">
        <v>0.48</v>
      </c>
      <c r="AB28" s="423"/>
      <c r="AC28" s="400" t="s">
        <v>1180</v>
      </c>
      <c r="AD28" s="400" t="s">
        <v>1180</v>
      </c>
      <c r="AE28" s="400" t="s">
        <v>1180</v>
      </c>
      <c r="AF28" s="423"/>
      <c r="AG28" s="312" t="s">
        <v>375</v>
      </c>
      <c r="AH28" s="379"/>
      <c r="AI28" s="312"/>
      <c r="AJ28" s="312"/>
      <c r="AK28" s="379" t="s">
        <v>41</v>
      </c>
      <c r="AL28" s="312" t="s">
        <v>41</v>
      </c>
      <c r="AM28" s="312"/>
      <c r="AN28" s="379"/>
      <c r="AO28" s="312"/>
      <c r="AP28" s="379"/>
      <c r="AQ28" s="312"/>
      <c r="AR28" s="312"/>
      <c r="AS28" s="379"/>
      <c r="AT28" s="312"/>
      <c r="AU28" s="401" t="s">
        <v>194</v>
      </c>
      <c r="AV28" s="353">
        <v>6.3</v>
      </c>
      <c r="AW28" s="313">
        <v>6.3</v>
      </c>
      <c r="AX28" s="313">
        <v>6.3</v>
      </c>
      <c r="AY28" s="379">
        <v>162</v>
      </c>
      <c r="AZ28" s="313">
        <v>165</v>
      </c>
      <c r="BA28" s="313">
        <v>152</v>
      </c>
      <c r="BB28" s="313">
        <v>144.80000000000001</v>
      </c>
      <c r="BC28" s="355">
        <v>30.16</v>
      </c>
      <c r="BD28" s="356"/>
      <c r="BE28" s="356"/>
      <c r="BF28" s="360"/>
      <c r="BG28" s="358">
        <v>6.2E-2</v>
      </c>
      <c r="BH28" s="359"/>
      <c r="BI28" s="359"/>
      <c r="BJ28" s="359"/>
      <c r="BK28" s="358">
        <v>8.7999999999999995E-2</v>
      </c>
      <c r="BL28" s="359"/>
      <c r="BM28" s="359"/>
      <c r="BN28" s="359"/>
      <c r="BO28" s="355"/>
      <c r="BP28" s="356"/>
      <c r="BQ28" s="356"/>
      <c r="BR28" s="360"/>
      <c r="BS28" s="355"/>
      <c r="BT28" s="356"/>
      <c r="BU28" s="360"/>
      <c r="BV28" s="311"/>
      <c r="BW28" s="311"/>
      <c r="BX28" s="403"/>
      <c r="BY28" s="311"/>
      <c r="BZ28" s="311"/>
      <c r="CA28" s="403"/>
      <c r="CB28" s="311"/>
      <c r="CC28" s="311"/>
      <c r="CD28" s="311"/>
      <c r="CE28" s="407"/>
      <c r="CF28" s="368" t="str">
        <f>IF(CE28&gt;='Conviction List'!$D$8,1,"")</f>
        <v/>
      </c>
      <c r="CG28" s="312" t="str">
        <f>IF(M28&lt;='Conviction List'!$E$8,1,"")</f>
        <v/>
      </c>
      <c r="CH28" s="312" t="str">
        <f>IF(BG28&gt;='Conviction List'!$F$8,1,"")</f>
        <v/>
      </c>
      <c r="CI28" s="312" t="str">
        <f>IF(BK28&gt;='Conviction List'!$G$8,1,"")</f>
        <v/>
      </c>
      <c r="CJ28" s="365">
        <f t="shared" si="9"/>
        <v>0</v>
      </c>
      <c r="CK28" s="424">
        <f t="shared" ca="1" si="2"/>
        <v>48</v>
      </c>
    </row>
    <row r="29" spans="2:89" s="376" customFormat="1" x14ac:dyDescent="0.25">
      <c r="B29" s="386">
        <f t="shared" si="7"/>
        <v>27</v>
      </c>
      <c r="C29" s="370" t="s">
        <v>167</v>
      </c>
      <c r="D29" s="349" t="s">
        <v>169</v>
      </c>
      <c r="E29" s="371" t="s">
        <v>169</v>
      </c>
      <c r="F29" s="350">
        <f>_xlfn.XLOOKUP(CCA_Defense!$D29,BB_Input!$C$4:$C$172,BB_Input!$G$4:$G$172)</f>
        <v>3075.7584726666423</v>
      </c>
      <c r="G29" s="364">
        <v>2008</v>
      </c>
      <c r="H29" s="364">
        <f t="shared" ca="1" si="4"/>
        <v>18</v>
      </c>
      <c r="I29" s="313" t="s">
        <v>280</v>
      </c>
      <c r="J29" s="313" t="s">
        <v>980</v>
      </c>
      <c r="K29" s="313"/>
      <c r="L29" s="313" t="s">
        <v>1085</v>
      </c>
      <c r="M29" s="371">
        <v>146</v>
      </c>
      <c r="N29" s="313">
        <f>IFERROR(_xlfn.XLOOKUP($D29,PE_Projections!$D:$D,PE_Projections!L:L),"")</f>
        <v>58.586448959396357</v>
      </c>
      <c r="O29" s="313">
        <f>IFERROR(_xlfn.XLOOKUP($D29,PE_Projections!$D:$D,PE_Projections!M:M),"")</f>
        <v>42.162059910090356</v>
      </c>
      <c r="P29" s="313">
        <f>IFERROR(_xlfn.XLOOKUP($D29,PE_Projections!$D:$D,PE_Projections!N:N),"")</f>
        <v>30.930775510204079</v>
      </c>
      <c r="Q29" s="313">
        <f>IFERROR(_xlfn.XLOOKUP($D29,PE_Projections!$D:$D,PE_Projections!O:O),"")</f>
        <v>20.724358732435118</v>
      </c>
      <c r="R29" s="313" t="str">
        <f>IFERROR(_xlfn.XLOOKUP($D29,PE_Projections!$D:$D,PE_Projections!P:P),"")</f>
        <v/>
      </c>
      <c r="S29" s="371">
        <v>111</v>
      </c>
      <c r="T29" s="351">
        <f t="shared" si="8"/>
        <v>0.27657456967336425</v>
      </c>
      <c r="U29" s="351"/>
      <c r="V29" s="351">
        <f>AVERAGE(50%,60%)</f>
        <v>0.55000000000000004</v>
      </c>
      <c r="W29" s="356">
        <v>3.2</v>
      </c>
      <c r="X29" s="372" t="str" cm="1">
        <f t="array" ref="X29">_xlfn.IFS($F29&lt;Glossary!$C$54,Glossary!$B$54,$F29&lt;Glossary!$C$55,Glossary!$B$55,$F29&gt;Glossary!$C$56,Glossary!$B$56)</f>
        <v>Mid Cap</v>
      </c>
      <c r="Y29" s="371" t="s">
        <v>171</v>
      </c>
      <c r="Z29" s="371" t="s">
        <v>134</v>
      </c>
      <c r="AA29" s="351">
        <v>0.57750000000000001</v>
      </c>
      <c r="AB29" s="423"/>
      <c r="AC29" s="400" t="s">
        <v>1181</v>
      </c>
      <c r="AD29" s="400" t="s">
        <v>1180</v>
      </c>
      <c r="AE29" s="400" t="s">
        <v>1180</v>
      </c>
      <c r="AF29" s="423"/>
      <c r="AG29" s="309"/>
      <c r="AH29" s="409"/>
      <c r="AI29" s="371"/>
      <c r="AJ29" s="371"/>
      <c r="AK29" s="409"/>
      <c r="AL29" s="371"/>
      <c r="AM29" s="371"/>
      <c r="AN29" s="409"/>
      <c r="AO29" s="371"/>
      <c r="AP29" s="409"/>
      <c r="AQ29" s="371" t="s">
        <v>41</v>
      </c>
      <c r="AR29" s="371"/>
      <c r="AS29" s="409"/>
      <c r="AT29" s="371"/>
      <c r="AU29" s="354" t="s">
        <v>196</v>
      </c>
      <c r="AV29" s="353">
        <v>36.5</v>
      </c>
      <c r="AW29" s="313">
        <v>36.5</v>
      </c>
      <c r="AX29" s="313">
        <v>36.5</v>
      </c>
      <c r="AY29" s="353">
        <v>278</v>
      </c>
      <c r="AZ29" s="313">
        <v>211</v>
      </c>
      <c r="BA29" s="313">
        <v>131</v>
      </c>
      <c r="BB29" s="313">
        <v>82</v>
      </c>
      <c r="BC29" s="355">
        <v>79.16</v>
      </c>
      <c r="BD29" s="356">
        <v>56</v>
      </c>
      <c r="BE29" s="356">
        <v>26</v>
      </c>
      <c r="BF29" s="357"/>
      <c r="BG29" s="358">
        <v>0.11020000000000001</v>
      </c>
      <c r="BH29" s="359">
        <v>7.3700000000000002E-2</v>
      </c>
      <c r="BI29" s="359">
        <v>9.9299999999999999E-2</v>
      </c>
      <c r="BJ29" s="359">
        <v>0.20569999999999999</v>
      </c>
      <c r="BK29" s="358">
        <v>0.14399999999999999</v>
      </c>
      <c r="BL29" s="359">
        <v>0.11269999999999999</v>
      </c>
      <c r="BM29" s="359">
        <v>0.16039999999999999</v>
      </c>
      <c r="BN29" s="359">
        <v>0.3216</v>
      </c>
      <c r="BO29" s="355">
        <v>3.08</v>
      </c>
      <c r="BP29" s="356"/>
      <c r="BQ29" s="356"/>
      <c r="BR29" s="357"/>
      <c r="BS29" s="355">
        <v>0.11</v>
      </c>
      <c r="BT29" s="356">
        <v>0.13</v>
      </c>
      <c r="BU29" s="360">
        <v>0.14000000000000001</v>
      </c>
      <c r="BV29" s="359"/>
      <c r="BW29" s="359"/>
      <c r="BX29" s="361"/>
      <c r="BY29" s="359"/>
      <c r="BZ29" s="359"/>
      <c r="CA29" s="361"/>
      <c r="CB29" s="359"/>
      <c r="CC29" s="359"/>
      <c r="CD29" s="359"/>
      <c r="CE29" s="362">
        <f t="shared" ref="CE29:CE34" si="10">IFERROR(RATE(4,,BB29,-AY29),"")</f>
        <v>0.35693091112681219</v>
      </c>
      <c r="CF29" s="368">
        <f>IF(CE29&gt;='Conviction List'!$D$8,1,"")</f>
        <v>1</v>
      </c>
      <c r="CG29" s="312" t="str">
        <f>IF(M29&lt;='Conviction List'!$E$8,1,"")</f>
        <v/>
      </c>
      <c r="CH29" s="312" t="str">
        <f>IF(BG29&gt;='Conviction List'!$F$8,1,"")</f>
        <v/>
      </c>
      <c r="CI29" s="312" t="str">
        <f>IF(BK29&gt;='Conviction List'!$G$8,1,"")</f>
        <v/>
      </c>
      <c r="CJ29" s="365">
        <f t="shared" si="9"/>
        <v>1</v>
      </c>
      <c r="CK29" s="424">
        <f t="shared" ca="1" si="2"/>
        <v>31</v>
      </c>
    </row>
    <row r="30" spans="2:89" x14ac:dyDescent="0.25">
      <c r="B30" s="366">
        <f t="shared" si="7"/>
        <v>28</v>
      </c>
      <c r="C30" s="311" t="s">
        <v>168</v>
      </c>
      <c r="D30" s="349" t="s">
        <v>170</v>
      </c>
      <c r="E30" s="312" t="s">
        <v>170</v>
      </c>
      <c r="F30" s="350">
        <f>_xlfn.XLOOKUP(CCA_Defense!$D30,BB_Input!$C$4:$C$172,BB_Input!$G$4:$G$172)</f>
        <v>1576.5101248916276</v>
      </c>
      <c r="G30" s="364">
        <v>1991</v>
      </c>
      <c r="H30" s="364">
        <f t="shared" ca="1" si="4"/>
        <v>35</v>
      </c>
      <c r="I30" s="313" t="s">
        <v>280</v>
      </c>
      <c r="J30" s="313" t="s">
        <v>980</v>
      </c>
      <c r="K30" s="313"/>
      <c r="L30" s="313"/>
      <c r="M30" s="312">
        <v>62</v>
      </c>
      <c r="N30" s="313">
        <f>IFERROR(_xlfn.XLOOKUP($D30,PE_Projections!$D:$D,PE_Projections!L:L),"")</f>
        <v>52.869448605837071</v>
      </c>
      <c r="O30" s="313">
        <f>IFERROR(_xlfn.XLOOKUP($D30,PE_Projections!$D:$D,PE_Projections!M:M),"")</f>
        <v>36.643396627815598</v>
      </c>
      <c r="P30" s="313">
        <f>IFERROR(_xlfn.XLOOKUP($D30,PE_Projections!$D:$D,PE_Projections!N:N),"")</f>
        <v>27.262701941759616</v>
      </c>
      <c r="Q30" s="313">
        <f>IFERROR(_xlfn.XLOOKUP($D30,PE_Projections!$D:$D,PE_Projections!O:O),"")</f>
        <v>19.449008151858834</v>
      </c>
      <c r="R30" s="313" t="str">
        <f>IFERROR(_xlfn.XLOOKUP($D30,PE_Projections!$D:$D,PE_Projections!P:P),"")</f>
        <v/>
      </c>
      <c r="S30" s="311"/>
      <c r="T30" s="351">
        <f t="shared" si="8"/>
        <v>0.30068266737640675</v>
      </c>
      <c r="U30" s="351"/>
      <c r="V30" s="351">
        <f>AVERAGE(40%,50%)</f>
        <v>0.45</v>
      </c>
      <c r="W30" s="356">
        <v>1.4</v>
      </c>
      <c r="X30" s="313" t="str" cm="1">
        <f t="array" ref="X30">_xlfn.IFS($F30&lt;Glossary!$C$54,Glossary!$B$54,$F30&lt;Glossary!$C$55,Glossary!$B$55,$F30&gt;Glossary!$C$56,Glossary!$B$56)</f>
        <v>Small Cap</v>
      </c>
      <c r="Y30" s="312" t="s">
        <v>150</v>
      </c>
      <c r="Z30" s="312" t="s">
        <v>133</v>
      </c>
      <c r="AA30" s="351">
        <v>0.46529999999999999</v>
      </c>
      <c r="AB30" s="423"/>
      <c r="AC30" s="400" t="s">
        <v>1180</v>
      </c>
      <c r="AD30" s="400" t="s">
        <v>1180</v>
      </c>
      <c r="AE30" s="400" t="s">
        <v>1180</v>
      </c>
      <c r="AF30" s="423"/>
      <c r="AG30" s="309"/>
      <c r="AH30" s="385"/>
      <c r="AI30" s="311"/>
      <c r="AJ30" s="311"/>
      <c r="AK30" s="385"/>
      <c r="AL30" s="311"/>
      <c r="AM30" s="311"/>
      <c r="AN30" s="385"/>
      <c r="AO30" s="311"/>
      <c r="AP30" s="373" t="s">
        <v>41</v>
      </c>
      <c r="AQ30" s="372" t="s">
        <v>41</v>
      </c>
      <c r="AR30" s="372"/>
      <c r="AS30" s="385"/>
      <c r="AT30" s="311"/>
      <c r="AU30" s="354" t="s">
        <v>196</v>
      </c>
      <c r="AV30" s="353">
        <v>176.8</v>
      </c>
      <c r="AW30" s="313">
        <v>176.8</v>
      </c>
      <c r="AX30" s="313">
        <v>176.8</v>
      </c>
      <c r="AY30" s="353">
        <v>443</v>
      </c>
      <c r="AZ30" s="313">
        <v>369</v>
      </c>
      <c r="BA30" s="313">
        <v>240</v>
      </c>
      <c r="BB30" s="313">
        <v>119</v>
      </c>
      <c r="BC30" s="355">
        <v>29.82</v>
      </c>
      <c r="BD30" s="356">
        <v>97.2</v>
      </c>
      <c r="BE30" s="356">
        <v>44.3</v>
      </c>
      <c r="BF30" s="360">
        <v>19.46</v>
      </c>
      <c r="BG30" s="358">
        <v>0.1019</v>
      </c>
      <c r="BH30" s="359">
        <v>6.6600000000000006E-2</v>
      </c>
      <c r="BI30" s="359">
        <v>7.7499999999999999E-2</v>
      </c>
      <c r="BJ30" s="359">
        <v>9.7100000000000006E-2</v>
      </c>
      <c r="BK30" s="358">
        <v>0.1241</v>
      </c>
      <c r="BL30" s="359">
        <v>3.4500000000000003E-2</v>
      </c>
      <c r="BM30" s="359">
        <v>6.4500000000000002E-2</v>
      </c>
      <c r="BN30" s="359">
        <v>9.2700000000000005E-2</v>
      </c>
      <c r="BO30" s="355">
        <v>3.6</v>
      </c>
      <c r="BP30" s="356"/>
      <c r="BQ30" s="356"/>
      <c r="BR30" s="360"/>
      <c r="BS30" s="355">
        <v>0.34</v>
      </c>
      <c r="BT30" s="356">
        <v>0.22</v>
      </c>
      <c r="BU30" s="360">
        <v>0.33</v>
      </c>
      <c r="BV30" s="359"/>
      <c r="BW30" s="359"/>
      <c r="BX30" s="361"/>
      <c r="BY30" s="359"/>
      <c r="BZ30" s="359"/>
      <c r="CA30" s="361"/>
      <c r="CB30" s="359"/>
      <c r="CC30" s="359"/>
      <c r="CD30" s="359"/>
      <c r="CE30" s="362">
        <f t="shared" si="10"/>
        <v>0.38903820561103031</v>
      </c>
      <c r="CF30" s="368">
        <f>IF(CE30&gt;='Conviction List'!$D$8,1,"")</f>
        <v>1</v>
      </c>
      <c r="CG30" s="312">
        <f>IF(M30&lt;='Conviction List'!$E$8,1,"")</f>
        <v>1</v>
      </c>
      <c r="CH30" s="312" t="str">
        <f>IF(BG30&gt;='Conviction List'!$F$8,1,"")</f>
        <v/>
      </c>
      <c r="CI30" s="312" t="str">
        <f>IF(BK30&gt;='Conviction List'!$G$8,1,"")</f>
        <v/>
      </c>
      <c r="CJ30" s="365">
        <f t="shared" si="9"/>
        <v>2</v>
      </c>
      <c r="CK30" s="424">
        <f t="shared" ca="1" si="2"/>
        <v>32</v>
      </c>
    </row>
    <row r="31" spans="2:89" x14ac:dyDescent="0.25">
      <c r="B31" s="366">
        <f t="shared" si="7"/>
        <v>29</v>
      </c>
      <c r="C31" s="311" t="s">
        <v>172</v>
      </c>
      <c r="D31" s="349" t="s">
        <v>419</v>
      </c>
      <c r="E31" s="312" t="s">
        <v>173</v>
      </c>
      <c r="F31" s="350">
        <f>_xlfn.XLOOKUP(CCA_Defense!$D31,BB_Input!$C$4:$C$172,BB_Input!$G$4:$G$172)</f>
        <v>12586.447987215897</v>
      </c>
      <c r="G31" s="364">
        <v>1995</v>
      </c>
      <c r="H31" s="364">
        <f t="shared" ca="1" si="4"/>
        <v>31</v>
      </c>
      <c r="I31" s="313" t="s">
        <v>280</v>
      </c>
      <c r="J31" s="313" t="s">
        <v>981</v>
      </c>
      <c r="K31" s="313"/>
      <c r="L31" s="313"/>
      <c r="M31" s="312">
        <v>108</v>
      </c>
      <c r="N31" s="313">
        <f>IFERROR(_xlfn.XLOOKUP($D31,PE_Projections!$D:$D,PE_Projections!L:L),"")</f>
        <v>66.813535739131979</v>
      </c>
      <c r="O31" s="313">
        <f>IFERROR(_xlfn.XLOOKUP($D31,PE_Projections!$D:$D,PE_Projections!M:M),"")</f>
        <v>52.0712170572452</v>
      </c>
      <c r="P31" s="313">
        <f>IFERROR(_xlfn.XLOOKUP($D31,PE_Projections!$D:$D,PE_Projections!N:N),"")</f>
        <v>43.450835040827592</v>
      </c>
      <c r="Q31" s="313">
        <f>IFERROR(_xlfn.XLOOKUP($D31,PE_Projections!$D:$D,PE_Projections!O:O),"")</f>
        <v>34.141872675563334</v>
      </c>
      <c r="R31" s="313" t="str">
        <f>IFERROR(_xlfn.XLOOKUP($D31,PE_Projections!$D:$D,PE_Projections!P:P),"")</f>
        <v/>
      </c>
      <c r="S31" s="312">
        <v>9</v>
      </c>
      <c r="T31" s="351">
        <f t="shared" si="8"/>
        <v>0.12104298558703531</v>
      </c>
      <c r="U31" s="351"/>
      <c r="V31" s="351" t="s">
        <v>285</v>
      </c>
      <c r="W31" s="356">
        <v>2.2000000000000002</v>
      </c>
      <c r="X31" s="313" t="str" cm="1">
        <f t="array" ref="X31">_xlfn.IFS($F31&lt;Glossary!$C$54,Glossary!$B$54,$F31&lt;Glossary!$C$55,Glossary!$B$55,$F31&gt;Glossary!$C$56,Glossary!$B$56)</f>
        <v>Large Cap</v>
      </c>
      <c r="Y31" s="312" t="s">
        <v>187</v>
      </c>
      <c r="Z31" s="312" t="s">
        <v>134</v>
      </c>
      <c r="AA31" s="351">
        <v>0.73150000000000004</v>
      </c>
      <c r="AB31" s="423"/>
      <c r="AC31" s="400" t="s">
        <v>1180</v>
      </c>
      <c r="AD31" s="400" t="s">
        <v>1180</v>
      </c>
      <c r="AE31" s="400" t="s">
        <v>1180</v>
      </c>
      <c r="AF31" s="423"/>
      <c r="AG31" s="309"/>
      <c r="AH31" s="379" t="s">
        <v>41</v>
      </c>
      <c r="AI31" s="312"/>
      <c r="AJ31" s="312"/>
      <c r="AK31" s="379"/>
      <c r="AL31" s="312"/>
      <c r="AM31" s="312" t="s">
        <v>41</v>
      </c>
      <c r="AN31" s="379" t="s">
        <v>41</v>
      </c>
      <c r="AO31" s="312" t="s">
        <v>41</v>
      </c>
      <c r="AP31" s="379"/>
      <c r="AQ31" s="312"/>
      <c r="AR31" s="312"/>
      <c r="AS31" s="379"/>
      <c r="AT31" s="312"/>
      <c r="AU31" s="354" t="s">
        <v>264</v>
      </c>
      <c r="AV31" s="353"/>
      <c r="AW31" s="313"/>
      <c r="AX31" s="313"/>
      <c r="AY31" s="353">
        <v>818</v>
      </c>
      <c r="AZ31" s="313">
        <v>711</v>
      </c>
      <c r="BA31" s="313">
        <v>810</v>
      </c>
      <c r="BB31" s="313">
        <v>462</v>
      </c>
      <c r="BC31" s="355">
        <v>72.41</v>
      </c>
      <c r="BD31" s="356">
        <v>56.8</v>
      </c>
      <c r="BE31" s="356">
        <v>27.84</v>
      </c>
      <c r="BF31" s="360">
        <v>19.920000000000002</v>
      </c>
      <c r="BG31" s="358">
        <v>0.32640000000000002</v>
      </c>
      <c r="BH31" s="359">
        <v>0.25290000000000001</v>
      </c>
      <c r="BI31" s="359">
        <v>0.29010000000000002</v>
      </c>
      <c r="BJ31" s="359">
        <v>0.23499999999999999</v>
      </c>
      <c r="BK31" s="358">
        <v>0.38129999999999997</v>
      </c>
      <c r="BL31" s="359">
        <v>0.29899999999999999</v>
      </c>
      <c r="BM31" s="359">
        <v>0.33400000000000002</v>
      </c>
      <c r="BN31" s="359">
        <v>0.27500000000000002</v>
      </c>
      <c r="BO31" s="355" t="s">
        <v>277</v>
      </c>
      <c r="BP31" s="356"/>
      <c r="BQ31" s="356"/>
      <c r="BR31" s="360"/>
      <c r="BS31" s="355">
        <v>0.19</v>
      </c>
      <c r="BT31" s="356">
        <v>0.35</v>
      </c>
      <c r="BU31" s="360">
        <v>0.41</v>
      </c>
      <c r="BV31" s="359"/>
      <c r="BW31" s="359"/>
      <c r="BX31" s="361"/>
      <c r="BY31" s="359"/>
      <c r="BZ31" s="359"/>
      <c r="CA31" s="361"/>
      <c r="CB31" s="359"/>
      <c r="CC31" s="359"/>
      <c r="CD31" s="359"/>
      <c r="CE31" s="362">
        <f t="shared" si="10"/>
        <v>0.15352717995070275</v>
      </c>
      <c r="CF31" s="363" t="str">
        <f>IF(CE31&gt;='Conviction List'!$D$4,1,"")</f>
        <v/>
      </c>
      <c r="CG31" s="364" t="str">
        <f>IF(M29&lt;='Conviction List'!$E$4,1,"")</f>
        <v/>
      </c>
      <c r="CH31" s="364">
        <f>IF(BG31&gt;='Conviction List'!$F$4,1,"")</f>
        <v>1</v>
      </c>
      <c r="CI31" s="364">
        <f>IF(BK31&gt;='Conviction List'!$G$4,1,"")</f>
        <v>1</v>
      </c>
      <c r="CJ31" s="365">
        <f t="shared" si="9"/>
        <v>2</v>
      </c>
      <c r="CK31" s="424">
        <f t="shared" ca="1" si="2"/>
        <v>33</v>
      </c>
    </row>
    <row r="32" spans="2:89" x14ac:dyDescent="0.25">
      <c r="B32" s="366">
        <f t="shared" si="7"/>
        <v>30</v>
      </c>
      <c r="C32" s="311" t="s">
        <v>174</v>
      </c>
      <c r="D32" s="367" t="s">
        <v>420</v>
      </c>
      <c r="E32" s="312" t="s">
        <v>175</v>
      </c>
      <c r="F32" s="350">
        <f>_xlfn.XLOOKUP(CCA_Defense!$D32,BB_Input!$C$4:$C$172,BB_Input!$G$4:$G$172)</f>
        <v>7725.7373042171575</v>
      </c>
      <c r="G32" s="364">
        <v>1961</v>
      </c>
      <c r="H32" s="364">
        <f t="shared" ca="1" si="4"/>
        <v>65</v>
      </c>
      <c r="I32" s="313" t="s">
        <v>280</v>
      </c>
      <c r="J32" s="313" t="s">
        <v>982</v>
      </c>
      <c r="K32" s="313"/>
      <c r="L32" s="313"/>
      <c r="M32" s="312">
        <v>58</v>
      </c>
      <c r="N32" s="313">
        <f>IFERROR(_xlfn.XLOOKUP($D32,PE_Projections!$D:$D,PE_Projections!L:L),"")</f>
        <v>54.214165576527755</v>
      </c>
      <c r="O32" s="313">
        <f>IFERROR(_xlfn.XLOOKUP($D32,PE_Projections!$D:$D,PE_Projections!M:M),"")</f>
        <v>40.967009570157629</v>
      </c>
      <c r="P32" s="313">
        <f>IFERROR(_xlfn.XLOOKUP($D32,PE_Projections!$D:$D,PE_Projections!N:N),"")</f>
        <v>34.129732985722214</v>
      </c>
      <c r="Q32" s="313">
        <f>IFERROR(_xlfn.XLOOKUP($D32,PE_Projections!$D:$D,PE_Projections!O:O),"")</f>
        <v>25.76490963186642</v>
      </c>
      <c r="R32" s="313" t="str">
        <f>IFERROR(_xlfn.XLOOKUP($D32,PE_Projections!$D:$D,PE_Projections!P:P),"")</f>
        <v/>
      </c>
      <c r="S32" s="312">
        <v>-4</v>
      </c>
      <c r="T32" s="351">
        <f t="shared" si="8"/>
        <v>7.6451951619749839E-2</v>
      </c>
      <c r="U32" s="351"/>
      <c r="V32" s="351">
        <f>AVERAGE(10%,15%)</f>
        <v>0.125</v>
      </c>
      <c r="W32" s="356">
        <v>9.1999999999999993</v>
      </c>
      <c r="X32" s="313" t="str" cm="1">
        <f t="array" ref="X32">_xlfn.IFS($F32&lt;Glossary!$C$54,Glossary!$B$54,$F32&lt;Glossary!$C$55,Glossary!$B$55,$F32&gt;Glossary!$C$56,Glossary!$B$56)</f>
        <v>Mid Cap</v>
      </c>
      <c r="Y32" s="312" t="s">
        <v>188</v>
      </c>
      <c r="Z32" s="312" t="s">
        <v>131</v>
      </c>
      <c r="AA32" s="351">
        <v>0.44078000000000001</v>
      </c>
      <c r="AB32" s="423"/>
      <c r="AC32" s="400" t="s">
        <v>1180</v>
      </c>
      <c r="AD32" s="400" t="s">
        <v>1180</v>
      </c>
      <c r="AE32" s="400" t="s">
        <v>1180</v>
      </c>
      <c r="AF32" s="423"/>
      <c r="AG32" s="309"/>
      <c r="AH32" s="379"/>
      <c r="AI32" s="312" t="s">
        <v>41</v>
      </c>
      <c r="AJ32" s="312"/>
      <c r="AK32" s="379" t="s">
        <v>41</v>
      </c>
      <c r="AL32" s="312" t="s">
        <v>41</v>
      </c>
      <c r="AM32" s="312" t="s">
        <v>41</v>
      </c>
      <c r="AN32" s="379" t="s">
        <v>41</v>
      </c>
      <c r="AO32" s="312"/>
      <c r="AP32" s="379"/>
      <c r="AQ32" s="312" t="s">
        <v>41</v>
      </c>
      <c r="AR32" s="312"/>
      <c r="AS32" s="379"/>
      <c r="AT32" s="312"/>
      <c r="AU32" s="354" t="s">
        <v>264</v>
      </c>
      <c r="AV32" s="353">
        <v>466</v>
      </c>
      <c r="AW32" s="313">
        <v>466</v>
      </c>
      <c r="AX32" s="313">
        <v>466</v>
      </c>
      <c r="AY32" s="353">
        <v>1772</v>
      </c>
      <c r="AZ32" s="313">
        <v>1827</v>
      </c>
      <c r="BA32" s="313">
        <v>1513</v>
      </c>
      <c r="BB32" s="313">
        <v>1226</v>
      </c>
      <c r="BC32" s="355">
        <v>23.27</v>
      </c>
      <c r="BD32" s="356">
        <v>21.08</v>
      </c>
      <c r="BE32" s="356">
        <v>22.3</v>
      </c>
      <c r="BF32" s="360">
        <v>16.14</v>
      </c>
      <c r="BG32" s="358">
        <v>0.1227</v>
      </c>
      <c r="BH32" s="359">
        <v>0.13270000000000001</v>
      </c>
      <c r="BI32" s="359">
        <v>7.8799999999999995E-2</v>
      </c>
      <c r="BJ32" s="359">
        <v>0.1646</v>
      </c>
      <c r="BK32" s="358">
        <v>0.13089999999999999</v>
      </c>
      <c r="BL32" s="359">
        <v>0.19120000000000001</v>
      </c>
      <c r="BM32" s="359">
        <v>0.1147</v>
      </c>
      <c r="BN32" s="359">
        <v>0.16669999999999999</v>
      </c>
      <c r="BO32" s="355"/>
      <c r="BP32" s="356"/>
      <c r="BQ32" s="356"/>
      <c r="BR32" s="360"/>
      <c r="BS32" s="355">
        <v>0.52</v>
      </c>
      <c r="BT32" s="356">
        <v>0.57999999999999996</v>
      </c>
      <c r="BU32" s="360">
        <v>0.2</v>
      </c>
      <c r="BV32" s="359"/>
      <c r="BW32" s="359"/>
      <c r="BX32" s="361"/>
      <c r="BY32" s="359"/>
      <c r="BZ32" s="359"/>
      <c r="CA32" s="361"/>
      <c r="CB32" s="359"/>
      <c r="CC32" s="359"/>
      <c r="CD32" s="359"/>
      <c r="CE32" s="362">
        <f t="shared" si="10"/>
        <v>9.646131045208084E-2</v>
      </c>
      <c r="CF32" s="363" t="str">
        <f>IF(CE32&gt;='Conviction List'!$D$4,1,"")</f>
        <v/>
      </c>
      <c r="CG32" s="364">
        <f>IF(M30&lt;='Conviction List'!$E$4,1,"")</f>
        <v>1</v>
      </c>
      <c r="CH32" s="364" t="str">
        <f>IF(BG32&gt;='Conviction List'!$F$4,1,"")</f>
        <v/>
      </c>
      <c r="CI32" s="364" t="str">
        <f>IF(BK32&gt;='Conviction List'!$G$4,1,"")</f>
        <v/>
      </c>
      <c r="CJ32" s="365">
        <f t="shared" si="9"/>
        <v>1</v>
      </c>
      <c r="CK32" s="424">
        <f t="shared" ca="1" si="2"/>
        <v>34</v>
      </c>
    </row>
    <row r="33" spans="2:89" x14ac:dyDescent="0.25">
      <c r="B33" s="312">
        <f t="shared" si="7"/>
        <v>31</v>
      </c>
      <c r="C33" s="381" t="s">
        <v>176</v>
      </c>
      <c r="D33" s="349" t="s">
        <v>177</v>
      </c>
      <c r="E33" s="312" t="s">
        <v>177</v>
      </c>
      <c r="F33" s="350">
        <f>_xlfn.XLOOKUP(CCA_Defense!$D33,BB_Input!$C$4:$C$172,BB_Input!$G$4:$G$172)</f>
        <v>62121.340185833091</v>
      </c>
      <c r="G33" s="364">
        <v>1946</v>
      </c>
      <c r="H33" s="364">
        <f t="shared" ca="1" si="4"/>
        <v>80</v>
      </c>
      <c r="I33" s="313" t="s">
        <v>281</v>
      </c>
      <c r="J33" s="313" t="s">
        <v>983</v>
      </c>
      <c r="K33" s="313"/>
      <c r="L33" s="313"/>
      <c r="M33" s="312">
        <v>33</v>
      </c>
      <c r="N33" s="313">
        <f>IFERROR(_xlfn.XLOOKUP($D33,PE_Projections!$D:$D,PE_Projections!L:L),"")</f>
        <v>30.839424932853397</v>
      </c>
      <c r="O33" s="313">
        <f>IFERROR(_xlfn.XLOOKUP($D33,PE_Projections!$D:$D,PE_Projections!M:M),"")</f>
        <v>25.364498162902628</v>
      </c>
      <c r="P33" s="313">
        <f>IFERROR(_xlfn.XLOOKUP($D33,PE_Projections!$D:$D,PE_Projections!N:N),"")</f>
        <v>21.507314690410549</v>
      </c>
      <c r="Q33" s="313">
        <f>IFERROR(_xlfn.XLOOKUP($D33,PE_Projections!$D:$D,PE_Projections!O:O),"")</f>
        <v>18.582136183072041</v>
      </c>
      <c r="R33" s="313" t="str">
        <f>IFERROR(_xlfn.XLOOKUP($D33,PE_Projections!$D:$D,PE_Projections!P:P),"")</f>
        <v/>
      </c>
      <c r="S33" s="312">
        <v>16</v>
      </c>
      <c r="T33" s="351">
        <f t="shared" si="8"/>
        <v>0.10317480970002654</v>
      </c>
      <c r="U33" s="351"/>
      <c r="V33" s="351">
        <v>0.05</v>
      </c>
      <c r="W33" s="356">
        <v>3</v>
      </c>
      <c r="X33" s="313" t="str" cm="1">
        <f t="array" ref="X33">_xlfn.IFS($F33&lt;Glossary!$C$54,Glossary!$B$54,$F33&lt;Glossary!$C$55,Glossary!$B$55,$F33&gt;Glossary!$C$56,Glossary!$B$56)</f>
        <v>Large Cap</v>
      </c>
      <c r="Y33" s="312" t="s">
        <v>147</v>
      </c>
      <c r="Z33" s="312" t="s">
        <v>133</v>
      </c>
      <c r="AA33" s="351">
        <v>0.19800000000000001</v>
      </c>
      <c r="AB33" s="423"/>
      <c r="AC33" s="400" t="s">
        <v>1180</v>
      </c>
      <c r="AD33" s="400" t="s">
        <v>1180</v>
      </c>
      <c r="AE33" s="400" t="s">
        <v>1180</v>
      </c>
      <c r="AF33" s="423"/>
      <c r="AG33" s="309" t="s">
        <v>361</v>
      </c>
      <c r="AH33" s="379"/>
      <c r="AI33" s="312"/>
      <c r="AJ33" s="312" t="s">
        <v>41</v>
      </c>
      <c r="AK33" s="379"/>
      <c r="AL33" s="312"/>
      <c r="AM33" s="312"/>
      <c r="AN33" s="379"/>
      <c r="AO33" s="312"/>
      <c r="AP33" s="379"/>
      <c r="AQ33" s="312"/>
      <c r="AR33" s="312"/>
      <c r="AS33" s="379"/>
      <c r="AT33" s="312" t="s">
        <v>41</v>
      </c>
      <c r="AU33" s="354" t="s">
        <v>264</v>
      </c>
      <c r="AV33" s="353">
        <v>1403</v>
      </c>
      <c r="AW33" s="313">
        <v>1403</v>
      </c>
      <c r="AX33" s="313">
        <v>1403</v>
      </c>
      <c r="AY33" s="353">
        <v>29972</v>
      </c>
      <c r="AZ33" s="313">
        <v>25914</v>
      </c>
      <c r="BA33" s="313">
        <v>21487</v>
      </c>
      <c r="BB33" s="313">
        <v>18344</v>
      </c>
      <c r="BC33" s="355">
        <v>15.8</v>
      </c>
      <c r="BD33" s="356">
        <v>22.55</v>
      </c>
      <c r="BE33" s="356">
        <v>17.05</v>
      </c>
      <c r="BF33" s="360">
        <v>17.399999999999999</v>
      </c>
      <c r="BG33" s="358">
        <v>0.16550000000000001</v>
      </c>
      <c r="BH33" s="359">
        <v>0.1512</v>
      </c>
      <c r="BI33" s="359">
        <v>0.1172</v>
      </c>
      <c r="BJ33" s="359">
        <v>0.10489999999999999</v>
      </c>
      <c r="BK33" s="358">
        <v>0.1449</v>
      </c>
      <c r="BL33" s="359">
        <v>0.14760000000000001</v>
      </c>
      <c r="BM33" s="359">
        <v>0.1207</v>
      </c>
      <c r="BN33" s="359">
        <v>0.10979999999999999</v>
      </c>
      <c r="BO33" s="355"/>
      <c r="BP33" s="356"/>
      <c r="BQ33" s="356"/>
      <c r="BR33" s="360"/>
      <c r="BS33" s="355">
        <v>0.35</v>
      </c>
      <c r="BT33" s="356">
        <v>0.25</v>
      </c>
      <c r="BU33" s="360">
        <v>0.3</v>
      </c>
      <c r="BV33" s="359"/>
      <c r="BW33" s="359"/>
      <c r="BX33" s="361"/>
      <c r="BY33" s="359"/>
      <c r="BZ33" s="359"/>
      <c r="CA33" s="361"/>
      <c r="CB33" s="359"/>
      <c r="CC33" s="359"/>
      <c r="CD33" s="359"/>
      <c r="CE33" s="362">
        <f t="shared" si="10"/>
        <v>0.1305907307885284</v>
      </c>
      <c r="CF33" s="363" t="str">
        <f>IF(CE33&gt;='Conviction List'!$D$4,1,"")</f>
        <v/>
      </c>
      <c r="CG33" s="364" t="str">
        <f>IF(M31&lt;='Conviction List'!$E$4,1,"")</f>
        <v/>
      </c>
      <c r="CH33" s="364">
        <f>IF(BG33&gt;='Conviction List'!$F$4,1,"")</f>
        <v>1</v>
      </c>
      <c r="CI33" s="364" t="str">
        <f>IF(BK33&gt;='Conviction List'!$G$4,1,"")</f>
        <v/>
      </c>
      <c r="CJ33" s="365">
        <f t="shared" si="9"/>
        <v>1</v>
      </c>
      <c r="CK33" s="424">
        <f t="shared" ca="1" si="2"/>
        <v>35</v>
      </c>
    </row>
    <row r="34" spans="2:89" x14ac:dyDescent="0.25">
      <c r="B34" s="366">
        <f t="shared" si="7"/>
        <v>32</v>
      </c>
      <c r="C34" s="311" t="s">
        <v>178</v>
      </c>
      <c r="D34" s="349" t="s">
        <v>179</v>
      </c>
      <c r="E34" s="312" t="s">
        <v>179</v>
      </c>
      <c r="F34" s="350">
        <f>_xlfn.XLOOKUP(CCA_Defense!$D34,BB_Input!$C$4:$C$172,BB_Input!$G$4:$G$172)</f>
        <v>10792.140731948568</v>
      </c>
      <c r="G34" s="364">
        <v>1964</v>
      </c>
      <c r="H34" s="364">
        <f t="shared" ca="1" si="4"/>
        <v>62</v>
      </c>
      <c r="I34" s="313" t="s">
        <v>280</v>
      </c>
      <c r="J34" s="313" t="s">
        <v>984</v>
      </c>
      <c r="K34" s="313"/>
      <c r="L34" s="313"/>
      <c r="M34" s="312">
        <v>156</v>
      </c>
      <c r="N34" s="313">
        <f>IFERROR(_xlfn.XLOOKUP($D34,PE_Projections!$D:$D,PE_Projections!L:L),"")</f>
        <v>55.684550081471421</v>
      </c>
      <c r="O34" s="313">
        <f>IFERROR(_xlfn.XLOOKUP($D34,PE_Projections!$D:$D,PE_Projections!M:M),"")</f>
        <v>31.449243975472672</v>
      </c>
      <c r="P34" s="313">
        <f>IFERROR(_xlfn.XLOOKUP($D34,PE_Projections!$D:$D,PE_Projections!N:N),"")</f>
        <v>22.968009263738388</v>
      </c>
      <c r="Q34" s="313" t="str">
        <f>IFERROR(_xlfn.XLOOKUP($D34,PE_Projections!$D:$D,PE_Projections!O:O),"")</f>
        <v/>
      </c>
      <c r="R34" s="313" t="str">
        <f>IFERROR(_xlfn.XLOOKUP($D34,PE_Projections!$D:$D,PE_Projections!P:P),"")</f>
        <v/>
      </c>
      <c r="S34" s="312">
        <v>16</v>
      </c>
      <c r="T34" s="351">
        <f t="shared" si="8"/>
        <v>5.4167392244909456E-2</v>
      </c>
      <c r="U34" s="351"/>
      <c r="V34" s="351">
        <f>AVERAGE(5%,10%)</f>
        <v>7.5000000000000011E-2</v>
      </c>
      <c r="W34" s="356">
        <v>7.4</v>
      </c>
      <c r="X34" s="313" t="str" cm="1">
        <f t="array" ref="X34">_xlfn.IFS($F34&lt;Glossary!$C$54,Glossary!$B$54,$F34&lt;Glossary!$C$55,Glossary!$B$55,$F34&gt;Glossary!$C$56,Glossary!$B$56)</f>
        <v>Large Cap</v>
      </c>
      <c r="Y34" s="312" t="s">
        <v>152</v>
      </c>
      <c r="Z34" s="312" t="s">
        <v>131</v>
      </c>
      <c r="AA34" s="351">
        <v>0.63170000000000004</v>
      </c>
      <c r="AB34" s="423"/>
      <c r="AC34" s="400" t="s">
        <v>1180</v>
      </c>
      <c r="AD34" s="400" t="s">
        <v>1180</v>
      </c>
      <c r="AE34" s="400" t="s">
        <v>1180</v>
      </c>
      <c r="AF34" s="423"/>
      <c r="AG34" s="309"/>
      <c r="AH34" s="379"/>
      <c r="AI34" s="312" t="s">
        <v>41</v>
      </c>
      <c r="AJ34" s="312" t="s">
        <v>41</v>
      </c>
      <c r="AK34" s="379" t="s">
        <v>41</v>
      </c>
      <c r="AL34" s="312" t="s">
        <v>41</v>
      </c>
      <c r="AM34" s="312" t="s">
        <v>41</v>
      </c>
      <c r="AN34" s="379"/>
      <c r="AO34" s="312"/>
      <c r="AP34" s="379"/>
      <c r="AQ34" s="312"/>
      <c r="AR34" s="312" t="s">
        <v>41</v>
      </c>
      <c r="AS34" s="379"/>
      <c r="AT34" s="312"/>
      <c r="AU34" s="354" t="s">
        <v>264</v>
      </c>
      <c r="AV34" s="353">
        <v>3476</v>
      </c>
      <c r="AW34" s="313">
        <v>3476</v>
      </c>
      <c r="AX34" s="313">
        <v>3476</v>
      </c>
      <c r="AY34" s="353">
        <v>3235</v>
      </c>
      <c r="AZ34" s="313">
        <v>2800</v>
      </c>
      <c r="BA34" s="313">
        <v>2738</v>
      </c>
      <c r="BB34" s="313">
        <v>2485</v>
      </c>
      <c r="BC34" s="355">
        <v>51.9</v>
      </c>
      <c r="BD34" s="356">
        <v>76.599999999999994</v>
      </c>
      <c r="BE34" s="356">
        <v>21.11</v>
      </c>
      <c r="BF34" s="360">
        <v>18.600000000000001</v>
      </c>
      <c r="BG34" s="358">
        <v>2.1700000000000001E-2</v>
      </c>
      <c r="BH34" s="359">
        <v>1.15E-2</v>
      </c>
      <c r="BI34" s="359">
        <v>1.5699999999999999E-2</v>
      </c>
      <c r="BJ34" s="359">
        <v>1.6799999999999999E-2</v>
      </c>
      <c r="BK34" s="358">
        <v>4.4600000000000001E-2</v>
      </c>
      <c r="BL34" s="359">
        <v>2.7E-2</v>
      </c>
      <c r="BM34" s="359">
        <v>2.5999999999999999E-2</v>
      </c>
      <c r="BN34" s="359">
        <v>2.3699999999999999E-2</v>
      </c>
      <c r="BO34" s="355"/>
      <c r="BP34" s="356"/>
      <c r="BQ34" s="356"/>
      <c r="BR34" s="360"/>
      <c r="BS34" s="355">
        <v>0</v>
      </c>
      <c r="BT34" s="356">
        <v>0</v>
      </c>
      <c r="BU34" s="360">
        <v>0</v>
      </c>
      <c r="BV34" s="359"/>
      <c r="BW34" s="359"/>
      <c r="BX34" s="361"/>
      <c r="BY34" s="359"/>
      <c r="BZ34" s="359"/>
      <c r="CA34" s="361"/>
      <c r="CB34" s="359"/>
      <c r="CC34" s="359"/>
      <c r="CD34" s="359"/>
      <c r="CE34" s="362">
        <f t="shared" si="10"/>
        <v>6.8161628998425192E-2</v>
      </c>
      <c r="CF34" s="363" t="str">
        <f>IF(CE34&gt;='Conviction List'!$D$4,1,"")</f>
        <v/>
      </c>
      <c r="CG34" s="364">
        <f>IF(M32&lt;='Conviction List'!$E$4,1,"")</f>
        <v>1</v>
      </c>
      <c r="CH34" s="364" t="str">
        <f>IF(BG34&gt;='Conviction List'!$F$4,1,"")</f>
        <v/>
      </c>
      <c r="CI34" s="364" t="str">
        <f>IF(BK34&gt;='Conviction List'!$G$4,1,"")</f>
        <v/>
      </c>
      <c r="CJ34" s="365">
        <f t="shared" si="9"/>
        <v>1</v>
      </c>
      <c r="CK34" s="424">
        <f t="shared" ca="1" si="2"/>
        <v>36</v>
      </c>
    </row>
    <row r="35" spans="2:89" x14ac:dyDescent="0.25">
      <c r="B35" s="312">
        <f t="shared" si="7"/>
        <v>33</v>
      </c>
      <c r="C35" s="381" t="s">
        <v>474</v>
      </c>
      <c r="D35" s="349" t="s">
        <v>489</v>
      </c>
      <c r="E35" s="312" t="s">
        <v>476</v>
      </c>
      <c r="F35" s="350">
        <f>_xlfn.XLOOKUP(CCA_Defense!$D35,BB_Input!$C$4:$C$172,BB_Input!$G$4:$G$172)</f>
        <v>30.544449415516073</v>
      </c>
      <c r="G35" s="364">
        <v>2014</v>
      </c>
      <c r="H35" s="364">
        <f t="shared" ca="1" si="4"/>
        <v>12</v>
      </c>
      <c r="I35" s="313" t="s">
        <v>280</v>
      </c>
      <c r="J35" s="313" t="s">
        <v>1015</v>
      </c>
      <c r="K35" s="313"/>
      <c r="L35" s="313" t="s">
        <v>1085</v>
      </c>
      <c r="M35" s="399">
        <v>31.6</v>
      </c>
      <c r="N35" s="313">
        <f>IFERROR(_xlfn.XLOOKUP($D35,PE_Projections!$D:$D,PE_Projections!L:L),"")</f>
        <v>61.262396129972892</v>
      </c>
      <c r="O35" s="313">
        <f>IFERROR(_xlfn.XLOOKUP($D35,PE_Projections!$D:$D,PE_Projections!M:M),"")</f>
        <v>41.105770505094661</v>
      </c>
      <c r="P35" s="313">
        <f>IFERROR(_xlfn.XLOOKUP($D35,PE_Projections!$D:$D,PE_Projections!N:N),"")</f>
        <v>27.581101549353612</v>
      </c>
      <c r="Q35" s="313">
        <f>IFERROR(_xlfn.XLOOKUP($D35,PE_Projections!$D:$D,PE_Projections!O:O),"")</f>
        <v>18.506335079681158</v>
      </c>
      <c r="R35" s="313">
        <f>IFERROR(_xlfn.XLOOKUP($D35,PE_Projections!$D:$D,PE_Projections!P:P),"")</f>
        <v>12.417358946617698</v>
      </c>
      <c r="S35" s="312">
        <v>977</v>
      </c>
      <c r="T35" s="351" t="str">
        <f t="shared" si="8"/>
        <v/>
      </c>
      <c r="U35" s="351">
        <v>0.40600000000000003</v>
      </c>
      <c r="V35" s="311"/>
      <c r="W35" s="356"/>
      <c r="X35" s="313" t="str" cm="1">
        <f t="array" ref="X35">_xlfn.IFS($F35&lt;Glossary!$C$54,Glossary!$B$54,$F35&lt;Glossary!$C$55,Glossary!$B$55,$F35&gt;Glossary!$C$56,Glossary!$B$56)</f>
        <v>Small Cap</v>
      </c>
      <c r="Y35" s="312" t="s">
        <v>145</v>
      </c>
      <c r="Z35" s="312" t="s">
        <v>133</v>
      </c>
      <c r="AA35" s="400">
        <v>0.15409999999999999</v>
      </c>
      <c r="AB35" s="311"/>
      <c r="AC35" s="400" t="s">
        <v>1180</v>
      </c>
      <c r="AD35" s="400" t="s">
        <v>1180</v>
      </c>
      <c r="AE35" s="400" t="s">
        <v>1180</v>
      </c>
      <c r="AF35" s="423" t="s">
        <v>1087</v>
      </c>
      <c r="AG35" s="311"/>
      <c r="AH35" s="385"/>
      <c r="AI35" s="311"/>
      <c r="AJ35" s="311"/>
      <c r="AK35" s="385"/>
      <c r="AL35" s="311"/>
      <c r="AM35" s="311"/>
      <c r="AN35" s="385"/>
      <c r="AO35" s="311"/>
      <c r="AP35" s="385"/>
      <c r="AQ35" s="312"/>
      <c r="AR35" s="311"/>
      <c r="AS35" s="385"/>
      <c r="AT35" s="311"/>
      <c r="AU35" s="401" t="s">
        <v>196</v>
      </c>
      <c r="AV35" s="385"/>
      <c r="AW35" s="311"/>
      <c r="AX35" s="311"/>
      <c r="AY35" s="385"/>
      <c r="AZ35" s="311"/>
      <c r="BA35" s="311"/>
      <c r="BB35" s="311"/>
      <c r="BC35" s="410"/>
      <c r="BD35" s="311"/>
      <c r="BE35" s="311"/>
      <c r="BF35" s="403"/>
      <c r="BG35" s="410"/>
      <c r="BH35" s="311"/>
      <c r="BI35" s="311"/>
      <c r="BJ35" s="311"/>
      <c r="BK35" s="410"/>
      <c r="BL35" s="311"/>
      <c r="BM35" s="311"/>
      <c r="BN35" s="311"/>
      <c r="BO35" s="410"/>
      <c r="BP35" s="311"/>
      <c r="BQ35" s="311"/>
      <c r="BR35" s="403"/>
      <c r="BS35" s="410"/>
      <c r="BT35" s="311"/>
      <c r="BU35" s="403"/>
      <c r="BV35" s="311"/>
      <c r="BW35" s="311"/>
      <c r="BX35" s="403"/>
      <c r="BY35" s="311"/>
      <c r="BZ35" s="311"/>
      <c r="CA35" s="403"/>
      <c r="CB35" s="311"/>
      <c r="CC35" s="311"/>
      <c r="CD35" s="311"/>
      <c r="CE35" s="407"/>
      <c r="CF35" s="368" t="str">
        <f>IF(CE35&gt;='Conviction List'!$D$8,1,"")</f>
        <v/>
      </c>
      <c r="CG35" s="312">
        <f>IF(M35&lt;='Conviction List'!$E$8,1,"")</f>
        <v>1</v>
      </c>
      <c r="CH35" s="312" t="str">
        <f>IF(BG35&gt;='Conviction List'!$F$8,1,"")</f>
        <v/>
      </c>
      <c r="CI35" s="312" t="str">
        <f>IF(BK35&gt;='Conviction List'!$G$8,1,"")</f>
        <v/>
      </c>
      <c r="CJ35" s="365">
        <f t="shared" si="9"/>
        <v>1</v>
      </c>
      <c r="CK35" s="424">
        <f t="shared" ref="CK35:CK66" ca="1" si="11">MATCH($D35,INDIRECT($C$90&amp;"!$C$1:$C$164"),0)</f>
        <v>79</v>
      </c>
    </row>
    <row r="36" spans="2:89" x14ac:dyDescent="0.25">
      <c r="B36" s="366">
        <f t="shared" si="7"/>
        <v>34</v>
      </c>
      <c r="C36" s="311" t="s">
        <v>256</v>
      </c>
      <c r="D36" s="349" t="s">
        <v>422</v>
      </c>
      <c r="E36" s="312" t="s">
        <v>182</v>
      </c>
      <c r="F36" s="350">
        <f>_xlfn.XLOOKUP(CCA_Defense!$D36,BB_Input!$C$4:$C$172,BB_Input!$G$4:$G$172)</f>
        <v>83.637470997004883</v>
      </c>
      <c r="G36" s="364">
        <v>2005</v>
      </c>
      <c r="H36" s="364">
        <f t="shared" ca="1" si="4"/>
        <v>21</v>
      </c>
      <c r="I36" s="313" t="s">
        <v>280</v>
      </c>
      <c r="J36" s="313" t="s">
        <v>986</v>
      </c>
      <c r="K36" s="313"/>
      <c r="L36" s="313"/>
      <c r="M36" s="312">
        <v>53.5</v>
      </c>
      <c r="N36" s="313">
        <f>IFERROR(_xlfn.XLOOKUP($D36,PE_Projections!$D:$D,PE_Projections!L:L),"")</f>
        <v>150.81605894611374</v>
      </c>
      <c r="O36" s="313">
        <f>IFERROR(_xlfn.XLOOKUP($D36,PE_Projections!$D:$D,PE_Projections!M:M),"")</f>
        <v>140.63933060394993</v>
      </c>
      <c r="P36" s="313">
        <f>IFERROR(_xlfn.XLOOKUP($D36,PE_Projections!$D:$D,PE_Projections!N:N),"")</f>
        <v>131.14930499406745</v>
      </c>
      <c r="Q36" s="313">
        <f>IFERROR(_xlfn.XLOOKUP($D36,PE_Projections!$D:$D,PE_Projections!O:O),"")</f>
        <v>122.29964496107928</v>
      </c>
      <c r="R36" s="313">
        <f>IFERROR(_xlfn.XLOOKUP($D36,PE_Projections!$D:$D,PE_Projections!P:P),"")</f>
        <v>114.04714007659159</v>
      </c>
      <c r="S36" s="312">
        <v>13</v>
      </c>
      <c r="T36" s="351">
        <f t="shared" si="8"/>
        <v>2.1295687604812881E-2</v>
      </c>
      <c r="U36" s="351"/>
      <c r="V36" s="351">
        <f>AVERAGE(70%,80%)</f>
        <v>0.75</v>
      </c>
      <c r="W36" s="356"/>
      <c r="X36" s="313" t="str" cm="1">
        <f t="array" ref="X36">_xlfn.IFS($F36&lt;Glossary!$C$54,Glossary!$B$54,$F36&lt;Glossary!$C$55,Glossary!$B$55,$F36&gt;Glossary!$C$56,Glossary!$B$56)</f>
        <v>Small Cap</v>
      </c>
      <c r="Y36" s="312" t="s">
        <v>190</v>
      </c>
      <c r="Z36" s="312" t="s">
        <v>133</v>
      </c>
      <c r="AA36" s="351">
        <v>0.52200000000000002</v>
      </c>
      <c r="AB36" s="423"/>
      <c r="AC36" s="400" t="s">
        <v>1180</v>
      </c>
      <c r="AD36" s="400" t="s">
        <v>1180</v>
      </c>
      <c r="AE36" s="400" t="s">
        <v>1180</v>
      </c>
      <c r="AF36" s="423"/>
      <c r="AG36" s="309"/>
      <c r="AH36" s="379"/>
      <c r="AI36" s="312"/>
      <c r="AJ36" s="312"/>
      <c r="AK36" s="379" t="s">
        <v>41</v>
      </c>
      <c r="AL36" s="312" t="s">
        <v>41</v>
      </c>
      <c r="AM36" s="312"/>
      <c r="AN36" s="379"/>
      <c r="AO36" s="312"/>
      <c r="AP36" s="379"/>
      <c r="AQ36" s="312"/>
      <c r="AR36" s="312"/>
      <c r="AS36" s="379"/>
      <c r="AT36" s="312"/>
      <c r="AU36" s="401" t="s">
        <v>194</v>
      </c>
      <c r="AV36" s="379">
        <v>17.600000000000001</v>
      </c>
      <c r="AW36" s="312">
        <v>17.600000000000001</v>
      </c>
      <c r="AX36" s="312">
        <v>17.600000000000001</v>
      </c>
      <c r="AY36" s="353">
        <v>4</v>
      </c>
      <c r="AZ36" s="313">
        <v>2.5</v>
      </c>
      <c r="BA36" s="313">
        <v>3.7</v>
      </c>
      <c r="BB36" s="313">
        <v>3.6</v>
      </c>
      <c r="BC36" s="355">
        <v>43.47</v>
      </c>
      <c r="BD36" s="356"/>
      <c r="BE36" s="356"/>
      <c r="BF36" s="360"/>
      <c r="BG36" s="358">
        <v>0.1326</v>
      </c>
      <c r="BH36" s="359"/>
      <c r="BI36" s="359"/>
      <c r="BJ36" s="359"/>
      <c r="BK36" s="358">
        <v>0.17449999999999999</v>
      </c>
      <c r="BL36" s="359"/>
      <c r="BM36" s="359"/>
      <c r="BN36" s="359"/>
      <c r="BO36" s="355"/>
      <c r="BP36" s="356"/>
      <c r="BQ36" s="356"/>
      <c r="BR36" s="360"/>
      <c r="BS36" s="355">
        <v>0</v>
      </c>
      <c r="BT36" s="356">
        <v>0</v>
      </c>
      <c r="BU36" s="360">
        <v>0.03</v>
      </c>
      <c r="BV36" s="359"/>
      <c r="BW36" s="359"/>
      <c r="BX36" s="361"/>
      <c r="BY36" s="359"/>
      <c r="BZ36" s="359"/>
      <c r="CA36" s="361"/>
      <c r="CB36" s="359"/>
      <c r="CC36" s="359"/>
      <c r="CD36" s="359"/>
      <c r="CE36" s="362">
        <f>IFERROR(RATE(4,,BB36,-AY36),"")</f>
        <v>2.6690096080410567E-2</v>
      </c>
      <c r="CF36" s="368" t="str">
        <f>IF(CE36&gt;='Conviction List'!$D$6,1,"")</f>
        <v/>
      </c>
      <c r="CG36" s="312">
        <f>IF(M36&lt;='Conviction List'!$E$6,1,"")</f>
        <v>1</v>
      </c>
      <c r="CH36" s="312">
        <f>IF(BG36&gt;='Conviction List'!$F$6,1,"")</f>
        <v>1</v>
      </c>
      <c r="CI36" s="312">
        <f>IF(BK36&gt;='Conviction List'!$G$6,1,"")</f>
        <v>1</v>
      </c>
      <c r="CJ36" s="365">
        <f t="shared" si="9"/>
        <v>3</v>
      </c>
      <c r="CK36" s="424">
        <f t="shared" ca="1" si="11"/>
        <v>38</v>
      </c>
    </row>
    <row r="37" spans="2:89" x14ac:dyDescent="0.25">
      <c r="B37" s="366">
        <f t="shared" si="7"/>
        <v>35</v>
      </c>
      <c r="C37" s="311" t="s">
        <v>296</v>
      </c>
      <c r="D37" s="349" t="s">
        <v>429</v>
      </c>
      <c r="E37" s="312" t="s">
        <v>321</v>
      </c>
      <c r="F37" s="350">
        <f>_xlfn.XLOOKUP(CCA_Defense!$D37,BB_Input!$C$4:$C$172,BB_Input!$G$4:$G$172)</f>
        <v>130.14987176206944</v>
      </c>
      <c r="G37" s="364">
        <v>2007</v>
      </c>
      <c r="H37" s="364">
        <f t="shared" ca="1" si="4"/>
        <v>19</v>
      </c>
      <c r="I37" s="313" t="s">
        <v>280</v>
      </c>
      <c r="J37" s="313" t="s">
        <v>995</v>
      </c>
      <c r="K37" s="313"/>
      <c r="L37" s="313" t="s">
        <v>1085</v>
      </c>
      <c r="M37" s="312">
        <v>57</v>
      </c>
      <c r="N37" s="313">
        <f>IFERROR(_xlfn.XLOOKUP($D37,PE_Projections!$D:$D,PE_Projections!L:L),"")</f>
        <v>41.345253810562589</v>
      </c>
      <c r="O37" s="313">
        <f>IFERROR(_xlfn.XLOOKUP($D37,PE_Projections!$D:$D,PE_Projections!M:M),"")</f>
        <v>27.156160138300546</v>
      </c>
      <c r="P37" s="313">
        <f>IFERROR(_xlfn.XLOOKUP($D37,PE_Projections!$D:$D,PE_Projections!N:N),"")</f>
        <v>17.836558383120227</v>
      </c>
      <c r="Q37" s="313">
        <f>IFERROR(_xlfn.XLOOKUP($D37,PE_Projections!$D:$D,PE_Projections!O:O),"")</f>
        <v>11.715309282837588</v>
      </c>
      <c r="R37" s="313">
        <f>IFERROR(_xlfn.XLOOKUP($D37,PE_Projections!$D:$D,PE_Projections!P:P),"")</f>
        <v>7.694784422225017</v>
      </c>
      <c r="S37" s="312">
        <v>84</v>
      </c>
      <c r="T37" s="351">
        <f t="shared" si="8"/>
        <v>0.31601710017674001</v>
      </c>
      <c r="U37" s="351">
        <f>(40%+50%)/2</f>
        <v>0.45</v>
      </c>
      <c r="V37" s="400">
        <v>0.95</v>
      </c>
      <c r="W37" s="356">
        <v>1.1000000000000001</v>
      </c>
      <c r="X37" s="313" t="str" cm="1">
        <f t="array" ref="X37">_xlfn.IFS($F37&lt;Glossary!$C$54,Glossary!$B$54,$F37&lt;Glossary!$C$55,Glossary!$B$55,$F37&gt;Glossary!$C$56,Glossary!$B$56)</f>
        <v>Small Cap</v>
      </c>
      <c r="Y37" s="312" t="s">
        <v>366</v>
      </c>
      <c r="Z37" s="312" t="s">
        <v>134</v>
      </c>
      <c r="AA37" s="400">
        <v>0.73</v>
      </c>
      <c r="AB37" s="423"/>
      <c r="AC37" s="400" t="s">
        <v>1180</v>
      </c>
      <c r="AD37" s="400" t="s">
        <v>1180</v>
      </c>
      <c r="AE37" s="400" t="s">
        <v>1180</v>
      </c>
      <c r="AF37" s="423" t="s">
        <v>1083</v>
      </c>
      <c r="AG37" s="312" t="s">
        <v>377</v>
      </c>
      <c r="AH37" s="379"/>
      <c r="AI37" s="312"/>
      <c r="AJ37" s="312"/>
      <c r="AK37" s="379"/>
      <c r="AL37" s="312" t="s">
        <v>41</v>
      </c>
      <c r="AM37" s="312"/>
      <c r="AN37" s="379"/>
      <c r="AO37" s="312"/>
      <c r="AP37" s="379"/>
      <c r="AQ37" s="312" t="s">
        <v>41</v>
      </c>
      <c r="AR37" s="312"/>
      <c r="AS37" s="379"/>
      <c r="AT37" s="312"/>
      <c r="AU37" s="354" t="s">
        <v>264</v>
      </c>
      <c r="AV37" s="353">
        <v>100.3</v>
      </c>
      <c r="AW37" s="313">
        <v>100.3</v>
      </c>
      <c r="AX37" s="313">
        <v>100.3</v>
      </c>
      <c r="AY37" s="353">
        <v>22.5</v>
      </c>
      <c r="AZ37" s="313">
        <v>12.2</v>
      </c>
      <c r="BA37" s="313">
        <v>7.2</v>
      </c>
      <c r="BB37" s="313">
        <v>5.7</v>
      </c>
      <c r="BC37" s="355">
        <v>37.590000000000003</v>
      </c>
      <c r="BD37" s="356"/>
      <c r="BE37" s="356"/>
      <c r="BF37" s="360"/>
      <c r="BG37" s="358">
        <v>0.18459999999999999</v>
      </c>
      <c r="BH37" s="359"/>
      <c r="BI37" s="359"/>
      <c r="BJ37" s="359"/>
      <c r="BK37" s="358">
        <v>0.23799999999999999</v>
      </c>
      <c r="BL37" s="359"/>
      <c r="BM37" s="359"/>
      <c r="BN37" s="359"/>
      <c r="BO37" s="355"/>
      <c r="BP37" s="356"/>
      <c r="BQ37" s="356"/>
      <c r="BR37" s="360"/>
      <c r="BS37" s="355"/>
      <c r="BT37" s="356"/>
      <c r="BU37" s="360"/>
      <c r="BV37" s="311"/>
      <c r="BW37" s="311"/>
      <c r="BX37" s="403"/>
      <c r="BY37" s="311"/>
      <c r="BZ37" s="311"/>
      <c r="CA37" s="403"/>
      <c r="CB37" s="311"/>
      <c r="CC37" s="311"/>
      <c r="CD37" s="311"/>
      <c r="CE37" s="407"/>
      <c r="CF37" s="368" t="str">
        <f>IF(CE37&gt;='Conviction List'!$D$8,1,"")</f>
        <v/>
      </c>
      <c r="CG37" s="312">
        <f>IF(M37&lt;='Conviction List'!$E$8,1,"")</f>
        <v>1</v>
      </c>
      <c r="CH37" s="312">
        <f>IF(BG37&gt;='Conviction List'!$F$8,1,"")</f>
        <v>1</v>
      </c>
      <c r="CI37" s="312" t="str">
        <f>IF(BK37&gt;='Conviction List'!$G$8,1,"")</f>
        <v/>
      </c>
      <c r="CJ37" s="365">
        <f t="shared" si="9"/>
        <v>2</v>
      </c>
      <c r="CK37" s="424">
        <f t="shared" ca="1" si="11"/>
        <v>52</v>
      </c>
    </row>
    <row r="38" spans="2:89" x14ac:dyDescent="0.25">
      <c r="B38" s="366">
        <f t="shared" si="7"/>
        <v>36</v>
      </c>
      <c r="C38" s="311" t="s">
        <v>185</v>
      </c>
      <c r="D38" s="349" t="s">
        <v>257</v>
      </c>
      <c r="E38" s="312" t="s">
        <v>257</v>
      </c>
      <c r="F38" s="350">
        <f>_xlfn.XLOOKUP(CCA_Defense!$D38,BB_Input!$C$4:$C$172,BB_Input!$G$4:$G$172)</f>
        <v>2722.5173978912667</v>
      </c>
      <c r="G38" s="364">
        <v>1977</v>
      </c>
      <c r="H38" s="364">
        <f t="shared" ca="1" si="4"/>
        <v>49</v>
      </c>
      <c r="I38" s="313" t="s">
        <v>280</v>
      </c>
      <c r="J38" s="313" t="s">
        <v>988</v>
      </c>
      <c r="K38" s="313"/>
      <c r="L38" s="313"/>
      <c r="M38" s="312">
        <v>43</v>
      </c>
      <c r="N38" s="313">
        <f>IFERROR(_xlfn.XLOOKUP($D38,PE_Projections!$D:$D,PE_Projections!L:L),"")</f>
        <v>39.533631192194505</v>
      </c>
      <c r="O38" s="313">
        <f>IFERROR(_xlfn.XLOOKUP($D38,PE_Projections!$D:$D,PE_Projections!M:M),"")</f>
        <v>31.151942600209804</v>
      </c>
      <c r="P38" s="313">
        <f>IFERROR(_xlfn.XLOOKUP($D38,PE_Projections!$D:$D,PE_Projections!N:N),"")</f>
        <v>28.716611582603829</v>
      </c>
      <c r="Q38" s="313" t="str">
        <f>IFERROR(_xlfn.XLOOKUP($D38,PE_Projections!$D:$D,PE_Projections!O:O),"")</f>
        <v/>
      </c>
      <c r="R38" s="313" t="str">
        <f>IFERROR(_xlfn.XLOOKUP($D38,PE_Projections!$D:$D,PE_Projections!P:P),"")</f>
        <v/>
      </c>
      <c r="S38" s="312">
        <v>4</v>
      </c>
      <c r="T38" s="351">
        <f t="shared" si="8"/>
        <v>0.11304961305614281</v>
      </c>
      <c r="U38" s="351"/>
      <c r="V38" s="351">
        <v>0.2</v>
      </c>
      <c r="W38" s="356">
        <v>1.8</v>
      </c>
      <c r="X38" s="313" t="str" cm="1">
        <f t="array" ref="X38">_xlfn.IFS($F38&lt;Glossary!$C$54,Glossary!$B$54,$F38&lt;Glossary!$C$55,Glossary!$B$55,$F38&gt;Glossary!$C$56,Glossary!$B$56)</f>
        <v>Mid Cap</v>
      </c>
      <c r="Y38" s="312" t="s">
        <v>146</v>
      </c>
      <c r="Z38" s="312" t="s">
        <v>134</v>
      </c>
      <c r="AA38" s="351">
        <v>0.59099999999999997</v>
      </c>
      <c r="AB38" s="423"/>
      <c r="AC38" s="400" t="s">
        <v>1180</v>
      </c>
      <c r="AD38" s="400" t="s">
        <v>1180</v>
      </c>
      <c r="AE38" s="400" t="s">
        <v>1180</v>
      </c>
      <c r="AF38" s="423"/>
      <c r="AG38" s="309"/>
      <c r="AH38" s="379"/>
      <c r="AI38" s="312"/>
      <c r="AJ38" s="312"/>
      <c r="AK38" s="379"/>
      <c r="AL38" s="312"/>
      <c r="AM38" s="312"/>
      <c r="AN38" s="379"/>
      <c r="AO38" s="312"/>
      <c r="AP38" s="379" t="s">
        <v>41</v>
      </c>
      <c r="AQ38" s="312"/>
      <c r="AR38" s="312"/>
      <c r="AS38" s="379"/>
      <c r="AT38" s="312"/>
      <c r="AU38" s="401" t="s">
        <v>196</v>
      </c>
      <c r="AV38" s="379">
        <v>277.3</v>
      </c>
      <c r="AW38" s="312">
        <v>277.3</v>
      </c>
      <c r="AX38" s="312">
        <v>277.3</v>
      </c>
      <c r="AY38" s="353">
        <v>24.6</v>
      </c>
      <c r="AZ38" s="313">
        <v>26.1</v>
      </c>
      <c r="BA38" s="313">
        <v>16.100000000000001</v>
      </c>
      <c r="BB38" s="313">
        <v>14.4</v>
      </c>
      <c r="BC38" s="355"/>
      <c r="BD38" s="356">
        <v>30.22</v>
      </c>
      <c r="BE38" s="356">
        <v>15.16</v>
      </c>
      <c r="BF38" s="360">
        <v>10.38</v>
      </c>
      <c r="BG38" s="358"/>
      <c r="BH38" s="359">
        <v>0.23100000000000001</v>
      </c>
      <c r="BI38" s="359">
        <v>0.10199999999999999</v>
      </c>
      <c r="BJ38" s="359">
        <v>0.108</v>
      </c>
      <c r="BK38" s="358"/>
      <c r="BL38" s="359">
        <v>0.29499999999999998</v>
      </c>
      <c r="BM38" s="359">
        <v>0.13389999999999999</v>
      </c>
      <c r="BN38" s="359">
        <v>0.14080000000000001</v>
      </c>
      <c r="BO38" s="355"/>
      <c r="BP38" s="356"/>
      <c r="BQ38" s="356"/>
      <c r="BR38" s="360"/>
      <c r="BS38" s="355">
        <v>0.05</v>
      </c>
      <c r="BT38" s="356">
        <v>0.09</v>
      </c>
      <c r="BU38" s="360">
        <v>7.0000000000000007E-2</v>
      </c>
      <c r="BV38" s="359"/>
      <c r="BW38" s="359"/>
      <c r="BX38" s="361"/>
      <c r="BY38" s="359"/>
      <c r="BZ38" s="359"/>
      <c r="CA38" s="361"/>
      <c r="CB38" s="359"/>
      <c r="CC38" s="359"/>
      <c r="CD38" s="359"/>
      <c r="CE38" s="362">
        <f>IFERROR(RATE(4,,BB38,-AY38),"")</f>
        <v>0.14325511666462407</v>
      </c>
      <c r="CF38" s="368" t="str">
        <f>IF(CE38&gt;='Conviction List'!$D$8,1,"")</f>
        <v/>
      </c>
      <c r="CG38" s="312">
        <f>IF(M38&lt;='Conviction List'!$E$8,1,"")</f>
        <v>1</v>
      </c>
      <c r="CH38" s="312" t="str">
        <f>IF(BG38&gt;='Conviction List'!$F$8,1,"")</f>
        <v/>
      </c>
      <c r="CI38" s="312" t="str">
        <f>IF(BK38&gt;='Conviction List'!$G$8,1,"")</f>
        <v/>
      </c>
      <c r="CJ38" s="365">
        <f t="shared" si="9"/>
        <v>1</v>
      </c>
      <c r="CK38" s="424">
        <f t="shared" ca="1" si="11"/>
        <v>40</v>
      </c>
    </row>
    <row r="39" spans="2:89" x14ac:dyDescent="0.25">
      <c r="B39" s="366">
        <f t="shared" si="7"/>
        <v>37</v>
      </c>
      <c r="C39" s="311" t="s">
        <v>286</v>
      </c>
      <c r="D39" s="367" t="s">
        <v>440</v>
      </c>
      <c r="E39" s="312"/>
      <c r="F39" s="350" t="e">
        <f>_xlfn.XLOOKUP(CCA_Defense!$D39,BB_Input!$C$4:$C$172,BB_Input!$G$4:$G$172)</f>
        <v>#N/A</v>
      </c>
      <c r="G39" s="364">
        <v>2007</v>
      </c>
      <c r="H39" s="364">
        <f t="shared" ca="1" si="4"/>
        <v>19</v>
      </c>
      <c r="I39" s="313" t="s">
        <v>358</v>
      </c>
      <c r="J39" s="313" t="s">
        <v>986</v>
      </c>
      <c r="K39" s="313"/>
      <c r="L39" s="313"/>
      <c r="M39" s="312"/>
      <c r="N39" s="313" t="str">
        <f>IFERROR(_xlfn.XLOOKUP($D39,PE_Projections!$D:$D,PE_Projections!L:L),"")</f>
        <v/>
      </c>
      <c r="O39" s="313" t="str">
        <f>IFERROR(_xlfn.XLOOKUP($D39,PE_Projections!$D:$D,PE_Projections!M:M),"")</f>
        <v/>
      </c>
      <c r="P39" s="313" t="str">
        <f>IFERROR(_xlfn.XLOOKUP($D39,PE_Projections!$D:$D,PE_Projections!N:N),"")</f>
        <v/>
      </c>
      <c r="Q39" s="313" t="str">
        <f>IFERROR(_xlfn.XLOOKUP($D39,PE_Projections!$D:$D,PE_Projections!O:O),"")</f>
        <v/>
      </c>
      <c r="R39" s="313" t="str">
        <f>IFERROR(_xlfn.XLOOKUP($D39,PE_Projections!$D:$D,PE_Projections!P:P),"")</f>
        <v/>
      </c>
      <c r="S39" s="311"/>
      <c r="T39" s="351" t="str">
        <f t="shared" si="8"/>
        <v/>
      </c>
      <c r="U39" s="351"/>
      <c r="V39" s="311"/>
      <c r="W39" s="356">
        <v>5.5</v>
      </c>
      <c r="X39" s="313"/>
      <c r="Y39" s="312" t="s">
        <v>146</v>
      </c>
      <c r="Z39" s="312" t="s">
        <v>134</v>
      </c>
      <c r="AA39" s="400">
        <v>0.66</v>
      </c>
      <c r="AB39" s="423"/>
      <c r="AC39" s="400" t="s">
        <v>1180</v>
      </c>
      <c r="AD39" s="400" t="s">
        <v>1180</v>
      </c>
      <c r="AE39" s="400" t="s">
        <v>1180</v>
      </c>
      <c r="AF39" s="423"/>
      <c r="AG39" s="309" t="s">
        <v>370</v>
      </c>
      <c r="AH39" s="379" t="s">
        <v>41</v>
      </c>
      <c r="AI39" s="312" t="s">
        <v>41</v>
      </c>
      <c r="AJ39" s="312"/>
      <c r="AK39" s="379"/>
      <c r="AL39" s="312" t="s">
        <v>41</v>
      </c>
      <c r="AM39" s="312" t="s">
        <v>41</v>
      </c>
      <c r="AN39" s="379"/>
      <c r="AO39" s="312"/>
      <c r="AP39" s="379"/>
      <c r="AQ39" s="312" t="s">
        <v>41</v>
      </c>
      <c r="AR39" s="312" t="s">
        <v>41</v>
      </c>
      <c r="AS39" s="379"/>
      <c r="AT39" s="312"/>
      <c r="AU39" s="354" t="s">
        <v>264</v>
      </c>
      <c r="AV39" s="385"/>
      <c r="AW39" s="311"/>
      <c r="AX39" s="311"/>
      <c r="AY39" s="385"/>
      <c r="AZ39" s="311"/>
      <c r="BA39" s="311"/>
      <c r="BB39" s="311"/>
      <c r="BC39" s="410"/>
      <c r="BD39" s="311"/>
      <c r="BE39" s="311"/>
      <c r="BF39" s="403"/>
      <c r="BG39" s="410"/>
      <c r="BH39" s="311"/>
      <c r="BI39" s="311"/>
      <c r="BJ39" s="311"/>
      <c r="BK39" s="410"/>
      <c r="BL39" s="311"/>
      <c r="BM39" s="311"/>
      <c r="BN39" s="311"/>
      <c r="BO39" s="410"/>
      <c r="BP39" s="311"/>
      <c r="BQ39" s="311"/>
      <c r="BR39" s="403"/>
      <c r="BS39" s="410"/>
      <c r="BT39" s="311"/>
      <c r="BU39" s="403"/>
      <c r="BV39" s="311"/>
      <c r="BW39" s="311"/>
      <c r="BX39" s="403"/>
      <c r="BY39" s="311"/>
      <c r="BZ39" s="311"/>
      <c r="CA39" s="403"/>
      <c r="CB39" s="311"/>
      <c r="CC39" s="311"/>
      <c r="CD39" s="311"/>
      <c r="CE39" s="407"/>
      <c r="CF39" s="368" t="str">
        <f>IF(CE39&gt;='Conviction List'!$D$8,1,"")</f>
        <v/>
      </c>
      <c r="CG39" s="312">
        <f>IF(M39&lt;='Conviction List'!$E$8,1,"")</f>
        <v>1</v>
      </c>
      <c r="CH39" s="312" t="str">
        <f>IF(BG39&gt;='Conviction List'!$F$8,1,"")</f>
        <v/>
      </c>
      <c r="CI39" s="312" t="str">
        <f>IF(BK39&gt;='Conviction List'!$G$8,1,"")</f>
        <v/>
      </c>
      <c r="CJ39" s="365">
        <f t="shared" si="9"/>
        <v>1</v>
      </c>
      <c r="CK39" s="424">
        <f t="shared" ca="1" si="11"/>
        <v>41</v>
      </c>
    </row>
    <row r="40" spans="2:89" x14ac:dyDescent="0.25">
      <c r="B40" s="366">
        <f t="shared" si="7"/>
        <v>38</v>
      </c>
      <c r="C40" s="311" t="s">
        <v>287</v>
      </c>
      <c r="D40" s="367" t="s">
        <v>441</v>
      </c>
      <c r="E40" s="312"/>
      <c r="F40" s="350" t="e">
        <f>_xlfn.XLOOKUP(CCA_Defense!$D40,BB_Input!$C$4:$C$172,BB_Input!$G$4:$G$172)</f>
        <v>#N/A</v>
      </c>
      <c r="G40" s="364">
        <v>2015</v>
      </c>
      <c r="H40" s="364">
        <f t="shared" ca="1" si="4"/>
        <v>11</v>
      </c>
      <c r="I40" s="313" t="s">
        <v>358</v>
      </c>
      <c r="J40" s="313" t="s">
        <v>961</v>
      </c>
      <c r="K40" s="313"/>
      <c r="L40" s="313"/>
      <c r="M40" s="312"/>
      <c r="N40" s="313" t="str">
        <f>IFERROR(_xlfn.XLOOKUP($D40,PE_Projections!$D:$D,PE_Projections!L:L),"")</f>
        <v/>
      </c>
      <c r="O40" s="313" t="str">
        <f>IFERROR(_xlfn.XLOOKUP($D40,PE_Projections!$D:$D,PE_Projections!M:M),"")</f>
        <v/>
      </c>
      <c r="P40" s="313" t="str">
        <f>IFERROR(_xlfn.XLOOKUP($D40,PE_Projections!$D:$D,PE_Projections!N:N),"")</f>
        <v/>
      </c>
      <c r="Q40" s="313" t="str">
        <f>IFERROR(_xlfn.XLOOKUP($D40,PE_Projections!$D:$D,PE_Projections!O:O),"")</f>
        <v/>
      </c>
      <c r="R40" s="313" t="str">
        <f>IFERROR(_xlfn.XLOOKUP($D40,PE_Projections!$D:$D,PE_Projections!P:P),"")</f>
        <v/>
      </c>
      <c r="S40" s="311"/>
      <c r="T40" s="351" t="str">
        <f t="shared" si="8"/>
        <v/>
      </c>
      <c r="U40" s="351"/>
      <c r="V40" s="311"/>
      <c r="W40" s="356"/>
      <c r="X40" s="313"/>
      <c r="Y40" s="312" t="s">
        <v>147</v>
      </c>
      <c r="Z40" s="312" t="s">
        <v>134</v>
      </c>
      <c r="AA40" s="312"/>
      <c r="AB40" s="423"/>
      <c r="AC40" s="400" t="s">
        <v>1180</v>
      </c>
      <c r="AD40" s="400" t="s">
        <v>1180</v>
      </c>
      <c r="AE40" s="400" t="s">
        <v>1180</v>
      </c>
      <c r="AF40" s="423"/>
      <c r="AG40" s="313" t="s">
        <v>371</v>
      </c>
      <c r="AH40" s="379"/>
      <c r="AI40" s="312"/>
      <c r="AJ40" s="312"/>
      <c r="AK40" s="379"/>
      <c r="AL40" s="312"/>
      <c r="AM40" s="312"/>
      <c r="AN40" s="379" t="s">
        <v>41</v>
      </c>
      <c r="AO40" s="312"/>
      <c r="AP40" s="379"/>
      <c r="AQ40" s="312"/>
      <c r="AR40" s="312"/>
      <c r="AS40" s="379"/>
      <c r="AT40" s="312"/>
      <c r="AU40" s="401" t="s">
        <v>195</v>
      </c>
      <c r="AV40" s="385"/>
      <c r="AW40" s="311"/>
      <c r="AX40" s="311"/>
      <c r="AY40" s="385"/>
      <c r="AZ40" s="311"/>
      <c r="BA40" s="311"/>
      <c r="BB40" s="311"/>
      <c r="BC40" s="410"/>
      <c r="BD40" s="311"/>
      <c r="BE40" s="311"/>
      <c r="BF40" s="403"/>
      <c r="BG40" s="410"/>
      <c r="BH40" s="311"/>
      <c r="BI40" s="311"/>
      <c r="BJ40" s="311"/>
      <c r="BK40" s="410"/>
      <c r="BL40" s="311"/>
      <c r="BM40" s="311"/>
      <c r="BN40" s="311"/>
      <c r="BO40" s="410"/>
      <c r="BP40" s="311"/>
      <c r="BQ40" s="311"/>
      <c r="BR40" s="403"/>
      <c r="BS40" s="410"/>
      <c r="BT40" s="311"/>
      <c r="BU40" s="403"/>
      <c r="BV40" s="311"/>
      <c r="BW40" s="311"/>
      <c r="BX40" s="403"/>
      <c r="BY40" s="311"/>
      <c r="BZ40" s="311"/>
      <c r="CA40" s="403"/>
      <c r="CB40" s="311"/>
      <c r="CC40" s="311"/>
      <c r="CD40" s="311"/>
      <c r="CE40" s="407"/>
      <c r="CF40" s="368" t="str">
        <f>IF(CE40&gt;='Conviction List'!$D$8,1,"")</f>
        <v/>
      </c>
      <c r="CG40" s="312">
        <f>IF(M40&lt;='Conviction List'!$E$8,1,"")</f>
        <v>1</v>
      </c>
      <c r="CH40" s="312" t="str">
        <f>IF(BG40&gt;='Conviction List'!$F$8,1,"")</f>
        <v/>
      </c>
      <c r="CI40" s="312" t="str">
        <f>IF(BK40&gt;='Conviction List'!$G$8,1,"")</f>
        <v/>
      </c>
      <c r="CJ40" s="365">
        <f t="shared" si="9"/>
        <v>1</v>
      </c>
      <c r="CK40" s="424">
        <f t="shared" ca="1" si="11"/>
        <v>42</v>
      </c>
    </row>
    <row r="41" spans="2:89" x14ac:dyDescent="0.25">
      <c r="B41" s="366">
        <f t="shared" si="7"/>
        <v>39</v>
      </c>
      <c r="C41" s="311" t="s">
        <v>288</v>
      </c>
      <c r="D41" s="349" t="s">
        <v>314</v>
      </c>
      <c r="E41" s="312" t="s">
        <v>314</v>
      </c>
      <c r="F41" s="350">
        <f>_xlfn.XLOOKUP(CCA_Defense!$D41,BB_Input!$C$4:$C$172,BB_Input!$G$4:$G$172)</f>
        <v>186.68179306580453</v>
      </c>
      <c r="G41" s="364">
        <v>2015</v>
      </c>
      <c r="H41" s="364">
        <f t="shared" ca="1" si="4"/>
        <v>11</v>
      </c>
      <c r="I41" s="313" t="s">
        <v>280</v>
      </c>
      <c r="J41" s="313" t="s">
        <v>980</v>
      </c>
      <c r="K41" s="313"/>
      <c r="L41" s="313"/>
      <c r="M41" s="312">
        <v>50.25</v>
      </c>
      <c r="N41" s="313" t="str">
        <f>IFERROR(_xlfn.XLOOKUP($D41,PE_Projections!$D:$D,PE_Projections!L:L),"")</f>
        <v/>
      </c>
      <c r="O41" s="313" t="str">
        <f>IFERROR(_xlfn.XLOOKUP($D41,PE_Projections!$D:$D,PE_Projections!M:M),"")</f>
        <v/>
      </c>
      <c r="P41" s="313" t="str">
        <f>IFERROR(_xlfn.XLOOKUP($D41,PE_Projections!$D:$D,PE_Projections!N:N),"")</f>
        <v/>
      </c>
      <c r="Q41" s="313" t="str">
        <f>IFERROR(_xlfn.XLOOKUP($D41,PE_Projections!$D:$D,PE_Projections!O:O),"")</f>
        <v/>
      </c>
      <c r="R41" s="313" t="str">
        <f>IFERROR(_xlfn.XLOOKUP($D41,PE_Projections!$D:$D,PE_Projections!P:P),"")</f>
        <v/>
      </c>
      <c r="S41" s="312">
        <v>71</v>
      </c>
      <c r="T41" s="351">
        <f t="shared" si="8"/>
        <v>0.43413497286210756</v>
      </c>
      <c r="U41" s="351"/>
      <c r="V41" s="351">
        <f>AVERAGE(5%,10%)</f>
        <v>7.5000000000000011E-2</v>
      </c>
      <c r="W41" s="356">
        <v>2.8</v>
      </c>
      <c r="X41" s="313" t="str" cm="1">
        <f t="array" ref="X41">_xlfn.IFS($F41&lt;Glossary!$C$54,Glossary!$B$54,$F41&lt;Glossary!$C$55,Glossary!$B$55,$F41&gt;Glossary!$C$56,Glossary!$B$56)</f>
        <v>Small Cap</v>
      </c>
      <c r="Y41" s="312" t="s">
        <v>366</v>
      </c>
      <c r="Z41" s="312" t="s">
        <v>134</v>
      </c>
      <c r="AA41" s="400">
        <v>0.71399999999999997</v>
      </c>
      <c r="AB41" s="423"/>
      <c r="AC41" s="400" t="s">
        <v>1181</v>
      </c>
      <c r="AD41" s="400" t="s">
        <v>1180</v>
      </c>
      <c r="AE41" s="400" t="s">
        <v>1180</v>
      </c>
      <c r="AF41" s="423"/>
      <c r="AG41" s="312" t="s">
        <v>383</v>
      </c>
      <c r="AH41" s="379"/>
      <c r="AI41" s="312"/>
      <c r="AJ41" s="312"/>
      <c r="AK41" s="379"/>
      <c r="AL41" s="312"/>
      <c r="AM41" s="312"/>
      <c r="AN41" s="379"/>
      <c r="AO41" s="312"/>
      <c r="AP41" s="379"/>
      <c r="AQ41" s="312" t="s">
        <v>41</v>
      </c>
      <c r="AR41" s="312" t="s">
        <v>41</v>
      </c>
      <c r="AS41" s="379"/>
      <c r="AT41" s="312" t="s">
        <v>41</v>
      </c>
      <c r="AU41" s="354" t="s">
        <v>264</v>
      </c>
      <c r="AV41" s="385"/>
      <c r="AW41" s="311"/>
      <c r="AX41" s="311"/>
      <c r="AY41" s="353">
        <v>18.2</v>
      </c>
      <c r="AZ41" s="313">
        <v>10.7</v>
      </c>
      <c r="BA41" s="313">
        <v>9.6999999999999993</v>
      </c>
      <c r="BB41" s="313">
        <v>3</v>
      </c>
      <c r="BC41" s="355">
        <v>35.6</v>
      </c>
      <c r="BD41" s="356"/>
      <c r="BE41" s="356"/>
      <c r="BF41" s="360"/>
      <c r="BG41" s="358">
        <v>0.248</v>
      </c>
      <c r="BH41" s="359"/>
      <c r="BI41" s="359"/>
      <c r="BJ41" s="359"/>
      <c r="BK41" s="358">
        <v>0.29160000000000003</v>
      </c>
      <c r="BL41" s="359"/>
      <c r="BM41" s="359"/>
      <c r="BN41" s="359"/>
      <c r="BO41" s="355"/>
      <c r="BP41" s="356"/>
      <c r="BQ41" s="356"/>
      <c r="BR41" s="360"/>
      <c r="BS41" s="355"/>
      <c r="BT41" s="356"/>
      <c r="BU41" s="360"/>
      <c r="BV41" s="311"/>
      <c r="BW41" s="311"/>
      <c r="BX41" s="403"/>
      <c r="BY41" s="311"/>
      <c r="BZ41" s="311"/>
      <c r="CA41" s="403"/>
      <c r="CB41" s="311"/>
      <c r="CC41" s="311"/>
      <c r="CD41" s="311"/>
      <c r="CE41" s="407"/>
      <c r="CF41" s="368" t="str">
        <f>IF(CE41&gt;='Conviction List'!$D$8,1,"")</f>
        <v/>
      </c>
      <c r="CG41" s="312">
        <f>IF(M41&lt;='Conviction List'!$E$8,1,"")</f>
        <v>1</v>
      </c>
      <c r="CH41" s="312">
        <f>IF(BG41&gt;='Conviction List'!$F$8,1,"")</f>
        <v>1</v>
      </c>
      <c r="CI41" s="312">
        <f>IF(BK41&gt;='Conviction List'!$G$8,1,"")</f>
        <v>1</v>
      </c>
      <c r="CJ41" s="365">
        <f t="shared" si="9"/>
        <v>3</v>
      </c>
      <c r="CK41" s="424">
        <f t="shared" ca="1" si="11"/>
        <v>43</v>
      </c>
    </row>
    <row r="42" spans="2:89" x14ac:dyDescent="0.25">
      <c r="B42" s="366">
        <f t="shared" si="7"/>
        <v>40</v>
      </c>
      <c r="C42" s="311" t="s">
        <v>289</v>
      </c>
      <c r="D42" s="367" t="s">
        <v>424</v>
      </c>
      <c r="E42" s="312" t="s">
        <v>315</v>
      </c>
      <c r="F42" s="350">
        <f>_xlfn.XLOOKUP(CCA_Defense!$D42,BB_Input!$C$4:$C$172,BB_Input!$G$4:$G$172)</f>
        <v>11472.11940573734</v>
      </c>
      <c r="G42" s="364">
        <v>1948</v>
      </c>
      <c r="H42" s="364">
        <f t="shared" ca="1" si="4"/>
        <v>78</v>
      </c>
      <c r="I42" s="313" t="s">
        <v>281</v>
      </c>
      <c r="J42" s="313" t="s">
        <v>989</v>
      </c>
      <c r="K42" s="313"/>
      <c r="L42" s="313"/>
      <c r="M42" s="312">
        <v>23.8</v>
      </c>
      <c r="N42" s="313">
        <f>IFERROR(_xlfn.XLOOKUP($D42,PE_Projections!$D:$D,PE_Projections!L:L),"")</f>
        <v>35.802943441069324</v>
      </c>
      <c r="O42" s="313">
        <f>IFERROR(_xlfn.XLOOKUP($D42,PE_Projections!$D:$D,PE_Projections!M:M),"")</f>
        <v>31.385383246414907</v>
      </c>
      <c r="P42" s="313">
        <f>IFERROR(_xlfn.XLOOKUP($D42,PE_Projections!$D:$D,PE_Projections!N:N),"")</f>
        <v>28.046468678908749</v>
      </c>
      <c r="Q42" s="313">
        <f>IFERROR(_xlfn.XLOOKUP($D42,PE_Projections!$D:$D,PE_Projections!O:O),"")</f>
        <v>26.821029992433367</v>
      </c>
      <c r="R42" s="313">
        <f>IFERROR(_xlfn.XLOOKUP($D42,PE_Projections!$D:$D,PE_Projections!P:P),"")</f>
        <v>26.146572349399655</v>
      </c>
      <c r="S42" s="312">
        <v>6</v>
      </c>
      <c r="T42" s="351">
        <f t="shared" si="8"/>
        <v>8.17477291778681E-2</v>
      </c>
      <c r="U42" s="351"/>
      <c r="V42" s="351">
        <f>AVERAGE(2%,2,5%)</f>
        <v>0.69</v>
      </c>
      <c r="W42" s="356"/>
      <c r="X42" s="313" t="str" cm="1">
        <f t="array" ref="X42">_xlfn.IFS($F42&lt;Glossary!$C$54,Glossary!$B$54,$F42&lt;Glossary!$C$55,Glossary!$B$55,$F42&gt;Glossary!$C$56,Glossary!$B$56)</f>
        <v>Large Cap</v>
      </c>
      <c r="Y42" s="312" t="s">
        <v>150</v>
      </c>
      <c r="Z42" s="312" t="s">
        <v>134</v>
      </c>
      <c r="AA42" s="400">
        <v>0.51500000000000001</v>
      </c>
      <c r="AB42" s="423"/>
      <c r="AC42" s="400" t="s">
        <v>1180</v>
      </c>
      <c r="AD42" s="400" t="s">
        <v>1180</v>
      </c>
      <c r="AE42" s="400" t="s">
        <v>1180</v>
      </c>
      <c r="AF42" s="423"/>
      <c r="AG42" s="312" t="s">
        <v>372</v>
      </c>
      <c r="AH42" s="379"/>
      <c r="AI42" s="312" t="s">
        <v>41</v>
      </c>
      <c r="AJ42" s="312"/>
      <c r="AK42" s="379"/>
      <c r="AL42" s="312"/>
      <c r="AM42" s="312"/>
      <c r="AN42" s="379"/>
      <c r="AO42" s="312"/>
      <c r="AP42" s="379"/>
      <c r="AQ42" s="312"/>
      <c r="AR42" s="312"/>
      <c r="AS42" s="379"/>
      <c r="AT42" s="312"/>
      <c r="AU42" s="401" t="s">
        <v>203</v>
      </c>
      <c r="AV42" s="353">
        <v>2935.4</v>
      </c>
      <c r="AW42" s="313">
        <v>2935.4</v>
      </c>
      <c r="AX42" s="313">
        <v>2935.4</v>
      </c>
      <c r="AY42" s="353">
        <v>1699</v>
      </c>
      <c r="AZ42" s="313">
        <v>1565</v>
      </c>
      <c r="BA42" s="313">
        <v>1526</v>
      </c>
      <c r="BB42" s="313">
        <v>1147</v>
      </c>
      <c r="BC42" s="355">
        <v>12.08</v>
      </c>
      <c r="BD42" s="356"/>
      <c r="BE42" s="356"/>
      <c r="BF42" s="360"/>
      <c r="BG42" s="358">
        <v>0.2918</v>
      </c>
      <c r="BH42" s="359"/>
      <c r="BI42" s="359"/>
      <c r="BJ42" s="359"/>
      <c r="BK42" s="358">
        <v>0.14369999999999999</v>
      </c>
      <c r="BL42" s="359"/>
      <c r="BM42" s="359"/>
      <c r="BN42" s="359"/>
      <c r="BO42" s="355"/>
      <c r="BP42" s="356"/>
      <c r="BQ42" s="356"/>
      <c r="BR42" s="360"/>
      <c r="BS42" s="355"/>
      <c r="BT42" s="356"/>
      <c r="BU42" s="360"/>
      <c r="BV42" s="311"/>
      <c r="BW42" s="311"/>
      <c r="BX42" s="403"/>
      <c r="BY42" s="311"/>
      <c r="BZ42" s="311"/>
      <c r="CA42" s="403"/>
      <c r="CB42" s="311"/>
      <c r="CC42" s="311"/>
      <c r="CD42" s="311"/>
      <c r="CE42" s="407"/>
      <c r="CF42" s="368" t="str">
        <f>IF(CE42&gt;='Conviction List'!$D$8,1,"")</f>
        <v/>
      </c>
      <c r="CG42" s="312">
        <f>IF(M42&lt;='Conviction List'!$E$8,1,"")</f>
        <v>1</v>
      </c>
      <c r="CH42" s="312">
        <f>IF(BG42&gt;='Conviction List'!$F$8,1,"")</f>
        <v>1</v>
      </c>
      <c r="CI42" s="312" t="str">
        <f>IF(BK42&gt;='Conviction List'!$G$8,1,"")</f>
        <v/>
      </c>
      <c r="CJ42" s="365">
        <f t="shared" si="9"/>
        <v>2</v>
      </c>
      <c r="CK42" s="424">
        <f t="shared" ca="1" si="11"/>
        <v>44</v>
      </c>
    </row>
    <row r="43" spans="2:89" x14ac:dyDescent="0.25">
      <c r="B43" s="366">
        <f t="shared" si="7"/>
        <v>41</v>
      </c>
      <c r="C43" s="311" t="s">
        <v>290</v>
      </c>
      <c r="D43" s="367" t="s">
        <v>316</v>
      </c>
      <c r="E43" s="312" t="s">
        <v>316</v>
      </c>
      <c r="F43" s="350">
        <f>_xlfn.XLOOKUP(CCA_Defense!$D43,BB_Input!$C$4:$C$172,BB_Input!$G$4:$G$172)</f>
        <v>127.45359114228727</v>
      </c>
      <c r="G43" s="364">
        <v>1964</v>
      </c>
      <c r="H43" s="364">
        <f t="shared" ca="1" si="4"/>
        <v>62</v>
      </c>
      <c r="I43" s="313" t="s">
        <v>280</v>
      </c>
      <c r="J43" s="313" t="s">
        <v>990</v>
      </c>
      <c r="K43" s="313"/>
      <c r="L43" s="313"/>
      <c r="M43" s="312">
        <v>48</v>
      </c>
      <c r="N43" s="313">
        <f>IFERROR(_xlfn.XLOOKUP($D43,PE_Projections!$D:$D,PE_Projections!L:L),"")</f>
        <v>40.805415898853433</v>
      </c>
      <c r="O43" s="313">
        <f>IFERROR(_xlfn.XLOOKUP($D43,PE_Projections!$D:$D,PE_Projections!M:M),"")</f>
        <v>31.811509656039803</v>
      </c>
      <c r="P43" s="313">
        <f>IFERROR(_xlfn.XLOOKUP($D43,PE_Projections!$D:$D,PE_Projections!N:N),"")</f>
        <v>25.599945163629506</v>
      </c>
      <c r="Q43" s="313">
        <f>IFERROR(_xlfn.XLOOKUP($D43,PE_Projections!$D:$D,PE_Projections!O:O),"")</f>
        <v>20.601260344663022</v>
      </c>
      <c r="R43" s="313">
        <f>IFERROR(_xlfn.XLOOKUP($D43,PE_Projections!$D:$D,PE_Projections!P:P),"")</f>
        <v>16.578626441417462</v>
      </c>
      <c r="S43" s="312">
        <v>36</v>
      </c>
      <c r="T43" s="351">
        <f t="shared" si="8"/>
        <v>0.24263975773023261</v>
      </c>
      <c r="U43" s="351"/>
      <c r="V43" s="400">
        <v>1</v>
      </c>
      <c r="W43" s="356">
        <v>4.0999999999999996</v>
      </c>
      <c r="X43" s="313" t="str" cm="1">
        <f t="array" ref="X43">_xlfn.IFS($F43&lt;Glossary!$C$54,Glossary!$B$54,$F43&lt;Glossary!$C$55,Glossary!$B$55,$F43&gt;Glossary!$C$56,Glossary!$B$56)</f>
        <v>Small Cap</v>
      </c>
      <c r="Y43" s="312" t="s">
        <v>147</v>
      </c>
      <c r="Z43" s="312" t="s">
        <v>133</v>
      </c>
      <c r="AA43" s="400">
        <v>0.72899999999999998</v>
      </c>
      <c r="AB43" s="423"/>
      <c r="AC43" s="400" t="s">
        <v>1180</v>
      </c>
      <c r="AD43" s="400" t="s">
        <v>1180</v>
      </c>
      <c r="AE43" s="400" t="s">
        <v>1180</v>
      </c>
      <c r="AF43" s="423"/>
      <c r="AG43" s="311"/>
      <c r="AH43" s="379"/>
      <c r="AI43" s="312"/>
      <c r="AJ43" s="312"/>
      <c r="AK43" s="379"/>
      <c r="AL43" s="312" t="s">
        <v>41</v>
      </c>
      <c r="AM43" s="312"/>
      <c r="AN43" s="379"/>
      <c r="AO43" s="312"/>
      <c r="AP43" s="379"/>
      <c r="AQ43" s="312"/>
      <c r="AR43" s="312"/>
      <c r="AS43" s="379"/>
      <c r="AT43" s="312"/>
      <c r="AU43" s="401" t="s">
        <v>194</v>
      </c>
      <c r="AV43" s="353">
        <v>10.6</v>
      </c>
      <c r="AW43" s="313">
        <v>10.6</v>
      </c>
      <c r="AX43" s="313">
        <v>10.6</v>
      </c>
      <c r="AY43" s="353">
        <v>16</v>
      </c>
      <c r="AZ43" s="313">
        <v>12.3</v>
      </c>
      <c r="BA43" s="313">
        <v>8.1999999999999993</v>
      </c>
      <c r="BB43" s="313">
        <v>5.4</v>
      </c>
      <c r="BC43" s="355">
        <v>30.38</v>
      </c>
      <c r="BD43" s="356"/>
      <c r="BE43" s="356"/>
      <c r="BF43" s="360"/>
      <c r="BG43" s="358">
        <v>0.17419999999999999</v>
      </c>
      <c r="BH43" s="359"/>
      <c r="BI43" s="359"/>
      <c r="BJ43" s="359"/>
      <c r="BK43" s="358">
        <v>0.2213</v>
      </c>
      <c r="BL43" s="359"/>
      <c r="BM43" s="359"/>
      <c r="BN43" s="359"/>
      <c r="BO43" s="355"/>
      <c r="BP43" s="356"/>
      <c r="BQ43" s="356"/>
      <c r="BR43" s="360"/>
      <c r="BS43" s="355"/>
      <c r="BT43" s="356"/>
      <c r="BU43" s="360"/>
      <c r="BV43" s="311"/>
      <c r="BW43" s="311"/>
      <c r="BX43" s="403"/>
      <c r="BY43" s="311"/>
      <c r="BZ43" s="311"/>
      <c r="CA43" s="403"/>
      <c r="CB43" s="311"/>
      <c r="CC43" s="311"/>
      <c r="CD43" s="311"/>
      <c r="CE43" s="407"/>
      <c r="CF43" s="368" t="str">
        <f>IF(CE43&gt;='Conviction List'!$D$8,1,"")</f>
        <v/>
      </c>
      <c r="CG43" s="312">
        <f>IF(M43&lt;='Conviction List'!$E$8,1,"")</f>
        <v>1</v>
      </c>
      <c r="CH43" s="312">
        <f>IF(BG43&gt;='Conviction List'!$F$8,1,"")</f>
        <v>1</v>
      </c>
      <c r="CI43" s="312" t="str">
        <f>IF(BK43&gt;='Conviction List'!$G$8,1,"")</f>
        <v/>
      </c>
      <c r="CJ43" s="365">
        <f t="shared" si="9"/>
        <v>2</v>
      </c>
      <c r="CK43" s="424">
        <f t="shared" ca="1" si="11"/>
        <v>45</v>
      </c>
    </row>
    <row r="44" spans="2:89" x14ac:dyDescent="0.25">
      <c r="B44" s="366">
        <f t="shared" si="7"/>
        <v>42</v>
      </c>
      <c r="C44" s="311" t="s">
        <v>291</v>
      </c>
      <c r="D44" s="349" t="s">
        <v>317</v>
      </c>
      <c r="E44" s="312" t="s">
        <v>317</v>
      </c>
      <c r="F44" s="350">
        <f>_xlfn.XLOOKUP(CCA_Defense!$D44,BB_Input!$C$4:$C$172,BB_Input!$G$4:$G$172)</f>
        <v>169.74633983950821</v>
      </c>
      <c r="G44" s="364">
        <v>2008</v>
      </c>
      <c r="H44" s="364">
        <f t="shared" ca="1" si="4"/>
        <v>18</v>
      </c>
      <c r="I44" s="313" t="s">
        <v>280</v>
      </c>
      <c r="J44" s="313" t="s">
        <v>991</v>
      </c>
      <c r="K44" s="313"/>
      <c r="L44" s="313"/>
      <c r="M44" s="312">
        <v>48</v>
      </c>
      <c r="N44" s="313">
        <f>IFERROR(_xlfn.XLOOKUP($D44,PE_Projections!$D:$D,PE_Projections!L:L),"")</f>
        <v>27.308231114045558</v>
      </c>
      <c r="O44" s="313">
        <f>IFERROR(_xlfn.XLOOKUP($D44,PE_Projections!$D:$D,PE_Projections!M:M),"")</f>
        <v>22.427730395503787</v>
      </c>
      <c r="P44" s="313">
        <f>IFERROR(_xlfn.XLOOKUP($D44,PE_Projections!$D:$D,PE_Projections!N:N),"")</f>
        <v>18.529107747633823</v>
      </c>
      <c r="Q44" s="313">
        <f>IFERROR(_xlfn.XLOOKUP($D44,PE_Projections!$D:$D,PE_Projections!O:O),"")</f>
        <v>16.485737111244752</v>
      </c>
      <c r="R44" s="313">
        <f>IFERROR(_xlfn.XLOOKUP($D44,PE_Projections!$D:$D,PE_Projections!P:P),"")</f>
        <v>14.667707252972225</v>
      </c>
      <c r="S44" s="312">
        <v>5</v>
      </c>
      <c r="T44" s="351">
        <f t="shared" si="8"/>
        <v>0.12394778726607927</v>
      </c>
      <c r="U44" s="351"/>
      <c r="V44" s="400">
        <v>0.08</v>
      </c>
      <c r="W44" s="356">
        <v>1.4</v>
      </c>
      <c r="X44" s="313" t="str" cm="1">
        <f t="array" ref="X44">_xlfn.IFS($F44&lt;Glossary!$C$54,Glossary!$B$54,$F44&lt;Glossary!$C$55,Glossary!$B$55,$F44&gt;Glossary!$C$56,Glossary!$B$56)</f>
        <v>Small Cap</v>
      </c>
      <c r="Y44" s="312" t="s">
        <v>369</v>
      </c>
      <c r="Z44" s="312" t="s">
        <v>134</v>
      </c>
      <c r="AA44" s="400">
        <v>0.72</v>
      </c>
      <c r="AB44" s="423"/>
      <c r="AC44" s="400" t="s">
        <v>1180</v>
      </c>
      <c r="AD44" s="400" t="s">
        <v>1180</v>
      </c>
      <c r="AE44" s="400" t="s">
        <v>1181</v>
      </c>
      <c r="AF44" s="423"/>
      <c r="AG44" s="312" t="s">
        <v>373</v>
      </c>
      <c r="AH44" s="379"/>
      <c r="AI44" s="312"/>
      <c r="AJ44" s="312"/>
      <c r="AK44" s="379"/>
      <c r="AL44" s="312" t="s">
        <v>41</v>
      </c>
      <c r="AM44" s="312"/>
      <c r="AN44" s="379"/>
      <c r="AO44" s="312"/>
      <c r="AP44" s="379"/>
      <c r="AQ44" s="312"/>
      <c r="AR44" s="312"/>
      <c r="AS44" s="379"/>
      <c r="AT44" s="312"/>
      <c r="AU44" s="401" t="s">
        <v>194</v>
      </c>
      <c r="AV44" s="353">
        <v>129.9</v>
      </c>
      <c r="AW44" s="313">
        <v>129.9</v>
      </c>
      <c r="AX44" s="313">
        <v>129.9</v>
      </c>
      <c r="AY44" s="353">
        <v>95.6</v>
      </c>
      <c r="AZ44" s="313">
        <v>91.2</v>
      </c>
      <c r="BA44" s="313">
        <v>69.900000000000006</v>
      </c>
      <c r="BB44" s="313">
        <v>53.3</v>
      </c>
      <c r="BC44" s="355">
        <v>17.61</v>
      </c>
      <c r="BD44" s="356"/>
      <c r="BE44" s="356"/>
      <c r="BF44" s="360"/>
      <c r="BG44" s="358">
        <v>6.9699999999999998E-2</v>
      </c>
      <c r="BH44" s="359"/>
      <c r="BI44" s="359"/>
      <c r="BJ44" s="359"/>
      <c r="BK44" s="358">
        <v>8.8900000000000007E-2</v>
      </c>
      <c r="BL44" s="359"/>
      <c r="BM44" s="359"/>
      <c r="BN44" s="359"/>
      <c r="BO44" s="355"/>
      <c r="BP44" s="356"/>
      <c r="BQ44" s="356"/>
      <c r="BR44" s="360"/>
      <c r="BS44" s="355"/>
      <c r="BT44" s="356"/>
      <c r="BU44" s="360"/>
      <c r="BV44" s="311"/>
      <c r="BW44" s="311"/>
      <c r="BX44" s="403"/>
      <c r="BY44" s="311"/>
      <c r="BZ44" s="311"/>
      <c r="CA44" s="403"/>
      <c r="CB44" s="311"/>
      <c r="CC44" s="311"/>
      <c r="CD44" s="311"/>
      <c r="CE44" s="407"/>
      <c r="CF44" s="368" t="str">
        <f>IF(CE44&gt;='Conviction List'!$D$8,1,"")</f>
        <v/>
      </c>
      <c r="CG44" s="312">
        <f>IF(M44&lt;='Conviction List'!$E$8,1,"")</f>
        <v>1</v>
      </c>
      <c r="CH44" s="312" t="str">
        <f>IF(BG44&gt;='Conviction List'!$F$8,1,"")</f>
        <v/>
      </c>
      <c r="CI44" s="312" t="str">
        <f>IF(BK44&gt;='Conviction List'!$G$8,1,"")</f>
        <v/>
      </c>
      <c r="CJ44" s="365">
        <f t="shared" si="9"/>
        <v>1</v>
      </c>
      <c r="CK44" s="424">
        <f t="shared" ca="1" si="11"/>
        <v>46</v>
      </c>
    </row>
    <row r="45" spans="2:89" x14ac:dyDescent="0.25">
      <c r="B45" s="366">
        <f t="shared" si="7"/>
        <v>43</v>
      </c>
      <c r="C45" s="311" t="s">
        <v>292</v>
      </c>
      <c r="D45" s="367" t="s">
        <v>425</v>
      </c>
      <c r="E45" s="312" t="s">
        <v>318</v>
      </c>
      <c r="F45" s="350">
        <f>_xlfn.XLOOKUP(CCA_Defense!$D45,BB_Input!$C$4:$C$172,BB_Input!$G$4:$G$172)</f>
        <v>12.771906433426825</v>
      </c>
      <c r="G45" s="364">
        <v>2019</v>
      </c>
      <c r="H45" s="364">
        <f t="shared" ca="1" si="4"/>
        <v>7</v>
      </c>
      <c r="I45" s="313" t="s">
        <v>280</v>
      </c>
      <c r="J45" s="313" t="s">
        <v>992</v>
      </c>
      <c r="K45" s="313"/>
      <c r="L45" s="313"/>
      <c r="M45" s="312">
        <v>41</v>
      </c>
      <c r="N45" s="313" t="str">
        <f>IFERROR(_xlfn.XLOOKUP($D45,PE_Projections!$D:$D,PE_Projections!L:L),"")</f>
        <v/>
      </c>
      <c r="O45" s="313" t="str">
        <f>IFERROR(_xlfn.XLOOKUP($D45,PE_Projections!$D:$D,PE_Projections!M:M),"")</f>
        <v/>
      </c>
      <c r="P45" s="313" t="str">
        <f>IFERROR(_xlfn.XLOOKUP($D45,PE_Projections!$D:$D,PE_Projections!N:N),"")</f>
        <v/>
      </c>
      <c r="Q45" s="313" t="str">
        <f>IFERROR(_xlfn.XLOOKUP($D45,PE_Projections!$D:$D,PE_Projections!O:O),"")</f>
        <v/>
      </c>
      <c r="R45" s="313" t="str">
        <f>IFERROR(_xlfn.XLOOKUP($D45,PE_Projections!$D:$D,PE_Projections!P:P),"")</f>
        <v/>
      </c>
      <c r="S45" s="312">
        <v>39</v>
      </c>
      <c r="T45" s="351">
        <f t="shared" si="8"/>
        <v>0.84784979742228839</v>
      </c>
      <c r="U45" s="351"/>
      <c r="V45" s="351">
        <f>AVERAGE(10%,15%)</f>
        <v>0.125</v>
      </c>
      <c r="W45" s="356"/>
      <c r="X45" s="313" t="str" cm="1">
        <f t="array" ref="X45">_xlfn.IFS($F45&lt;Glossary!$C$54,Glossary!$B$54,$F45&lt;Glossary!$C$55,Glossary!$B$55,$F45&gt;Glossary!$C$56,Glossary!$B$56)</f>
        <v>Small Cap</v>
      </c>
      <c r="Y45" s="312" t="s">
        <v>188</v>
      </c>
      <c r="Z45" s="312" t="s">
        <v>133</v>
      </c>
      <c r="AA45" s="400">
        <v>0.63</v>
      </c>
      <c r="AB45" s="423"/>
      <c r="AC45" s="400" t="s">
        <v>1182</v>
      </c>
      <c r="AD45" s="400" t="s">
        <v>1181</v>
      </c>
      <c r="AE45" s="400" t="s">
        <v>1181</v>
      </c>
      <c r="AF45" s="423"/>
      <c r="AG45" s="312" t="s">
        <v>374</v>
      </c>
      <c r="AH45" s="379" t="s">
        <v>41</v>
      </c>
      <c r="AI45" s="312"/>
      <c r="AJ45" s="312"/>
      <c r="AK45" s="379"/>
      <c r="AL45" s="312"/>
      <c r="AM45" s="312"/>
      <c r="AN45" s="379"/>
      <c r="AO45" s="312"/>
      <c r="AP45" s="379"/>
      <c r="AQ45" s="312"/>
      <c r="AR45" s="312"/>
      <c r="AS45" s="379"/>
      <c r="AT45" s="312"/>
      <c r="AU45" s="401" t="s">
        <v>203</v>
      </c>
      <c r="AV45" s="353">
        <v>4.0999999999999996</v>
      </c>
      <c r="AW45" s="313">
        <v>4.0999999999999996</v>
      </c>
      <c r="AX45" s="313">
        <v>4.0999999999999996</v>
      </c>
      <c r="AY45" s="353">
        <f>(1+RATE(3,,BB45,-AZ45,0))*AZ45</f>
        <v>8.6177387601275335</v>
      </c>
      <c r="AZ45" s="313">
        <v>4</v>
      </c>
      <c r="BA45" s="313">
        <v>2.1</v>
      </c>
      <c r="BB45" s="313">
        <v>0.4</v>
      </c>
      <c r="BC45" s="355">
        <v>19.37</v>
      </c>
      <c r="BD45" s="356"/>
      <c r="BE45" s="356"/>
      <c r="BF45" s="360"/>
      <c r="BG45" s="358">
        <v>8.6199999999999999E-2</v>
      </c>
      <c r="BH45" s="359"/>
      <c r="BI45" s="359"/>
      <c r="BJ45" s="359"/>
      <c r="BK45" s="358">
        <v>0.11799999999999999</v>
      </c>
      <c r="BL45" s="359"/>
      <c r="BM45" s="359"/>
      <c r="BN45" s="359"/>
      <c r="BO45" s="355"/>
      <c r="BP45" s="356"/>
      <c r="BQ45" s="356"/>
      <c r="BR45" s="360"/>
      <c r="BS45" s="355"/>
      <c r="BT45" s="356"/>
      <c r="BU45" s="360"/>
      <c r="BV45" s="311"/>
      <c r="BW45" s="311"/>
      <c r="BX45" s="403"/>
      <c r="BY45" s="311"/>
      <c r="BZ45" s="311"/>
      <c r="CA45" s="403"/>
      <c r="CB45" s="311"/>
      <c r="CC45" s="311"/>
      <c r="CD45" s="311"/>
      <c r="CE45" s="407"/>
      <c r="CF45" s="368" t="str">
        <f>IF(CE45&gt;='Conviction List'!$D$8,1,"")</f>
        <v/>
      </c>
      <c r="CG45" s="312">
        <f>IF(M45&lt;='Conviction List'!$E$8,1,"")</f>
        <v>1</v>
      </c>
      <c r="CH45" s="312" t="str">
        <f>IF(BG45&gt;='Conviction List'!$F$8,1,"")</f>
        <v/>
      </c>
      <c r="CI45" s="312" t="str">
        <f>IF(BK45&gt;='Conviction List'!$G$8,1,"")</f>
        <v/>
      </c>
      <c r="CJ45" s="365">
        <f t="shared" si="9"/>
        <v>1</v>
      </c>
      <c r="CK45" s="424">
        <f t="shared" ca="1" si="11"/>
        <v>47</v>
      </c>
    </row>
    <row r="46" spans="2:89" x14ac:dyDescent="0.25">
      <c r="B46" s="366">
        <f t="shared" ref="B46:B77" si="12">B45+1</f>
        <v>44</v>
      </c>
      <c r="C46" s="311" t="s">
        <v>107</v>
      </c>
      <c r="D46" s="349" t="s">
        <v>114</v>
      </c>
      <c r="E46" s="312" t="s">
        <v>114</v>
      </c>
      <c r="F46" s="350">
        <f>_xlfn.XLOOKUP(CCA_Defense!$D46,BB_Input!$C$4:$C$172,BB_Input!$G$4:$G$172)</f>
        <v>839.8166589137262</v>
      </c>
      <c r="G46" s="364">
        <v>1999</v>
      </c>
      <c r="H46" s="364">
        <f t="shared" ca="1" si="4"/>
        <v>27</v>
      </c>
      <c r="I46" s="313" t="s">
        <v>280</v>
      </c>
      <c r="J46" s="313" t="s">
        <v>976</v>
      </c>
      <c r="K46" s="313"/>
      <c r="L46" s="313" t="s">
        <v>1085</v>
      </c>
      <c r="M46" s="312">
        <v>89</v>
      </c>
      <c r="N46" s="313">
        <f>IFERROR(_xlfn.XLOOKUP($D46,PE_Projections!$D:$D,PE_Projections!L:L),"")</f>
        <v>302.44682898572307</v>
      </c>
      <c r="O46" s="313">
        <f>IFERROR(_xlfn.XLOOKUP($D46,PE_Projections!$D:$D,PE_Projections!M:M),"")</f>
        <v>234.9101584355131</v>
      </c>
      <c r="P46" s="313">
        <f>IFERROR(_xlfn.XLOOKUP($D46,PE_Projections!$D:$D,PE_Projections!N:N),"")</f>
        <v>182.454491988748</v>
      </c>
      <c r="Q46" s="313">
        <f>IFERROR(_xlfn.XLOOKUP($D46,PE_Projections!$D:$D,PE_Projections!O:O),"")</f>
        <v>141.71222678737715</v>
      </c>
      <c r="R46" s="313">
        <f>IFERROR(_xlfn.XLOOKUP($D46,PE_Projections!$D:$D,PE_Projections!P:P),"")</f>
        <v>110.06774896106961</v>
      </c>
      <c r="S46" s="311"/>
      <c r="T46" s="351">
        <f t="shared" ref="T46:T77" si="13">IFERROR(RATE(5,,BB46,-AY46),"")</f>
        <v>0.34490167754544471</v>
      </c>
      <c r="U46" s="351">
        <v>0.25</v>
      </c>
      <c r="V46" s="351">
        <f>AVERAGE(60%,70%)</f>
        <v>0.64999999999999991</v>
      </c>
      <c r="W46" s="356">
        <v>2.8</v>
      </c>
      <c r="X46" s="313" t="str" cm="1">
        <f t="array" ref="X46">_xlfn.IFS($F46&lt;Glossary!$C$54,Glossary!$B$54,$F46&lt;Glossary!$C$55,Glossary!$B$55,$F46&gt;Glossary!$C$56,Glossary!$B$56)</f>
        <v>Small Cap</v>
      </c>
      <c r="Y46" s="313" t="s">
        <v>146</v>
      </c>
      <c r="Z46" s="313" t="s">
        <v>133</v>
      </c>
      <c r="AA46" s="351">
        <v>0.31769999999999998</v>
      </c>
      <c r="AB46" s="423"/>
      <c r="AC46" s="400" t="s">
        <v>1180</v>
      </c>
      <c r="AD46" s="400" t="s">
        <v>1180</v>
      </c>
      <c r="AE46" s="400" t="s">
        <v>1180</v>
      </c>
      <c r="AF46" s="423"/>
      <c r="AG46" s="309"/>
      <c r="AH46" s="385"/>
      <c r="AI46" s="311"/>
      <c r="AJ46" s="311"/>
      <c r="AK46" s="385"/>
      <c r="AL46" s="311"/>
      <c r="AM46" s="311"/>
      <c r="AN46" s="385"/>
      <c r="AO46" s="311"/>
      <c r="AP46" s="385"/>
      <c r="AQ46" s="372" t="s">
        <v>41</v>
      </c>
      <c r="AR46" s="311"/>
      <c r="AS46" s="385"/>
      <c r="AT46" s="313" t="s">
        <v>41</v>
      </c>
      <c r="AU46" s="354" t="s">
        <v>264</v>
      </c>
      <c r="AV46" s="353">
        <v>31</v>
      </c>
      <c r="AW46" s="313">
        <v>31</v>
      </c>
      <c r="AX46" s="313">
        <v>31</v>
      </c>
      <c r="AY46" s="353">
        <v>110</v>
      </c>
      <c r="AZ46" s="313">
        <v>67</v>
      </c>
      <c r="BA46" s="313">
        <v>69</v>
      </c>
      <c r="BB46" s="313">
        <v>25</v>
      </c>
      <c r="BC46" s="355">
        <v>39.799999999999997</v>
      </c>
      <c r="BD46" s="356">
        <v>44.8</v>
      </c>
      <c r="BE46" s="356"/>
      <c r="BF46" s="357"/>
      <c r="BG46" s="358">
        <v>7.5999999999999998E-2</v>
      </c>
      <c r="BH46" s="359">
        <v>8.6999999999999994E-2</v>
      </c>
      <c r="BI46" s="359">
        <v>0.126</v>
      </c>
      <c r="BJ46" s="359">
        <v>9.4E-2</v>
      </c>
      <c r="BK46" s="358">
        <v>0.1066</v>
      </c>
      <c r="BL46" s="359">
        <v>0.123</v>
      </c>
      <c r="BM46" s="359">
        <v>0.496</v>
      </c>
      <c r="BN46" s="359"/>
      <c r="BO46" s="355"/>
      <c r="BP46" s="356"/>
      <c r="BQ46" s="356"/>
      <c r="BR46" s="357"/>
      <c r="BS46" s="355">
        <v>0.28000000000000003</v>
      </c>
      <c r="BT46" s="356">
        <v>0.23</v>
      </c>
      <c r="BU46" s="360">
        <v>0.18</v>
      </c>
      <c r="BV46" s="359"/>
      <c r="BW46" s="359"/>
      <c r="BX46" s="361"/>
      <c r="BY46" s="359"/>
      <c r="BZ46" s="359"/>
      <c r="CA46" s="361"/>
      <c r="CB46" s="359"/>
      <c r="CC46" s="359"/>
      <c r="CD46" s="359"/>
      <c r="CE46" s="362">
        <f>IFERROR(RATE(4,,BB46,-AY46),"")</f>
        <v>0.44831546851567239</v>
      </c>
      <c r="CF46" s="408">
        <f>IF(CE46&gt;='Conviction List'!$D$4,1,"")</f>
        <v>1</v>
      </c>
      <c r="CG46" s="364">
        <f>IF(M44&lt;='Conviction List'!$E$4,1,"")</f>
        <v>1</v>
      </c>
      <c r="CH46" s="364" t="str">
        <f>IF(BG46&gt;='Conviction List'!$F$4,1,"")</f>
        <v/>
      </c>
      <c r="CI46" s="364" t="str">
        <f>IF(BK46&gt;='Conviction List'!$G$4,1,"")</f>
        <v/>
      </c>
      <c r="CJ46" s="365">
        <f t="shared" si="9"/>
        <v>2</v>
      </c>
      <c r="CK46" s="424">
        <f t="shared" ca="1" si="11"/>
        <v>25</v>
      </c>
    </row>
    <row r="47" spans="2:89" x14ac:dyDescent="0.25">
      <c r="B47" s="366">
        <f t="shared" si="12"/>
        <v>45</v>
      </c>
      <c r="C47" s="311" t="s">
        <v>390</v>
      </c>
      <c r="D47" s="367" t="s">
        <v>442</v>
      </c>
      <c r="E47" s="312"/>
      <c r="F47" s="350" t="e">
        <f>_xlfn.XLOOKUP(CCA_Defense!$D47,BB_Input!$C$4:$C$172,BB_Input!$G$4:$G$172)</f>
        <v>#N/A</v>
      </c>
      <c r="G47" s="364">
        <v>1985</v>
      </c>
      <c r="H47" s="364">
        <f t="shared" ca="1" si="4"/>
        <v>41</v>
      </c>
      <c r="I47" s="313" t="s">
        <v>358</v>
      </c>
      <c r="J47" s="313" t="s">
        <v>977</v>
      </c>
      <c r="K47" s="313"/>
      <c r="L47" s="313"/>
      <c r="M47" s="312"/>
      <c r="N47" s="313" t="str">
        <f>IFERROR(_xlfn.XLOOKUP($D47,PE_Projections!$D:$D,PE_Projections!L:L),"")</f>
        <v/>
      </c>
      <c r="O47" s="313" t="str">
        <f>IFERROR(_xlfn.XLOOKUP($D47,PE_Projections!$D:$D,PE_Projections!M:M),"")</f>
        <v/>
      </c>
      <c r="P47" s="313" t="str">
        <f>IFERROR(_xlfn.XLOOKUP($D47,PE_Projections!$D:$D,PE_Projections!N:N),"")</f>
        <v/>
      </c>
      <c r="Q47" s="313" t="str">
        <f>IFERROR(_xlfn.XLOOKUP($D47,PE_Projections!$D:$D,PE_Projections!O:O),"")</f>
        <v/>
      </c>
      <c r="R47" s="313" t="str">
        <f>IFERROR(_xlfn.XLOOKUP($D47,PE_Projections!$D:$D,PE_Projections!P:P),"")</f>
        <v/>
      </c>
      <c r="S47" s="312"/>
      <c r="T47" s="351" t="str">
        <f t="shared" si="13"/>
        <v/>
      </c>
      <c r="U47" s="351"/>
      <c r="V47" s="312"/>
      <c r="W47" s="356"/>
      <c r="X47" s="313"/>
      <c r="Y47" s="312" t="s">
        <v>147</v>
      </c>
      <c r="Z47" s="312" t="s">
        <v>134</v>
      </c>
      <c r="AA47" s="400"/>
      <c r="AB47" s="423"/>
      <c r="AC47" s="400" t="s">
        <v>1180</v>
      </c>
      <c r="AD47" s="400" t="s">
        <v>1180</v>
      </c>
      <c r="AE47" s="400" t="s">
        <v>1180</v>
      </c>
      <c r="AF47" s="423"/>
      <c r="AG47" s="312" t="s">
        <v>391</v>
      </c>
      <c r="AH47" s="379"/>
      <c r="AI47" s="312"/>
      <c r="AJ47" s="312"/>
      <c r="AK47" s="379"/>
      <c r="AL47" s="312" t="s">
        <v>41</v>
      </c>
      <c r="AM47" s="312"/>
      <c r="AN47" s="379"/>
      <c r="AO47" s="312"/>
      <c r="AP47" s="379" t="s">
        <v>41</v>
      </c>
      <c r="AQ47" s="312" t="s">
        <v>41</v>
      </c>
      <c r="AR47" s="312"/>
      <c r="AS47" s="379"/>
      <c r="AT47" s="312"/>
      <c r="AU47" s="354" t="s">
        <v>264</v>
      </c>
      <c r="AV47" s="353">
        <v>1440</v>
      </c>
      <c r="AW47" s="313">
        <v>1440</v>
      </c>
      <c r="AX47" s="313">
        <v>1440</v>
      </c>
      <c r="AY47" s="385"/>
      <c r="AZ47" s="311"/>
      <c r="BA47" s="311"/>
      <c r="BB47" s="311"/>
      <c r="BC47" s="355"/>
      <c r="BD47" s="356"/>
      <c r="BE47" s="356"/>
      <c r="BF47" s="360"/>
      <c r="BG47" s="358"/>
      <c r="BH47" s="359"/>
      <c r="BI47" s="359"/>
      <c r="BJ47" s="359"/>
      <c r="BK47" s="358"/>
      <c r="BL47" s="359"/>
      <c r="BM47" s="359"/>
      <c r="BN47" s="359"/>
      <c r="BO47" s="355"/>
      <c r="BP47" s="356"/>
      <c r="BQ47" s="356"/>
      <c r="BR47" s="360"/>
      <c r="BS47" s="355"/>
      <c r="BT47" s="356"/>
      <c r="BU47" s="360"/>
      <c r="BV47" s="311"/>
      <c r="BW47" s="311"/>
      <c r="BX47" s="403"/>
      <c r="BY47" s="311"/>
      <c r="BZ47" s="311"/>
      <c r="CA47" s="403"/>
      <c r="CB47" s="311"/>
      <c r="CC47" s="311"/>
      <c r="CD47" s="311"/>
      <c r="CE47" s="407"/>
      <c r="CF47" s="368" t="str">
        <f>IF(CE47&gt;='Conviction List'!$D$8,1,"")</f>
        <v/>
      </c>
      <c r="CG47" s="312">
        <f>IF(M47&lt;='Conviction List'!$E$8,1,"")</f>
        <v>1</v>
      </c>
      <c r="CH47" s="312" t="str">
        <f>IF(BG47&gt;='Conviction List'!$F$8,1,"")</f>
        <v/>
      </c>
      <c r="CI47" s="312" t="str">
        <f>IF(BK47&gt;='Conviction List'!$G$8,1,"")</f>
        <v/>
      </c>
      <c r="CJ47" s="365">
        <f t="shared" si="9"/>
        <v>1</v>
      </c>
      <c r="CK47" s="424">
        <f t="shared" ca="1" si="11"/>
        <v>49</v>
      </c>
    </row>
    <row r="48" spans="2:89" x14ac:dyDescent="0.25">
      <c r="B48" s="366">
        <f t="shared" si="12"/>
        <v>46</v>
      </c>
      <c r="C48" s="311" t="s">
        <v>294</v>
      </c>
      <c r="D48" s="349" t="s">
        <v>427</v>
      </c>
      <c r="E48" s="312" t="s">
        <v>294</v>
      </c>
      <c r="F48" s="350">
        <f>_xlfn.XLOOKUP(CCA_Defense!$D48,BB_Input!$C$4:$C$172,BB_Input!$G$4:$G$172)</f>
        <v>1032.493085130563</v>
      </c>
      <c r="G48" s="364">
        <v>1987</v>
      </c>
      <c r="H48" s="364">
        <f t="shared" ca="1" si="4"/>
        <v>39</v>
      </c>
      <c r="I48" s="313" t="s">
        <v>280</v>
      </c>
      <c r="J48" s="313" t="s">
        <v>993</v>
      </c>
      <c r="K48" s="313"/>
      <c r="L48" s="313"/>
      <c r="M48" s="312">
        <v>70</v>
      </c>
      <c r="N48" s="313" t="str">
        <f>IFERROR(_xlfn.XLOOKUP($D48,PE_Projections!$D:$D,PE_Projections!L:L),"")</f>
        <v/>
      </c>
      <c r="O48" s="313" t="str">
        <f>IFERROR(_xlfn.XLOOKUP($D48,PE_Projections!$D:$D,PE_Projections!M:M),"")</f>
        <v/>
      </c>
      <c r="P48" s="313" t="str">
        <f>IFERROR(_xlfn.XLOOKUP($D48,PE_Projections!$D:$D,PE_Projections!N:N),"")</f>
        <v/>
      </c>
      <c r="Q48" s="313" t="str">
        <f>IFERROR(_xlfn.XLOOKUP($D48,PE_Projections!$D:$D,PE_Projections!O:O),"")</f>
        <v/>
      </c>
      <c r="R48" s="313" t="str">
        <f>IFERROR(_xlfn.XLOOKUP($D48,PE_Projections!$D:$D,PE_Projections!P:P),"")</f>
        <v/>
      </c>
      <c r="S48" s="312">
        <v>-9</v>
      </c>
      <c r="T48" s="351">
        <f t="shared" si="13"/>
        <v>-2.9945711436597622E-2</v>
      </c>
      <c r="U48" s="351"/>
      <c r="V48" s="400">
        <f>AVERAGE(5%,7%)</f>
        <v>6.0000000000000005E-2</v>
      </c>
      <c r="W48" s="356">
        <v>2.2999999999999998</v>
      </c>
      <c r="X48" s="313" t="str" cm="1">
        <f t="array" ref="X48">_xlfn.IFS($F48&lt;Glossary!$C$54,Glossary!$B$54,$F48&lt;Glossary!$C$55,Glossary!$B$55,$F48&gt;Glossary!$C$56,Glossary!$B$56)</f>
        <v>Small Cap</v>
      </c>
      <c r="Y48" s="312" t="s">
        <v>368</v>
      </c>
      <c r="Z48" s="312" t="s">
        <v>134</v>
      </c>
      <c r="AA48" s="400">
        <v>0.4</v>
      </c>
      <c r="AB48" s="423"/>
      <c r="AC48" s="442" t="s">
        <v>1181</v>
      </c>
      <c r="AD48" s="442" t="s">
        <v>1181</v>
      </c>
      <c r="AE48" s="442" t="s">
        <v>1181</v>
      </c>
      <c r="AF48" s="423"/>
      <c r="AG48" s="312" t="s">
        <v>376</v>
      </c>
      <c r="AH48" s="379"/>
      <c r="AI48" s="312"/>
      <c r="AJ48" s="312"/>
      <c r="AK48" s="379"/>
      <c r="AL48" s="312"/>
      <c r="AM48" s="312"/>
      <c r="AN48" s="379"/>
      <c r="AO48" s="312"/>
      <c r="AP48" s="379"/>
      <c r="AQ48" s="312" t="s">
        <v>41</v>
      </c>
      <c r="AR48" s="312"/>
      <c r="AS48" s="379"/>
      <c r="AT48" s="312"/>
      <c r="AU48" s="401" t="s">
        <v>196</v>
      </c>
      <c r="AV48" s="353">
        <v>1.1000000000000001</v>
      </c>
      <c r="AW48" s="313">
        <v>1.1000000000000001</v>
      </c>
      <c r="AX48" s="313">
        <v>1.1000000000000001</v>
      </c>
      <c r="AY48" s="379">
        <v>469</v>
      </c>
      <c r="AZ48" s="313">
        <v>516</v>
      </c>
      <c r="BA48" s="313">
        <v>548</v>
      </c>
      <c r="BB48" s="313">
        <v>546</v>
      </c>
      <c r="BC48" s="355">
        <v>25.69</v>
      </c>
      <c r="BD48" s="356"/>
      <c r="BE48" s="356"/>
      <c r="BF48" s="360"/>
      <c r="BG48" s="358">
        <v>4.2999999999999997E-2</v>
      </c>
      <c r="BH48" s="359"/>
      <c r="BI48" s="359"/>
      <c r="BJ48" s="359"/>
      <c r="BK48" s="358">
        <v>0.29220000000000002</v>
      </c>
      <c r="BL48" s="359"/>
      <c r="BM48" s="359"/>
      <c r="BN48" s="359"/>
      <c r="BO48" s="355"/>
      <c r="BP48" s="356"/>
      <c r="BQ48" s="356"/>
      <c r="BR48" s="360"/>
      <c r="BS48" s="355"/>
      <c r="BT48" s="356"/>
      <c r="BU48" s="360"/>
      <c r="BV48" s="311"/>
      <c r="BW48" s="311"/>
      <c r="BX48" s="403"/>
      <c r="BY48" s="311"/>
      <c r="BZ48" s="311"/>
      <c r="CA48" s="403"/>
      <c r="CB48" s="311"/>
      <c r="CC48" s="311"/>
      <c r="CD48" s="311"/>
      <c r="CE48" s="407"/>
      <c r="CF48" s="368" t="str">
        <f>IF(CE48&gt;='Conviction List'!$D$8,1,"")</f>
        <v/>
      </c>
      <c r="CG48" s="312">
        <f>IF(M48&lt;='Conviction List'!$E$8,1,"")</f>
        <v>1</v>
      </c>
      <c r="CH48" s="312" t="str">
        <f>IF(BG48&gt;='Conviction List'!$F$8,1,"")</f>
        <v/>
      </c>
      <c r="CI48" s="312">
        <f>IF(BK48&gt;='Conviction List'!$G$8,1,"")</f>
        <v>1</v>
      </c>
      <c r="CJ48" s="365">
        <f t="shared" si="9"/>
        <v>2</v>
      </c>
      <c r="CK48" s="424">
        <f t="shared" ca="1" si="11"/>
        <v>50</v>
      </c>
    </row>
    <row r="49" spans="2:89" x14ac:dyDescent="0.25">
      <c r="B49" s="366">
        <f t="shared" si="12"/>
        <v>47</v>
      </c>
      <c r="C49" s="311" t="s">
        <v>295</v>
      </c>
      <c r="D49" s="349" t="s">
        <v>428</v>
      </c>
      <c r="E49" s="312" t="s">
        <v>320</v>
      </c>
      <c r="F49" s="350">
        <f>_xlfn.XLOOKUP(CCA_Defense!$D49,BB_Input!$C$4:$C$172,BB_Input!$G$4:$G$172)</f>
        <v>54.330873506606046</v>
      </c>
      <c r="G49" s="364">
        <v>2011</v>
      </c>
      <c r="H49" s="364">
        <f t="shared" ca="1" si="4"/>
        <v>15</v>
      </c>
      <c r="I49" s="313" t="s">
        <v>280</v>
      </c>
      <c r="J49" s="313" t="s">
        <v>994</v>
      </c>
      <c r="K49" s="313"/>
      <c r="L49" s="313"/>
      <c r="M49" s="312">
        <v>45</v>
      </c>
      <c r="N49" s="313">
        <f>IFERROR(_xlfn.XLOOKUP($D49,PE_Projections!$D:$D,PE_Projections!L:L),"")</f>
        <v>33.478578419384903</v>
      </c>
      <c r="O49" s="313">
        <f>IFERROR(_xlfn.XLOOKUP($D49,PE_Projections!$D:$D,PE_Projections!M:M),"")</f>
        <v>33.406269799281823</v>
      </c>
      <c r="P49" s="313">
        <f>IFERROR(_xlfn.XLOOKUP($D49,PE_Projections!$D:$D,PE_Projections!N:N),"")</f>
        <v>34.286520707756125</v>
      </c>
      <c r="Q49" s="313">
        <f>IFERROR(_xlfn.XLOOKUP($D49,PE_Projections!$D:$D,PE_Projections!O:O),"")</f>
        <v>35.2187160866605</v>
      </c>
      <c r="R49" s="313">
        <f>IFERROR(_xlfn.XLOOKUP($D49,PE_Projections!$D:$D,PE_Projections!P:P),"")</f>
        <v>35.142649034764595</v>
      </c>
      <c r="S49" s="312">
        <v>4</v>
      </c>
      <c r="T49" s="351">
        <f t="shared" si="13"/>
        <v>2.1645224246086901E-3</v>
      </c>
      <c r="U49" s="351"/>
      <c r="V49" s="351">
        <f>AVERAGE(70%,75%)</f>
        <v>0.72499999999999998</v>
      </c>
      <c r="W49" s="356"/>
      <c r="X49" s="313" t="str" cm="1">
        <f t="array" ref="X49">_xlfn.IFS($F49&lt;Glossary!$C$54,Glossary!$B$54,$F49&lt;Glossary!$C$55,Glossary!$B$55,$F49&gt;Glossary!$C$56,Glossary!$B$56)</f>
        <v>Small Cap</v>
      </c>
      <c r="Y49" s="312" t="s">
        <v>367</v>
      </c>
      <c r="Z49" s="312" t="s">
        <v>134</v>
      </c>
      <c r="AA49" s="400">
        <v>0.34</v>
      </c>
      <c r="AB49" s="423" t="s">
        <v>453</v>
      </c>
      <c r="AC49" s="400" t="s">
        <v>1180</v>
      </c>
      <c r="AD49" s="400" t="s">
        <v>1180</v>
      </c>
      <c r="AE49" s="400" t="s">
        <v>1180</v>
      </c>
      <c r="AF49" s="423"/>
      <c r="AG49" s="312"/>
      <c r="AH49" s="379"/>
      <c r="AI49" s="312"/>
      <c r="AJ49" s="312"/>
      <c r="AK49" s="379"/>
      <c r="AL49" s="312"/>
      <c r="AM49" s="312"/>
      <c r="AN49" s="379"/>
      <c r="AO49" s="312"/>
      <c r="AP49" s="379" t="s">
        <v>41</v>
      </c>
      <c r="AQ49" s="312"/>
      <c r="AR49" s="312"/>
      <c r="AS49" s="379"/>
      <c r="AT49" s="312"/>
      <c r="AU49" s="401" t="s">
        <v>196</v>
      </c>
      <c r="AV49" s="353">
        <v>1</v>
      </c>
      <c r="AW49" s="313">
        <v>1</v>
      </c>
      <c r="AX49" s="313">
        <v>1</v>
      </c>
      <c r="AY49" s="353">
        <v>9.3000000000000007</v>
      </c>
      <c r="AZ49" s="313">
        <v>9</v>
      </c>
      <c r="BA49" s="313">
        <v>10.7</v>
      </c>
      <c r="BB49" s="313">
        <v>9.1999999999999993</v>
      </c>
      <c r="BC49" s="355">
        <v>29.07</v>
      </c>
      <c r="BD49" s="356"/>
      <c r="BE49" s="356"/>
      <c r="BF49" s="360"/>
      <c r="BG49" s="358">
        <v>0.17299999999999999</v>
      </c>
      <c r="BH49" s="359"/>
      <c r="BI49" s="359"/>
      <c r="BJ49" s="359"/>
      <c r="BK49" s="358">
        <v>0.22900000000000001</v>
      </c>
      <c r="BL49" s="359"/>
      <c r="BM49" s="359"/>
      <c r="BN49" s="359"/>
      <c r="BO49" s="355"/>
      <c r="BP49" s="356"/>
      <c r="BQ49" s="356"/>
      <c r="BR49" s="360"/>
      <c r="BS49" s="355"/>
      <c r="BT49" s="356"/>
      <c r="BU49" s="360"/>
      <c r="BV49" s="311"/>
      <c r="BW49" s="311"/>
      <c r="BX49" s="403"/>
      <c r="BY49" s="311"/>
      <c r="BZ49" s="311"/>
      <c r="CA49" s="403"/>
      <c r="CB49" s="311"/>
      <c r="CC49" s="311"/>
      <c r="CD49" s="311"/>
      <c r="CE49" s="407"/>
      <c r="CF49" s="368" t="str">
        <f>IF(CE49&gt;='Conviction List'!$D$8,1,"")</f>
        <v/>
      </c>
      <c r="CG49" s="312">
        <f>IF(M49&lt;='Conviction List'!$E$8,1,"")</f>
        <v>1</v>
      </c>
      <c r="CH49" s="312">
        <f>IF(BG49&gt;='Conviction List'!$F$8,1,"")</f>
        <v>1</v>
      </c>
      <c r="CI49" s="312" t="str">
        <f>IF(BK49&gt;='Conviction List'!$G$8,1,"")</f>
        <v/>
      </c>
      <c r="CJ49" s="365">
        <f t="shared" si="9"/>
        <v>2</v>
      </c>
      <c r="CK49" s="424">
        <f t="shared" ca="1" si="11"/>
        <v>51</v>
      </c>
    </row>
    <row r="50" spans="2:89" x14ac:dyDescent="0.25">
      <c r="B50" s="366">
        <f t="shared" si="12"/>
        <v>48</v>
      </c>
      <c r="C50" s="311" t="s">
        <v>183</v>
      </c>
      <c r="D50" s="349" t="s">
        <v>423</v>
      </c>
      <c r="E50" s="312" t="s">
        <v>184</v>
      </c>
      <c r="F50" s="350">
        <f>_xlfn.XLOOKUP(CCA_Defense!$D50,BB_Input!$C$4:$C$172,BB_Input!$G$4:$G$172)</f>
        <v>308.39378174204847</v>
      </c>
      <c r="G50" s="364">
        <v>1980</v>
      </c>
      <c r="H50" s="364">
        <f t="shared" ca="1" si="4"/>
        <v>46</v>
      </c>
      <c r="I50" s="313" t="s">
        <v>280</v>
      </c>
      <c r="J50" s="313" t="s">
        <v>987</v>
      </c>
      <c r="K50" s="313"/>
      <c r="L50" s="313" t="s">
        <v>1085</v>
      </c>
      <c r="M50" s="312">
        <v>77</v>
      </c>
      <c r="N50" s="313">
        <f>IFERROR(_xlfn.XLOOKUP($D50,PE_Projections!$D:$D,PE_Projections!L:L),"")</f>
        <v>43.697924538357526</v>
      </c>
      <c r="O50" s="313">
        <f>IFERROR(_xlfn.XLOOKUP($D50,PE_Projections!$D:$D,PE_Projections!M:M),"")</f>
        <v>36.502349042357906</v>
      </c>
      <c r="P50" s="313">
        <f>IFERROR(_xlfn.XLOOKUP($D50,PE_Projections!$D:$D,PE_Projections!N:N),"")</f>
        <v>30.491642330530901</v>
      </c>
      <c r="Q50" s="313">
        <f>IFERROR(_xlfn.XLOOKUP($D50,PE_Projections!$D:$D,PE_Projections!O:O),"")</f>
        <v>25.470696445703769</v>
      </c>
      <c r="R50" s="313">
        <f>IFERROR(_xlfn.XLOOKUP($D50,PE_Projections!$D:$D,PE_Projections!P:P),"")</f>
        <v>21.276531135864559</v>
      </c>
      <c r="S50" s="312">
        <v>81</v>
      </c>
      <c r="T50" s="351">
        <f t="shared" si="13"/>
        <v>0.16894795688450862</v>
      </c>
      <c r="U50" s="351">
        <v>0.19120000000000001</v>
      </c>
      <c r="V50" s="351">
        <v>0.84</v>
      </c>
      <c r="W50" s="356">
        <v>2.8</v>
      </c>
      <c r="X50" s="313" t="str" cm="1">
        <f t="array" ref="X50">_xlfn.IFS($F50&lt;Glossary!$C$54,Glossary!$B$54,$F50&lt;Glossary!$C$55,Glossary!$B$55,$F50&gt;Glossary!$C$56,Glossary!$B$56)</f>
        <v>Small Cap</v>
      </c>
      <c r="Y50" s="312" t="s">
        <v>191</v>
      </c>
      <c r="Z50" s="312" t="s">
        <v>134</v>
      </c>
      <c r="AA50" s="351">
        <v>0.4133</v>
      </c>
      <c r="AB50" s="423"/>
      <c r="AC50" s="400" t="s">
        <v>1180</v>
      </c>
      <c r="AD50" s="400" t="s">
        <v>1180</v>
      </c>
      <c r="AE50" s="400" t="s">
        <v>1180</v>
      </c>
      <c r="AF50" s="423"/>
      <c r="AG50" s="309"/>
      <c r="AH50" s="379"/>
      <c r="AI50" s="312"/>
      <c r="AJ50" s="312"/>
      <c r="AK50" s="379"/>
      <c r="AL50" s="312"/>
      <c r="AM50" s="312"/>
      <c r="AN50" s="379" t="s">
        <v>41</v>
      </c>
      <c r="AO50" s="312"/>
      <c r="AP50" s="379"/>
      <c r="AQ50" s="312"/>
      <c r="AR50" s="312"/>
      <c r="AS50" s="379"/>
      <c r="AT50" s="312"/>
      <c r="AU50" s="401" t="s">
        <v>195</v>
      </c>
      <c r="AV50" s="379">
        <v>10.4</v>
      </c>
      <c r="AW50" s="312">
        <v>10.4</v>
      </c>
      <c r="AX50" s="312">
        <v>10.4</v>
      </c>
      <c r="AY50" s="353">
        <v>5.0199999999999996</v>
      </c>
      <c r="AZ50" s="313">
        <v>3.1</v>
      </c>
      <c r="BA50" s="313">
        <v>2.2999999999999998</v>
      </c>
      <c r="BB50" s="313">
        <v>2.2999999999999998</v>
      </c>
      <c r="BC50" s="355">
        <v>50.8</v>
      </c>
      <c r="BD50" s="356">
        <v>26.6</v>
      </c>
      <c r="BE50" s="356">
        <v>18.600000000000001</v>
      </c>
      <c r="BF50" s="360">
        <v>17.2</v>
      </c>
      <c r="BG50" s="358">
        <v>0.12255000000000001</v>
      </c>
      <c r="BH50" s="359">
        <v>0.128</v>
      </c>
      <c r="BI50" s="359">
        <v>3.5000000000000003E-2</v>
      </c>
      <c r="BJ50" s="359">
        <v>2.8000000000000001E-2</v>
      </c>
      <c r="BK50" s="358">
        <v>0.16880000000000001</v>
      </c>
      <c r="BL50" s="359"/>
      <c r="BM50" s="359"/>
      <c r="BN50" s="359"/>
      <c r="BO50" s="355"/>
      <c r="BP50" s="356"/>
      <c r="BQ50" s="356"/>
      <c r="BR50" s="360"/>
      <c r="BS50" s="355">
        <v>0.06</v>
      </c>
      <c r="BT50" s="356">
        <v>0.01</v>
      </c>
      <c r="BU50" s="360">
        <v>0.4</v>
      </c>
      <c r="BV50" s="359"/>
      <c r="BW50" s="359"/>
      <c r="BX50" s="361"/>
      <c r="BY50" s="359"/>
      <c r="BZ50" s="359"/>
      <c r="CA50" s="361"/>
      <c r="CB50" s="359"/>
      <c r="CC50" s="359"/>
      <c r="CD50" s="359"/>
      <c r="CE50" s="362">
        <f>IFERROR(RATE(4,,BB50,-AY50),"")</f>
        <v>0.21546923355382444</v>
      </c>
      <c r="CF50" s="369" t="str">
        <f>IF(CE50&gt;='Conviction List'!$D$7,1,"")</f>
        <v/>
      </c>
      <c r="CG50" s="312">
        <f>IF(M50&lt;='Conviction List'!$E$7,1,"")</f>
        <v>1</v>
      </c>
      <c r="CH50" s="312">
        <f>IF(BG50&gt;='Conviction List'!$F$7,1,"")</f>
        <v>1</v>
      </c>
      <c r="CI50" s="312">
        <f>IF(BK50&gt;='Conviction List'!$G$7,1,"")</f>
        <v>1</v>
      </c>
      <c r="CJ50" s="365">
        <f t="shared" si="9"/>
        <v>3</v>
      </c>
      <c r="CK50" s="424">
        <f t="shared" ca="1" si="11"/>
        <v>39</v>
      </c>
    </row>
    <row r="51" spans="2:89" x14ac:dyDescent="0.25">
      <c r="B51" s="366">
        <f t="shared" si="12"/>
        <v>49</v>
      </c>
      <c r="C51" s="311" t="s">
        <v>297</v>
      </c>
      <c r="D51" s="349" t="s">
        <v>322</v>
      </c>
      <c r="E51" s="312" t="s">
        <v>322</v>
      </c>
      <c r="F51" s="350">
        <f>_xlfn.XLOOKUP(CCA_Defense!$D51,BB_Input!$C$4:$C$172,BB_Input!$G$4:$G$172)</f>
        <v>324.63404464559375</v>
      </c>
      <c r="G51" s="364">
        <v>1978</v>
      </c>
      <c r="H51" s="364">
        <f t="shared" ca="1" si="4"/>
        <v>48</v>
      </c>
      <c r="I51" s="313" t="s">
        <v>280</v>
      </c>
      <c r="J51" s="313" t="s">
        <v>996</v>
      </c>
      <c r="K51" s="313"/>
      <c r="L51" s="313"/>
      <c r="M51" s="312">
        <v>73</v>
      </c>
      <c r="N51" s="313" t="str">
        <f>IFERROR(_xlfn.XLOOKUP($D51,PE_Projections!$D:$D,PE_Projections!L:L),"")</f>
        <v/>
      </c>
      <c r="O51" s="313" t="str">
        <f>IFERROR(_xlfn.XLOOKUP($D51,PE_Projections!$D:$D,PE_Projections!M:M),"")</f>
        <v/>
      </c>
      <c r="P51" s="313" t="str">
        <f>IFERROR(_xlfn.XLOOKUP($D51,PE_Projections!$D:$D,PE_Projections!N:N),"")</f>
        <v/>
      </c>
      <c r="Q51" s="313" t="str">
        <f>IFERROR(_xlfn.XLOOKUP($D51,PE_Projections!$D:$D,PE_Projections!O:O),"")</f>
        <v/>
      </c>
      <c r="R51" s="313" t="str">
        <f>IFERROR(_xlfn.XLOOKUP($D51,PE_Projections!$D:$D,PE_Projections!P:P),"")</f>
        <v/>
      </c>
      <c r="S51" s="312">
        <v>23</v>
      </c>
      <c r="T51" s="351">
        <f t="shared" si="13"/>
        <v>0.15342350780229363</v>
      </c>
      <c r="U51" s="351"/>
      <c r="V51" s="351">
        <f>AVERAGE(35%,40%)</f>
        <v>0.375</v>
      </c>
      <c r="W51" s="356">
        <v>1.19</v>
      </c>
      <c r="X51" s="313" t="str" cm="1">
        <f t="array" ref="X51">_xlfn.IFS($F51&lt;Glossary!$C$54,Glossary!$B$54,$F51&lt;Glossary!$C$55,Glossary!$B$55,$F51&gt;Glossary!$C$56,Glossary!$B$56)</f>
        <v>Small Cap</v>
      </c>
      <c r="Y51" s="312" t="s">
        <v>147</v>
      </c>
      <c r="Z51" s="312" t="s">
        <v>134</v>
      </c>
      <c r="AA51" s="400">
        <v>0.66</v>
      </c>
      <c r="AB51" s="423"/>
      <c r="AC51" s="400" t="s">
        <v>1180</v>
      </c>
      <c r="AD51" s="400" t="s">
        <v>1180</v>
      </c>
      <c r="AE51" s="400" t="s">
        <v>1180</v>
      </c>
      <c r="AF51" s="423"/>
      <c r="AG51" s="312" t="s">
        <v>378</v>
      </c>
      <c r="AH51" s="379"/>
      <c r="AI51" s="312"/>
      <c r="AJ51" s="312"/>
      <c r="AK51" s="379"/>
      <c r="AL51" s="312"/>
      <c r="AM51" s="312"/>
      <c r="AN51" s="379"/>
      <c r="AO51" s="312"/>
      <c r="AP51" s="402" t="s">
        <v>41</v>
      </c>
      <c r="AQ51" s="312"/>
      <c r="AR51" s="312"/>
      <c r="AS51" s="379"/>
      <c r="AT51" s="312"/>
      <c r="AU51" s="401" t="s">
        <v>196</v>
      </c>
      <c r="AV51" s="353">
        <v>15.7</v>
      </c>
      <c r="AW51" s="313">
        <v>15.7</v>
      </c>
      <c r="AX51" s="313">
        <v>15.7</v>
      </c>
      <c r="AY51" s="353">
        <v>88.6</v>
      </c>
      <c r="AZ51" s="313">
        <v>71.900000000000006</v>
      </c>
      <c r="BA51" s="313">
        <v>51.2</v>
      </c>
      <c r="BB51" s="313">
        <v>43.4</v>
      </c>
      <c r="BC51" s="355">
        <v>34.380000000000003</v>
      </c>
      <c r="BD51" s="356"/>
      <c r="BE51" s="356"/>
      <c r="BF51" s="360"/>
      <c r="BG51" s="358">
        <v>0.11650000000000001</v>
      </c>
      <c r="BH51" s="359"/>
      <c r="BI51" s="359"/>
      <c r="BJ51" s="359"/>
      <c r="BK51" s="358">
        <v>0.16300000000000001</v>
      </c>
      <c r="BL51" s="359"/>
      <c r="BM51" s="359"/>
      <c r="BN51" s="359"/>
      <c r="BO51" s="355"/>
      <c r="BP51" s="356"/>
      <c r="BQ51" s="356"/>
      <c r="BR51" s="360"/>
      <c r="BS51" s="355"/>
      <c r="BT51" s="356"/>
      <c r="BU51" s="360"/>
      <c r="BV51" s="311"/>
      <c r="BW51" s="311"/>
      <c r="BX51" s="403"/>
      <c r="BY51" s="311"/>
      <c r="BZ51" s="311"/>
      <c r="CA51" s="403"/>
      <c r="CB51" s="311"/>
      <c r="CC51" s="311"/>
      <c r="CD51" s="311"/>
      <c r="CE51" s="407"/>
      <c r="CF51" s="368" t="str">
        <f>IF(CE51&gt;='Conviction List'!$D$8,1,"")</f>
        <v/>
      </c>
      <c r="CG51" s="312">
        <f>IF(M51&lt;='Conviction List'!$E$8,1,"")</f>
        <v>1</v>
      </c>
      <c r="CH51" s="312" t="str">
        <f>IF(BG51&gt;='Conviction List'!$F$8,1,"")</f>
        <v/>
      </c>
      <c r="CI51" s="312" t="str">
        <f>IF(BK51&gt;='Conviction List'!$G$8,1,"")</f>
        <v/>
      </c>
      <c r="CJ51" s="365">
        <f t="shared" si="9"/>
        <v>1</v>
      </c>
      <c r="CK51" s="424">
        <f t="shared" ca="1" si="11"/>
        <v>53</v>
      </c>
    </row>
    <row r="52" spans="2:89" x14ac:dyDescent="0.25">
      <c r="B52" s="366">
        <f t="shared" si="12"/>
        <v>50</v>
      </c>
      <c r="C52" s="311" t="s">
        <v>298</v>
      </c>
      <c r="D52" s="349" t="s">
        <v>430</v>
      </c>
      <c r="E52" s="312" t="s">
        <v>323</v>
      </c>
      <c r="F52" s="350">
        <f>_xlfn.XLOOKUP(CCA_Defense!$D52,BB_Input!$C$4:$C$172,BB_Input!$G$4:$G$172)</f>
        <v>36.711698168549837</v>
      </c>
      <c r="G52" s="364">
        <v>1991</v>
      </c>
      <c r="H52" s="364">
        <f t="shared" ca="1" si="4"/>
        <v>35</v>
      </c>
      <c r="I52" s="313" t="s">
        <v>280</v>
      </c>
      <c r="J52" s="313" t="s">
        <v>997</v>
      </c>
      <c r="K52" s="313"/>
      <c r="L52" s="313"/>
      <c r="M52" s="312">
        <v>518</v>
      </c>
      <c r="N52" s="313">
        <f>IFERROR(_xlfn.XLOOKUP($D52,PE_Projections!$D:$D,PE_Projections!L:L),"")</f>
        <v>140.75056134721748</v>
      </c>
      <c r="O52" s="313">
        <f>IFERROR(_xlfn.XLOOKUP($D52,PE_Projections!$D:$D,PE_Projections!M:M),"")</f>
        <v>138.65048346733491</v>
      </c>
      <c r="P52" s="313">
        <f>IFERROR(_xlfn.XLOOKUP($D52,PE_Projections!$D:$D,PE_Projections!N:N),"")</f>
        <v>136.58173993567345</v>
      </c>
      <c r="Q52" s="313">
        <f>IFERROR(_xlfn.XLOOKUP($D52,PE_Projections!$D:$D,PE_Projections!O:O),"")</f>
        <v>134.54386322605811</v>
      </c>
      <c r="R52" s="313">
        <f>IFERROR(_xlfn.XLOOKUP($D52,PE_Projections!$D:$D,PE_Projections!P:P),"")</f>
        <v>132.53639278806844</v>
      </c>
      <c r="S52" s="312">
        <v>-22</v>
      </c>
      <c r="T52" s="351">
        <f t="shared" si="13"/>
        <v>2.540056575138715E-2</v>
      </c>
      <c r="U52" s="351"/>
      <c r="V52" s="400">
        <f>AVERAGE(5%,8%)</f>
        <v>6.5000000000000002E-2</v>
      </c>
      <c r="W52" s="356">
        <v>0.4</v>
      </c>
      <c r="X52" s="313" t="str" cm="1">
        <f t="array" ref="X52">_xlfn.IFS($F52&lt;Glossary!$C$54,Glossary!$B$54,$F52&lt;Glossary!$C$55,Glossary!$B$55,$F52&gt;Glossary!$C$56,Glossary!$B$56)</f>
        <v>Small Cap</v>
      </c>
      <c r="Y52" s="312" t="s">
        <v>146</v>
      </c>
      <c r="Z52" s="312" t="s">
        <v>134</v>
      </c>
      <c r="AA52" s="400">
        <v>0.55000000000000004</v>
      </c>
      <c r="AB52" s="423"/>
      <c r="AC52" s="400" t="s">
        <v>1180</v>
      </c>
      <c r="AD52" s="400" t="s">
        <v>1181</v>
      </c>
      <c r="AE52" s="400" t="s">
        <v>1181</v>
      </c>
      <c r="AF52" s="423"/>
      <c r="AG52" s="312" t="s">
        <v>379</v>
      </c>
      <c r="AH52" s="379"/>
      <c r="AI52" s="312"/>
      <c r="AJ52" s="312"/>
      <c r="AK52" s="379"/>
      <c r="AL52" s="312"/>
      <c r="AM52" s="312"/>
      <c r="AN52" s="379"/>
      <c r="AO52" s="312"/>
      <c r="AP52" s="379"/>
      <c r="AQ52" s="312"/>
      <c r="AR52" s="312"/>
      <c r="AS52" s="379"/>
      <c r="AT52" s="312" t="s">
        <v>41</v>
      </c>
      <c r="AU52" s="401" t="s">
        <v>199</v>
      </c>
      <c r="AV52" s="353">
        <v>15.7</v>
      </c>
      <c r="AW52" s="313">
        <v>15.7</v>
      </c>
      <c r="AX52" s="313">
        <v>15.7</v>
      </c>
      <c r="AY52" s="353">
        <v>26.3</v>
      </c>
      <c r="AZ52" s="313">
        <v>33.799999999999997</v>
      </c>
      <c r="BA52" s="313">
        <v>27.6</v>
      </c>
      <c r="BB52" s="313">
        <v>23.2</v>
      </c>
      <c r="BC52" s="355">
        <v>17.8</v>
      </c>
      <c r="BD52" s="356"/>
      <c r="BE52" s="356"/>
      <c r="BF52" s="360"/>
      <c r="BG52" s="358">
        <v>2.5999999999999999E-3</v>
      </c>
      <c r="BH52" s="359"/>
      <c r="BI52" s="359"/>
      <c r="BJ52" s="359"/>
      <c r="BK52" s="358">
        <v>4.8000000000000001E-2</v>
      </c>
      <c r="BL52" s="359"/>
      <c r="BM52" s="359"/>
      <c r="BN52" s="359"/>
      <c r="BO52" s="355"/>
      <c r="BP52" s="356"/>
      <c r="BQ52" s="356"/>
      <c r="BR52" s="360"/>
      <c r="BS52" s="355"/>
      <c r="BT52" s="356"/>
      <c r="BU52" s="360"/>
      <c r="BV52" s="311"/>
      <c r="BW52" s="311"/>
      <c r="BX52" s="403"/>
      <c r="BY52" s="311"/>
      <c r="BZ52" s="311"/>
      <c r="CA52" s="403"/>
      <c r="CB52" s="311"/>
      <c r="CC52" s="311"/>
      <c r="CD52" s="311"/>
      <c r="CE52" s="407"/>
      <c r="CF52" s="368" t="str">
        <f>IF(CE52&gt;='Conviction List'!$D$8,1,"")</f>
        <v/>
      </c>
      <c r="CG52" s="312" t="str">
        <f>IF(M52&lt;='Conviction List'!$E$8,1,"")</f>
        <v/>
      </c>
      <c r="CH52" s="312" t="str">
        <f>IF(BG52&gt;='Conviction List'!$F$8,1,"")</f>
        <v/>
      </c>
      <c r="CI52" s="312" t="str">
        <f>IF(BK52&gt;='Conviction List'!$G$8,1,"")</f>
        <v/>
      </c>
      <c r="CJ52" s="365">
        <f t="shared" si="9"/>
        <v>0</v>
      </c>
      <c r="CK52" s="424">
        <f t="shared" ca="1" si="11"/>
        <v>54</v>
      </c>
    </row>
    <row r="53" spans="2:89" x14ac:dyDescent="0.25">
      <c r="B53" s="366">
        <f t="shared" si="12"/>
        <v>51</v>
      </c>
      <c r="C53" s="311" t="s">
        <v>299</v>
      </c>
      <c r="D53" s="349" t="s">
        <v>1079</v>
      </c>
      <c r="E53" s="312" t="s">
        <v>324</v>
      </c>
      <c r="F53" s="350">
        <f>_xlfn.XLOOKUP(CCA_Defense!$D53,BB_Input!$C$4:$C$172,BB_Input!$G$4:$G$172)</f>
        <v>1616.1621824987262</v>
      </c>
      <c r="G53" s="364">
        <v>1909</v>
      </c>
      <c r="H53" s="364">
        <f t="shared" ca="1" si="4"/>
        <v>117</v>
      </c>
      <c r="I53" s="313" t="s">
        <v>280</v>
      </c>
      <c r="J53" s="313" t="s">
        <v>961</v>
      </c>
      <c r="K53" s="313"/>
      <c r="L53" s="313"/>
      <c r="M53" s="312">
        <v>17.8</v>
      </c>
      <c r="N53" s="313">
        <f>IFERROR(_xlfn.XLOOKUP($D53,PE_Projections!$D:$D,PE_Projections!L:L),"")</f>
        <v>15.832960463940708</v>
      </c>
      <c r="O53" s="313">
        <f>IFERROR(_xlfn.XLOOKUP($D53,PE_Projections!$D:$D,PE_Projections!M:M),"")</f>
        <v>13.45430772616046</v>
      </c>
      <c r="P53" s="313">
        <f>IFERROR(_xlfn.XLOOKUP($D53,PE_Projections!$D:$D,PE_Projections!N:N),"")</f>
        <v>10.732277192849159</v>
      </c>
      <c r="Q53" s="313">
        <f>IFERROR(_xlfn.XLOOKUP($D53,PE_Projections!$D:$D,PE_Projections!O:O),"")</f>
        <v>9.1199217154558081</v>
      </c>
      <c r="R53" s="313">
        <f>IFERROR(_xlfn.XLOOKUP($D53,PE_Projections!$D:$D,PE_Projections!P:P),"")</f>
        <v>7.5076160697495649</v>
      </c>
      <c r="S53" s="312">
        <v>-2</v>
      </c>
      <c r="T53" s="351">
        <f t="shared" si="13"/>
        <v>0.58931627108919971</v>
      </c>
      <c r="U53" s="351"/>
      <c r="V53" s="400">
        <v>0.05</v>
      </c>
      <c r="W53" s="356"/>
      <c r="X53" s="313" t="str" cm="1">
        <f t="array" ref="X53">_xlfn.IFS($F53&lt;Glossary!$C$54,Glossary!$B$54,$F53&lt;Glossary!$C$55,Glossary!$B$55,$F53&gt;Glossary!$C$56,Glossary!$B$56)</f>
        <v>Small Cap</v>
      </c>
      <c r="Y53" s="312" t="s">
        <v>147</v>
      </c>
      <c r="Z53" s="312" t="s">
        <v>134</v>
      </c>
      <c r="AA53" s="400">
        <v>0.61</v>
      </c>
      <c r="AB53" s="423"/>
      <c r="AC53" s="400" t="s">
        <v>1180</v>
      </c>
      <c r="AD53" s="400" t="s">
        <v>1180</v>
      </c>
      <c r="AE53" s="400" t="s">
        <v>1180</v>
      </c>
      <c r="AF53" s="423"/>
      <c r="AG53" s="312" t="s">
        <v>380</v>
      </c>
      <c r="AH53" s="379"/>
      <c r="AI53" s="312"/>
      <c r="AJ53" s="312" t="s">
        <v>41</v>
      </c>
      <c r="AK53" s="379"/>
      <c r="AL53" s="312"/>
      <c r="AM53" s="312"/>
      <c r="AN53" s="379"/>
      <c r="AO53" s="312"/>
      <c r="AP53" s="379"/>
      <c r="AQ53" s="312"/>
      <c r="AR53" s="312"/>
      <c r="AS53" s="379"/>
      <c r="AT53" s="312"/>
      <c r="AU53" s="401" t="s">
        <v>203</v>
      </c>
      <c r="AV53" s="353">
        <v>261.60000000000002</v>
      </c>
      <c r="AW53" s="313">
        <v>261.60000000000002</v>
      </c>
      <c r="AX53" s="313">
        <v>261.60000000000002</v>
      </c>
      <c r="AY53" s="353">
        <v>570.9</v>
      </c>
      <c r="AZ53" s="313">
        <v>580</v>
      </c>
      <c r="BA53" s="313">
        <v>166.2</v>
      </c>
      <c r="BB53" s="313">
        <v>56.3</v>
      </c>
      <c r="BC53" s="355">
        <v>8.36</v>
      </c>
      <c r="BD53" s="356"/>
      <c r="BE53" s="356"/>
      <c r="BF53" s="360"/>
      <c r="BG53" s="358">
        <v>0.1111</v>
      </c>
      <c r="BH53" s="359"/>
      <c r="BI53" s="359"/>
      <c r="BJ53" s="359"/>
      <c r="BK53" s="358">
        <v>0.1429</v>
      </c>
      <c r="BL53" s="359"/>
      <c r="BM53" s="359"/>
      <c r="BN53" s="359"/>
      <c r="BO53" s="355"/>
      <c r="BP53" s="356"/>
      <c r="BQ53" s="356"/>
      <c r="BR53" s="360"/>
      <c r="BS53" s="355"/>
      <c r="BT53" s="356"/>
      <c r="BU53" s="360"/>
      <c r="BV53" s="311"/>
      <c r="BW53" s="311"/>
      <c r="BX53" s="403"/>
      <c r="BY53" s="311"/>
      <c r="BZ53" s="311"/>
      <c r="CA53" s="403"/>
      <c r="CB53" s="311"/>
      <c r="CC53" s="311"/>
      <c r="CD53" s="311"/>
      <c r="CE53" s="407"/>
      <c r="CF53" s="368" t="str">
        <f>IF(CE53&gt;='Conviction List'!$D$8,1,"")</f>
        <v/>
      </c>
      <c r="CG53" s="312">
        <f>IF(M53&lt;='Conviction List'!$E$8,1,"")</f>
        <v>1</v>
      </c>
      <c r="CH53" s="312" t="str">
        <f>IF(BG53&gt;='Conviction List'!$F$8,1,"")</f>
        <v/>
      </c>
      <c r="CI53" s="312" t="str">
        <f>IF(BK53&gt;='Conviction List'!$G$8,1,"")</f>
        <v/>
      </c>
      <c r="CJ53" s="365">
        <f t="shared" si="9"/>
        <v>1</v>
      </c>
      <c r="CK53" s="424">
        <f t="shared" ca="1" si="11"/>
        <v>55</v>
      </c>
    </row>
    <row r="54" spans="2:89" x14ac:dyDescent="0.25">
      <c r="B54" s="366">
        <f t="shared" si="12"/>
        <v>52</v>
      </c>
      <c r="C54" s="311" t="s">
        <v>300</v>
      </c>
      <c r="D54" s="349" t="s">
        <v>432</v>
      </c>
      <c r="E54" s="312" t="s">
        <v>325</v>
      </c>
      <c r="F54" s="350">
        <f>_xlfn.XLOOKUP(CCA_Defense!$D54,BB_Input!$C$4:$C$172,BB_Input!$G$4:$G$172)</f>
        <v>147.71936725891192</v>
      </c>
      <c r="G54" s="364">
        <v>1908</v>
      </c>
      <c r="H54" s="364">
        <f t="shared" ca="1" si="4"/>
        <v>118</v>
      </c>
      <c r="I54" s="313" t="s">
        <v>280</v>
      </c>
      <c r="J54" s="313" t="s">
        <v>998</v>
      </c>
      <c r="K54" s="313"/>
      <c r="L54" s="313"/>
      <c r="M54" s="312"/>
      <c r="N54" s="313" t="str">
        <f>IFERROR(_xlfn.XLOOKUP($D54,PE_Projections!$D:$D,PE_Projections!L:L),"")</f>
        <v/>
      </c>
      <c r="O54" s="313" t="str">
        <f>IFERROR(_xlfn.XLOOKUP($D54,PE_Projections!$D:$D,PE_Projections!M:M),"")</f>
        <v/>
      </c>
      <c r="P54" s="313">
        <f>IFERROR(_xlfn.XLOOKUP($D54,PE_Projections!$D:$D,PE_Projections!N:N),"")</f>
        <v>371.63760412605393</v>
      </c>
      <c r="Q54" s="313">
        <f>IFERROR(_xlfn.XLOOKUP($D54,PE_Projections!$D:$D,PE_Projections!O:O),"")</f>
        <v>229.45656261933036</v>
      </c>
      <c r="R54" s="313">
        <f>IFERROR(_xlfn.XLOOKUP($D54,PE_Projections!$D:$D,PE_Projections!P:P),"")</f>
        <v>196.76543890747934</v>
      </c>
      <c r="S54" s="312">
        <v>-14</v>
      </c>
      <c r="T54" s="351">
        <f t="shared" si="13"/>
        <v>-2.8214491099295368E-2</v>
      </c>
      <c r="U54" s="351"/>
      <c r="V54" s="400">
        <f>AVERAGE(40%,50%)</f>
        <v>0.45</v>
      </c>
      <c r="W54" s="356">
        <v>3.4</v>
      </c>
      <c r="X54" s="313" t="str" cm="1">
        <f t="array" ref="X54">_xlfn.IFS($F54&lt;Glossary!$C$54,Glossary!$B$54,$F54&lt;Glossary!$C$55,Glossary!$B$55,$F54&gt;Glossary!$C$56,Glossary!$B$56)</f>
        <v>Small Cap</v>
      </c>
      <c r="Y54" s="312" t="s">
        <v>188</v>
      </c>
      <c r="Z54" s="312" t="s">
        <v>134</v>
      </c>
      <c r="AA54" s="400">
        <v>0.48</v>
      </c>
      <c r="AB54" s="423"/>
      <c r="AC54" s="400" t="s">
        <v>1180</v>
      </c>
      <c r="AD54" s="400" t="s">
        <v>1180</v>
      </c>
      <c r="AE54" s="400" t="s">
        <v>1181</v>
      </c>
      <c r="AF54" s="423"/>
      <c r="AG54" s="312" t="s">
        <v>381</v>
      </c>
      <c r="AH54" s="379"/>
      <c r="AI54" s="312"/>
      <c r="AJ54" s="312"/>
      <c r="AK54" s="379" t="s">
        <v>41</v>
      </c>
      <c r="AL54" s="312" t="s">
        <v>41</v>
      </c>
      <c r="AM54" s="312"/>
      <c r="AN54" s="379" t="s">
        <v>41</v>
      </c>
      <c r="AO54" s="312"/>
      <c r="AP54" s="379"/>
      <c r="AQ54" s="312"/>
      <c r="AR54" s="312"/>
      <c r="AS54" s="379" t="s">
        <v>41</v>
      </c>
      <c r="AT54" s="312"/>
      <c r="AU54" s="354" t="s">
        <v>264</v>
      </c>
      <c r="AV54" s="353">
        <v>7.3</v>
      </c>
      <c r="AW54" s="313">
        <v>7.3</v>
      </c>
      <c r="AX54" s="313">
        <v>7.3</v>
      </c>
      <c r="AY54" s="353">
        <v>29.9</v>
      </c>
      <c r="AZ54" s="313">
        <v>34.9</v>
      </c>
      <c r="BA54" s="313">
        <v>37.200000000000003</v>
      </c>
      <c r="BB54" s="313">
        <v>34.5</v>
      </c>
      <c r="BC54" s="355">
        <v>-44.8</v>
      </c>
      <c r="BD54" s="356"/>
      <c r="BE54" s="356"/>
      <c r="BF54" s="360"/>
      <c r="BG54" s="358">
        <v>-0.24560000000000001</v>
      </c>
      <c r="BH54" s="359"/>
      <c r="BI54" s="359"/>
      <c r="BJ54" s="359"/>
      <c r="BK54" s="358">
        <v>-7.9200000000000007E-2</v>
      </c>
      <c r="BL54" s="359"/>
      <c r="BM54" s="359"/>
      <c r="BN54" s="359"/>
      <c r="BO54" s="355">
        <v>-2.25</v>
      </c>
      <c r="BP54" s="356"/>
      <c r="BQ54" s="356"/>
      <c r="BR54" s="360"/>
      <c r="BS54" s="355"/>
      <c r="BT54" s="356"/>
      <c r="BU54" s="360"/>
      <c r="BV54" s="311"/>
      <c r="BW54" s="311"/>
      <c r="BX54" s="403"/>
      <c r="BY54" s="311"/>
      <c r="BZ54" s="311"/>
      <c r="CA54" s="403"/>
      <c r="CB54" s="311"/>
      <c r="CC54" s="311"/>
      <c r="CD54" s="311"/>
      <c r="CE54" s="407"/>
      <c r="CF54" s="368" t="str">
        <f>IF(CE54&gt;='Conviction List'!$D$8,1,"")</f>
        <v/>
      </c>
      <c r="CG54" s="312">
        <f>IF(M54&lt;='Conviction List'!$E$8,1,"")</f>
        <v>1</v>
      </c>
      <c r="CH54" s="312" t="str">
        <f>IF(BG54&gt;='Conviction List'!$F$8,1,"")</f>
        <v/>
      </c>
      <c r="CI54" s="312" t="str">
        <f>IF(BK54&gt;='Conviction List'!$G$8,1,"")</f>
        <v/>
      </c>
      <c r="CJ54" s="365">
        <f t="shared" si="9"/>
        <v>1</v>
      </c>
      <c r="CK54" s="424">
        <f t="shared" ca="1" si="11"/>
        <v>56</v>
      </c>
    </row>
    <row r="55" spans="2:89" x14ac:dyDescent="0.25">
      <c r="B55" s="366">
        <f t="shared" si="12"/>
        <v>53</v>
      </c>
      <c r="C55" s="311" t="s">
        <v>301</v>
      </c>
      <c r="D55" s="367" t="s">
        <v>443</v>
      </c>
      <c r="E55" s="312"/>
      <c r="F55" s="350" t="e">
        <f>_xlfn.XLOOKUP(CCA_Defense!$D55,BB_Input!$C$4:$C$172,BB_Input!$G$4:$G$172)</f>
        <v>#N/A</v>
      </c>
      <c r="G55" s="364">
        <v>2019</v>
      </c>
      <c r="H55" s="364">
        <f t="shared" ca="1" si="4"/>
        <v>7</v>
      </c>
      <c r="I55" s="313" t="s">
        <v>358</v>
      </c>
      <c r="J55" s="313" t="s">
        <v>999</v>
      </c>
      <c r="K55" s="313"/>
      <c r="L55" s="313"/>
      <c r="M55" s="312"/>
      <c r="N55" s="313" t="str">
        <f>IFERROR(_xlfn.XLOOKUP($D55,PE_Projections!$D:$D,PE_Projections!L:L),"")</f>
        <v/>
      </c>
      <c r="O55" s="313" t="str">
        <f>IFERROR(_xlfn.XLOOKUP($D55,PE_Projections!$D:$D,PE_Projections!M:M),"")</f>
        <v/>
      </c>
      <c r="P55" s="313" t="str">
        <f>IFERROR(_xlfn.XLOOKUP($D55,PE_Projections!$D:$D,PE_Projections!N:N),"")</f>
        <v/>
      </c>
      <c r="Q55" s="313" t="str">
        <f>IFERROR(_xlfn.XLOOKUP($D55,PE_Projections!$D:$D,PE_Projections!O:O),"")</f>
        <v/>
      </c>
      <c r="R55" s="313" t="str">
        <f>IFERROR(_xlfn.XLOOKUP($D55,PE_Projections!$D:$D,PE_Projections!P:P),"")</f>
        <v/>
      </c>
      <c r="S55" s="311"/>
      <c r="T55" s="351" t="str">
        <f t="shared" si="13"/>
        <v/>
      </c>
      <c r="U55" s="351"/>
      <c r="V55" s="311"/>
      <c r="W55" s="356"/>
      <c r="X55" s="313"/>
      <c r="Y55" s="312" t="s">
        <v>362</v>
      </c>
      <c r="Z55" s="312" t="s">
        <v>131</v>
      </c>
      <c r="AA55" s="400">
        <v>1</v>
      </c>
      <c r="AB55" s="423"/>
      <c r="AC55" s="400" t="s">
        <v>1180</v>
      </c>
      <c r="AD55" s="400" t="s">
        <v>1180</v>
      </c>
      <c r="AE55" s="400" t="s">
        <v>1180</v>
      </c>
      <c r="AF55" s="423"/>
      <c r="AG55" s="312"/>
      <c r="AH55" s="379"/>
      <c r="AI55" s="312"/>
      <c r="AJ55" s="312"/>
      <c r="AK55" s="379"/>
      <c r="AL55" s="312"/>
      <c r="AM55" s="312"/>
      <c r="AN55" s="379" t="s">
        <v>41</v>
      </c>
      <c r="AO55" s="312"/>
      <c r="AP55" s="379"/>
      <c r="AQ55" s="312"/>
      <c r="AR55" s="312"/>
      <c r="AS55" s="379"/>
      <c r="AT55" s="312"/>
      <c r="AU55" s="401" t="s">
        <v>195</v>
      </c>
      <c r="AV55" s="385"/>
      <c r="AW55" s="311"/>
      <c r="AX55" s="311"/>
      <c r="AY55" s="385"/>
      <c r="AZ55" s="311"/>
      <c r="BA55" s="311"/>
      <c r="BB55" s="311"/>
      <c r="BC55" s="410"/>
      <c r="BD55" s="311"/>
      <c r="BE55" s="311"/>
      <c r="BF55" s="403"/>
      <c r="BG55" s="410"/>
      <c r="BH55" s="311"/>
      <c r="BI55" s="311"/>
      <c r="BJ55" s="311"/>
      <c r="BK55" s="410"/>
      <c r="BL55" s="311"/>
      <c r="BM55" s="311"/>
      <c r="BN55" s="311"/>
      <c r="BO55" s="410"/>
      <c r="BP55" s="311"/>
      <c r="BQ55" s="311"/>
      <c r="BR55" s="311"/>
      <c r="BS55" s="410"/>
      <c r="BT55" s="311"/>
      <c r="BU55" s="403"/>
      <c r="BV55" s="311"/>
      <c r="BW55" s="311"/>
      <c r="BX55" s="403"/>
      <c r="BY55" s="311"/>
      <c r="BZ55" s="311"/>
      <c r="CA55" s="403"/>
      <c r="CB55" s="311"/>
      <c r="CC55" s="311"/>
      <c r="CD55" s="311"/>
      <c r="CE55" s="407"/>
      <c r="CF55" s="368" t="str">
        <f>IF(CE55&gt;='Conviction List'!$D$8,1,"")</f>
        <v/>
      </c>
      <c r="CG55" s="312">
        <f>IF(M55&lt;='Conviction List'!$E$8,1,"")</f>
        <v>1</v>
      </c>
      <c r="CH55" s="312" t="str">
        <f>IF(BG55&gt;='Conviction List'!$F$8,1,"")</f>
        <v/>
      </c>
      <c r="CI55" s="312" t="str">
        <f>IF(BK55&gt;='Conviction List'!$G$8,1,"")</f>
        <v/>
      </c>
      <c r="CJ55" s="365">
        <f t="shared" si="9"/>
        <v>1</v>
      </c>
      <c r="CK55" s="424">
        <f t="shared" ca="1" si="11"/>
        <v>57</v>
      </c>
    </row>
    <row r="56" spans="2:89" x14ac:dyDescent="0.25">
      <c r="B56" s="366">
        <f t="shared" si="12"/>
        <v>54</v>
      </c>
      <c r="C56" s="311" t="s">
        <v>302</v>
      </c>
      <c r="D56" s="367" t="s">
        <v>444</v>
      </c>
      <c r="E56" s="312"/>
      <c r="F56" s="350" t="e">
        <f>_xlfn.XLOOKUP(CCA_Defense!$D56,BB_Input!$C$4:$C$172,BB_Input!$G$4:$G$172)</f>
        <v>#N/A</v>
      </c>
      <c r="G56" s="364">
        <v>2021</v>
      </c>
      <c r="H56" s="364">
        <f t="shared" ca="1" si="4"/>
        <v>5</v>
      </c>
      <c r="I56" s="313" t="s">
        <v>358</v>
      </c>
      <c r="J56" s="313" t="s">
        <v>1000</v>
      </c>
      <c r="K56" s="313"/>
      <c r="L56" s="313"/>
      <c r="M56" s="312"/>
      <c r="N56" s="313" t="str">
        <f>IFERROR(_xlfn.XLOOKUP($D56,PE_Projections!$D:$D,PE_Projections!L:L),"")</f>
        <v/>
      </c>
      <c r="O56" s="313" t="str">
        <f>IFERROR(_xlfn.XLOOKUP($D56,PE_Projections!$D:$D,PE_Projections!M:M),"")</f>
        <v/>
      </c>
      <c r="P56" s="313" t="str">
        <f>IFERROR(_xlfn.XLOOKUP($D56,PE_Projections!$D:$D,PE_Projections!N:N),"")</f>
        <v/>
      </c>
      <c r="Q56" s="313" t="str">
        <f>IFERROR(_xlfn.XLOOKUP($D56,PE_Projections!$D:$D,PE_Projections!O:O),"")</f>
        <v/>
      </c>
      <c r="R56" s="313" t="str">
        <f>IFERROR(_xlfn.XLOOKUP($D56,PE_Projections!$D:$D,PE_Projections!P:P),"")</f>
        <v/>
      </c>
      <c r="S56" s="311"/>
      <c r="T56" s="351" t="str">
        <f t="shared" si="13"/>
        <v/>
      </c>
      <c r="U56" s="351"/>
      <c r="V56" s="311"/>
      <c r="W56" s="356">
        <v>6.9</v>
      </c>
      <c r="X56" s="313"/>
      <c r="Y56" s="312" t="s">
        <v>150</v>
      </c>
      <c r="Z56" s="312" t="s">
        <v>131</v>
      </c>
      <c r="AA56" s="400">
        <v>1</v>
      </c>
      <c r="AB56" s="423"/>
      <c r="AC56" s="400" t="s">
        <v>1180</v>
      </c>
      <c r="AD56" s="400" t="s">
        <v>1180</v>
      </c>
      <c r="AE56" s="400" t="s">
        <v>1180</v>
      </c>
      <c r="AF56" s="423"/>
      <c r="AG56" s="312"/>
      <c r="AH56" s="379"/>
      <c r="AI56" s="312" t="s">
        <v>41</v>
      </c>
      <c r="AJ56" s="312"/>
      <c r="AK56" s="379"/>
      <c r="AL56" s="312"/>
      <c r="AM56" s="312"/>
      <c r="AN56" s="379"/>
      <c r="AO56" s="312"/>
      <c r="AP56" s="379"/>
      <c r="AQ56" s="312"/>
      <c r="AR56" s="312"/>
      <c r="AS56" s="379"/>
      <c r="AT56" s="312"/>
      <c r="AU56" s="401" t="s">
        <v>203</v>
      </c>
      <c r="AV56" s="385"/>
      <c r="AW56" s="311"/>
      <c r="AX56" s="311"/>
      <c r="AY56" s="379">
        <v>544</v>
      </c>
      <c r="AZ56" s="311"/>
      <c r="BA56" s="311"/>
      <c r="BB56" s="311"/>
      <c r="BC56" s="410"/>
      <c r="BD56" s="311"/>
      <c r="BE56" s="311"/>
      <c r="BF56" s="403"/>
      <c r="BG56" s="410"/>
      <c r="BH56" s="311"/>
      <c r="BI56" s="311"/>
      <c r="BJ56" s="311"/>
      <c r="BK56" s="410"/>
      <c r="BL56" s="311"/>
      <c r="BM56" s="311"/>
      <c r="BN56" s="311"/>
      <c r="BO56" s="410"/>
      <c r="BP56" s="311"/>
      <c r="BQ56" s="311"/>
      <c r="BR56" s="311"/>
      <c r="BS56" s="410"/>
      <c r="BT56" s="311"/>
      <c r="BU56" s="403"/>
      <c r="BV56" s="311"/>
      <c r="BW56" s="311"/>
      <c r="BX56" s="403"/>
      <c r="BY56" s="311"/>
      <c r="BZ56" s="311"/>
      <c r="CA56" s="403"/>
      <c r="CB56" s="311"/>
      <c r="CC56" s="311"/>
      <c r="CD56" s="311"/>
      <c r="CE56" s="407"/>
      <c r="CF56" s="368" t="str">
        <f>IF(CE56&gt;='Conviction List'!$D$8,1,"")</f>
        <v/>
      </c>
      <c r="CG56" s="312">
        <f>IF(M56&lt;='Conviction List'!$E$8,1,"")</f>
        <v>1</v>
      </c>
      <c r="CH56" s="312" t="str">
        <f>IF(BG56&gt;='Conviction List'!$F$8,1,"")</f>
        <v/>
      </c>
      <c r="CI56" s="312" t="str">
        <f>IF(BK56&gt;='Conviction List'!$G$8,1,"")</f>
        <v/>
      </c>
      <c r="CJ56" s="365">
        <f t="shared" si="9"/>
        <v>1</v>
      </c>
      <c r="CK56" s="424">
        <f t="shared" ca="1" si="11"/>
        <v>58</v>
      </c>
    </row>
    <row r="57" spans="2:89" ht="14.4" x14ac:dyDescent="0.3">
      <c r="B57" s="366">
        <f t="shared" si="12"/>
        <v>55</v>
      </c>
      <c r="C57" s="311" t="s">
        <v>303</v>
      </c>
      <c r="D57" s="411" t="s">
        <v>485</v>
      </c>
      <c r="E57" s="312"/>
      <c r="F57" s="350" t="e">
        <f>_xlfn.XLOOKUP(CCA_Defense!$D57,BB_Input!$C$4:$C$172,BB_Input!$G$4:$G$172)</f>
        <v>#N/A</v>
      </c>
      <c r="G57" s="364">
        <v>2019</v>
      </c>
      <c r="H57" s="364">
        <f t="shared" ca="1" si="4"/>
        <v>7</v>
      </c>
      <c r="I57" s="313" t="s">
        <v>358</v>
      </c>
      <c r="J57" s="313" t="s">
        <v>971</v>
      </c>
      <c r="K57" s="313"/>
      <c r="L57" s="313"/>
      <c r="M57" s="312"/>
      <c r="N57" s="313" t="str">
        <f>IFERROR(_xlfn.XLOOKUP($D57,PE_Projections!$D:$D,PE_Projections!L:L),"")</f>
        <v/>
      </c>
      <c r="O57" s="313" t="str">
        <f>IFERROR(_xlfn.XLOOKUP($D57,PE_Projections!$D:$D,PE_Projections!M:M),"")</f>
        <v/>
      </c>
      <c r="P57" s="313" t="str">
        <f>IFERROR(_xlfn.XLOOKUP($D57,PE_Projections!$D:$D,PE_Projections!N:N),"")</f>
        <v/>
      </c>
      <c r="Q57" s="313" t="str">
        <f>IFERROR(_xlfn.XLOOKUP($D57,PE_Projections!$D:$D,PE_Projections!O:O),"")</f>
        <v/>
      </c>
      <c r="R57" s="313" t="str">
        <f>IFERROR(_xlfn.XLOOKUP($D57,PE_Projections!$D:$D,PE_Projections!P:P),"")</f>
        <v/>
      </c>
      <c r="S57" s="311"/>
      <c r="T57" s="351" t="str">
        <f t="shared" si="13"/>
        <v/>
      </c>
      <c r="U57" s="351"/>
      <c r="V57" s="311"/>
      <c r="W57" s="356"/>
      <c r="X57" s="313"/>
      <c r="Y57" s="312" t="s">
        <v>146</v>
      </c>
      <c r="Z57" s="312" t="s">
        <v>133</v>
      </c>
      <c r="AA57" s="312"/>
      <c r="AB57" s="423"/>
      <c r="AC57" s="400" t="s">
        <v>1180</v>
      </c>
      <c r="AD57" s="400" t="s">
        <v>1180</v>
      </c>
      <c r="AE57" s="400" t="s">
        <v>1180</v>
      </c>
      <c r="AF57" s="423"/>
      <c r="AG57" s="312"/>
      <c r="AH57" s="379"/>
      <c r="AI57" s="312"/>
      <c r="AJ57" s="312"/>
      <c r="AK57" s="379"/>
      <c r="AL57" s="312"/>
      <c r="AM57" s="312"/>
      <c r="AN57" s="379" t="s">
        <v>41</v>
      </c>
      <c r="AO57" s="312"/>
      <c r="AP57" s="379"/>
      <c r="AQ57" s="312"/>
      <c r="AR57" s="312"/>
      <c r="AS57" s="379"/>
      <c r="AT57" s="312"/>
      <c r="AU57" s="401" t="s">
        <v>195</v>
      </c>
      <c r="AV57" s="385"/>
      <c r="AW57" s="311"/>
      <c r="AX57" s="311"/>
      <c r="AY57" s="385"/>
      <c r="AZ57" s="311"/>
      <c r="BA57" s="311"/>
      <c r="BB57" s="311"/>
      <c r="BC57" s="410"/>
      <c r="BD57" s="311"/>
      <c r="BE57" s="311"/>
      <c r="BF57" s="403"/>
      <c r="BG57" s="410"/>
      <c r="BH57" s="311"/>
      <c r="BI57" s="311"/>
      <c r="BJ57" s="311"/>
      <c r="BK57" s="410"/>
      <c r="BL57" s="311"/>
      <c r="BM57" s="311"/>
      <c r="BN57" s="311"/>
      <c r="BO57" s="410"/>
      <c r="BP57" s="311"/>
      <c r="BQ57" s="311"/>
      <c r="BR57" s="311"/>
      <c r="BS57" s="410"/>
      <c r="BT57" s="311"/>
      <c r="BU57" s="403"/>
      <c r="BV57" s="311"/>
      <c r="BW57" s="311"/>
      <c r="BX57" s="403"/>
      <c r="BY57" s="311"/>
      <c r="BZ57" s="311"/>
      <c r="CA57" s="403"/>
      <c r="CB57" s="311"/>
      <c r="CC57" s="311"/>
      <c r="CD57" s="311"/>
      <c r="CE57" s="407"/>
      <c r="CF57" s="368" t="str">
        <f>IF(CE57&gt;='Conviction List'!$D$8,1,"")</f>
        <v/>
      </c>
      <c r="CG57" s="312">
        <f>IF(M57&lt;='Conviction List'!$E$8,1,"")</f>
        <v>1</v>
      </c>
      <c r="CH57" s="312" t="str">
        <f>IF(BG57&gt;='Conviction List'!$F$8,1,"")</f>
        <v/>
      </c>
      <c r="CI57" s="312" t="str">
        <f>IF(BK57&gt;='Conviction List'!$G$8,1,"")</f>
        <v/>
      </c>
      <c r="CJ57" s="365">
        <f t="shared" si="9"/>
        <v>1</v>
      </c>
      <c r="CK57" s="424">
        <f t="shared" ca="1" si="11"/>
        <v>59</v>
      </c>
    </row>
    <row r="58" spans="2:89" ht="14.4" x14ac:dyDescent="0.3">
      <c r="B58" s="366">
        <f t="shared" si="12"/>
        <v>56</v>
      </c>
      <c r="C58" s="311" t="s">
        <v>304</v>
      </c>
      <c r="D58" s="411" t="s">
        <v>484</v>
      </c>
      <c r="E58" s="312"/>
      <c r="F58" s="350" t="e">
        <f>_xlfn.XLOOKUP(CCA_Defense!$D58,BB_Input!$C$4:$C$172,BB_Input!$G$4:$G$172)</f>
        <v>#N/A</v>
      </c>
      <c r="G58" s="364">
        <v>1950</v>
      </c>
      <c r="H58" s="364">
        <f t="shared" ca="1" si="4"/>
        <v>76</v>
      </c>
      <c r="I58" s="313" t="s">
        <v>358</v>
      </c>
      <c r="J58" s="313" t="s">
        <v>1001</v>
      </c>
      <c r="K58" s="313"/>
      <c r="L58" s="313"/>
      <c r="M58" s="312"/>
      <c r="N58" s="313" t="str">
        <f>IFERROR(_xlfn.XLOOKUP($D58,PE_Projections!$D:$D,PE_Projections!L:L),"")</f>
        <v/>
      </c>
      <c r="O58" s="313" t="str">
        <f>IFERROR(_xlfn.XLOOKUP($D58,PE_Projections!$D:$D,PE_Projections!M:M),"")</f>
        <v/>
      </c>
      <c r="P58" s="313" t="str">
        <f>IFERROR(_xlfn.XLOOKUP($D58,PE_Projections!$D:$D,PE_Projections!N:N),"")</f>
        <v/>
      </c>
      <c r="Q58" s="313" t="str">
        <f>IFERROR(_xlfn.XLOOKUP($D58,PE_Projections!$D:$D,PE_Projections!O:O),"")</f>
        <v/>
      </c>
      <c r="R58" s="313" t="str">
        <f>IFERROR(_xlfn.XLOOKUP($D58,PE_Projections!$D:$D,PE_Projections!P:P),"")</f>
        <v/>
      </c>
      <c r="S58" s="311"/>
      <c r="T58" s="351" t="str">
        <f t="shared" si="13"/>
        <v/>
      </c>
      <c r="U58" s="351"/>
      <c r="V58" s="311"/>
      <c r="W58" s="356"/>
      <c r="X58" s="313"/>
      <c r="Y58" s="312" t="s">
        <v>362</v>
      </c>
      <c r="Z58" s="312" t="s">
        <v>131</v>
      </c>
      <c r="AA58" s="400">
        <v>1</v>
      </c>
      <c r="AB58" s="423"/>
      <c r="AC58" s="400" t="s">
        <v>1180</v>
      </c>
      <c r="AD58" s="400" t="s">
        <v>1180</v>
      </c>
      <c r="AE58" s="400" t="s">
        <v>1180</v>
      </c>
      <c r="AF58" s="423"/>
      <c r="AG58" s="312"/>
      <c r="AH58" s="379"/>
      <c r="AI58" s="312"/>
      <c r="AJ58" s="312"/>
      <c r="AK58" s="379"/>
      <c r="AL58" s="312"/>
      <c r="AM58" s="312"/>
      <c r="AN58" s="379"/>
      <c r="AO58" s="312" t="s">
        <v>41</v>
      </c>
      <c r="AP58" s="379"/>
      <c r="AQ58" s="312"/>
      <c r="AR58" s="312"/>
      <c r="AS58" s="379"/>
      <c r="AT58" s="312"/>
      <c r="AU58" s="401" t="s">
        <v>195</v>
      </c>
      <c r="AV58" s="385"/>
      <c r="AW58" s="311"/>
      <c r="AX58" s="311"/>
      <c r="AY58" s="385"/>
      <c r="AZ58" s="311"/>
      <c r="BA58" s="311"/>
      <c r="BB58" s="311"/>
      <c r="BC58" s="410"/>
      <c r="BD58" s="311"/>
      <c r="BE58" s="311"/>
      <c r="BF58" s="403"/>
      <c r="BG58" s="410"/>
      <c r="BH58" s="311"/>
      <c r="BI58" s="311"/>
      <c r="BJ58" s="311"/>
      <c r="BK58" s="410"/>
      <c r="BL58" s="311"/>
      <c r="BM58" s="311"/>
      <c r="BN58" s="311"/>
      <c r="BO58" s="410"/>
      <c r="BP58" s="311"/>
      <c r="BQ58" s="311"/>
      <c r="BR58" s="311"/>
      <c r="BS58" s="410"/>
      <c r="BT58" s="311"/>
      <c r="BU58" s="403"/>
      <c r="BV58" s="311"/>
      <c r="BW58" s="311"/>
      <c r="BX58" s="403"/>
      <c r="BY58" s="311"/>
      <c r="BZ58" s="311"/>
      <c r="CA58" s="403"/>
      <c r="CB58" s="311"/>
      <c r="CC58" s="311"/>
      <c r="CD58" s="311"/>
      <c r="CE58" s="407"/>
      <c r="CF58" s="407"/>
      <c r="CG58" s="311"/>
      <c r="CH58" s="311"/>
      <c r="CI58" s="311"/>
      <c r="CJ58" s="403"/>
      <c r="CK58" s="424">
        <f t="shared" ca="1" si="11"/>
        <v>60</v>
      </c>
    </row>
    <row r="59" spans="2:89" x14ac:dyDescent="0.25">
      <c r="B59" s="366">
        <f t="shared" si="12"/>
        <v>57</v>
      </c>
      <c r="C59" s="311" t="s">
        <v>305</v>
      </c>
      <c r="D59" s="367" t="s">
        <v>445</v>
      </c>
      <c r="E59" s="312"/>
      <c r="F59" s="350" t="e">
        <f>_xlfn.XLOOKUP(CCA_Defense!$D59,BB_Input!$C$4:$C$172,BB_Input!$G$4:$G$172)</f>
        <v>#N/A</v>
      </c>
      <c r="G59" s="364">
        <v>1957</v>
      </c>
      <c r="H59" s="364">
        <f t="shared" ca="1" si="4"/>
        <v>69</v>
      </c>
      <c r="I59" s="313" t="s">
        <v>358</v>
      </c>
      <c r="J59" s="313" t="s">
        <v>960</v>
      </c>
      <c r="K59" s="313"/>
      <c r="L59" s="313"/>
      <c r="M59" s="312"/>
      <c r="N59" s="313" t="str">
        <f>IFERROR(_xlfn.XLOOKUP($D59,PE_Projections!$D:$D,PE_Projections!L:L),"")</f>
        <v/>
      </c>
      <c r="O59" s="313" t="str">
        <f>IFERROR(_xlfn.XLOOKUP($D59,PE_Projections!$D:$D,PE_Projections!M:M),"")</f>
        <v/>
      </c>
      <c r="P59" s="313" t="str">
        <f>IFERROR(_xlfn.XLOOKUP($D59,PE_Projections!$D:$D,PE_Projections!N:N),"")</f>
        <v/>
      </c>
      <c r="Q59" s="313" t="str">
        <f>IFERROR(_xlfn.XLOOKUP($D59,PE_Projections!$D:$D,PE_Projections!O:O),"")</f>
        <v/>
      </c>
      <c r="R59" s="313" t="str">
        <f>IFERROR(_xlfn.XLOOKUP($D59,PE_Projections!$D:$D,PE_Projections!P:P),"")</f>
        <v/>
      </c>
      <c r="S59" s="311"/>
      <c r="T59" s="351" t="str">
        <f t="shared" si="13"/>
        <v/>
      </c>
      <c r="U59" s="351"/>
      <c r="V59" s="311"/>
      <c r="W59" s="356">
        <v>5.7</v>
      </c>
      <c r="X59" s="313"/>
      <c r="Y59" s="312" t="s">
        <v>365</v>
      </c>
      <c r="Z59" s="312" t="s">
        <v>131</v>
      </c>
      <c r="AA59" s="400">
        <v>1</v>
      </c>
      <c r="AB59" s="423"/>
      <c r="AC59" s="400" t="s">
        <v>1180</v>
      </c>
      <c r="AD59" s="400" t="s">
        <v>1180</v>
      </c>
      <c r="AE59" s="400" t="s">
        <v>1180</v>
      </c>
      <c r="AF59" s="423"/>
      <c r="AG59" s="312"/>
      <c r="AH59" s="379"/>
      <c r="AI59" s="312"/>
      <c r="AJ59" s="312" t="s">
        <v>41</v>
      </c>
      <c r="AK59" s="379"/>
      <c r="AL59" s="312"/>
      <c r="AM59" s="312"/>
      <c r="AN59" s="379"/>
      <c r="AO59" s="312"/>
      <c r="AP59" s="379"/>
      <c r="AQ59" s="312"/>
      <c r="AR59" s="312"/>
      <c r="AS59" s="379"/>
      <c r="AT59" s="312"/>
      <c r="AU59" s="401" t="s">
        <v>203</v>
      </c>
      <c r="AV59" s="385"/>
      <c r="AW59" s="311"/>
      <c r="AX59" s="311"/>
      <c r="AY59" s="413">
        <v>350.9</v>
      </c>
      <c r="AZ59" s="311"/>
      <c r="BA59" s="311"/>
      <c r="BB59" s="311"/>
      <c r="BC59" s="410"/>
      <c r="BD59" s="311"/>
      <c r="BE59" s="311"/>
      <c r="BF59" s="403"/>
      <c r="BG59" s="410"/>
      <c r="BH59" s="311"/>
      <c r="BI59" s="311"/>
      <c r="BJ59" s="311"/>
      <c r="BK59" s="410"/>
      <c r="BL59" s="311"/>
      <c r="BM59" s="311"/>
      <c r="BN59" s="311"/>
      <c r="BO59" s="410"/>
      <c r="BP59" s="311"/>
      <c r="BQ59" s="311"/>
      <c r="BR59" s="311"/>
      <c r="BS59" s="410"/>
      <c r="BT59" s="311"/>
      <c r="BU59" s="403"/>
      <c r="BV59" s="311"/>
      <c r="BW59" s="311"/>
      <c r="BX59" s="403"/>
      <c r="BY59" s="311"/>
      <c r="BZ59" s="311"/>
      <c r="CA59" s="403"/>
      <c r="CB59" s="311"/>
      <c r="CC59" s="311"/>
      <c r="CD59" s="311"/>
      <c r="CE59" s="407"/>
      <c r="CF59" s="368" t="str">
        <f>IF(CE59&gt;='Conviction List'!$D$8,1,"")</f>
        <v/>
      </c>
      <c r="CG59" s="312">
        <f>IF(M59&lt;='Conviction List'!$E$8,1,"")</f>
        <v>1</v>
      </c>
      <c r="CH59" s="312" t="str">
        <f>IF(BG59&gt;='Conviction List'!$F$8,1,"")</f>
        <v/>
      </c>
      <c r="CI59" s="312" t="str">
        <f>IF(BK59&gt;='Conviction List'!$G$8,1,"")</f>
        <v/>
      </c>
      <c r="CJ59" s="365">
        <f t="shared" ref="CJ59:CJ77" si="14">SUM(CF59:CI59)</f>
        <v>1</v>
      </c>
      <c r="CK59" s="424">
        <f t="shared" ca="1" si="11"/>
        <v>61</v>
      </c>
    </row>
    <row r="60" spans="2:89" x14ac:dyDescent="0.25">
      <c r="B60" s="366">
        <f t="shared" si="12"/>
        <v>58</v>
      </c>
      <c r="C60" s="311" t="s">
        <v>306</v>
      </c>
      <c r="D60" s="367" t="s">
        <v>446</v>
      </c>
      <c r="E60" s="312"/>
      <c r="F60" s="350" t="e">
        <f>_xlfn.XLOOKUP(CCA_Defense!$D60,BB_Input!$C$4:$C$172,BB_Input!$G$4:$G$172)</f>
        <v>#N/A</v>
      </c>
      <c r="G60" s="364">
        <v>1941</v>
      </c>
      <c r="H60" s="364">
        <f t="shared" ca="1" si="4"/>
        <v>85</v>
      </c>
      <c r="I60" s="313" t="s">
        <v>358</v>
      </c>
      <c r="J60" s="313" t="s">
        <v>961</v>
      </c>
      <c r="K60" s="313"/>
      <c r="L60" s="313"/>
      <c r="M60" s="312"/>
      <c r="N60" s="313" t="str">
        <f>IFERROR(_xlfn.XLOOKUP($D60,PE_Projections!$D:$D,PE_Projections!L:L),"")</f>
        <v/>
      </c>
      <c r="O60" s="313" t="str">
        <f>IFERROR(_xlfn.XLOOKUP($D60,PE_Projections!$D:$D,PE_Projections!M:M),"")</f>
        <v/>
      </c>
      <c r="P60" s="313" t="str">
        <f>IFERROR(_xlfn.XLOOKUP($D60,PE_Projections!$D:$D,PE_Projections!N:N),"")</f>
        <v/>
      </c>
      <c r="Q60" s="313" t="str">
        <f>IFERROR(_xlfn.XLOOKUP($D60,PE_Projections!$D:$D,PE_Projections!O:O),"")</f>
        <v/>
      </c>
      <c r="R60" s="313" t="str">
        <f>IFERROR(_xlfn.XLOOKUP($D60,PE_Projections!$D:$D,PE_Projections!P:P),"")</f>
        <v/>
      </c>
      <c r="S60" s="311"/>
      <c r="T60" s="351" t="str">
        <f t="shared" si="13"/>
        <v/>
      </c>
      <c r="U60" s="351"/>
      <c r="V60" s="311"/>
      <c r="W60" s="356">
        <v>11.2</v>
      </c>
      <c r="X60" s="313"/>
      <c r="Y60" s="312" t="s">
        <v>364</v>
      </c>
      <c r="Z60" s="312" t="s">
        <v>131</v>
      </c>
      <c r="AA60" s="400">
        <v>1</v>
      </c>
      <c r="AB60" s="423"/>
      <c r="AC60" s="400" t="s">
        <v>1180</v>
      </c>
      <c r="AD60" s="400" t="s">
        <v>1180</v>
      </c>
      <c r="AE60" s="400" t="s">
        <v>1180</v>
      </c>
      <c r="AF60" s="423"/>
      <c r="AG60" s="312"/>
      <c r="AH60" s="379"/>
      <c r="AI60" s="312"/>
      <c r="AJ60" s="312" t="s">
        <v>41</v>
      </c>
      <c r="AK60" s="379"/>
      <c r="AL60" s="312"/>
      <c r="AM60" s="312"/>
      <c r="AN60" s="379"/>
      <c r="AO60" s="312"/>
      <c r="AP60" s="379"/>
      <c r="AQ60" s="312"/>
      <c r="AR60" s="312"/>
      <c r="AS60" s="379"/>
      <c r="AT60" s="312"/>
      <c r="AU60" s="401" t="s">
        <v>203</v>
      </c>
      <c r="AV60" s="385"/>
      <c r="AW60" s="311"/>
      <c r="AX60" s="311"/>
      <c r="AY60" s="413">
        <v>195.8</v>
      </c>
      <c r="AZ60" s="311"/>
      <c r="BA60" s="311"/>
      <c r="BB60" s="311"/>
      <c r="BC60" s="410"/>
      <c r="BD60" s="311"/>
      <c r="BE60" s="311"/>
      <c r="BF60" s="403"/>
      <c r="BG60" s="410"/>
      <c r="BH60" s="311"/>
      <c r="BI60" s="311"/>
      <c r="BJ60" s="311"/>
      <c r="BK60" s="410"/>
      <c r="BL60" s="311"/>
      <c r="BM60" s="311"/>
      <c r="BN60" s="311"/>
      <c r="BO60" s="410"/>
      <c r="BP60" s="311"/>
      <c r="BQ60" s="311"/>
      <c r="BR60" s="311"/>
      <c r="BS60" s="410"/>
      <c r="BT60" s="311"/>
      <c r="BU60" s="403"/>
      <c r="BV60" s="311"/>
      <c r="BW60" s="311"/>
      <c r="BX60" s="403"/>
      <c r="BY60" s="311"/>
      <c r="BZ60" s="311"/>
      <c r="CA60" s="403"/>
      <c r="CB60" s="311"/>
      <c r="CC60" s="311"/>
      <c r="CD60" s="311"/>
      <c r="CE60" s="407"/>
      <c r="CF60" s="368" t="str">
        <f>IF(CE60&gt;='Conviction List'!$D$8,1,"")</f>
        <v/>
      </c>
      <c r="CG60" s="312">
        <f>IF(M60&lt;='Conviction List'!$E$8,1,"")</f>
        <v>1</v>
      </c>
      <c r="CH60" s="312" t="str">
        <f>IF(BG60&gt;='Conviction List'!$F$8,1,"")</f>
        <v/>
      </c>
      <c r="CI60" s="312" t="str">
        <f>IF(BK60&gt;='Conviction List'!$G$8,1,"")</f>
        <v/>
      </c>
      <c r="CJ60" s="365">
        <f t="shared" si="14"/>
        <v>1</v>
      </c>
      <c r="CK60" s="424">
        <f t="shared" ca="1" si="11"/>
        <v>62</v>
      </c>
    </row>
    <row r="61" spans="2:89" x14ac:dyDescent="0.25">
      <c r="B61" s="366">
        <f t="shared" si="12"/>
        <v>59</v>
      </c>
      <c r="C61" s="311" t="s">
        <v>307</v>
      </c>
      <c r="D61" s="367" t="s">
        <v>447</v>
      </c>
      <c r="E61" s="312"/>
      <c r="F61" s="350" t="e">
        <f>_xlfn.XLOOKUP(CCA_Defense!$D61,BB_Input!$C$4:$C$172,BB_Input!$G$4:$G$172)</f>
        <v>#N/A</v>
      </c>
      <c r="G61" s="364">
        <v>2000</v>
      </c>
      <c r="H61" s="364">
        <f t="shared" ca="1" si="4"/>
        <v>26</v>
      </c>
      <c r="I61" s="313" t="s">
        <v>358</v>
      </c>
      <c r="J61" s="313" t="s">
        <v>1002</v>
      </c>
      <c r="K61" s="313"/>
      <c r="L61" s="313"/>
      <c r="M61" s="312"/>
      <c r="N61" s="313" t="str">
        <f>IFERROR(_xlfn.XLOOKUP($D61,PE_Projections!$D:$D,PE_Projections!L:L),"")</f>
        <v/>
      </c>
      <c r="O61" s="313" t="str">
        <f>IFERROR(_xlfn.XLOOKUP($D61,PE_Projections!$D:$D,PE_Projections!M:M),"")</f>
        <v/>
      </c>
      <c r="P61" s="313" t="str">
        <f>IFERROR(_xlfn.XLOOKUP($D61,PE_Projections!$D:$D,PE_Projections!N:N),"")</f>
        <v/>
      </c>
      <c r="Q61" s="313" t="str">
        <f>IFERROR(_xlfn.XLOOKUP($D61,PE_Projections!$D:$D,PE_Projections!O:O),"")</f>
        <v/>
      </c>
      <c r="R61" s="313" t="str">
        <f>IFERROR(_xlfn.XLOOKUP($D61,PE_Projections!$D:$D,PE_Projections!P:P),"")</f>
        <v/>
      </c>
      <c r="S61" s="311"/>
      <c r="T61" s="351" t="str">
        <f t="shared" si="13"/>
        <v/>
      </c>
      <c r="U61" s="351"/>
      <c r="V61" s="311"/>
      <c r="W61" s="356">
        <v>4.9000000000000004</v>
      </c>
      <c r="X61" s="313"/>
      <c r="Y61" s="312" t="s">
        <v>363</v>
      </c>
      <c r="Z61" s="312" t="s">
        <v>131</v>
      </c>
      <c r="AA61" s="400">
        <v>1</v>
      </c>
      <c r="AB61" s="423"/>
      <c r="AC61" s="400" t="s">
        <v>1180</v>
      </c>
      <c r="AD61" s="400" t="s">
        <v>1180</v>
      </c>
      <c r="AE61" s="400" t="s">
        <v>1180</v>
      </c>
      <c r="AF61" s="423"/>
      <c r="AG61" s="312"/>
      <c r="AH61" s="379"/>
      <c r="AI61" s="312"/>
      <c r="AJ61" s="312"/>
      <c r="AK61" s="379"/>
      <c r="AL61" s="312"/>
      <c r="AM61" s="312"/>
      <c r="AN61" s="379"/>
      <c r="AO61" s="312"/>
      <c r="AP61" s="379"/>
      <c r="AQ61" s="312" t="s">
        <v>41</v>
      </c>
      <c r="AR61" s="312"/>
      <c r="AS61" s="379"/>
      <c r="AT61" s="312"/>
      <c r="AU61" s="401" t="s">
        <v>196</v>
      </c>
      <c r="AV61" s="385"/>
      <c r="AW61" s="311"/>
      <c r="AX61" s="311"/>
      <c r="AY61" s="385"/>
      <c r="AZ61" s="312">
        <v>152</v>
      </c>
      <c r="BA61" s="311"/>
      <c r="BB61" s="311"/>
      <c r="BC61" s="410"/>
      <c r="BD61" s="311"/>
      <c r="BE61" s="311"/>
      <c r="BF61" s="403"/>
      <c r="BG61" s="410"/>
      <c r="BH61" s="311"/>
      <c r="BI61" s="311"/>
      <c r="BJ61" s="311"/>
      <c r="BK61" s="410"/>
      <c r="BL61" s="311"/>
      <c r="BM61" s="311"/>
      <c r="BN61" s="311"/>
      <c r="BO61" s="410"/>
      <c r="BP61" s="311"/>
      <c r="BQ61" s="311"/>
      <c r="BR61" s="311"/>
      <c r="BS61" s="410"/>
      <c r="BT61" s="311"/>
      <c r="BU61" s="403"/>
      <c r="BV61" s="311"/>
      <c r="BW61" s="311"/>
      <c r="BX61" s="403"/>
      <c r="BY61" s="311"/>
      <c r="BZ61" s="311"/>
      <c r="CA61" s="403"/>
      <c r="CB61" s="311"/>
      <c r="CC61" s="311"/>
      <c r="CD61" s="311"/>
      <c r="CE61" s="407"/>
      <c r="CF61" s="368" t="str">
        <f>IF(CE61&gt;='Conviction List'!$D$8,1,"")</f>
        <v/>
      </c>
      <c r="CG61" s="312">
        <f>IF(M61&lt;='Conviction List'!$E$8,1,"")</f>
        <v>1</v>
      </c>
      <c r="CH61" s="312" t="str">
        <f>IF(BG61&gt;='Conviction List'!$F$8,1,"")</f>
        <v/>
      </c>
      <c r="CI61" s="312" t="str">
        <f>IF(BK61&gt;='Conviction List'!$G$8,1,"")</f>
        <v/>
      </c>
      <c r="CJ61" s="365">
        <f t="shared" si="14"/>
        <v>1</v>
      </c>
      <c r="CK61" s="424">
        <f t="shared" ca="1" si="11"/>
        <v>63</v>
      </c>
    </row>
    <row r="62" spans="2:89" x14ac:dyDescent="0.25">
      <c r="B62" s="366">
        <f t="shared" si="12"/>
        <v>60</v>
      </c>
      <c r="C62" s="311" t="s">
        <v>308</v>
      </c>
      <c r="D62" s="367" t="s">
        <v>448</v>
      </c>
      <c r="E62" s="312"/>
      <c r="F62" s="350" t="e">
        <f>_xlfn.XLOOKUP(CCA_Defense!$D62,BB_Input!$C$4:$C$172,BB_Input!$G$4:$G$172)</f>
        <v>#N/A</v>
      </c>
      <c r="G62" s="364">
        <v>2021</v>
      </c>
      <c r="H62" s="364">
        <f t="shared" ca="1" si="4"/>
        <v>5</v>
      </c>
      <c r="I62" s="313" t="s">
        <v>358</v>
      </c>
      <c r="J62" s="313" t="s">
        <v>1003</v>
      </c>
      <c r="K62" s="313"/>
      <c r="L62" s="313"/>
      <c r="M62" s="312"/>
      <c r="N62" s="313" t="str">
        <f>IFERROR(_xlfn.XLOOKUP($D62,PE_Projections!$D:$D,PE_Projections!L:L),"")</f>
        <v/>
      </c>
      <c r="O62" s="313" t="str">
        <f>IFERROR(_xlfn.XLOOKUP($D62,PE_Projections!$D:$D,PE_Projections!M:M),"")</f>
        <v/>
      </c>
      <c r="P62" s="313" t="str">
        <f>IFERROR(_xlfn.XLOOKUP($D62,PE_Projections!$D:$D,PE_Projections!N:N),"")</f>
        <v/>
      </c>
      <c r="Q62" s="313" t="str">
        <f>IFERROR(_xlfn.XLOOKUP($D62,PE_Projections!$D:$D,PE_Projections!O:O),"")</f>
        <v/>
      </c>
      <c r="R62" s="313" t="str">
        <f>IFERROR(_xlfn.XLOOKUP($D62,PE_Projections!$D:$D,PE_Projections!P:P),"")</f>
        <v/>
      </c>
      <c r="S62" s="311"/>
      <c r="T62" s="351" t="str">
        <f t="shared" si="13"/>
        <v/>
      </c>
      <c r="U62" s="351"/>
      <c r="V62" s="311"/>
      <c r="W62" s="356">
        <v>1.48</v>
      </c>
      <c r="X62" s="313"/>
      <c r="Y62" s="312" t="s">
        <v>188</v>
      </c>
      <c r="Z62" s="312" t="s">
        <v>131</v>
      </c>
      <c r="AA62" s="400">
        <v>1</v>
      </c>
      <c r="AB62" s="423"/>
      <c r="AC62" s="400" t="s">
        <v>1180</v>
      </c>
      <c r="AD62" s="400" t="s">
        <v>1180</v>
      </c>
      <c r="AE62" s="400" t="s">
        <v>1180</v>
      </c>
      <c r="AF62" s="423"/>
      <c r="AG62" s="312"/>
      <c r="AH62" s="379"/>
      <c r="AI62" s="312"/>
      <c r="AJ62" s="312"/>
      <c r="AK62" s="379"/>
      <c r="AL62" s="312"/>
      <c r="AM62" s="312"/>
      <c r="AN62" s="379" t="s">
        <v>41</v>
      </c>
      <c r="AO62" s="312"/>
      <c r="AP62" s="379"/>
      <c r="AQ62" s="312"/>
      <c r="AR62" s="312"/>
      <c r="AS62" s="379"/>
      <c r="AT62" s="312"/>
      <c r="AU62" s="401" t="s">
        <v>195</v>
      </c>
      <c r="AV62" s="385"/>
      <c r="AW62" s="311"/>
      <c r="AX62" s="311"/>
      <c r="AY62" s="413">
        <v>966</v>
      </c>
      <c r="AZ62" s="311"/>
      <c r="BA62" s="311"/>
      <c r="BB62" s="311"/>
      <c r="BC62" s="410"/>
      <c r="BD62" s="311"/>
      <c r="BE62" s="311"/>
      <c r="BF62" s="403"/>
      <c r="BG62" s="410"/>
      <c r="BH62" s="311"/>
      <c r="BI62" s="311"/>
      <c r="BJ62" s="311"/>
      <c r="BK62" s="410"/>
      <c r="BL62" s="311"/>
      <c r="BM62" s="311"/>
      <c r="BN62" s="311"/>
      <c r="BO62" s="410"/>
      <c r="BP62" s="311"/>
      <c r="BQ62" s="311"/>
      <c r="BR62" s="311"/>
      <c r="BS62" s="410"/>
      <c r="BT62" s="311"/>
      <c r="BU62" s="403"/>
      <c r="BV62" s="311"/>
      <c r="BW62" s="311"/>
      <c r="BX62" s="403"/>
      <c r="BY62" s="311"/>
      <c r="BZ62" s="311"/>
      <c r="CA62" s="403"/>
      <c r="CB62" s="311"/>
      <c r="CC62" s="311"/>
      <c r="CD62" s="311"/>
      <c r="CE62" s="407"/>
      <c r="CF62" s="368" t="str">
        <f>IF(CE62&gt;='Conviction List'!$D$8,1,"")</f>
        <v/>
      </c>
      <c r="CG62" s="312">
        <f>IF(M62&lt;='Conviction List'!$E$8,1,"")</f>
        <v>1</v>
      </c>
      <c r="CH62" s="312" t="str">
        <f>IF(BG62&gt;='Conviction List'!$F$8,1,"")</f>
        <v/>
      </c>
      <c r="CI62" s="312" t="str">
        <f>IF(BK62&gt;='Conviction List'!$G$8,1,"")</f>
        <v/>
      </c>
      <c r="CJ62" s="365">
        <f t="shared" si="14"/>
        <v>1</v>
      </c>
      <c r="CK62" s="424">
        <f t="shared" ca="1" si="11"/>
        <v>64</v>
      </c>
    </row>
    <row r="63" spans="2:89" x14ac:dyDescent="0.25">
      <c r="B63" s="366">
        <f t="shared" si="12"/>
        <v>61</v>
      </c>
      <c r="C63" s="311" t="s">
        <v>309</v>
      </c>
      <c r="D63" s="367" t="s">
        <v>449</v>
      </c>
      <c r="E63" s="312"/>
      <c r="F63" s="350" t="e">
        <f>_xlfn.XLOOKUP(CCA_Defense!$D63,BB_Input!$C$4:$C$172,BB_Input!$G$4:$G$172)</f>
        <v>#N/A</v>
      </c>
      <c r="G63" s="364">
        <v>1989</v>
      </c>
      <c r="H63" s="364">
        <f t="shared" ca="1" si="4"/>
        <v>37</v>
      </c>
      <c r="I63" s="313" t="s">
        <v>358</v>
      </c>
      <c r="J63" s="313" t="s">
        <v>1004</v>
      </c>
      <c r="K63" s="313"/>
      <c r="L63" s="313"/>
      <c r="M63" s="312"/>
      <c r="N63" s="313" t="str">
        <f>IFERROR(_xlfn.XLOOKUP($D63,PE_Projections!$D:$D,PE_Projections!L:L),"")</f>
        <v/>
      </c>
      <c r="O63" s="313" t="str">
        <f>IFERROR(_xlfn.XLOOKUP($D63,PE_Projections!$D:$D,PE_Projections!M:M),"")</f>
        <v/>
      </c>
      <c r="P63" s="313" t="str">
        <f>IFERROR(_xlfn.XLOOKUP($D63,PE_Projections!$D:$D,PE_Projections!N:N),"")</f>
        <v/>
      </c>
      <c r="Q63" s="313" t="str">
        <f>IFERROR(_xlfn.XLOOKUP($D63,PE_Projections!$D:$D,PE_Projections!O:O),"")</f>
        <v/>
      </c>
      <c r="R63" s="313" t="str">
        <f>IFERROR(_xlfn.XLOOKUP($D63,PE_Projections!$D:$D,PE_Projections!P:P),"")</f>
        <v/>
      </c>
      <c r="S63" s="311"/>
      <c r="T63" s="351" t="str">
        <f t="shared" si="13"/>
        <v/>
      </c>
      <c r="U63" s="351"/>
      <c r="V63" s="311"/>
      <c r="W63" s="356">
        <v>0.3</v>
      </c>
      <c r="X63" s="313"/>
      <c r="Y63" s="312" t="s">
        <v>147</v>
      </c>
      <c r="Z63" s="312" t="s">
        <v>133</v>
      </c>
      <c r="AA63" s="312"/>
      <c r="AB63" s="423"/>
      <c r="AC63" s="400" t="s">
        <v>1180</v>
      </c>
      <c r="AD63" s="400" t="s">
        <v>1181</v>
      </c>
      <c r="AE63" s="400" t="s">
        <v>1181</v>
      </c>
      <c r="AF63" s="423"/>
      <c r="AG63" s="312" t="s">
        <v>382</v>
      </c>
      <c r="AH63" s="379"/>
      <c r="AI63" s="312"/>
      <c r="AJ63" s="312"/>
      <c r="AK63" s="379"/>
      <c r="AL63" s="312"/>
      <c r="AM63" s="312"/>
      <c r="AN63" s="379"/>
      <c r="AO63" s="312"/>
      <c r="AP63" s="379" t="s">
        <v>41</v>
      </c>
      <c r="AQ63" s="312"/>
      <c r="AR63" s="312"/>
      <c r="AS63" s="379"/>
      <c r="AT63" s="312"/>
      <c r="AU63" s="401" t="s">
        <v>196</v>
      </c>
      <c r="AV63" s="385"/>
      <c r="AW63" s="311"/>
      <c r="AX63" s="311"/>
      <c r="AY63" s="413">
        <v>168</v>
      </c>
      <c r="AZ63" s="311"/>
      <c r="BA63" s="311"/>
      <c r="BB63" s="311"/>
      <c r="BC63" s="410"/>
      <c r="BD63" s="311"/>
      <c r="BE63" s="311"/>
      <c r="BF63" s="403"/>
      <c r="BG63" s="410"/>
      <c r="BH63" s="311"/>
      <c r="BI63" s="311"/>
      <c r="BJ63" s="311"/>
      <c r="BK63" s="410"/>
      <c r="BL63" s="311"/>
      <c r="BM63" s="311"/>
      <c r="BN63" s="311"/>
      <c r="BO63" s="410"/>
      <c r="BP63" s="311"/>
      <c r="BQ63" s="311"/>
      <c r="BR63" s="311"/>
      <c r="BS63" s="410"/>
      <c r="BT63" s="311"/>
      <c r="BU63" s="403"/>
      <c r="BV63" s="311"/>
      <c r="BW63" s="311"/>
      <c r="BX63" s="403"/>
      <c r="BY63" s="311"/>
      <c r="BZ63" s="311"/>
      <c r="CA63" s="403"/>
      <c r="CB63" s="311"/>
      <c r="CC63" s="311"/>
      <c r="CD63" s="311"/>
      <c r="CE63" s="407"/>
      <c r="CF63" s="368" t="str">
        <f>IF(CE63&gt;='Conviction List'!$D$8,1,"")</f>
        <v/>
      </c>
      <c r="CG63" s="312">
        <f>IF(M63&lt;='Conviction List'!$E$8,1,"")</f>
        <v>1</v>
      </c>
      <c r="CH63" s="312" t="str">
        <f>IF(BG63&gt;='Conviction List'!$F$8,1,"")</f>
        <v/>
      </c>
      <c r="CI63" s="312" t="str">
        <f>IF(BK63&gt;='Conviction List'!$G$8,1,"")</f>
        <v/>
      </c>
      <c r="CJ63" s="365">
        <f t="shared" si="14"/>
        <v>1</v>
      </c>
      <c r="CK63" s="424">
        <f t="shared" ca="1" si="11"/>
        <v>65</v>
      </c>
    </row>
    <row r="64" spans="2:89" x14ac:dyDescent="0.25">
      <c r="B64" s="366">
        <f t="shared" si="12"/>
        <v>62</v>
      </c>
      <c r="C64" s="311" t="s">
        <v>310</v>
      </c>
      <c r="D64" s="367" t="s">
        <v>450</v>
      </c>
      <c r="E64" s="312"/>
      <c r="F64" s="350" t="e">
        <f>_xlfn.XLOOKUP(CCA_Defense!$D64,BB_Input!$C$4:$C$172,BB_Input!$G$4:$G$172)</f>
        <v>#N/A</v>
      </c>
      <c r="G64" s="364">
        <v>2009</v>
      </c>
      <c r="H64" s="364">
        <f t="shared" ca="1" si="4"/>
        <v>17</v>
      </c>
      <c r="I64" s="313" t="s">
        <v>358</v>
      </c>
      <c r="J64" s="313" t="s">
        <v>1005</v>
      </c>
      <c r="K64" s="313"/>
      <c r="L64" s="313"/>
      <c r="M64" s="312"/>
      <c r="N64" s="313" t="str">
        <f>IFERROR(_xlfn.XLOOKUP($D64,PE_Projections!$D:$D,PE_Projections!L:L),"")</f>
        <v/>
      </c>
      <c r="O64" s="313" t="str">
        <f>IFERROR(_xlfn.XLOOKUP($D64,PE_Projections!$D:$D,PE_Projections!M:M),"")</f>
        <v/>
      </c>
      <c r="P64" s="313" t="str">
        <f>IFERROR(_xlfn.XLOOKUP($D64,PE_Projections!$D:$D,PE_Projections!N:N),"")</f>
        <v/>
      </c>
      <c r="Q64" s="313" t="str">
        <f>IFERROR(_xlfn.XLOOKUP($D64,PE_Projections!$D:$D,PE_Projections!O:O),"")</f>
        <v/>
      </c>
      <c r="R64" s="313" t="str">
        <f>IFERROR(_xlfn.XLOOKUP($D64,PE_Projections!$D:$D,PE_Projections!P:P),"")</f>
        <v/>
      </c>
      <c r="S64" s="311"/>
      <c r="T64" s="351" t="str">
        <f t="shared" si="13"/>
        <v/>
      </c>
      <c r="U64" s="351"/>
      <c r="V64" s="311"/>
      <c r="W64" s="356">
        <v>25.2</v>
      </c>
      <c r="X64" s="313"/>
      <c r="Y64" s="312" t="s">
        <v>151</v>
      </c>
      <c r="Z64" s="312" t="s">
        <v>133</v>
      </c>
      <c r="AA64" s="312"/>
      <c r="AB64" s="423"/>
      <c r="AC64" s="400" t="s">
        <v>1180</v>
      </c>
      <c r="AD64" s="400" t="s">
        <v>1180</v>
      </c>
      <c r="AE64" s="400" t="s">
        <v>1180</v>
      </c>
      <c r="AF64" s="423"/>
      <c r="AG64" s="312"/>
      <c r="AH64" s="379"/>
      <c r="AI64" s="312"/>
      <c r="AJ64" s="312" t="s">
        <v>41</v>
      </c>
      <c r="AK64" s="379"/>
      <c r="AL64" s="312"/>
      <c r="AM64" s="312"/>
      <c r="AN64" s="379"/>
      <c r="AO64" s="312"/>
      <c r="AP64" s="379"/>
      <c r="AQ64" s="312"/>
      <c r="AR64" s="312"/>
      <c r="AS64" s="379"/>
      <c r="AT64" s="312"/>
      <c r="AU64" s="401" t="s">
        <v>203</v>
      </c>
      <c r="AV64" s="385"/>
      <c r="AW64" s="311"/>
      <c r="AX64" s="311"/>
      <c r="AY64" s="413">
        <v>13</v>
      </c>
      <c r="AZ64" s="311"/>
      <c r="BA64" s="311"/>
      <c r="BB64" s="311"/>
      <c r="BC64" s="410"/>
      <c r="BD64" s="311"/>
      <c r="BE64" s="311"/>
      <c r="BF64" s="403"/>
      <c r="BG64" s="410"/>
      <c r="BH64" s="311"/>
      <c r="BI64" s="311"/>
      <c r="BJ64" s="311"/>
      <c r="BK64" s="410"/>
      <c r="BL64" s="311"/>
      <c r="BM64" s="311"/>
      <c r="BN64" s="311"/>
      <c r="BO64" s="410"/>
      <c r="BP64" s="311"/>
      <c r="BQ64" s="311"/>
      <c r="BR64" s="311"/>
      <c r="BS64" s="410"/>
      <c r="BT64" s="311"/>
      <c r="BU64" s="403"/>
      <c r="BV64" s="311"/>
      <c r="BW64" s="311"/>
      <c r="BX64" s="403"/>
      <c r="BY64" s="311"/>
      <c r="BZ64" s="311"/>
      <c r="CA64" s="403"/>
      <c r="CB64" s="311"/>
      <c r="CC64" s="311"/>
      <c r="CD64" s="311"/>
      <c r="CE64" s="407"/>
      <c r="CF64" s="368" t="str">
        <f>IF(CE64&gt;='Conviction List'!$D$8,1,"")</f>
        <v/>
      </c>
      <c r="CG64" s="312">
        <f>IF(M64&lt;='Conviction List'!$E$8,1,"")</f>
        <v>1</v>
      </c>
      <c r="CH64" s="312" t="str">
        <f>IF(BG64&gt;='Conviction List'!$F$8,1,"")</f>
        <v/>
      </c>
      <c r="CI64" s="312" t="str">
        <f>IF(BK64&gt;='Conviction List'!$G$8,1,"")</f>
        <v/>
      </c>
      <c r="CJ64" s="365">
        <f t="shared" si="14"/>
        <v>1</v>
      </c>
      <c r="CK64" s="424">
        <f t="shared" ca="1" si="11"/>
        <v>66</v>
      </c>
    </row>
    <row r="65" spans="2:89" ht="14.4" x14ac:dyDescent="0.3">
      <c r="B65" s="366">
        <f t="shared" si="12"/>
        <v>63</v>
      </c>
      <c r="C65" s="311" t="s">
        <v>311</v>
      </c>
      <c r="D65" s="411" t="s">
        <v>488</v>
      </c>
      <c r="E65" s="312"/>
      <c r="F65" s="350" t="e">
        <f>_xlfn.XLOOKUP(CCA_Defense!$D65,BB_Input!$C$4:$C$172,BB_Input!$G$4:$G$172)</f>
        <v>#N/A</v>
      </c>
      <c r="G65" s="364">
        <v>1920</v>
      </c>
      <c r="H65" s="364">
        <f t="shared" ca="1" si="4"/>
        <v>106</v>
      </c>
      <c r="I65" s="313" t="s">
        <v>358</v>
      </c>
      <c r="J65" s="313" t="s">
        <v>1006</v>
      </c>
      <c r="K65" s="313"/>
      <c r="L65" s="313"/>
      <c r="M65" s="312"/>
      <c r="N65" s="313" t="str">
        <f>IFERROR(_xlfn.XLOOKUP($D65,PE_Projections!$D:$D,PE_Projections!L:L),"")</f>
        <v/>
      </c>
      <c r="O65" s="313" t="str">
        <f>IFERROR(_xlfn.XLOOKUP($D65,PE_Projections!$D:$D,PE_Projections!M:M),"")</f>
        <v/>
      </c>
      <c r="P65" s="313" t="str">
        <f>IFERROR(_xlfn.XLOOKUP($D65,PE_Projections!$D:$D,PE_Projections!N:N),"")</f>
        <v/>
      </c>
      <c r="Q65" s="313" t="str">
        <f>IFERROR(_xlfn.XLOOKUP($D65,PE_Projections!$D:$D,PE_Projections!O:O),"")</f>
        <v/>
      </c>
      <c r="R65" s="313" t="str">
        <f>IFERROR(_xlfn.XLOOKUP($D65,PE_Projections!$D:$D,PE_Projections!P:P),"")</f>
        <v/>
      </c>
      <c r="S65" s="311"/>
      <c r="T65" s="351" t="str">
        <f t="shared" si="13"/>
        <v/>
      </c>
      <c r="U65" s="351"/>
      <c r="V65" s="311"/>
      <c r="W65" s="356">
        <v>0.3</v>
      </c>
      <c r="X65" s="313"/>
      <c r="Y65" s="312" t="s">
        <v>362</v>
      </c>
      <c r="Z65" s="312" t="s">
        <v>131</v>
      </c>
      <c r="AA65" s="400">
        <v>1</v>
      </c>
      <c r="AB65" s="423"/>
      <c r="AC65" s="400" t="s">
        <v>1180</v>
      </c>
      <c r="AD65" s="400" t="s">
        <v>1181</v>
      </c>
      <c r="AE65" s="400" t="s">
        <v>1181</v>
      </c>
      <c r="AF65" s="423"/>
      <c r="AG65" s="312"/>
      <c r="AH65" s="379"/>
      <c r="AI65" s="312"/>
      <c r="AJ65" s="312"/>
      <c r="AK65" s="379"/>
      <c r="AL65" s="312"/>
      <c r="AM65" s="312"/>
      <c r="AN65" s="379"/>
      <c r="AO65" s="312" t="s">
        <v>41</v>
      </c>
      <c r="AP65" s="379"/>
      <c r="AQ65" s="312"/>
      <c r="AR65" s="312"/>
      <c r="AS65" s="379"/>
      <c r="AT65" s="312"/>
      <c r="AU65" s="401" t="s">
        <v>195</v>
      </c>
      <c r="AV65" s="385"/>
      <c r="AW65" s="311"/>
      <c r="AX65" s="311"/>
      <c r="AY65" s="413">
        <v>115</v>
      </c>
      <c r="AZ65" s="311"/>
      <c r="BA65" s="311"/>
      <c r="BB65" s="311"/>
      <c r="BC65" s="410"/>
      <c r="BD65" s="311"/>
      <c r="BE65" s="311"/>
      <c r="BF65" s="403"/>
      <c r="BG65" s="410"/>
      <c r="BH65" s="311"/>
      <c r="BI65" s="311"/>
      <c r="BJ65" s="311"/>
      <c r="BK65" s="410"/>
      <c r="BL65" s="311"/>
      <c r="BM65" s="311"/>
      <c r="BN65" s="311"/>
      <c r="BO65" s="410"/>
      <c r="BP65" s="311"/>
      <c r="BQ65" s="311"/>
      <c r="BR65" s="311"/>
      <c r="BS65" s="410"/>
      <c r="BT65" s="311"/>
      <c r="BU65" s="403"/>
      <c r="BV65" s="311"/>
      <c r="BW65" s="311"/>
      <c r="BX65" s="403"/>
      <c r="BY65" s="311"/>
      <c r="BZ65" s="311"/>
      <c r="CA65" s="403"/>
      <c r="CB65" s="311"/>
      <c r="CC65" s="311"/>
      <c r="CD65" s="311"/>
      <c r="CE65" s="407"/>
      <c r="CF65" s="368" t="str">
        <f>IF(CE65&gt;='Conviction List'!$D$8,1,"")</f>
        <v/>
      </c>
      <c r="CG65" s="312">
        <f>IF(M65&lt;='Conviction List'!$E$8,1,"")</f>
        <v>1</v>
      </c>
      <c r="CH65" s="312" t="str">
        <f>IF(BG65&gt;='Conviction List'!$F$8,1,"")</f>
        <v/>
      </c>
      <c r="CI65" s="312" t="str">
        <f>IF(BK65&gt;='Conviction List'!$G$8,1,"")</f>
        <v/>
      </c>
      <c r="CJ65" s="365">
        <f t="shared" si="14"/>
        <v>1</v>
      </c>
      <c r="CK65" s="424">
        <f t="shared" ca="1" si="11"/>
        <v>67</v>
      </c>
    </row>
    <row r="66" spans="2:89" ht="14.4" x14ac:dyDescent="0.3">
      <c r="B66" s="366">
        <f t="shared" si="12"/>
        <v>64</v>
      </c>
      <c r="C66" s="311" t="s">
        <v>312</v>
      </c>
      <c r="D66" s="411" t="s">
        <v>487</v>
      </c>
      <c r="E66" s="312"/>
      <c r="F66" s="350" t="e">
        <f>_xlfn.XLOOKUP(CCA_Defense!$D66,BB_Input!$C$4:$C$172,BB_Input!$G$4:$G$172)</f>
        <v>#N/A</v>
      </c>
      <c r="G66" s="364">
        <v>2018</v>
      </c>
      <c r="H66" s="364">
        <f t="shared" ca="1" si="4"/>
        <v>8</v>
      </c>
      <c r="I66" s="313" t="s">
        <v>358</v>
      </c>
      <c r="J66" s="313" t="s">
        <v>970</v>
      </c>
      <c r="K66" s="313"/>
      <c r="L66" s="313"/>
      <c r="M66" s="312"/>
      <c r="N66" s="313" t="str">
        <f>IFERROR(_xlfn.XLOOKUP($D66,PE_Projections!$D:$D,PE_Projections!L:L),"")</f>
        <v/>
      </c>
      <c r="O66" s="313" t="str">
        <f>IFERROR(_xlfn.XLOOKUP($D66,PE_Projections!$D:$D,PE_Projections!M:M),"")</f>
        <v/>
      </c>
      <c r="P66" s="313" t="str">
        <f>IFERROR(_xlfn.XLOOKUP($D66,PE_Projections!$D:$D,PE_Projections!N:N),"")</f>
        <v/>
      </c>
      <c r="Q66" s="313" t="str">
        <f>IFERROR(_xlfn.XLOOKUP($D66,PE_Projections!$D:$D,PE_Projections!O:O),"")</f>
        <v/>
      </c>
      <c r="R66" s="313" t="str">
        <f>IFERROR(_xlfn.XLOOKUP($D66,PE_Projections!$D:$D,PE_Projections!P:P),"")</f>
        <v/>
      </c>
      <c r="S66" s="311"/>
      <c r="T66" s="351" t="str">
        <f t="shared" si="13"/>
        <v/>
      </c>
      <c r="U66" s="351"/>
      <c r="V66" s="311"/>
      <c r="W66" s="356"/>
      <c r="X66" s="313"/>
      <c r="Y66" s="312" t="s">
        <v>145</v>
      </c>
      <c r="Z66" s="312" t="s">
        <v>133</v>
      </c>
      <c r="AA66" s="312"/>
      <c r="AB66" s="423"/>
      <c r="AC66" s="400" t="s">
        <v>1180</v>
      </c>
      <c r="AD66" s="400" t="s">
        <v>1181</v>
      </c>
      <c r="AE66" s="400" t="s">
        <v>1181</v>
      </c>
      <c r="AF66" s="423"/>
      <c r="AG66" s="312"/>
      <c r="AH66" s="379"/>
      <c r="AI66" s="312"/>
      <c r="AJ66" s="312"/>
      <c r="AK66" s="379"/>
      <c r="AL66" s="312"/>
      <c r="AM66" s="312"/>
      <c r="AN66" s="379" t="s">
        <v>41</v>
      </c>
      <c r="AO66" s="312"/>
      <c r="AP66" s="379"/>
      <c r="AQ66" s="312"/>
      <c r="AR66" s="312"/>
      <c r="AS66" s="379"/>
      <c r="AT66" s="312"/>
      <c r="AU66" s="401" t="s">
        <v>195</v>
      </c>
      <c r="AV66" s="385"/>
      <c r="AW66" s="311"/>
      <c r="AX66" s="311"/>
      <c r="AY66" s="385"/>
      <c r="AZ66" s="311"/>
      <c r="BA66" s="311"/>
      <c r="BB66" s="311"/>
      <c r="BC66" s="410"/>
      <c r="BD66" s="311"/>
      <c r="BE66" s="311"/>
      <c r="BF66" s="403"/>
      <c r="BG66" s="410"/>
      <c r="BH66" s="311"/>
      <c r="BI66" s="311"/>
      <c r="BJ66" s="311"/>
      <c r="BK66" s="410"/>
      <c r="BL66" s="311"/>
      <c r="BM66" s="311"/>
      <c r="BN66" s="311"/>
      <c r="BO66" s="410"/>
      <c r="BP66" s="311"/>
      <c r="BQ66" s="311"/>
      <c r="BR66" s="311"/>
      <c r="BS66" s="410"/>
      <c r="BT66" s="311"/>
      <c r="BU66" s="403"/>
      <c r="BV66" s="311"/>
      <c r="BW66" s="311"/>
      <c r="BX66" s="403"/>
      <c r="BY66" s="311"/>
      <c r="BZ66" s="311"/>
      <c r="CA66" s="403"/>
      <c r="CB66" s="311"/>
      <c r="CC66" s="311"/>
      <c r="CD66" s="311"/>
      <c r="CE66" s="407"/>
      <c r="CF66" s="368" t="str">
        <f>IF(CE66&gt;='Conviction List'!$D$8,1,"")</f>
        <v/>
      </c>
      <c r="CG66" s="312">
        <f>IF(M66&lt;='Conviction List'!$E$8,1,"")</f>
        <v>1</v>
      </c>
      <c r="CH66" s="312" t="str">
        <f>IF(BG66&gt;='Conviction List'!$F$8,1,"")</f>
        <v/>
      </c>
      <c r="CI66" s="312" t="str">
        <f>IF(BK66&gt;='Conviction List'!$G$8,1,"")</f>
        <v/>
      </c>
      <c r="CJ66" s="365">
        <f t="shared" si="14"/>
        <v>1</v>
      </c>
      <c r="CK66" s="424">
        <f t="shared" ca="1" si="11"/>
        <v>68</v>
      </c>
    </row>
    <row r="67" spans="2:89" x14ac:dyDescent="0.25">
      <c r="B67" s="366">
        <f t="shared" si="12"/>
        <v>65</v>
      </c>
      <c r="C67" s="311" t="s">
        <v>313</v>
      </c>
      <c r="D67" s="367" t="s">
        <v>451</v>
      </c>
      <c r="E67" s="312"/>
      <c r="F67" s="350" t="e">
        <f>_xlfn.XLOOKUP(CCA_Defense!$D67,BB_Input!$C$4:$C$172,BB_Input!$G$4:$G$172)</f>
        <v>#N/A</v>
      </c>
      <c r="G67" s="364">
        <v>2009</v>
      </c>
      <c r="H67" s="364">
        <f t="shared" ca="1" si="4"/>
        <v>17</v>
      </c>
      <c r="I67" s="313" t="s">
        <v>358</v>
      </c>
      <c r="J67" s="313" t="s">
        <v>1007</v>
      </c>
      <c r="K67" s="313"/>
      <c r="L67" s="313"/>
      <c r="M67" s="312"/>
      <c r="N67" s="313" t="str">
        <f>IFERROR(_xlfn.XLOOKUP($D67,PE_Projections!$D:$D,PE_Projections!L:L),"")</f>
        <v/>
      </c>
      <c r="O67" s="313" t="str">
        <f>IFERROR(_xlfn.XLOOKUP($D67,PE_Projections!$D:$D,PE_Projections!M:M),"")</f>
        <v/>
      </c>
      <c r="P67" s="313" t="str">
        <f>IFERROR(_xlfn.XLOOKUP($D67,PE_Projections!$D:$D,PE_Projections!N:N),"")</f>
        <v/>
      </c>
      <c r="Q67" s="313" t="str">
        <f>IFERROR(_xlfn.XLOOKUP($D67,PE_Projections!$D:$D,PE_Projections!O:O),"")</f>
        <v/>
      </c>
      <c r="R67" s="313" t="str">
        <f>IFERROR(_xlfn.XLOOKUP($D67,PE_Projections!$D:$D,PE_Projections!P:P),"")</f>
        <v/>
      </c>
      <c r="S67" s="311"/>
      <c r="T67" s="351" t="str">
        <f t="shared" si="13"/>
        <v/>
      </c>
      <c r="U67" s="351"/>
      <c r="V67" s="311"/>
      <c r="W67" s="356"/>
      <c r="X67" s="313"/>
      <c r="Y67" s="312" t="s">
        <v>187</v>
      </c>
      <c r="Z67" s="312" t="s">
        <v>131</v>
      </c>
      <c r="AA67" s="400">
        <v>1</v>
      </c>
      <c r="AB67" s="423"/>
      <c r="AC67" s="400" t="s">
        <v>1180</v>
      </c>
      <c r="AD67" s="400" t="s">
        <v>1180</v>
      </c>
      <c r="AE67" s="400" t="s">
        <v>1180</v>
      </c>
      <c r="AF67" s="423"/>
      <c r="AG67" s="312"/>
      <c r="AH67" s="379"/>
      <c r="AI67" s="312"/>
      <c r="AJ67" s="312"/>
      <c r="AK67" s="379"/>
      <c r="AL67" s="312"/>
      <c r="AM67" s="312"/>
      <c r="AN67" s="379"/>
      <c r="AO67" s="312"/>
      <c r="AP67" s="379"/>
      <c r="AQ67" s="312"/>
      <c r="AR67" s="312"/>
      <c r="AS67" s="379"/>
      <c r="AT67" s="312" t="s">
        <v>41</v>
      </c>
      <c r="AU67" s="401" t="s">
        <v>199</v>
      </c>
      <c r="AV67" s="385"/>
      <c r="AW67" s="311"/>
      <c r="AX67" s="311"/>
      <c r="AY67" s="385"/>
      <c r="AZ67" s="311"/>
      <c r="BA67" s="311"/>
      <c r="BB67" s="311"/>
      <c r="BC67" s="410"/>
      <c r="BD67" s="311"/>
      <c r="BE67" s="311"/>
      <c r="BF67" s="403"/>
      <c r="BG67" s="410"/>
      <c r="BH67" s="311"/>
      <c r="BI67" s="311"/>
      <c r="BJ67" s="311"/>
      <c r="BK67" s="410"/>
      <c r="BL67" s="311"/>
      <c r="BM67" s="311"/>
      <c r="BN67" s="311"/>
      <c r="BO67" s="410"/>
      <c r="BP67" s="311"/>
      <c r="BQ67" s="311"/>
      <c r="BR67" s="311"/>
      <c r="BS67" s="410"/>
      <c r="BT67" s="311"/>
      <c r="BU67" s="403"/>
      <c r="BV67" s="311"/>
      <c r="BW67" s="311"/>
      <c r="BX67" s="403"/>
      <c r="BY67" s="311"/>
      <c r="BZ67" s="311"/>
      <c r="CA67" s="403"/>
      <c r="CB67" s="311"/>
      <c r="CC67" s="311"/>
      <c r="CD67" s="311"/>
      <c r="CE67" s="407"/>
      <c r="CF67" s="368" t="str">
        <f>IF(CE67&gt;='Conviction List'!$D$8,1,"")</f>
        <v/>
      </c>
      <c r="CG67" s="312">
        <f>IF(M67&lt;='Conviction List'!$E$8,1,"")</f>
        <v>1</v>
      </c>
      <c r="CH67" s="312" t="str">
        <f>IF(BG67&gt;='Conviction List'!$F$8,1,"")</f>
        <v/>
      </c>
      <c r="CI67" s="312" t="str">
        <f>IF(BK67&gt;='Conviction List'!$G$8,1,"")</f>
        <v/>
      </c>
      <c r="CJ67" s="365">
        <f t="shared" si="14"/>
        <v>1</v>
      </c>
      <c r="CK67" s="424">
        <f t="shared" ref="CK67:CK80" ca="1" si="15">MATCH($D67,INDIRECT($C$90&amp;"!$C$1:$C$164"),0)</f>
        <v>69</v>
      </c>
    </row>
    <row r="68" spans="2:89" x14ac:dyDescent="0.25">
      <c r="B68" s="366">
        <f t="shared" si="12"/>
        <v>66</v>
      </c>
      <c r="C68" s="311" t="s">
        <v>392</v>
      </c>
      <c r="D68" s="367" t="s">
        <v>402</v>
      </c>
      <c r="E68" s="312" t="s">
        <v>402</v>
      </c>
      <c r="F68" s="350">
        <f>_xlfn.XLOOKUP(CCA_Defense!$D68,BB_Input!$C$4:$C$172,BB_Input!$G$4:$G$172)</f>
        <v>6066.7162520526335</v>
      </c>
      <c r="G68" s="364">
        <v>1973</v>
      </c>
      <c r="H68" s="364">
        <f t="shared" ref="H68:H84" ca="1" si="16">YEAR(TODAY())-G68</f>
        <v>53</v>
      </c>
      <c r="I68" s="313" t="s">
        <v>280</v>
      </c>
      <c r="J68" s="313" t="s">
        <v>1008</v>
      </c>
      <c r="K68" s="313"/>
      <c r="L68" s="313"/>
      <c r="M68" s="312">
        <v>23.7</v>
      </c>
      <c r="N68" s="313">
        <f>IFERROR(_xlfn.XLOOKUP($D68,PE_Projections!$D:$D,PE_Projections!L:L),"")</f>
        <v>15.589055700103192</v>
      </c>
      <c r="O68" s="313">
        <f>IFERROR(_xlfn.XLOOKUP($D68,PE_Projections!$D:$D,PE_Projections!M:M),"")</f>
        <v>12.706684693668469</v>
      </c>
      <c r="P68" s="313">
        <f>IFERROR(_xlfn.XLOOKUP($D68,PE_Projections!$D:$D,PE_Projections!N:N),"")</f>
        <v>11.629351240557044</v>
      </c>
      <c r="Q68" s="313">
        <f>IFERROR(_xlfn.XLOOKUP($D68,PE_Projections!$D:$D,PE_Projections!O:O),"")</f>
        <v>12.473983548109331</v>
      </c>
      <c r="R68" s="313" t="str">
        <f>IFERROR(_xlfn.XLOOKUP($D68,PE_Projections!$D:$D,PE_Projections!P:P),"")</f>
        <v/>
      </c>
      <c r="S68" s="312">
        <v>-3</v>
      </c>
      <c r="T68" s="351">
        <f t="shared" si="13"/>
        <v>-2.0937532772013052E-3</v>
      </c>
      <c r="U68" s="351"/>
      <c r="V68" s="400">
        <v>1</v>
      </c>
      <c r="W68" s="356"/>
      <c r="X68" s="313" t="str" cm="1">
        <f t="array" ref="X68">_xlfn.IFS($F68&lt;Glossary!$C$54,Glossary!$B$54,$F68&lt;Glossary!$C$55,Glossary!$B$55,$F68&gt;Glossary!$C$56,Glossary!$B$56)</f>
        <v>Mid Cap</v>
      </c>
      <c r="Y68" s="312" t="s">
        <v>152</v>
      </c>
      <c r="Z68" s="312" t="s">
        <v>131</v>
      </c>
      <c r="AA68" s="400">
        <v>1</v>
      </c>
      <c r="AB68" s="423"/>
      <c r="AC68" s="400" t="s">
        <v>1180</v>
      </c>
      <c r="AD68" s="400" t="s">
        <v>1181</v>
      </c>
      <c r="AE68" s="400" t="s">
        <v>1181</v>
      </c>
      <c r="AF68" s="423"/>
      <c r="AG68" s="312" t="s">
        <v>393</v>
      </c>
      <c r="AH68" s="385"/>
      <c r="AI68" s="311"/>
      <c r="AJ68" s="311"/>
      <c r="AK68" s="385"/>
      <c r="AL68" s="311"/>
      <c r="AM68" s="311"/>
      <c r="AN68" s="385"/>
      <c r="AO68" s="311"/>
      <c r="AP68" s="385"/>
      <c r="AQ68" s="311"/>
      <c r="AR68" s="311"/>
      <c r="AS68" s="379" t="s">
        <v>41</v>
      </c>
      <c r="AT68" s="311"/>
      <c r="AU68" s="401" t="s">
        <v>199</v>
      </c>
      <c r="AV68" s="353">
        <v>4173</v>
      </c>
      <c r="AW68" s="313">
        <v>4170</v>
      </c>
      <c r="AX68" s="313">
        <v>4140</v>
      </c>
      <c r="AY68" s="353">
        <v>12340</v>
      </c>
      <c r="AZ68" s="313">
        <v>12690</v>
      </c>
      <c r="BA68" s="313">
        <v>12580</v>
      </c>
      <c r="BB68" s="313">
        <v>12470</v>
      </c>
      <c r="BC68" s="406">
        <v>6.87</v>
      </c>
      <c r="BD68" s="356">
        <v>8.8000000000000007</v>
      </c>
      <c r="BE68" s="356">
        <v>5.4</v>
      </c>
      <c r="BF68" s="403"/>
      <c r="BG68" s="358">
        <v>4.0300000000000002E-2</v>
      </c>
      <c r="BH68" s="359">
        <v>5.4800000000000001E-2</v>
      </c>
      <c r="BI68" s="359">
        <v>0.04</v>
      </c>
      <c r="BJ68" s="359">
        <v>0.24579999999999999</v>
      </c>
      <c r="BK68" s="410"/>
      <c r="BL68" s="412">
        <v>7.2999999999999995E-2</v>
      </c>
      <c r="BM68" s="405">
        <v>6.2850000000000003E-2</v>
      </c>
      <c r="BN68" s="405">
        <v>0.23280000000000001</v>
      </c>
      <c r="BO68" s="410"/>
      <c r="BP68" s="311"/>
      <c r="BQ68" s="311"/>
      <c r="BR68" s="311"/>
      <c r="BS68" s="410"/>
      <c r="BT68" s="311"/>
      <c r="BU68" s="403"/>
      <c r="BV68" s="311"/>
      <c r="BW68" s="311"/>
      <c r="BX68" s="403"/>
      <c r="BY68" s="311"/>
      <c r="BZ68" s="311"/>
      <c r="CA68" s="403"/>
      <c r="CB68" s="311"/>
      <c r="CC68" s="311"/>
      <c r="CD68" s="311"/>
      <c r="CE68" s="407"/>
      <c r="CF68" s="368" t="str">
        <f>IF(CE68&gt;='Conviction List'!$D$8,1,"")</f>
        <v/>
      </c>
      <c r="CG68" s="312">
        <f>IF(M68&lt;='Conviction List'!$E$8,1,"")</f>
        <v>1</v>
      </c>
      <c r="CH68" s="312" t="str">
        <f>IF(BG68&gt;='Conviction List'!$F$8,1,"")</f>
        <v/>
      </c>
      <c r="CI68" s="312" t="str">
        <f>IF(BK68&gt;='Conviction List'!$G$8,1,"")</f>
        <v/>
      </c>
      <c r="CJ68" s="365">
        <f t="shared" si="14"/>
        <v>1</v>
      </c>
      <c r="CK68" s="424">
        <f t="shared" ca="1" si="15"/>
        <v>70</v>
      </c>
    </row>
    <row r="69" spans="2:89" x14ac:dyDescent="0.25">
      <c r="B69" s="366">
        <f t="shared" si="12"/>
        <v>67</v>
      </c>
      <c r="C69" s="311" t="s">
        <v>116</v>
      </c>
      <c r="D69" s="349" t="s">
        <v>111</v>
      </c>
      <c r="E69" s="312" t="s">
        <v>111</v>
      </c>
      <c r="F69" s="350">
        <f>_xlfn.XLOOKUP(CCA_Defense!$D69,BB_Input!$C$4:$C$172,BB_Input!$G$4:$G$172)</f>
        <v>266.42668357637672</v>
      </c>
      <c r="G69" s="364">
        <v>1990</v>
      </c>
      <c r="H69" s="364">
        <f t="shared" ca="1" si="16"/>
        <v>36</v>
      </c>
      <c r="I69" s="313" t="s">
        <v>280</v>
      </c>
      <c r="J69" s="313" t="s">
        <v>973</v>
      </c>
      <c r="K69" s="313"/>
      <c r="L69" s="313" t="s">
        <v>1085</v>
      </c>
      <c r="M69" s="312">
        <v>353</v>
      </c>
      <c r="N69" s="313">
        <f>IFERROR(_xlfn.XLOOKUP($D69,PE_Projections!$D:$D,PE_Projections!L:L),"")</f>
        <v>77.575307745611653</v>
      </c>
      <c r="O69" s="313">
        <f>IFERROR(_xlfn.XLOOKUP($D69,PE_Projections!$D:$D,PE_Projections!M:M),"")</f>
        <v>72.408744262758532</v>
      </c>
      <c r="P69" s="313">
        <f>IFERROR(_xlfn.XLOOKUP($D69,PE_Projections!$D:$D,PE_Projections!N:N),"")</f>
        <v>67.586277103827058</v>
      </c>
      <c r="Q69" s="313">
        <f>IFERROR(_xlfn.XLOOKUP($D69,PE_Projections!$D:$D,PE_Projections!O:O),"")</f>
        <v>63.084989240790826</v>
      </c>
      <c r="R69" s="313">
        <f>IFERROR(_xlfn.XLOOKUP($D69,PE_Projections!$D:$D,PE_Projections!P:P),"")</f>
        <v>58.883489933866201</v>
      </c>
      <c r="S69" s="311"/>
      <c r="T69" s="351">
        <f t="shared" si="13"/>
        <v>0.10286313147795072</v>
      </c>
      <c r="U69" s="351"/>
      <c r="V69" s="351">
        <v>0.9</v>
      </c>
      <c r="W69" s="356">
        <v>11.5</v>
      </c>
      <c r="X69" s="313" t="str" cm="1">
        <f t="array" ref="X69">_xlfn.IFS($F69&lt;Glossary!$C$54,Glossary!$B$54,$F69&lt;Glossary!$C$55,Glossary!$B$55,$F69&gt;Glossary!$C$56,Glossary!$B$56)</f>
        <v>Small Cap</v>
      </c>
      <c r="Y69" s="313" t="s">
        <v>145</v>
      </c>
      <c r="Z69" s="313" t="s">
        <v>134</v>
      </c>
      <c r="AA69" s="351">
        <v>0.748</v>
      </c>
      <c r="AB69" s="423"/>
      <c r="AC69" s="400" t="s">
        <v>1180</v>
      </c>
      <c r="AD69" s="400" t="s">
        <v>1180</v>
      </c>
      <c r="AE69" s="400" t="s">
        <v>1180</v>
      </c>
      <c r="AF69" s="423"/>
      <c r="AG69" s="309"/>
      <c r="AH69" s="385"/>
      <c r="AI69" s="311"/>
      <c r="AJ69" s="311"/>
      <c r="AK69" s="385"/>
      <c r="AL69" s="311"/>
      <c r="AM69" s="311"/>
      <c r="AN69" s="385"/>
      <c r="AO69" s="311"/>
      <c r="AP69" s="379" t="s">
        <v>41</v>
      </c>
      <c r="AQ69" s="312" t="s">
        <v>41</v>
      </c>
      <c r="AR69" s="312" t="s">
        <v>41</v>
      </c>
      <c r="AS69" s="385"/>
      <c r="AT69" s="311"/>
      <c r="AU69" s="354" t="s">
        <v>196</v>
      </c>
      <c r="AV69" s="353">
        <f>37696475/10^6</f>
        <v>37.696475</v>
      </c>
      <c r="AW69" s="313">
        <f>37696475/10^6</f>
        <v>37.696475</v>
      </c>
      <c r="AX69" s="313">
        <f>37696475/10^6</f>
        <v>37.696475</v>
      </c>
      <c r="AY69" s="413">
        <v>31</v>
      </c>
      <c r="AZ69" s="364">
        <v>26</v>
      </c>
      <c r="BA69" s="364">
        <v>23</v>
      </c>
      <c r="BB69" s="364">
        <v>19</v>
      </c>
      <c r="BC69" s="355"/>
      <c r="BD69" s="356"/>
      <c r="BE69" s="356"/>
      <c r="BF69" s="357"/>
      <c r="BG69" s="358"/>
      <c r="BH69" s="359"/>
      <c r="BI69" s="359"/>
      <c r="BJ69" s="359"/>
      <c r="BK69" s="358"/>
      <c r="BL69" s="359"/>
      <c r="BM69" s="359"/>
      <c r="BN69" s="359"/>
      <c r="BO69" s="355"/>
      <c r="BP69" s="356"/>
      <c r="BQ69" s="356"/>
      <c r="BR69" s="313"/>
      <c r="BS69" s="355"/>
      <c r="BT69" s="356"/>
      <c r="BU69" s="360"/>
      <c r="BV69" s="359"/>
      <c r="BW69" s="359"/>
      <c r="BX69" s="361"/>
      <c r="BY69" s="359"/>
      <c r="BZ69" s="359"/>
      <c r="CA69" s="361"/>
      <c r="CB69" s="359"/>
      <c r="CC69" s="359"/>
      <c r="CD69" s="359"/>
      <c r="CE69" s="362">
        <f>IFERROR(RATE(4,,BB69,-AY69),"")</f>
        <v>0.13019146489804767</v>
      </c>
      <c r="CF69" s="368" t="str">
        <f>IF(CE69&gt;='Conviction List'!$D$8,1,"")</f>
        <v/>
      </c>
      <c r="CG69" s="312" t="str">
        <f>IF(M69&lt;='Conviction List'!$E$8,1,"")</f>
        <v/>
      </c>
      <c r="CH69" s="312" t="str">
        <f>IF(BG69&gt;='Conviction List'!$F$8,1,"")</f>
        <v/>
      </c>
      <c r="CI69" s="312" t="str">
        <f>IF(BK69&gt;='Conviction List'!$G$8,1,"")</f>
        <v/>
      </c>
      <c r="CJ69" s="365">
        <f t="shared" si="14"/>
        <v>0</v>
      </c>
      <c r="CK69" s="425">
        <f t="shared" ca="1" si="15"/>
        <v>22</v>
      </c>
    </row>
    <row r="70" spans="2:89" x14ac:dyDescent="0.25">
      <c r="B70" s="312">
        <f t="shared" si="12"/>
        <v>68</v>
      </c>
      <c r="C70" s="381" t="s">
        <v>395</v>
      </c>
      <c r="D70" s="349" t="s">
        <v>478</v>
      </c>
      <c r="E70" s="311"/>
      <c r="F70" s="350" t="e">
        <f>_xlfn.XLOOKUP(CCA_Defense!$D70,BB_Input!$C$4:$C$172,BB_Input!$G$4:$G$172)</f>
        <v>#N/A</v>
      </c>
      <c r="G70" s="364">
        <v>2013</v>
      </c>
      <c r="H70" s="364">
        <f t="shared" ca="1" si="16"/>
        <v>13</v>
      </c>
      <c r="I70" s="313" t="s">
        <v>281</v>
      </c>
      <c r="J70" s="313" t="s">
        <v>1000</v>
      </c>
      <c r="K70" s="313"/>
      <c r="L70" s="313"/>
      <c r="M70" s="311"/>
      <c r="N70" s="313" t="str">
        <f>IFERROR(_xlfn.XLOOKUP($D70,PE_Projections!$D:$D,PE_Projections!L:L),"")</f>
        <v/>
      </c>
      <c r="O70" s="313" t="str">
        <f>IFERROR(_xlfn.XLOOKUP($D70,PE_Projections!$D:$D,PE_Projections!M:M),"")</f>
        <v/>
      </c>
      <c r="P70" s="313" t="str">
        <f>IFERROR(_xlfn.XLOOKUP($D70,PE_Projections!$D:$D,PE_Projections!N:N),"")</f>
        <v/>
      </c>
      <c r="Q70" s="313" t="str">
        <f>IFERROR(_xlfn.XLOOKUP($D70,PE_Projections!$D:$D,PE_Projections!O:O),"")</f>
        <v/>
      </c>
      <c r="R70" s="313" t="str">
        <f>IFERROR(_xlfn.XLOOKUP($D70,PE_Projections!$D:$D,PE_Projections!P:P),"")</f>
        <v/>
      </c>
      <c r="S70" s="311"/>
      <c r="T70" s="351" t="str">
        <f t="shared" si="13"/>
        <v/>
      </c>
      <c r="U70" s="351"/>
      <c r="V70" s="311"/>
      <c r="W70" s="356"/>
      <c r="X70" s="311"/>
      <c r="Y70" s="312" t="s">
        <v>147</v>
      </c>
      <c r="Z70" s="312" t="s">
        <v>134</v>
      </c>
      <c r="AA70" s="311"/>
      <c r="AB70" s="423"/>
      <c r="AC70" s="400" t="s">
        <v>1180</v>
      </c>
      <c r="AD70" s="400" t="s">
        <v>1180</v>
      </c>
      <c r="AE70" s="400" t="s">
        <v>1180</v>
      </c>
      <c r="AF70" s="423"/>
      <c r="AG70" s="309" t="s">
        <v>403</v>
      </c>
      <c r="AH70" s="385"/>
      <c r="AI70" s="311"/>
      <c r="AJ70" s="311"/>
      <c r="AK70" s="385"/>
      <c r="AL70" s="311"/>
      <c r="AM70" s="311"/>
      <c r="AN70" s="385"/>
      <c r="AO70" s="311"/>
      <c r="AP70" s="385"/>
      <c r="AQ70" s="312" t="s">
        <v>41</v>
      </c>
      <c r="AR70" s="311"/>
      <c r="AS70" s="385"/>
      <c r="AT70" s="311"/>
      <c r="AU70" s="401" t="s">
        <v>196</v>
      </c>
      <c r="AV70" s="385"/>
      <c r="AW70" s="311"/>
      <c r="AX70" s="311"/>
      <c r="AY70" s="385"/>
      <c r="AZ70" s="311"/>
      <c r="BA70" s="311"/>
      <c r="BB70" s="311"/>
      <c r="BC70" s="410"/>
      <c r="BD70" s="311"/>
      <c r="BE70" s="311"/>
      <c r="BF70" s="403"/>
      <c r="BG70" s="410"/>
      <c r="BH70" s="311"/>
      <c r="BI70" s="311"/>
      <c r="BJ70" s="311"/>
      <c r="BK70" s="410"/>
      <c r="BL70" s="311"/>
      <c r="BM70" s="311"/>
      <c r="BN70" s="311"/>
      <c r="BO70" s="410"/>
      <c r="BP70" s="311"/>
      <c r="BQ70" s="311"/>
      <c r="BR70" s="311"/>
      <c r="BS70" s="410"/>
      <c r="BT70" s="311"/>
      <c r="BU70" s="403"/>
      <c r="BV70" s="311"/>
      <c r="BW70" s="311"/>
      <c r="BX70" s="403"/>
      <c r="BY70" s="311"/>
      <c r="BZ70" s="311"/>
      <c r="CA70" s="403"/>
      <c r="CB70" s="311"/>
      <c r="CC70" s="311"/>
      <c r="CD70" s="311"/>
      <c r="CE70" s="407"/>
      <c r="CF70" s="368" t="str">
        <f>IF(CE70&gt;='Conviction List'!$D$8,1,"")</f>
        <v/>
      </c>
      <c r="CG70" s="312">
        <f>IF(M70&lt;='Conviction List'!$E$8,1,"")</f>
        <v>1</v>
      </c>
      <c r="CH70" s="312" t="str">
        <f>IF(BG70&gt;='Conviction List'!$F$8,1,"")</f>
        <v/>
      </c>
      <c r="CI70" s="312" t="str">
        <f>IF(BK70&gt;='Conviction List'!$G$8,1,"")</f>
        <v/>
      </c>
      <c r="CJ70" s="365">
        <f t="shared" si="14"/>
        <v>1</v>
      </c>
      <c r="CK70" s="424">
        <f t="shared" ca="1" si="15"/>
        <v>72</v>
      </c>
    </row>
    <row r="71" spans="2:89" x14ac:dyDescent="0.25">
      <c r="B71" s="312">
        <f t="shared" si="12"/>
        <v>69</v>
      </c>
      <c r="C71" s="381" t="s">
        <v>396</v>
      </c>
      <c r="D71" s="349" t="s">
        <v>479</v>
      </c>
      <c r="E71" s="311"/>
      <c r="F71" s="350" t="e">
        <f>_xlfn.XLOOKUP(CCA_Defense!$D71,BB_Input!$C$4:$C$172,BB_Input!$G$4:$G$172)</f>
        <v>#N/A</v>
      </c>
      <c r="G71" s="364">
        <v>1998</v>
      </c>
      <c r="H71" s="364">
        <f t="shared" ca="1" si="16"/>
        <v>28</v>
      </c>
      <c r="I71" s="313" t="s">
        <v>358</v>
      </c>
      <c r="J71" s="313" t="s">
        <v>1010</v>
      </c>
      <c r="K71" s="313"/>
      <c r="L71" s="313"/>
      <c r="M71" s="311"/>
      <c r="N71" s="313" t="str">
        <f>IFERROR(_xlfn.XLOOKUP($D71,PE_Projections!$D:$D,PE_Projections!L:L),"")</f>
        <v/>
      </c>
      <c r="O71" s="313" t="str">
        <f>IFERROR(_xlfn.XLOOKUP($D71,PE_Projections!$D:$D,PE_Projections!M:M),"")</f>
        <v/>
      </c>
      <c r="P71" s="313" t="str">
        <f>IFERROR(_xlfn.XLOOKUP($D71,PE_Projections!$D:$D,PE_Projections!N:N),"")</f>
        <v/>
      </c>
      <c r="Q71" s="313" t="str">
        <f>IFERROR(_xlfn.XLOOKUP($D71,PE_Projections!$D:$D,PE_Projections!O:O),"")</f>
        <v/>
      </c>
      <c r="R71" s="313" t="str">
        <f>IFERROR(_xlfn.XLOOKUP($D71,PE_Projections!$D:$D,PE_Projections!P:P),"")</f>
        <v/>
      </c>
      <c r="S71" s="311"/>
      <c r="T71" s="351" t="str">
        <f t="shared" si="13"/>
        <v/>
      </c>
      <c r="U71" s="351"/>
      <c r="V71" s="311"/>
      <c r="W71" s="356">
        <v>6</v>
      </c>
      <c r="X71" s="311"/>
      <c r="Y71" s="312" t="s">
        <v>152</v>
      </c>
      <c r="Z71" s="312" t="s">
        <v>131</v>
      </c>
      <c r="AA71" s="311"/>
      <c r="AB71" s="423"/>
      <c r="AC71" s="400" t="s">
        <v>1180</v>
      </c>
      <c r="AD71" s="400" t="s">
        <v>1180</v>
      </c>
      <c r="AE71" s="400" t="s">
        <v>1180</v>
      </c>
      <c r="AF71" s="423"/>
      <c r="AG71" s="312" t="s">
        <v>405</v>
      </c>
      <c r="AH71" s="385"/>
      <c r="AI71" s="311"/>
      <c r="AJ71" s="311"/>
      <c r="AK71" s="385"/>
      <c r="AL71" s="311"/>
      <c r="AM71" s="312" t="s">
        <v>41</v>
      </c>
      <c r="AN71" s="385"/>
      <c r="AO71" s="311"/>
      <c r="AP71" s="385"/>
      <c r="AQ71" s="311"/>
      <c r="AR71" s="311"/>
      <c r="AS71" s="385"/>
      <c r="AT71" s="311"/>
      <c r="AU71" s="401" t="s">
        <v>194</v>
      </c>
      <c r="AV71" s="385"/>
      <c r="AW71" s="311"/>
      <c r="AX71" s="311"/>
      <c r="AY71" s="385"/>
      <c r="AZ71" s="311"/>
      <c r="BA71" s="311"/>
      <c r="BB71" s="311"/>
      <c r="BC71" s="410"/>
      <c r="BD71" s="311"/>
      <c r="BE71" s="311"/>
      <c r="BF71" s="403"/>
      <c r="BG71" s="410"/>
      <c r="BH71" s="311"/>
      <c r="BI71" s="311"/>
      <c r="BJ71" s="311"/>
      <c r="BK71" s="410"/>
      <c r="BL71" s="311"/>
      <c r="BM71" s="311"/>
      <c r="BN71" s="311"/>
      <c r="BO71" s="410"/>
      <c r="BP71" s="311"/>
      <c r="BQ71" s="311"/>
      <c r="BR71" s="311"/>
      <c r="BS71" s="410"/>
      <c r="BT71" s="311"/>
      <c r="BU71" s="403"/>
      <c r="BV71" s="311"/>
      <c r="BW71" s="311"/>
      <c r="BX71" s="403"/>
      <c r="BY71" s="311"/>
      <c r="BZ71" s="311"/>
      <c r="CA71" s="403"/>
      <c r="CB71" s="311"/>
      <c r="CC71" s="311"/>
      <c r="CD71" s="311"/>
      <c r="CE71" s="407"/>
      <c r="CF71" s="368" t="str">
        <f>IF(CE71&gt;='Conviction List'!$D$8,1,"")</f>
        <v/>
      </c>
      <c r="CG71" s="312">
        <f>IF(M71&lt;='Conviction List'!$E$8,1,"")</f>
        <v>1</v>
      </c>
      <c r="CH71" s="312" t="str">
        <f>IF(BG71&gt;='Conviction List'!$F$8,1,"")</f>
        <v/>
      </c>
      <c r="CI71" s="312" t="str">
        <f>IF(BK71&gt;='Conviction List'!$G$8,1,"")</f>
        <v/>
      </c>
      <c r="CJ71" s="365">
        <f t="shared" si="14"/>
        <v>1</v>
      </c>
      <c r="CK71" s="424">
        <f t="shared" ca="1" si="15"/>
        <v>73</v>
      </c>
    </row>
    <row r="72" spans="2:89" x14ac:dyDescent="0.25">
      <c r="B72" s="312">
        <f t="shared" si="12"/>
        <v>70</v>
      </c>
      <c r="C72" s="381" t="s">
        <v>397</v>
      </c>
      <c r="D72" s="349" t="s">
        <v>480</v>
      </c>
      <c r="E72" s="311"/>
      <c r="F72" s="350" t="e">
        <f>_xlfn.XLOOKUP(CCA_Defense!$D72,BB_Input!$C$4:$C$172,BB_Input!$G$4:$G$172)</f>
        <v>#N/A</v>
      </c>
      <c r="G72" s="364">
        <v>1985</v>
      </c>
      <c r="H72" s="364">
        <f t="shared" ca="1" si="16"/>
        <v>41</v>
      </c>
      <c r="I72" s="313" t="s">
        <v>358</v>
      </c>
      <c r="J72" s="313" t="s">
        <v>1011</v>
      </c>
      <c r="K72" s="313"/>
      <c r="L72" s="313"/>
      <c r="M72" s="311"/>
      <c r="N72" s="313" t="str">
        <f>IFERROR(_xlfn.XLOOKUP($D72,PE_Projections!$D:$D,PE_Projections!L:L),"")</f>
        <v/>
      </c>
      <c r="O72" s="313" t="str">
        <f>IFERROR(_xlfn.XLOOKUP($D72,PE_Projections!$D:$D,PE_Projections!M:M),"")</f>
        <v/>
      </c>
      <c r="P72" s="313" t="str">
        <f>IFERROR(_xlfn.XLOOKUP($D72,PE_Projections!$D:$D,PE_Projections!N:N),"")</f>
        <v/>
      </c>
      <c r="Q72" s="313" t="str">
        <f>IFERROR(_xlfn.XLOOKUP($D72,PE_Projections!$D:$D,PE_Projections!O:O),"")</f>
        <v/>
      </c>
      <c r="R72" s="313" t="str">
        <f>IFERROR(_xlfn.XLOOKUP($D72,PE_Projections!$D:$D,PE_Projections!P:P),"")</f>
        <v/>
      </c>
      <c r="S72" s="311"/>
      <c r="T72" s="351" t="str">
        <f t="shared" si="13"/>
        <v/>
      </c>
      <c r="U72" s="351"/>
      <c r="V72" s="311"/>
      <c r="W72" s="356">
        <v>1</v>
      </c>
      <c r="X72" s="311"/>
      <c r="Y72" s="312" t="s">
        <v>362</v>
      </c>
      <c r="Z72" s="312" t="s">
        <v>133</v>
      </c>
      <c r="AA72" s="311"/>
      <c r="AB72" s="423"/>
      <c r="AC72" s="400" t="s">
        <v>1181</v>
      </c>
      <c r="AD72" s="400" t="s">
        <v>1181</v>
      </c>
      <c r="AE72" s="400" t="s">
        <v>1181</v>
      </c>
      <c r="AF72" s="423"/>
      <c r="AG72" s="311"/>
      <c r="AH72" s="385"/>
      <c r="AI72" s="311"/>
      <c r="AJ72" s="311"/>
      <c r="AK72" s="385"/>
      <c r="AL72" s="311"/>
      <c r="AM72" s="311"/>
      <c r="AN72" s="385"/>
      <c r="AO72" s="312" t="s">
        <v>41</v>
      </c>
      <c r="AP72" s="385"/>
      <c r="AQ72" s="311"/>
      <c r="AR72" s="311"/>
      <c r="AS72" s="385"/>
      <c r="AT72" s="311"/>
      <c r="AU72" s="401" t="s">
        <v>195</v>
      </c>
      <c r="AV72" s="385"/>
      <c r="AW72" s="311"/>
      <c r="AX72" s="311"/>
      <c r="AY72" s="385"/>
      <c r="AZ72" s="311"/>
      <c r="BA72" s="311"/>
      <c r="BB72" s="311"/>
      <c r="BC72" s="410"/>
      <c r="BD72" s="311"/>
      <c r="BE72" s="311"/>
      <c r="BF72" s="403"/>
      <c r="BG72" s="410"/>
      <c r="BH72" s="311"/>
      <c r="BI72" s="311"/>
      <c r="BJ72" s="311"/>
      <c r="BK72" s="410"/>
      <c r="BL72" s="311"/>
      <c r="BM72" s="311"/>
      <c r="BN72" s="311"/>
      <c r="BO72" s="410"/>
      <c r="BP72" s="311"/>
      <c r="BQ72" s="311"/>
      <c r="BR72" s="311"/>
      <c r="BS72" s="410"/>
      <c r="BT72" s="311"/>
      <c r="BU72" s="403"/>
      <c r="BV72" s="311"/>
      <c r="BW72" s="311"/>
      <c r="BX72" s="403"/>
      <c r="BY72" s="311"/>
      <c r="BZ72" s="311"/>
      <c r="CA72" s="403"/>
      <c r="CB72" s="311"/>
      <c r="CC72" s="311"/>
      <c r="CD72" s="311"/>
      <c r="CE72" s="407"/>
      <c r="CF72" s="368" t="str">
        <f>IF(CE72&gt;='Conviction List'!$D$8,1,"")</f>
        <v/>
      </c>
      <c r="CG72" s="312">
        <f>IF(M72&lt;='Conviction List'!$E$8,1,"")</f>
        <v>1</v>
      </c>
      <c r="CH72" s="312" t="str">
        <f>IF(BG72&gt;='Conviction List'!$F$8,1,"")</f>
        <v/>
      </c>
      <c r="CI72" s="312" t="str">
        <f>IF(BK72&gt;='Conviction List'!$G$8,1,"")</f>
        <v/>
      </c>
      <c r="CJ72" s="365">
        <f t="shared" si="14"/>
        <v>1</v>
      </c>
      <c r="CK72" s="424">
        <f t="shared" ca="1" si="15"/>
        <v>74</v>
      </c>
    </row>
    <row r="73" spans="2:89" ht="14.4" x14ac:dyDescent="0.3">
      <c r="B73" s="312">
        <f t="shared" si="12"/>
        <v>71</v>
      </c>
      <c r="C73" s="381" t="s">
        <v>398</v>
      </c>
      <c r="D73" s="411" t="s">
        <v>486</v>
      </c>
      <c r="E73" s="311"/>
      <c r="F73" s="350" t="e">
        <f>_xlfn.XLOOKUP(CCA_Defense!$D73,BB_Input!$C$4:$C$172,BB_Input!$G$4:$G$172)</f>
        <v>#N/A</v>
      </c>
      <c r="G73" s="364">
        <v>2000</v>
      </c>
      <c r="H73" s="364">
        <f t="shared" ca="1" si="16"/>
        <v>26</v>
      </c>
      <c r="I73" s="313" t="s">
        <v>358</v>
      </c>
      <c r="J73" s="313" t="s">
        <v>1012</v>
      </c>
      <c r="K73" s="313"/>
      <c r="L73" s="313"/>
      <c r="M73" s="311"/>
      <c r="N73" s="313" t="str">
        <f>IFERROR(_xlfn.XLOOKUP($D73,PE_Projections!$D:$D,PE_Projections!L:L),"")</f>
        <v/>
      </c>
      <c r="O73" s="313" t="str">
        <f>IFERROR(_xlfn.XLOOKUP($D73,PE_Projections!$D:$D,PE_Projections!M:M),"")</f>
        <v/>
      </c>
      <c r="P73" s="313" t="str">
        <f>IFERROR(_xlfn.XLOOKUP($D73,PE_Projections!$D:$D,PE_Projections!N:N),"")</f>
        <v/>
      </c>
      <c r="Q73" s="313" t="str">
        <f>IFERROR(_xlfn.XLOOKUP($D73,PE_Projections!$D:$D,PE_Projections!O:O),"")</f>
        <v/>
      </c>
      <c r="R73" s="313" t="str">
        <f>IFERROR(_xlfn.XLOOKUP($D73,PE_Projections!$D:$D,PE_Projections!P:P),"")</f>
        <v/>
      </c>
      <c r="S73" s="311"/>
      <c r="T73" s="351" t="str">
        <f t="shared" si="13"/>
        <v/>
      </c>
      <c r="U73" s="351"/>
      <c r="V73" s="311"/>
      <c r="W73" s="356">
        <v>6</v>
      </c>
      <c r="X73" s="311"/>
      <c r="Y73" s="312" t="s">
        <v>152</v>
      </c>
      <c r="Z73" s="312" t="s">
        <v>133</v>
      </c>
      <c r="AA73" s="311"/>
      <c r="AB73" s="423"/>
      <c r="AC73" s="400" t="s">
        <v>1180</v>
      </c>
      <c r="AD73" s="400" t="s">
        <v>1180</v>
      </c>
      <c r="AE73" s="400" t="s">
        <v>1180</v>
      </c>
      <c r="AF73" s="426"/>
      <c r="AG73" s="314" t="s">
        <v>459</v>
      </c>
      <c r="AH73" s="385"/>
      <c r="AI73" s="311"/>
      <c r="AJ73" s="311"/>
      <c r="AK73" s="385"/>
      <c r="AL73" s="311"/>
      <c r="AM73" s="311"/>
      <c r="AN73" s="385"/>
      <c r="AO73" s="311"/>
      <c r="AP73" s="385"/>
      <c r="AQ73" s="312" t="s">
        <v>41</v>
      </c>
      <c r="AR73" s="311"/>
      <c r="AS73" s="385"/>
      <c r="AT73" s="311"/>
      <c r="AU73" s="401" t="s">
        <v>196</v>
      </c>
      <c r="AV73" s="385"/>
      <c r="AW73" s="311"/>
      <c r="AX73" s="311"/>
      <c r="AY73" s="413">
        <v>16.5</v>
      </c>
      <c r="AZ73" s="311"/>
      <c r="BA73" s="311"/>
      <c r="BB73" s="311"/>
      <c r="BC73" s="410"/>
      <c r="BD73" s="311"/>
      <c r="BE73" s="311"/>
      <c r="BF73" s="403"/>
      <c r="BG73" s="410"/>
      <c r="BH73" s="311"/>
      <c r="BI73" s="311"/>
      <c r="BJ73" s="311"/>
      <c r="BK73" s="410"/>
      <c r="BL73" s="311"/>
      <c r="BM73" s="311"/>
      <c r="BN73" s="311"/>
      <c r="BO73" s="410"/>
      <c r="BP73" s="311"/>
      <c r="BQ73" s="311"/>
      <c r="BR73" s="311"/>
      <c r="BS73" s="410"/>
      <c r="BT73" s="311"/>
      <c r="BU73" s="403"/>
      <c r="BV73" s="311"/>
      <c r="BW73" s="311"/>
      <c r="BX73" s="403"/>
      <c r="BY73" s="311"/>
      <c r="BZ73" s="311"/>
      <c r="CA73" s="403"/>
      <c r="CB73" s="311"/>
      <c r="CC73" s="311"/>
      <c r="CD73" s="311"/>
      <c r="CE73" s="407"/>
      <c r="CF73" s="368" t="str">
        <f>IF(CE73&gt;='Conviction List'!$D$8,1,"")</f>
        <v/>
      </c>
      <c r="CG73" s="312">
        <f>IF(M73&lt;='Conviction List'!$E$8,1,"")</f>
        <v>1</v>
      </c>
      <c r="CH73" s="312" t="str">
        <f>IF(BG73&gt;='Conviction List'!$F$8,1,"")</f>
        <v/>
      </c>
      <c r="CI73" s="312" t="str">
        <f>IF(BK73&gt;='Conviction List'!$G$8,1,"")</f>
        <v/>
      </c>
      <c r="CJ73" s="365">
        <f t="shared" si="14"/>
        <v>1</v>
      </c>
      <c r="CK73" s="424">
        <f t="shared" ca="1" si="15"/>
        <v>75</v>
      </c>
    </row>
    <row r="74" spans="2:89" x14ac:dyDescent="0.25">
      <c r="B74" s="312">
        <f t="shared" si="12"/>
        <v>72</v>
      </c>
      <c r="C74" s="381" t="s">
        <v>399</v>
      </c>
      <c r="D74" s="349" t="s">
        <v>481</v>
      </c>
      <c r="E74" s="311"/>
      <c r="F74" s="350" t="e">
        <f>_xlfn.XLOOKUP(CCA_Defense!$D74,BB_Input!$C$4:$C$172,BB_Input!$G$4:$G$172)</f>
        <v>#N/A</v>
      </c>
      <c r="G74" s="364">
        <v>2008</v>
      </c>
      <c r="H74" s="364">
        <f t="shared" ca="1" si="16"/>
        <v>18</v>
      </c>
      <c r="I74" s="313" t="s">
        <v>358</v>
      </c>
      <c r="J74" s="313" t="s">
        <v>1013</v>
      </c>
      <c r="K74" s="313"/>
      <c r="L74" s="313"/>
      <c r="M74" s="311"/>
      <c r="N74" s="313" t="str">
        <f>IFERROR(_xlfn.XLOOKUP($D74,PE_Projections!$D:$D,PE_Projections!L:L),"")</f>
        <v/>
      </c>
      <c r="O74" s="313" t="str">
        <f>IFERROR(_xlfn.XLOOKUP($D74,PE_Projections!$D:$D,PE_Projections!M:M),"")</f>
        <v/>
      </c>
      <c r="P74" s="313" t="str">
        <f>IFERROR(_xlfn.XLOOKUP($D74,PE_Projections!$D:$D,PE_Projections!N:N),"")</f>
        <v/>
      </c>
      <c r="Q74" s="313" t="str">
        <f>IFERROR(_xlfn.XLOOKUP($D74,PE_Projections!$D:$D,PE_Projections!O:O),"")</f>
        <v/>
      </c>
      <c r="R74" s="313" t="str">
        <f>IFERROR(_xlfn.XLOOKUP($D74,PE_Projections!$D:$D,PE_Projections!P:P),"")</f>
        <v/>
      </c>
      <c r="S74" s="311"/>
      <c r="T74" s="351" t="str">
        <f t="shared" si="13"/>
        <v/>
      </c>
      <c r="U74" s="351"/>
      <c r="V74" s="311"/>
      <c r="W74" s="356">
        <v>0.5</v>
      </c>
      <c r="X74" s="311"/>
      <c r="Y74" s="312" t="s">
        <v>145</v>
      </c>
      <c r="Z74" s="312" t="s">
        <v>133</v>
      </c>
      <c r="AA74" s="311"/>
      <c r="AB74" s="423"/>
      <c r="AC74" s="400" t="s">
        <v>1180</v>
      </c>
      <c r="AD74" s="400" t="s">
        <v>1180</v>
      </c>
      <c r="AE74" s="400" t="s">
        <v>1180</v>
      </c>
      <c r="AF74" s="423"/>
      <c r="AG74" s="311"/>
      <c r="AH74" s="385"/>
      <c r="AI74" s="311"/>
      <c r="AJ74" s="311"/>
      <c r="AK74" s="385"/>
      <c r="AL74" s="311"/>
      <c r="AM74" s="311"/>
      <c r="AN74" s="385"/>
      <c r="AO74" s="311"/>
      <c r="AP74" s="385"/>
      <c r="AQ74" s="312" t="s">
        <v>41</v>
      </c>
      <c r="AR74" s="311"/>
      <c r="AS74" s="385"/>
      <c r="AT74" s="311"/>
      <c r="AU74" s="401" t="s">
        <v>196</v>
      </c>
      <c r="AV74" s="385"/>
      <c r="AW74" s="311"/>
      <c r="AX74" s="311"/>
      <c r="AY74" s="413">
        <v>51.5</v>
      </c>
      <c r="AZ74" s="311"/>
      <c r="BA74" s="311"/>
      <c r="BB74" s="311"/>
      <c r="BC74" s="410"/>
      <c r="BD74" s="311"/>
      <c r="BE74" s="311"/>
      <c r="BF74" s="403"/>
      <c r="BG74" s="410"/>
      <c r="BH74" s="311"/>
      <c r="BI74" s="311"/>
      <c r="BJ74" s="311"/>
      <c r="BK74" s="410"/>
      <c r="BL74" s="311"/>
      <c r="BM74" s="311"/>
      <c r="BN74" s="311"/>
      <c r="BO74" s="410"/>
      <c r="BP74" s="311"/>
      <c r="BQ74" s="311"/>
      <c r="BR74" s="311"/>
      <c r="BS74" s="410"/>
      <c r="BT74" s="311"/>
      <c r="BU74" s="403"/>
      <c r="BV74" s="311"/>
      <c r="BW74" s="311"/>
      <c r="BX74" s="403"/>
      <c r="BY74" s="311"/>
      <c r="BZ74" s="311"/>
      <c r="CA74" s="403"/>
      <c r="CB74" s="311"/>
      <c r="CC74" s="311"/>
      <c r="CD74" s="311"/>
      <c r="CE74" s="407"/>
      <c r="CF74" s="368" t="str">
        <f>IF(CE74&gt;='Conviction List'!$D$8,1,"")</f>
        <v/>
      </c>
      <c r="CG74" s="312">
        <f>IF(M74&lt;='Conviction List'!$E$8,1,"")</f>
        <v>1</v>
      </c>
      <c r="CH74" s="312" t="str">
        <f>IF(BG74&gt;='Conviction List'!$F$8,1,"")</f>
        <v/>
      </c>
      <c r="CI74" s="312" t="str">
        <f>IF(BK74&gt;='Conviction List'!$G$8,1,"")</f>
        <v/>
      </c>
      <c r="CJ74" s="365">
        <f t="shared" si="14"/>
        <v>1</v>
      </c>
      <c r="CK74" s="424">
        <f t="shared" ca="1" si="15"/>
        <v>76</v>
      </c>
    </row>
    <row r="75" spans="2:89" x14ac:dyDescent="0.25">
      <c r="B75" s="312">
        <f t="shared" si="12"/>
        <v>73</v>
      </c>
      <c r="C75" s="381" t="s">
        <v>400</v>
      </c>
      <c r="D75" s="349" t="s">
        <v>482</v>
      </c>
      <c r="E75" s="311"/>
      <c r="F75" s="350" t="e">
        <f>_xlfn.XLOOKUP(CCA_Defense!$D75,BB_Input!$C$4:$C$172,BB_Input!$G$4:$G$172)</f>
        <v>#N/A</v>
      </c>
      <c r="G75" s="364">
        <v>2003</v>
      </c>
      <c r="H75" s="364">
        <f t="shared" ca="1" si="16"/>
        <v>23</v>
      </c>
      <c r="I75" s="313" t="s">
        <v>358</v>
      </c>
      <c r="J75" s="313" t="s">
        <v>1014</v>
      </c>
      <c r="K75" s="313"/>
      <c r="L75" s="313"/>
      <c r="M75" s="311"/>
      <c r="N75" s="313" t="str">
        <f>IFERROR(_xlfn.XLOOKUP($D75,PE_Projections!$D:$D,PE_Projections!L:L),"")</f>
        <v/>
      </c>
      <c r="O75" s="313" t="str">
        <f>IFERROR(_xlfn.XLOOKUP($D75,PE_Projections!$D:$D,PE_Projections!M:M),"")</f>
        <v/>
      </c>
      <c r="P75" s="313" t="str">
        <f>IFERROR(_xlfn.XLOOKUP($D75,PE_Projections!$D:$D,PE_Projections!N:N),"")</f>
        <v/>
      </c>
      <c r="Q75" s="313" t="str">
        <f>IFERROR(_xlfn.XLOOKUP($D75,PE_Projections!$D:$D,PE_Projections!O:O),"")</f>
        <v/>
      </c>
      <c r="R75" s="313" t="str">
        <f>IFERROR(_xlfn.XLOOKUP($D75,PE_Projections!$D:$D,PE_Projections!P:P),"")</f>
        <v/>
      </c>
      <c r="S75" s="311"/>
      <c r="T75" s="351" t="str">
        <f t="shared" si="13"/>
        <v/>
      </c>
      <c r="U75" s="351"/>
      <c r="V75" s="311"/>
      <c r="W75" s="356"/>
      <c r="X75" s="311"/>
      <c r="Y75" s="312" t="s">
        <v>146</v>
      </c>
      <c r="Z75" s="312" t="s">
        <v>133</v>
      </c>
      <c r="AA75" s="311"/>
      <c r="AB75" s="311"/>
      <c r="AC75" s="400" t="s">
        <v>1180</v>
      </c>
      <c r="AD75" s="400" t="s">
        <v>1180</v>
      </c>
      <c r="AE75" s="400" t="s">
        <v>1180</v>
      </c>
      <c r="AF75" s="311"/>
      <c r="AG75" s="311"/>
      <c r="AH75" s="385"/>
      <c r="AI75" s="311"/>
      <c r="AJ75" s="311"/>
      <c r="AK75" s="385"/>
      <c r="AL75" s="311"/>
      <c r="AM75" s="312" t="s">
        <v>41</v>
      </c>
      <c r="AN75" s="385"/>
      <c r="AO75" s="311"/>
      <c r="AP75" s="385"/>
      <c r="AQ75" s="311"/>
      <c r="AR75" s="311"/>
      <c r="AS75" s="385"/>
      <c r="AT75" s="311"/>
      <c r="AU75" s="401" t="s">
        <v>194</v>
      </c>
      <c r="AV75" s="385"/>
      <c r="AW75" s="311"/>
      <c r="AX75" s="311"/>
      <c r="AY75" s="385"/>
      <c r="AZ75" s="311"/>
      <c r="BA75" s="311"/>
      <c r="BB75" s="311"/>
      <c r="BC75" s="410"/>
      <c r="BD75" s="311"/>
      <c r="BE75" s="311"/>
      <c r="BF75" s="403"/>
      <c r="BG75" s="410"/>
      <c r="BH75" s="311"/>
      <c r="BI75" s="311"/>
      <c r="BJ75" s="311"/>
      <c r="BK75" s="410"/>
      <c r="BL75" s="311"/>
      <c r="BM75" s="311"/>
      <c r="BN75" s="311"/>
      <c r="BO75" s="410"/>
      <c r="BP75" s="311"/>
      <c r="BQ75" s="311"/>
      <c r="BR75" s="311"/>
      <c r="BS75" s="410"/>
      <c r="BT75" s="311"/>
      <c r="BU75" s="403"/>
      <c r="BV75" s="311"/>
      <c r="BW75" s="311"/>
      <c r="BX75" s="403"/>
      <c r="BY75" s="311"/>
      <c r="BZ75" s="311"/>
      <c r="CA75" s="403"/>
      <c r="CB75" s="311"/>
      <c r="CC75" s="311"/>
      <c r="CD75" s="311"/>
      <c r="CE75" s="407"/>
      <c r="CF75" s="368" t="str">
        <f>IF(CE75&gt;='Conviction List'!$D$8,1,"")</f>
        <v/>
      </c>
      <c r="CG75" s="312">
        <f>IF(M75&lt;='Conviction List'!$E$8,1,"")</f>
        <v>1</v>
      </c>
      <c r="CH75" s="312" t="str">
        <f>IF(BG75&gt;='Conviction List'!$F$8,1,"")</f>
        <v/>
      </c>
      <c r="CI75" s="312" t="str">
        <f>IF(BK75&gt;='Conviction List'!$G$8,1,"")</f>
        <v/>
      </c>
      <c r="CJ75" s="365">
        <f t="shared" si="14"/>
        <v>1</v>
      </c>
      <c r="CK75" s="424">
        <f t="shared" ca="1" si="15"/>
        <v>77</v>
      </c>
    </row>
    <row r="76" spans="2:89" x14ac:dyDescent="0.25">
      <c r="B76" s="312">
        <f t="shared" si="12"/>
        <v>74</v>
      </c>
      <c r="C76" s="381" t="s">
        <v>404</v>
      </c>
      <c r="D76" s="349" t="s">
        <v>483</v>
      </c>
      <c r="E76" s="311"/>
      <c r="F76" s="350" t="e">
        <f>_xlfn.XLOOKUP(CCA_Defense!$D76,BB_Input!$C$4:$C$172,BB_Input!$G$4:$G$172)</f>
        <v>#N/A</v>
      </c>
      <c r="G76" s="364">
        <v>2001</v>
      </c>
      <c r="H76" s="364">
        <f t="shared" ca="1" si="16"/>
        <v>25</v>
      </c>
      <c r="I76" s="313" t="s">
        <v>358</v>
      </c>
      <c r="J76" s="313" t="s">
        <v>965</v>
      </c>
      <c r="K76" s="313"/>
      <c r="L76" s="313"/>
      <c r="M76" s="311"/>
      <c r="N76" s="313" t="str">
        <f>IFERROR(_xlfn.XLOOKUP($D76,PE_Projections!$D:$D,PE_Projections!L:L),"")</f>
        <v/>
      </c>
      <c r="O76" s="313" t="str">
        <f>IFERROR(_xlfn.XLOOKUP($D76,PE_Projections!$D:$D,PE_Projections!M:M),"")</f>
        <v/>
      </c>
      <c r="P76" s="313" t="str">
        <f>IFERROR(_xlfn.XLOOKUP($D76,PE_Projections!$D:$D,PE_Projections!N:N),"")</f>
        <v/>
      </c>
      <c r="Q76" s="313" t="str">
        <f>IFERROR(_xlfn.XLOOKUP($D76,PE_Projections!$D:$D,PE_Projections!O:O),"")</f>
        <v/>
      </c>
      <c r="R76" s="313" t="str">
        <f>IFERROR(_xlfn.XLOOKUP($D76,PE_Projections!$D:$D,PE_Projections!P:P),"")</f>
        <v/>
      </c>
      <c r="S76" s="311"/>
      <c r="T76" s="351" t="str">
        <f t="shared" si="13"/>
        <v/>
      </c>
      <c r="U76" s="351"/>
      <c r="V76" s="311"/>
      <c r="W76" s="356">
        <v>4.2</v>
      </c>
      <c r="X76" s="311"/>
      <c r="Y76" s="312" t="s">
        <v>145</v>
      </c>
      <c r="Z76" s="312" t="s">
        <v>133</v>
      </c>
      <c r="AA76" s="311"/>
      <c r="AB76" s="311"/>
      <c r="AC76" s="400" t="s">
        <v>1180</v>
      </c>
      <c r="AD76" s="400" t="s">
        <v>1180</v>
      </c>
      <c r="AE76" s="400" t="s">
        <v>1180</v>
      </c>
      <c r="AF76" s="311"/>
      <c r="AG76" s="311"/>
      <c r="AH76" s="385"/>
      <c r="AI76" s="311"/>
      <c r="AJ76" s="311"/>
      <c r="AK76" s="385"/>
      <c r="AL76" s="311"/>
      <c r="AM76" s="311"/>
      <c r="AN76" s="385"/>
      <c r="AO76" s="311"/>
      <c r="AP76" s="385"/>
      <c r="AQ76" s="312" t="s">
        <v>41</v>
      </c>
      <c r="AR76" s="311"/>
      <c r="AS76" s="385"/>
      <c r="AT76" s="311"/>
      <c r="AU76" s="401" t="s">
        <v>196</v>
      </c>
      <c r="AV76" s="385"/>
      <c r="AW76" s="311"/>
      <c r="AX76" s="311"/>
      <c r="AY76" s="413">
        <v>125</v>
      </c>
      <c r="AZ76" s="311"/>
      <c r="BA76" s="311"/>
      <c r="BB76" s="311"/>
      <c r="BC76" s="410"/>
      <c r="BD76" s="311"/>
      <c r="BE76" s="311"/>
      <c r="BF76" s="403"/>
      <c r="BG76" s="410"/>
      <c r="BH76" s="311"/>
      <c r="BI76" s="311"/>
      <c r="BJ76" s="311"/>
      <c r="BK76" s="410"/>
      <c r="BL76" s="311"/>
      <c r="BM76" s="311"/>
      <c r="BN76" s="311"/>
      <c r="BO76" s="410"/>
      <c r="BP76" s="311"/>
      <c r="BQ76" s="311"/>
      <c r="BR76" s="311"/>
      <c r="BS76" s="410"/>
      <c r="BT76" s="311"/>
      <c r="BU76" s="403"/>
      <c r="BV76" s="311"/>
      <c r="BW76" s="311"/>
      <c r="BX76" s="403"/>
      <c r="BY76" s="311"/>
      <c r="BZ76" s="311"/>
      <c r="CA76" s="403"/>
      <c r="CB76" s="311"/>
      <c r="CC76" s="311"/>
      <c r="CD76" s="311"/>
      <c r="CE76" s="407"/>
      <c r="CF76" s="368" t="str">
        <f>IF(CE76&gt;='Conviction List'!$D$8,1,"")</f>
        <v/>
      </c>
      <c r="CG76" s="312">
        <f>IF(M76&lt;='Conviction List'!$E$8,1,"")</f>
        <v>1</v>
      </c>
      <c r="CH76" s="312" t="str">
        <f>IF(BG76&gt;='Conviction List'!$F$8,1,"")</f>
        <v/>
      </c>
      <c r="CI76" s="312" t="str">
        <f>IF(BK76&gt;='Conviction List'!$G$8,1,"")</f>
        <v/>
      </c>
      <c r="CJ76" s="365">
        <f t="shared" si="14"/>
        <v>1</v>
      </c>
      <c r="CK76" s="424">
        <f t="shared" ca="1" si="15"/>
        <v>78</v>
      </c>
    </row>
    <row r="77" spans="2:89" x14ac:dyDescent="0.25">
      <c r="B77" s="366">
        <f t="shared" si="12"/>
        <v>75</v>
      </c>
      <c r="C77" s="311" t="s">
        <v>106</v>
      </c>
      <c r="D77" s="349" t="s">
        <v>113</v>
      </c>
      <c r="E77" s="312" t="s">
        <v>113</v>
      </c>
      <c r="F77" s="350">
        <f>_xlfn.XLOOKUP(CCA_Defense!$D77,BB_Input!$C$4:$C$172,BB_Input!$G$4:$G$172)</f>
        <v>528.31030807688762</v>
      </c>
      <c r="G77" s="364">
        <v>1991</v>
      </c>
      <c r="H77" s="364">
        <f t="shared" ca="1" si="16"/>
        <v>35</v>
      </c>
      <c r="I77" s="313" t="s">
        <v>280</v>
      </c>
      <c r="J77" s="313" t="s">
        <v>975</v>
      </c>
      <c r="K77" s="313"/>
      <c r="L77" s="313" t="s">
        <v>1085</v>
      </c>
      <c r="M77" s="312">
        <v>64</v>
      </c>
      <c r="N77" s="313">
        <f>IFERROR(_xlfn.XLOOKUP($D77,PE_Projections!$D:$D,PE_Projections!L:L),"")</f>
        <v>68.982587497753329</v>
      </c>
      <c r="O77" s="313">
        <f>IFERROR(_xlfn.XLOOKUP($D77,PE_Projections!$D:$D,PE_Projections!M:M),"")</f>
        <v>40.407862717885486</v>
      </c>
      <c r="P77" s="313">
        <f>IFERROR(_xlfn.XLOOKUP($D77,PE_Projections!$D:$D,PE_Projections!N:N),"")</f>
        <v>23.669674169306241</v>
      </c>
      <c r="Q77" s="313">
        <f>IFERROR(_xlfn.XLOOKUP($D77,PE_Projections!$D:$D,PE_Projections!O:O),"")</f>
        <v>13.864961856375084</v>
      </c>
      <c r="R77" s="313">
        <f>IFERROR(_xlfn.XLOOKUP($D77,PE_Projections!$D:$D,PE_Projections!P:P),"")</f>
        <v>8.1216651274405987</v>
      </c>
      <c r="S77" s="311"/>
      <c r="T77" s="351">
        <f t="shared" si="13"/>
        <v>0.70715753959488648</v>
      </c>
      <c r="U77" s="351">
        <f>(35%+40%)/2</f>
        <v>0.375</v>
      </c>
      <c r="V77" s="351">
        <f>AVERAGE(60%,70%)</f>
        <v>0.64999999999999991</v>
      </c>
      <c r="W77" s="356"/>
      <c r="X77" s="313" t="str" cm="1">
        <f t="array" ref="X77">_xlfn.IFS($F77&lt;Glossary!$C$54,Glossary!$B$54,$F77&lt;Glossary!$C$55,Glossary!$B$55,$F77&gt;Glossary!$C$56,Glossary!$B$56)</f>
        <v>Small Cap</v>
      </c>
      <c r="Y77" s="313" t="s">
        <v>145</v>
      </c>
      <c r="Z77" s="313" t="s">
        <v>133</v>
      </c>
      <c r="AA77" s="351">
        <v>0.79820000000000002</v>
      </c>
      <c r="AB77" s="423" t="s">
        <v>457</v>
      </c>
      <c r="AC77" s="400" t="s">
        <v>1180</v>
      </c>
      <c r="AD77" s="400" t="s">
        <v>1180</v>
      </c>
      <c r="AE77" s="400" t="s">
        <v>1180</v>
      </c>
      <c r="AF77" s="423"/>
      <c r="AG77" s="309"/>
      <c r="AH77" s="385"/>
      <c r="AI77" s="311"/>
      <c r="AJ77" s="311"/>
      <c r="AK77" s="385"/>
      <c r="AL77" s="311"/>
      <c r="AM77" s="311"/>
      <c r="AN77" s="385"/>
      <c r="AO77" s="311"/>
      <c r="AP77" s="373" t="s">
        <v>41</v>
      </c>
      <c r="AQ77" s="372" t="s">
        <v>41</v>
      </c>
      <c r="AR77" s="372" t="s">
        <v>41</v>
      </c>
      <c r="AS77" s="385"/>
      <c r="AT77" s="313" t="s">
        <v>41</v>
      </c>
      <c r="AU77" s="354" t="s">
        <v>264</v>
      </c>
      <c r="AV77" s="353"/>
      <c r="AW77" s="313"/>
      <c r="AX77" s="313"/>
      <c r="AY77" s="353">
        <v>58</v>
      </c>
      <c r="AZ77" s="313">
        <v>24</v>
      </c>
      <c r="BA77" s="313">
        <v>11</v>
      </c>
      <c r="BB77" s="313">
        <v>4</v>
      </c>
      <c r="BC77" s="355">
        <v>56.3</v>
      </c>
      <c r="BD77" s="356">
        <v>40</v>
      </c>
      <c r="BE77" s="356"/>
      <c r="BF77" s="357"/>
      <c r="BG77" s="358">
        <v>0.23799999999999999</v>
      </c>
      <c r="BH77" s="359">
        <v>0.54400000000000004</v>
      </c>
      <c r="BI77" s="359">
        <v>0.309</v>
      </c>
      <c r="BJ77" s="359">
        <v>0.123</v>
      </c>
      <c r="BK77" s="358">
        <v>0.2147</v>
      </c>
      <c r="BL77" s="359">
        <v>0.46700000000000003</v>
      </c>
      <c r="BM77" s="359">
        <v>0.309</v>
      </c>
      <c r="BN77" s="359">
        <v>0.122</v>
      </c>
      <c r="BO77" s="355"/>
      <c r="BP77" s="356"/>
      <c r="BQ77" s="356"/>
      <c r="BR77" s="313"/>
      <c r="BS77" s="355">
        <v>0.11</v>
      </c>
      <c r="BT77" s="356">
        <v>0.23</v>
      </c>
      <c r="BU77" s="360">
        <v>0.2</v>
      </c>
      <c r="BV77" s="359"/>
      <c r="BW77" s="359"/>
      <c r="BX77" s="361"/>
      <c r="BY77" s="359"/>
      <c r="BZ77" s="359"/>
      <c r="CA77" s="361"/>
      <c r="CB77" s="359"/>
      <c r="CC77" s="359"/>
      <c r="CD77" s="359"/>
      <c r="CE77" s="362">
        <f>IFERROR(RATE(4,,BB77,-AY77),"")</f>
        <v>0.95138067863037779</v>
      </c>
      <c r="CF77" s="408">
        <f>IF(CE77&gt;='Conviction List'!$D$4,1,"")</f>
        <v>1</v>
      </c>
      <c r="CG77" s="364">
        <f>IF(M75&lt;='Conviction List'!$E$4,1,"")</f>
        <v>1</v>
      </c>
      <c r="CH77" s="364">
        <f>IF(BG77&gt;='Conviction List'!$F$4,1,"")</f>
        <v>1</v>
      </c>
      <c r="CI77" s="364">
        <f>IF(BK77&gt;='Conviction List'!$G$4,1,"")</f>
        <v>1</v>
      </c>
      <c r="CJ77" s="365">
        <f t="shared" si="14"/>
        <v>4</v>
      </c>
      <c r="CK77" s="424">
        <f t="shared" ca="1" si="15"/>
        <v>24</v>
      </c>
    </row>
    <row r="78" spans="2:89" x14ac:dyDescent="0.25">
      <c r="B78" s="312">
        <f t="shared" ref="B78:B84" si="17">B77+1</f>
        <v>76</v>
      </c>
      <c r="C78" s="381" t="s">
        <v>475</v>
      </c>
      <c r="D78" s="349" t="s">
        <v>477</v>
      </c>
      <c r="E78" s="312" t="s">
        <v>477</v>
      </c>
      <c r="F78" s="350">
        <f>_xlfn.XLOOKUP(CCA_Defense!$D78,BB_Input!$C$4:$C$172,BB_Input!$G$4:$G$172)</f>
        <v>40.354107655973408</v>
      </c>
      <c r="G78" s="364">
        <v>2012</v>
      </c>
      <c r="H78" s="364">
        <f t="shared" ca="1" si="16"/>
        <v>14</v>
      </c>
      <c r="I78" s="313" t="s">
        <v>280</v>
      </c>
      <c r="J78" s="313" t="s">
        <v>976</v>
      </c>
      <c r="K78" s="313"/>
      <c r="L78" s="313"/>
      <c r="M78" s="399">
        <v>107</v>
      </c>
      <c r="N78" s="313">
        <f>IFERROR(_xlfn.XLOOKUP($D78,PE_Projections!$D:$D,PE_Projections!L:L),"")</f>
        <v>72.408949814753399</v>
      </c>
      <c r="O78" s="313">
        <f>IFERROR(_xlfn.XLOOKUP($D78,PE_Projections!$D:$D,PE_Projections!M:M),"")</f>
        <v>46.848027298911255</v>
      </c>
      <c r="P78" s="313">
        <f>IFERROR(_xlfn.XLOOKUP($D78,PE_Projections!$D:$D,PE_Projections!N:N),"")</f>
        <v>30.310309256168136</v>
      </c>
      <c r="Q78" s="313">
        <f>IFERROR(_xlfn.XLOOKUP($D78,PE_Projections!$D:$D,PE_Projections!O:O),"")</f>
        <v>19.610534320746151</v>
      </c>
      <c r="R78" s="313">
        <f>IFERROR(_xlfn.XLOOKUP($D78,PE_Projections!$D:$D,PE_Projections!P:P),"")</f>
        <v>12.687863165464147</v>
      </c>
      <c r="S78" s="312">
        <v>28</v>
      </c>
      <c r="T78" s="351">
        <f t="shared" ref="T78:T80" si="18">IFERROR(RATE(5,,BB78,-AY78),"")</f>
        <v>0.48616695773039964</v>
      </c>
      <c r="U78" s="351"/>
      <c r="V78" s="400">
        <v>0.57499999999999996</v>
      </c>
      <c r="W78" s="356">
        <v>2.2999999999999998</v>
      </c>
      <c r="X78" s="313" t="str" cm="1">
        <f t="array" ref="X78">_xlfn.IFS($F78&lt;Glossary!$C$54,Glossary!$B$54,$F78&lt;Glossary!$C$55,Glossary!$B$55,$F78&gt;Glossary!$C$56,Glossary!$B$56)</f>
        <v>Small Cap</v>
      </c>
      <c r="Y78" s="312" t="s">
        <v>188</v>
      </c>
      <c r="Z78" s="312" t="s">
        <v>134</v>
      </c>
      <c r="AA78" s="400">
        <v>0.42449999999999999</v>
      </c>
      <c r="AB78" s="311"/>
      <c r="AC78" s="400" t="s">
        <v>1180</v>
      </c>
      <c r="AD78" s="400" t="s">
        <v>1181</v>
      </c>
      <c r="AE78" s="400" t="s">
        <v>1181</v>
      </c>
      <c r="AF78" s="311"/>
      <c r="AG78" s="311"/>
      <c r="AH78" s="385"/>
      <c r="AI78" s="311"/>
      <c r="AJ78" s="311"/>
      <c r="AK78" s="385"/>
      <c r="AL78" s="311"/>
      <c r="AM78" s="311"/>
      <c r="AN78" s="385"/>
      <c r="AO78" s="311"/>
      <c r="AP78" s="385"/>
      <c r="AQ78" s="312"/>
      <c r="AR78" s="311"/>
      <c r="AS78" s="385"/>
      <c r="AT78" s="312" t="s">
        <v>41</v>
      </c>
      <c r="AU78" s="401" t="s">
        <v>199</v>
      </c>
      <c r="AV78" s="353">
        <f>16520925/10^6</f>
        <v>16.520924999999998</v>
      </c>
      <c r="AW78" s="364">
        <f>12143325/10^6</f>
        <v>12.143325000000001</v>
      </c>
      <c r="AX78" s="364">
        <f>13382257/10^6</f>
        <v>13.382256999999999</v>
      </c>
      <c r="AY78" s="353">
        <v>5.8</v>
      </c>
      <c r="AZ78" s="313">
        <v>4.55</v>
      </c>
      <c r="BA78" s="313">
        <v>3.1</v>
      </c>
      <c r="BB78" s="313">
        <v>0.8</v>
      </c>
      <c r="BC78" s="402"/>
      <c r="BD78" s="311"/>
      <c r="BE78" s="311"/>
      <c r="BF78" s="403"/>
      <c r="BG78" s="410"/>
      <c r="BH78" s="311"/>
      <c r="BI78" s="311"/>
      <c r="BJ78" s="311"/>
      <c r="BK78" s="410"/>
      <c r="BL78" s="311"/>
      <c r="BM78" s="311"/>
      <c r="BN78" s="311"/>
      <c r="BO78" s="410"/>
      <c r="BP78" s="311"/>
      <c r="BQ78" s="311"/>
      <c r="BR78" s="311"/>
      <c r="BS78" s="410"/>
      <c r="BT78" s="311"/>
      <c r="BU78" s="403"/>
      <c r="BV78" s="311"/>
      <c r="BW78" s="311"/>
      <c r="BX78" s="403"/>
      <c r="BY78" s="311"/>
      <c r="BZ78" s="311"/>
      <c r="CA78" s="403"/>
      <c r="CB78" s="311"/>
      <c r="CC78" s="311"/>
      <c r="CD78" s="311"/>
      <c r="CE78" s="407"/>
      <c r="CF78" s="368" t="str">
        <f>IF(CE78&gt;='Conviction List'!$D$8,1,"")</f>
        <v/>
      </c>
      <c r="CG78" s="312" t="str">
        <f>IF(M78&lt;='Conviction List'!$E$8,1,"")</f>
        <v/>
      </c>
      <c r="CH78" s="312" t="str">
        <f>IF(BG78&gt;='Conviction List'!$F$8,1,"")</f>
        <v/>
      </c>
      <c r="CI78" s="312" t="str">
        <f>IF(BK78&gt;='Conviction List'!$G$8,1,"")</f>
        <v/>
      </c>
      <c r="CJ78" s="365">
        <f t="shared" ref="CJ78:CJ79" si="19">SUM(CF78:CI78)</f>
        <v>0</v>
      </c>
      <c r="CK78" s="424">
        <f t="shared" ca="1" si="15"/>
        <v>80</v>
      </c>
    </row>
    <row r="79" spans="2:89" x14ac:dyDescent="0.25">
      <c r="B79" s="312">
        <f t="shared" si="17"/>
        <v>77</v>
      </c>
      <c r="C79" s="381" t="s">
        <v>1016</v>
      </c>
      <c r="D79" s="349" t="s">
        <v>1017</v>
      </c>
      <c r="E79" s="312" t="s">
        <v>1017</v>
      </c>
      <c r="F79" s="350">
        <f>_xlfn.XLOOKUP(CCA_Defense!$D79,BB_Input!$C$4:$C$172,BB_Input!$G$4:$G$172)</f>
        <v>3055.6101096825096</v>
      </c>
      <c r="G79" s="364">
        <v>1963</v>
      </c>
      <c r="H79" s="364">
        <f t="shared" ca="1" si="16"/>
        <v>63</v>
      </c>
      <c r="I79" s="313" t="s">
        <v>280</v>
      </c>
      <c r="J79" s="313" t="s">
        <v>1018</v>
      </c>
      <c r="K79" s="313"/>
      <c r="L79" s="313"/>
      <c r="M79" s="399">
        <v>396</v>
      </c>
      <c r="N79" s="313">
        <f>IFERROR(_xlfn.XLOOKUP($D79,PE_Projections!$D:$D,PE_Projections!L:L),"")</f>
        <v>282.73659265365001</v>
      </c>
      <c r="O79" s="313">
        <f>IFERROR(_xlfn.XLOOKUP($D79,PE_Projections!$D:$D,PE_Projections!M:M),"")</f>
        <v>109.57990575832602</v>
      </c>
      <c r="P79" s="313">
        <f>IFERROR(_xlfn.XLOOKUP($D79,PE_Projections!$D:$D,PE_Projections!N:N),"")</f>
        <v>40.911530548349582</v>
      </c>
      <c r="Q79" s="313">
        <f>IFERROR(_xlfn.XLOOKUP($D79,PE_Projections!$D:$D,PE_Projections!O:O),"")</f>
        <v>23.17412260978066</v>
      </c>
      <c r="R79" s="313" t="str">
        <f>IFERROR(_xlfn.XLOOKUP($D79,PE_Projections!$D:$D,PE_Projections!P:P),"")</f>
        <v/>
      </c>
      <c r="S79" s="312">
        <v>54</v>
      </c>
      <c r="T79" s="351">
        <f t="shared" si="18"/>
        <v>0.11452879670818686</v>
      </c>
      <c r="U79" s="351"/>
      <c r="V79" s="400" t="s">
        <v>1020</v>
      </c>
      <c r="W79" s="356"/>
      <c r="X79" s="313" t="str" cm="1">
        <f t="array" ref="X79">_xlfn.IFS($F79&lt;Glossary!$C$54,Glossary!$B$54,$F79&lt;Glossary!$C$55,Glossary!$B$55,$F79&gt;Glossary!$C$56,Glossary!$B$56)</f>
        <v>Mid Cap</v>
      </c>
      <c r="Y79" s="312" t="s">
        <v>152</v>
      </c>
      <c r="Z79" s="312" t="s">
        <v>134</v>
      </c>
      <c r="AA79" s="400">
        <v>0.59750000000000003</v>
      </c>
      <c r="AB79" s="311"/>
      <c r="AC79" s="400" t="s">
        <v>1180</v>
      </c>
      <c r="AD79" s="400" t="s">
        <v>1180</v>
      </c>
      <c r="AE79" s="400" t="s">
        <v>1180</v>
      </c>
      <c r="AF79" s="311"/>
      <c r="AG79" s="311"/>
      <c r="AH79" s="385"/>
      <c r="AI79" s="311"/>
      <c r="AJ79" s="311"/>
      <c r="AK79" s="385"/>
      <c r="AL79" s="311"/>
      <c r="AM79" s="311"/>
      <c r="AN79" s="385"/>
      <c r="AO79" s="311"/>
      <c r="AP79" s="385"/>
      <c r="AQ79" s="312"/>
      <c r="AR79" s="311"/>
      <c r="AS79" s="379" t="s">
        <v>41</v>
      </c>
      <c r="AT79" s="312"/>
      <c r="AU79" s="401" t="s">
        <v>199</v>
      </c>
      <c r="AV79" s="353">
        <f>14984126/10^6</f>
        <v>14.984126</v>
      </c>
      <c r="AW79" s="364">
        <f>14440873/10^6</f>
        <v>14.440873</v>
      </c>
      <c r="AX79" s="364">
        <f>13382257/10^6</f>
        <v>13.382256999999999</v>
      </c>
      <c r="AY79" s="353">
        <v>36.200000000000003</v>
      </c>
      <c r="AZ79" s="313">
        <v>30.22</v>
      </c>
      <c r="BA79" s="313">
        <v>25.8</v>
      </c>
      <c r="BB79" s="313">
        <v>21.05</v>
      </c>
      <c r="BC79" s="402">
        <v>303</v>
      </c>
      <c r="BD79" s="366">
        <v>169</v>
      </c>
      <c r="BE79" s="414">
        <v>55.3</v>
      </c>
      <c r="BF79" s="365">
        <v>63.8</v>
      </c>
      <c r="BG79" s="358">
        <v>2.5999999999999999E-2</v>
      </c>
      <c r="BH79" s="359">
        <v>3.7999999999999999E-2</v>
      </c>
      <c r="BI79" s="359">
        <v>6.7000000000000004E-2</v>
      </c>
      <c r="BJ79" s="359">
        <v>5.7000000000000002E-2</v>
      </c>
      <c r="BK79" s="358">
        <v>4.07E-2</v>
      </c>
      <c r="BL79" s="359">
        <v>6.7599999999999993E-2</v>
      </c>
      <c r="BM79" s="359">
        <v>0.1085</v>
      </c>
      <c r="BN79" s="359">
        <v>0.1051</v>
      </c>
      <c r="BO79" s="410"/>
      <c r="BP79" s="311"/>
      <c r="BQ79" s="311"/>
      <c r="BR79" s="311"/>
      <c r="BS79" s="410"/>
      <c r="BT79" s="311"/>
      <c r="BU79" s="403"/>
      <c r="BV79" s="311"/>
      <c r="BW79" s="311"/>
      <c r="BX79" s="403"/>
      <c r="BY79" s="311"/>
      <c r="BZ79" s="311"/>
      <c r="CA79" s="403"/>
      <c r="CB79" s="311"/>
      <c r="CC79" s="311"/>
      <c r="CD79" s="311"/>
      <c r="CE79" s="407"/>
      <c r="CF79" s="368" t="str">
        <f>IF(CE79&gt;='Conviction List'!$D$8,1,"")</f>
        <v/>
      </c>
      <c r="CG79" s="312" t="str">
        <f>IF(M79&lt;='Conviction List'!$E$8,1,"")</f>
        <v/>
      </c>
      <c r="CH79" s="312" t="str">
        <f>IF(BG79&gt;='Conviction List'!$F$8,1,"")</f>
        <v/>
      </c>
      <c r="CI79" s="312" t="str">
        <f>IF(BK79&gt;='Conviction List'!$G$8,1,"")</f>
        <v/>
      </c>
      <c r="CJ79" s="365">
        <f t="shared" si="19"/>
        <v>0</v>
      </c>
      <c r="CK79" s="424">
        <f t="shared" ca="1" si="15"/>
        <v>81</v>
      </c>
    </row>
    <row r="80" spans="2:89" x14ac:dyDescent="0.25">
      <c r="B80" s="312">
        <f t="shared" si="17"/>
        <v>78</v>
      </c>
      <c r="C80" s="381" t="s">
        <v>1022</v>
      </c>
      <c r="D80" s="349" t="s">
        <v>1028</v>
      </c>
      <c r="E80" s="312" t="s">
        <v>1023</v>
      </c>
      <c r="F80" s="350">
        <f>_xlfn.XLOOKUP(CCA_Defense!$D80,BB_Input!$C$4:$C$172,BB_Input!$G$4:$G$172)</f>
        <v>54.37792102991947</v>
      </c>
      <c r="G80" s="364">
        <v>1984</v>
      </c>
      <c r="H80" s="364">
        <f t="shared" ca="1" si="16"/>
        <v>42</v>
      </c>
      <c r="I80" s="313" t="s">
        <v>280</v>
      </c>
      <c r="J80" s="313" t="s">
        <v>1018</v>
      </c>
      <c r="K80" s="313"/>
      <c r="L80" s="313"/>
      <c r="M80" s="399">
        <v>68.900000000000006</v>
      </c>
      <c r="N80" s="313" t="str">
        <f>IFERROR(_xlfn.XLOOKUP($D80,PE_Projections!$D:$D,PE_Projections!L:L),"")</f>
        <v/>
      </c>
      <c r="O80" s="313" t="str">
        <f>IFERROR(_xlfn.XLOOKUP($D80,PE_Projections!$D:$D,PE_Projections!M:M),"")</f>
        <v/>
      </c>
      <c r="P80" s="313" t="str">
        <f>IFERROR(_xlfn.XLOOKUP($D80,PE_Projections!$D:$D,PE_Projections!N:N),"")</f>
        <v/>
      </c>
      <c r="Q80" s="313" t="str">
        <f>IFERROR(_xlfn.XLOOKUP($D80,PE_Projections!$D:$D,PE_Projections!O:O),"")</f>
        <v/>
      </c>
      <c r="R80" s="313" t="str">
        <f>IFERROR(_xlfn.XLOOKUP($D80,PE_Projections!$D:$D,PE_Projections!P:P),"")</f>
        <v/>
      </c>
      <c r="S80" s="312">
        <v>2</v>
      </c>
      <c r="T80" s="351" t="str">
        <f t="shared" si="18"/>
        <v/>
      </c>
      <c r="U80" s="351"/>
      <c r="V80" s="400" t="s">
        <v>1024</v>
      </c>
      <c r="W80" s="356"/>
      <c r="X80" s="313" t="str" cm="1">
        <f t="array" ref="X80">_xlfn.IFS($F80&lt;Glossary!$C$54,Glossary!$B$54,$F80&lt;Glossary!$C$55,Glossary!$B$55,$F80&gt;Glossary!$C$56,Glossary!$B$56)</f>
        <v>Small Cap</v>
      </c>
      <c r="Y80" s="312" t="s">
        <v>1025</v>
      </c>
      <c r="Z80" s="312" t="s">
        <v>134</v>
      </c>
      <c r="AA80" s="400">
        <v>0.52</v>
      </c>
      <c r="AB80" s="311"/>
      <c r="AC80" s="400" t="s">
        <v>1180</v>
      </c>
      <c r="AD80" s="400" t="s">
        <v>1181</v>
      </c>
      <c r="AE80" s="400" t="s">
        <v>1181</v>
      </c>
      <c r="AF80" s="311"/>
      <c r="AG80" s="311"/>
      <c r="AH80" s="385"/>
      <c r="AI80" s="311"/>
      <c r="AJ80" s="311"/>
      <c r="AK80" s="385"/>
      <c r="AL80" s="311"/>
      <c r="AM80" s="311"/>
      <c r="AN80" s="385"/>
      <c r="AO80" s="311"/>
      <c r="AP80" s="385"/>
      <c r="AQ80" s="312"/>
      <c r="AR80" s="311"/>
      <c r="AS80" s="379" t="s">
        <v>41</v>
      </c>
      <c r="AT80" s="312"/>
      <c r="AU80" s="401" t="s">
        <v>199</v>
      </c>
      <c r="AV80" s="353"/>
      <c r="AW80" s="364"/>
      <c r="AX80" s="364"/>
      <c r="AY80" s="353"/>
      <c r="AZ80" s="313"/>
      <c r="BA80" s="313"/>
      <c r="BB80" s="313"/>
      <c r="BC80" s="402"/>
      <c r="BD80" s="366"/>
      <c r="BE80" s="414"/>
      <c r="BF80" s="365"/>
      <c r="BG80" s="358"/>
      <c r="BH80" s="359"/>
      <c r="BI80" s="359"/>
      <c r="BJ80" s="359"/>
      <c r="BK80" s="358"/>
      <c r="BL80" s="359"/>
      <c r="BM80" s="359"/>
      <c r="BN80" s="359"/>
      <c r="BO80" s="410"/>
      <c r="BP80" s="311"/>
      <c r="BQ80" s="311"/>
      <c r="BR80" s="311"/>
      <c r="BS80" s="410"/>
      <c r="BT80" s="311"/>
      <c r="BU80" s="403"/>
      <c r="BV80" s="311"/>
      <c r="BW80" s="311"/>
      <c r="BX80" s="403"/>
      <c r="BY80" s="311"/>
      <c r="BZ80" s="311"/>
      <c r="CA80" s="403"/>
      <c r="CB80" s="311"/>
      <c r="CC80" s="311"/>
      <c r="CD80" s="311"/>
      <c r="CE80" s="407"/>
      <c r="CF80" s="368"/>
      <c r="CG80" s="312"/>
      <c r="CH80" s="312"/>
      <c r="CI80" s="312"/>
      <c r="CJ80" s="365"/>
      <c r="CK80" s="424">
        <f t="shared" ca="1" si="15"/>
        <v>82</v>
      </c>
    </row>
    <row r="81" spans="2:89" x14ac:dyDescent="0.25">
      <c r="B81" s="312">
        <f t="shared" si="17"/>
        <v>79</v>
      </c>
      <c r="C81" s="381" t="s">
        <v>1167</v>
      </c>
      <c r="D81" s="349" t="s">
        <v>1168</v>
      </c>
      <c r="E81" s="312" t="s">
        <v>1168</v>
      </c>
      <c r="F81" s="350">
        <f>_xlfn.XLOOKUP(CCA_Defense!$D81,BB_Input!$C$4:$C$172,BB_Input!$G$4:$G$172)</f>
        <v>1043.2745024711055</v>
      </c>
      <c r="G81" s="364">
        <v>2001</v>
      </c>
      <c r="H81" s="364">
        <f t="shared" ca="1" si="16"/>
        <v>25</v>
      </c>
      <c r="I81" s="313" t="s">
        <v>280</v>
      </c>
      <c r="J81" s="313"/>
      <c r="K81" s="313"/>
      <c r="L81" s="313"/>
      <c r="M81" s="399"/>
      <c r="N81" s="313"/>
      <c r="O81" s="313"/>
      <c r="P81" s="313"/>
      <c r="Q81" s="313"/>
      <c r="R81" s="313"/>
      <c r="S81" s="312"/>
      <c r="T81" s="351"/>
      <c r="U81" s="351"/>
      <c r="V81" s="400"/>
      <c r="W81" s="356"/>
      <c r="X81" s="313"/>
      <c r="Y81" s="312"/>
      <c r="Z81" s="312"/>
      <c r="AA81" s="400"/>
      <c r="AB81" s="311"/>
      <c r="AC81" s="400" t="s">
        <v>1180</v>
      </c>
      <c r="AD81" s="400" t="s">
        <v>1180</v>
      </c>
      <c r="AE81" s="400" t="s">
        <v>1180</v>
      </c>
      <c r="AF81" s="311"/>
      <c r="AG81" s="311"/>
      <c r="AH81" s="385"/>
      <c r="AI81" s="311"/>
      <c r="AJ81" s="311"/>
      <c r="AK81" s="385"/>
      <c r="AL81" s="311"/>
      <c r="AM81" s="311"/>
      <c r="AN81" s="385"/>
      <c r="AO81" s="311"/>
      <c r="AP81" s="385"/>
      <c r="AQ81" s="312"/>
      <c r="AR81" s="311"/>
      <c r="AS81" s="379"/>
      <c r="AT81" s="312"/>
      <c r="AU81" s="401"/>
      <c r="AV81" s="353"/>
      <c r="AW81" s="364"/>
      <c r="AX81" s="364"/>
      <c r="AY81" s="353"/>
      <c r="AZ81" s="313"/>
      <c r="BA81" s="313"/>
      <c r="BB81" s="313"/>
      <c r="BC81" s="402"/>
      <c r="BD81" s="366"/>
      <c r="BE81" s="414"/>
      <c r="BF81" s="365"/>
      <c r="BG81" s="358"/>
      <c r="BH81" s="359"/>
      <c r="BI81" s="359"/>
      <c r="BJ81" s="359"/>
      <c r="BK81" s="358"/>
      <c r="BL81" s="359"/>
      <c r="BM81" s="359"/>
      <c r="BN81" s="359"/>
      <c r="BO81" s="410"/>
      <c r="BP81" s="311"/>
      <c r="BQ81" s="311"/>
      <c r="BR81" s="311"/>
      <c r="BS81" s="410"/>
      <c r="BT81" s="311"/>
      <c r="BU81" s="403"/>
      <c r="BV81" s="311"/>
      <c r="BW81" s="311"/>
      <c r="BX81" s="403"/>
      <c r="BY81" s="311"/>
      <c r="BZ81" s="311"/>
      <c r="CA81" s="403"/>
      <c r="CB81" s="311"/>
      <c r="CC81" s="311"/>
      <c r="CD81" s="311"/>
      <c r="CE81" s="407"/>
      <c r="CF81" s="368"/>
      <c r="CG81" s="312"/>
      <c r="CH81" s="312"/>
      <c r="CI81" s="312"/>
      <c r="CJ81" s="365"/>
      <c r="CK81" s="424">
        <f t="shared" ref="CK81" ca="1" si="20">MATCH($D81,INDIRECT($C$90&amp;"!$C$1:$C$164"),0)</f>
        <v>83</v>
      </c>
    </row>
    <row r="82" spans="2:89" x14ac:dyDescent="0.25">
      <c r="B82" s="312">
        <f t="shared" si="17"/>
        <v>80</v>
      </c>
      <c r="C82" s="381" t="s">
        <v>1175</v>
      </c>
      <c r="D82" s="349"/>
      <c r="E82" s="312"/>
      <c r="F82" s="350"/>
      <c r="G82" s="364">
        <v>2017</v>
      </c>
      <c r="H82" s="364">
        <f t="shared" ca="1" si="16"/>
        <v>9</v>
      </c>
      <c r="I82" s="313" t="s">
        <v>358</v>
      </c>
      <c r="J82" s="313"/>
      <c r="K82" s="313"/>
      <c r="L82" s="313"/>
      <c r="M82" s="399"/>
      <c r="N82" s="313"/>
      <c r="O82" s="313"/>
      <c r="P82" s="313"/>
      <c r="Q82" s="313"/>
      <c r="R82" s="313"/>
      <c r="S82" s="312"/>
      <c r="T82" s="351"/>
      <c r="U82" s="351"/>
      <c r="V82" s="400"/>
      <c r="W82" s="356"/>
      <c r="X82" s="313"/>
      <c r="Y82" s="312"/>
      <c r="Z82" s="312"/>
      <c r="AA82" s="400"/>
      <c r="AB82" s="311"/>
      <c r="AC82" s="400" t="s">
        <v>1180</v>
      </c>
      <c r="AD82" s="400" t="s">
        <v>1180</v>
      </c>
      <c r="AE82" s="400" t="s">
        <v>1180</v>
      </c>
      <c r="AF82" s="311"/>
      <c r="AG82" s="311"/>
      <c r="AH82" s="385"/>
      <c r="AI82" s="311"/>
      <c r="AJ82" s="311"/>
      <c r="AK82" s="385"/>
      <c r="AL82" s="311"/>
      <c r="AM82" s="311"/>
      <c r="AN82" s="385"/>
      <c r="AO82" s="311"/>
      <c r="AP82" s="385"/>
      <c r="AQ82" s="312"/>
      <c r="AR82" s="311"/>
      <c r="AS82" s="379"/>
      <c r="AT82" s="312"/>
      <c r="AU82" s="401"/>
      <c r="AV82" s="353"/>
      <c r="AW82" s="364"/>
      <c r="AX82" s="364"/>
      <c r="AY82" s="353"/>
      <c r="AZ82" s="313"/>
      <c r="BA82" s="313"/>
      <c r="BB82" s="313"/>
      <c r="BC82" s="402"/>
      <c r="BD82" s="366"/>
      <c r="BE82" s="414"/>
      <c r="BF82" s="365"/>
      <c r="BG82" s="358"/>
      <c r="BH82" s="359"/>
      <c r="BI82" s="359"/>
      <c r="BJ82" s="359"/>
      <c r="BK82" s="358"/>
      <c r="BL82" s="359"/>
      <c r="BM82" s="359"/>
      <c r="BN82" s="359"/>
      <c r="BO82" s="410"/>
      <c r="BP82" s="311"/>
      <c r="BQ82" s="311"/>
      <c r="BR82" s="311"/>
      <c r="BS82" s="410"/>
      <c r="BT82" s="311"/>
      <c r="BU82" s="403"/>
      <c r="BV82" s="311"/>
      <c r="BW82" s="311"/>
      <c r="BX82" s="403"/>
      <c r="BY82" s="311"/>
      <c r="BZ82" s="311"/>
      <c r="CA82" s="403"/>
      <c r="CB82" s="311"/>
      <c r="CC82" s="311"/>
      <c r="CD82" s="311"/>
      <c r="CE82" s="407"/>
      <c r="CF82" s="368"/>
      <c r="CG82" s="312"/>
      <c r="CH82" s="312"/>
      <c r="CI82" s="312"/>
      <c r="CJ82" s="365"/>
      <c r="CK82" s="424"/>
    </row>
    <row r="83" spans="2:89" x14ac:dyDescent="0.25">
      <c r="B83" s="312">
        <f t="shared" si="17"/>
        <v>81</v>
      </c>
      <c r="C83" s="381" t="s">
        <v>1176</v>
      </c>
      <c r="D83" s="349"/>
      <c r="E83" s="312"/>
      <c r="F83" s="350"/>
      <c r="G83" s="364">
        <v>2010</v>
      </c>
      <c r="H83" s="364">
        <f t="shared" ca="1" si="16"/>
        <v>16</v>
      </c>
      <c r="I83" s="313" t="s">
        <v>358</v>
      </c>
      <c r="J83" s="313"/>
      <c r="K83" s="313"/>
      <c r="L83" s="313"/>
      <c r="M83" s="399"/>
      <c r="N83" s="313"/>
      <c r="O83" s="313"/>
      <c r="P83" s="313"/>
      <c r="Q83" s="313"/>
      <c r="R83" s="313"/>
      <c r="S83" s="312"/>
      <c r="T83" s="351"/>
      <c r="U83" s="351"/>
      <c r="V83" s="400"/>
      <c r="W83" s="356"/>
      <c r="X83" s="313"/>
      <c r="Y83" s="312"/>
      <c r="Z83" s="312"/>
      <c r="AA83" s="400"/>
      <c r="AB83" s="311"/>
      <c r="AC83" s="400" t="s">
        <v>1180</v>
      </c>
      <c r="AD83" s="400" t="s">
        <v>1180</v>
      </c>
      <c r="AE83" s="400" t="s">
        <v>1180</v>
      </c>
      <c r="AF83" s="311"/>
      <c r="AG83" s="311"/>
      <c r="AH83" s="385"/>
      <c r="AI83" s="311"/>
      <c r="AJ83" s="311"/>
      <c r="AK83" s="385"/>
      <c r="AL83" s="311"/>
      <c r="AM83" s="311"/>
      <c r="AN83" s="385"/>
      <c r="AO83" s="311"/>
      <c r="AP83" s="385"/>
      <c r="AQ83" s="312"/>
      <c r="AR83" s="311"/>
      <c r="AS83" s="379"/>
      <c r="AT83" s="312"/>
      <c r="AU83" s="401"/>
      <c r="AV83" s="353"/>
      <c r="AW83" s="364"/>
      <c r="AX83" s="364"/>
      <c r="AY83" s="353"/>
      <c r="AZ83" s="313"/>
      <c r="BA83" s="313"/>
      <c r="BB83" s="313"/>
      <c r="BC83" s="402"/>
      <c r="BD83" s="366"/>
      <c r="BE83" s="414"/>
      <c r="BF83" s="365"/>
      <c r="BG83" s="358"/>
      <c r="BH83" s="359"/>
      <c r="BI83" s="359"/>
      <c r="BJ83" s="359"/>
      <c r="BK83" s="358"/>
      <c r="BL83" s="359"/>
      <c r="BM83" s="359"/>
      <c r="BN83" s="359"/>
      <c r="BO83" s="410"/>
      <c r="BP83" s="311"/>
      <c r="BQ83" s="311"/>
      <c r="BR83" s="311"/>
      <c r="BS83" s="410"/>
      <c r="BT83" s="311"/>
      <c r="BU83" s="403"/>
      <c r="BV83" s="311"/>
      <c r="BW83" s="311"/>
      <c r="BX83" s="403"/>
      <c r="BY83" s="311"/>
      <c r="BZ83" s="311"/>
      <c r="CA83" s="403"/>
      <c r="CB83" s="311"/>
      <c r="CC83" s="311"/>
      <c r="CD83" s="311"/>
      <c r="CE83" s="407"/>
      <c r="CF83" s="368"/>
      <c r="CG83" s="312"/>
      <c r="CH83" s="312"/>
      <c r="CI83" s="312"/>
      <c r="CJ83" s="365"/>
      <c r="CK83" s="424"/>
    </row>
    <row r="84" spans="2:89" x14ac:dyDescent="0.25">
      <c r="B84" s="312">
        <f t="shared" si="17"/>
        <v>82</v>
      </c>
      <c r="C84" s="381" t="s">
        <v>1177</v>
      </c>
      <c r="D84" s="349"/>
      <c r="E84" s="312"/>
      <c r="F84" s="350"/>
      <c r="G84" s="364">
        <v>1988</v>
      </c>
      <c r="H84" s="364">
        <f t="shared" ca="1" si="16"/>
        <v>38</v>
      </c>
      <c r="I84" s="313" t="s">
        <v>358</v>
      </c>
      <c r="J84" s="313"/>
      <c r="K84" s="313"/>
      <c r="L84" s="313"/>
      <c r="M84" s="399"/>
      <c r="N84" s="313"/>
      <c r="O84" s="313"/>
      <c r="P84" s="313"/>
      <c r="Q84" s="313"/>
      <c r="R84" s="313"/>
      <c r="S84" s="312"/>
      <c r="T84" s="351"/>
      <c r="U84" s="351"/>
      <c r="V84" s="400"/>
      <c r="W84" s="356"/>
      <c r="X84" s="313"/>
      <c r="Y84" s="312"/>
      <c r="Z84" s="312"/>
      <c r="AA84" s="400"/>
      <c r="AB84" s="311"/>
      <c r="AC84" s="400" t="s">
        <v>1180</v>
      </c>
      <c r="AD84" s="400" t="s">
        <v>1181</v>
      </c>
      <c r="AE84" s="400" t="s">
        <v>1181</v>
      </c>
      <c r="AF84" s="311"/>
      <c r="AG84" s="311"/>
      <c r="AH84" s="385"/>
      <c r="AI84" s="311"/>
      <c r="AJ84" s="311"/>
      <c r="AK84" s="385"/>
      <c r="AL84" s="311"/>
      <c r="AM84" s="311"/>
      <c r="AN84" s="385"/>
      <c r="AO84" s="311"/>
      <c r="AP84" s="385"/>
      <c r="AQ84" s="312"/>
      <c r="AR84" s="311"/>
      <c r="AS84" s="379"/>
      <c r="AT84" s="312"/>
      <c r="AU84" s="401"/>
      <c r="AV84" s="353"/>
      <c r="AW84" s="364"/>
      <c r="AX84" s="364"/>
      <c r="AY84" s="353"/>
      <c r="AZ84" s="313"/>
      <c r="BA84" s="313"/>
      <c r="BB84" s="313"/>
      <c r="BC84" s="402"/>
      <c r="BD84" s="366"/>
      <c r="BE84" s="414"/>
      <c r="BF84" s="365"/>
      <c r="BG84" s="358"/>
      <c r="BH84" s="359"/>
      <c r="BI84" s="359"/>
      <c r="BJ84" s="359"/>
      <c r="BK84" s="358"/>
      <c r="BL84" s="359"/>
      <c r="BM84" s="359"/>
      <c r="BN84" s="359"/>
      <c r="BO84" s="410"/>
      <c r="BP84" s="311"/>
      <c r="BQ84" s="311"/>
      <c r="BR84" s="311"/>
      <c r="BS84" s="410"/>
      <c r="BT84" s="311"/>
      <c r="BU84" s="403"/>
      <c r="BV84" s="311"/>
      <c r="BW84" s="311"/>
      <c r="BX84" s="403"/>
      <c r="BY84" s="311"/>
      <c r="BZ84" s="311"/>
      <c r="CA84" s="403"/>
      <c r="CB84" s="311"/>
      <c r="CC84" s="311"/>
      <c r="CD84" s="311"/>
      <c r="CE84" s="407"/>
      <c r="CF84" s="368"/>
      <c r="CG84" s="312"/>
      <c r="CH84" s="312"/>
      <c r="CI84" s="312"/>
      <c r="CJ84" s="365"/>
      <c r="CK84" s="424"/>
    </row>
    <row r="85" spans="2:89" x14ac:dyDescent="0.25">
      <c r="AW85" s="315"/>
      <c r="AX85" s="315"/>
    </row>
    <row r="86" spans="2:89" ht="14.4" x14ac:dyDescent="0.3">
      <c r="D86" s="411" t="s">
        <v>559</v>
      </c>
      <c r="AW86" s="315"/>
      <c r="AX86" s="315"/>
    </row>
    <row r="87" spans="2:89" x14ac:dyDescent="0.25">
      <c r="AW87" s="315"/>
      <c r="AX87" s="315"/>
    </row>
    <row r="88" spans="2:89" x14ac:dyDescent="0.25">
      <c r="AW88" s="315"/>
      <c r="AX88" s="315"/>
    </row>
    <row r="89" spans="2:89" x14ac:dyDescent="0.25">
      <c r="C89" s="420" t="s">
        <v>1073</v>
      </c>
      <c r="D89" s="335"/>
      <c r="E89" s="335"/>
      <c r="F89" s="335">
        <f ca="1">MATCH(F90,INDIRECT($C$90&amp;"!$C$3:$DF$3"),0)</f>
        <v>5</v>
      </c>
      <c r="G89" s="421"/>
      <c r="H89" s="421"/>
      <c r="AW89" s="315"/>
      <c r="AX89" s="315"/>
    </row>
    <row r="90" spans="2:89" x14ac:dyDescent="0.25">
      <c r="C90" s="427" t="s">
        <v>1094</v>
      </c>
      <c r="F90" s="429" t="s">
        <v>492</v>
      </c>
      <c r="G90" s="428"/>
      <c r="H90" s="428"/>
      <c r="AW90" s="315"/>
      <c r="AX90" s="315"/>
    </row>
    <row r="91" spans="2:89" x14ac:dyDescent="0.25">
      <c r="AW91" s="315"/>
      <c r="AX91" s="315"/>
    </row>
    <row r="92" spans="2:89" x14ac:dyDescent="0.25">
      <c r="AW92" s="315"/>
      <c r="AX92" s="315"/>
    </row>
    <row r="93" spans="2:89" x14ac:dyDescent="0.25">
      <c r="AW93" s="315"/>
      <c r="AX93" s="315"/>
    </row>
    <row r="94" spans="2:89" x14ac:dyDescent="0.25">
      <c r="AW94" s="315"/>
      <c r="AX94" s="315"/>
    </row>
    <row r="95" spans="2:89" x14ac:dyDescent="0.25">
      <c r="AW95" s="315"/>
      <c r="AX95" s="315"/>
    </row>
    <row r="96" spans="2:89" x14ac:dyDescent="0.25">
      <c r="AW96" s="315"/>
      <c r="AX96" s="315"/>
    </row>
    <row r="97" spans="49:50" x14ac:dyDescent="0.25">
      <c r="AW97" s="315"/>
      <c r="AX97" s="315"/>
    </row>
    <row r="98" spans="49:50" x14ac:dyDescent="0.25">
      <c r="AW98" s="315"/>
      <c r="AX98" s="315"/>
    </row>
    <row r="99" spans="49:50" x14ac:dyDescent="0.25">
      <c r="AW99" s="315"/>
      <c r="AX99" s="315"/>
    </row>
    <row r="100" spans="49:50" x14ac:dyDescent="0.25">
      <c r="AW100" s="315"/>
      <c r="AX100" s="315"/>
    </row>
    <row r="101" spans="49:50" x14ac:dyDescent="0.25">
      <c r="AW101" s="315"/>
      <c r="AX101" s="315"/>
    </row>
    <row r="102" spans="49:50" x14ac:dyDescent="0.25">
      <c r="AW102" s="315"/>
      <c r="AX102" s="315"/>
    </row>
    <row r="103" spans="49:50" x14ac:dyDescent="0.25">
      <c r="AW103" s="315"/>
      <c r="AX103" s="315"/>
    </row>
    <row r="104" spans="49:50" x14ac:dyDescent="0.25">
      <c r="AW104" s="315"/>
      <c r="AX104" s="315"/>
    </row>
    <row r="105" spans="49:50" x14ac:dyDescent="0.25">
      <c r="AW105" s="315"/>
      <c r="AX105" s="315"/>
    </row>
    <row r="106" spans="49:50" x14ac:dyDescent="0.25">
      <c r="AW106" s="315"/>
      <c r="AX106" s="315"/>
    </row>
    <row r="107" spans="49:50" x14ac:dyDescent="0.25">
      <c r="AW107" s="315"/>
      <c r="AX107" s="315"/>
    </row>
    <row r="108" spans="49:50" x14ac:dyDescent="0.25">
      <c r="AW108" s="315"/>
      <c r="AX108" s="315"/>
    </row>
    <row r="109" spans="49:50" x14ac:dyDescent="0.25">
      <c r="AW109" s="315"/>
      <c r="AX109" s="315"/>
    </row>
    <row r="110" spans="49:50" x14ac:dyDescent="0.25">
      <c r="AW110" s="315"/>
      <c r="AX110" s="315"/>
    </row>
    <row r="111" spans="49:50" x14ac:dyDescent="0.25">
      <c r="AW111" s="315"/>
      <c r="AX111" s="315"/>
    </row>
    <row r="112" spans="49:50" x14ac:dyDescent="0.25">
      <c r="AW112" s="315"/>
      <c r="AX112" s="315"/>
    </row>
    <row r="113" spans="49:50" x14ac:dyDescent="0.25">
      <c r="AW113" s="315"/>
      <c r="AX113" s="315"/>
    </row>
    <row r="114" spans="49:50" x14ac:dyDescent="0.25">
      <c r="AW114" s="315"/>
      <c r="AX114" s="315"/>
    </row>
    <row r="115" spans="49:50" x14ac:dyDescent="0.25">
      <c r="AW115" s="315"/>
      <c r="AX115" s="315"/>
    </row>
    <row r="116" spans="49:50" x14ac:dyDescent="0.25">
      <c r="AW116" s="315"/>
      <c r="AX116" s="315"/>
    </row>
    <row r="117" spans="49:50" x14ac:dyDescent="0.25">
      <c r="AW117" s="315"/>
      <c r="AX117" s="315"/>
    </row>
    <row r="118" spans="49:50" x14ac:dyDescent="0.25">
      <c r="AW118" s="315"/>
      <c r="AX118" s="315"/>
    </row>
    <row r="119" spans="49:50" x14ac:dyDescent="0.25">
      <c r="AW119" s="315"/>
      <c r="AX119" s="315"/>
    </row>
    <row r="120" spans="49:50" x14ac:dyDescent="0.25">
      <c r="AW120" s="315"/>
      <c r="AX120" s="315"/>
    </row>
    <row r="121" spans="49:50" x14ac:dyDescent="0.25">
      <c r="AW121" s="315"/>
      <c r="AX121" s="315"/>
    </row>
    <row r="122" spans="49:50" x14ac:dyDescent="0.25">
      <c r="AW122" s="315"/>
      <c r="AX122" s="315"/>
    </row>
    <row r="123" spans="49:50" x14ac:dyDescent="0.25">
      <c r="AW123" s="315"/>
      <c r="AX123" s="315"/>
    </row>
    <row r="124" spans="49:50" x14ac:dyDescent="0.25">
      <c r="AW124" s="315"/>
      <c r="AX124" s="315"/>
    </row>
    <row r="125" spans="49:50" x14ac:dyDescent="0.25">
      <c r="AW125" s="315"/>
      <c r="AX125" s="315"/>
    </row>
    <row r="126" spans="49:50" x14ac:dyDescent="0.25">
      <c r="AW126" s="315"/>
      <c r="AX126" s="315"/>
    </row>
    <row r="127" spans="49:50" x14ac:dyDescent="0.25">
      <c r="AW127" s="315"/>
      <c r="AX127" s="315"/>
    </row>
    <row r="128" spans="49:50" x14ac:dyDescent="0.25">
      <c r="AW128" s="315"/>
      <c r="AX128" s="315"/>
    </row>
    <row r="129" spans="49:50" x14ac:dyDescent="0.25">
      <c r="AW129" s="315"/>
      <c r="AX129" s="315"/>
    </row>
    <row r="130" spans="49:50" x14ac:dyDescent="0.25">
      <c r="AW130" s="315"/>
      <c r="AX130" s="315"/>
    </row>
    <row r="131" spans="49:50" x14ac:dyDescent="0.25">
      <c r="AW131" s="315"/>
      <c r="AX131" s="315"/>
    </row>
    <row r="132" spans="49:50" x14ac:dyDescent="0.25">
      <c r="AW132" s="315"/>
      <c r="AX132" s="315"/>
    </row>
    <row r="133" spans="49:50" x14ac:dyDescent="0.25">
      <c r="AW133" s="315"/>
      <c r="AX133" s="315"/>
    </row>
    <row r="134" spans="49:50" x14ac:dyDescent="0.25">
      <c r="AW134" s="315"/>
      <c r="AX134" s="315"/>
    </row>
    <row r="135" spans="49:50" x14ac:dyDescent="0.25">
      <c r="AW135" s="315"/>
      <c r="AX135" s="315"/>
    </row>
    <row r="136" spans="49:50" x14ac:dyDescent="0.25">
      <c r="AW136" s="315"/>
      <c r="AX136" s="315"/>
    </row>
    <row r="137" spans="49:50" x14ac:dyDescent="0.25">
      <c r="AW137" s="315"/>
      <c r="AX137" s="315"/>
    </row>
    <row r="138" spans="49:50" x14ac:dyDescent="0.25">
      <c r="AW138" s="315"/>
      <c r="AX138" s="315"/>
    </row>
    <row r="139" spans="49:50" x14ac:dyDescent="0.25">
      <c r="AW139" s="315"/>
      <c r="AX139" s="315"/>
    </row>
    <row r="140" spans="49:50" x14ac:dyDescent="0.25">
      <c r="AW140" s="315"/>
      <c r="AX140" s="315"/>
    </row>
    <row r="141" spans="49:50" x14ac:dyDescent="0.25">
      <c r="AW141" s="315"/>
      <c r="AX141" s="315"/>
    </row>
    <row r="142" spans="49:50" x14ac:dyDescent="0.25">
      <c r="AW142" s="315"/>
      <c r="AX142" s="315"/>
    </row>
    <row r="143" spans="49:50" x14ac:dyDescent="0.25">
      <c r="AW143" s="315"/>
      <c r="AX143" s="315"/>
    </row>
    <row r="144" spans="49:50" x14ac:dyDescent="0.25">
      <c r="AW144" s="315"/>
      <c r="AX144" s="315"/>
    </row>
    <row r="145" spans="49:50" x14ac:dyDescent="0.25">
      <c r="AW145" s="315"/>
      <c r="AX145" s="315"/>
    </row>
    <row r="146" spans="49:50" x14ac:dyDescent="0.25">
      <c r="AW146" s="315"/>
      <c r="AX146" s="315"/>
    </row>
    <row r="147" spans="49:50" x14ac:dyDescent="0.25">
      <c r="AW147" s="315"/>
      <c r="AX147" s="315"/>
    </row>
    <row r="148" spans="49:50" x14ac:dyDescent="0.25">
      <c r="AW148" s="315"/>
      <c r="AX148" s="315"/>
    </row>
    <row r="149" spans="49:50" x14ac:dyDescent="0.25">
      <c r="AW149" s="315"/>
      <c r="AX149" s="315"/>
    </row>
    <row r="150" spans="49:50" x14ac:dyDescent="0.25">
      <c r="AW150" s="315"/>
      <c r="AX150" s="315"/>
    </row>
    <row r="151" spans="49:50" x14ac:dyDescent="0.25">
      <c r="AW151" s="315"/>
      <c r="AX151" s="315"/>
    </row>
    <row r="152" spans="49:50" x14ac:dyDescent="0.25">
      <c r="AW152" s="315"/>
      <c r="AX152" s="315"/>
    </row>
    <row r="153" spans="49:50" x14ac:dyDescent="0.25">
      <c r="AW153" s="315"/>
      <c r="AX153" s="315"/>
    </row>
    <row r="154" spans="49:50" x14ac:dyDescent="0.25">
      <c r="AW154" s="315"/>
      <c r="AX154" s="315"/>
    </row>
    <row r="155" spans="49:50" x14ac:dyDescent="0.25">
      <c r="AW155" s="315"/>
      <c r="AX155" s="315"/>
    </row>
    <row r="156" spans="49:50" x14ac:dyDescent="0.25">
      <c r="AW156" s="315"/>
      <c r="AX156" s="315"/>
    </row>
    <row r="157" spans="49:50" x14ac:dyDescent="0.25">
      <c r="AW157" s="315"/>
      <c r="AX157" s="315"/>
    </row>
    <row r="158" spans="49:50" x14ac:dyDescent="0.25">
      <c r="AW158" s="315"/>
      <c r="AX158" s="315"/>
    </row>
    <row r="159" spans="49:50" x14ac:dyDescent="0.25">
      <c r="AW159" s="315"/>
      <c r="AX159" s="315"/>
    </row>
    <row r="160" spans="49:50" x14ac:dyDescent="0.25">
      <c r="AW160" s="315"/>
      <c r="AX160" s="315"/>
    </row>
    <row r="161" spans="49:50" x14ac:dyDescent="0.25">
      <c r="AW161" s="315"/>
      <c r="AX161" s="315"/>
    </row>
    <row r="162" spans="49:50" x14ac:dyDescent="0.25">
      <c r="AW162" s="315"/>
      <c r="AX162" s="315"/>
    </row>
    <row r="163" spans="49:50" x14ac:dyDescent="0.25">
      <c r="AW163" s="315"/>
      <c r="AX163" s="315"/>
    </row>
    <row r="164" spans="49:50" x14ac:dyDescent="0.25">
      <c r="AW164" s="315"/>
      <c r="AX164" s="315"/>
    </row>
    <row r="165" spans="49:50" x14ac:dyDescent="0.25">
      <c r="AW165" s="315"/>
      <c r="AX165" s="315"/>
    </row>
    <row r="166" spans="49:50" x14ac:dyDescent="0.25">
      <c r="AW166" s="315"/>
      <c r="AX166" s="315"/>
    </row>
    <row r="167" spans="49:50" x14ac:dyDescent="0.25">
      <c r="AW167" s="315"/>
      <c r="AX167" s="315"/>
    </row>
    <row r="168" spans="49:50" x14ac:dyDescent="0.25">
      <c r="AW168" s="315"/>
      <c r="AX168" s="315"/>
    </row>
    <row r="169" spans="49:50" x14ac:dyDescent="0.25">
      <c r="AW169" s="315"/>
      <c r="AX169" s="315"/>
    </row>
    <row r="170" spans="49:50" x14ac:dyDescent="0.25">
      <c r="AW170" s="315"/>
      <c r="AX170" s="315"/>
    </row>
    <row r="171" spans="49:50" x14ac:dyDescent="0.25">
      <c r="AW171" s="315"/>
      <c r="AX171" s="315"/>
    </row>
    <row r="172" spans="49:50" x14ac:dyDescent="0.25">
      <c r="AW172" s="315"/>
      <c r="AX172" s="315"/>
    </row>
    <row r="173" spans="49:50" x14ac:dyDescent="0.25">
      <c r="AW173" s="315"/>
      <c r="AX173" s="315"/>
    </row>
    <row r="174" spans="49:50" x14ac:dyDescent="0.25">
      <c r="AW174" s="315"/>
      <c r="AX174" s="315"/>
    </row>
    <row r="175" spans="49:50" x14ac:dyDescent="0.25">
      <c r="AW175" s="315"/>
      <c r="AX175" s="315"/>
    </row>
    <row r="176" spans="49:50" x14ac:dyDescent="0.25">
      <c r="AW176" s="315"/>
      <c r="AX176" s="315"/>
    </row>
    <row r="177" spans="49:50" x14ac:dyDescent="0.25">
      <c r="AW177" s="315"/>
      <c r="AX177" s="315"/>
    </row>
    <row r="178" spans="49:50" x14ac:dyDescent="0.25">
      <c r="AW178" s="315"/>
      <c r="AX178" s="315"/>
    </row>
    <row r="179" spans="49:50" x14ac:dyDescent="0.25">
      <c r="AW179" s="315"/>
      <c r="AX179" s="315"/>
    </row>
    <row r="180" spans="49:50" x14ac:dyDescent="0.25">
      <c r="AW180" s="315"/>
      <c r="AX180" s="315"/>
    </row>
    <row r="181" spans="49:50" x14ac:dyDescent="0.25">
      <c r="AW181" s="315"/>
      <c r="AX181" s="315"/>
    </row>
    <row r="182" spans="49:50" x14ac:dyDescent="0.25">
      <c r="AW182" s="315"/>
      <c r="AX182" s="315"/>
    </row>
    <row r="183" spans="49:50" x14ac:dyDescent="0.25">
      <c r="AW183" s="315"/>
      <c r="AX183" s="315"/>
    </row>
    <row r="184" spans="49:50" x14ac:dyDescent="0.25">
      <c r="AW184" s="315"/>
      <c r="AX184" s="315"/>
    </row>
    <row r="185" spans="49:50" x14ac:dyDescent="0.25">
      <c r="AW185" s="315"/>
      <c r="AX185" s="315"/>
    </row>
    <row r="186" spans="49:50" x14ac:dyDescent="0.25">
      <c r="AW186" s="315"/>
      <c r="AX186" s="315"/>
    </row>
    <row r="187" spans="49:50" x14ac:dyDescent="0.25">
      <c r="AW187" s="315"/>
      <c r="AX187" s="315"/>
    </row>
    <row r="188" spans="49:50" x14ac:dyDescent="0.25">
      <c r="AW188" s="315"/>
      <c r="AX188" s="315"/>
    </row>
    <row r="189" spans="49:50" x14ac:dyDescent="0.25">
      <c r="AW189" s="315"/>
      <c r="AX189" s="315"/>
    </row>
    <row r="190" spans="49:50" x14ac:dyDescent="0.25">
      <c r="AW190" s="315"/>
      <c r="AX190" s="315"/>
    </row>
    <row r="191" spans="49:50" x14ac:dyDescent="0.25">
      <c r="AW191" s="315"/>
      <c r="AX191" s="315"/>
    </row>
    <row r="192" spans="49:50" x14ac:dyDescent="0.25">
      <c r="AW192" s="315"/>
      <c r="AX192" s="315"/>
    </row>
    <row r="193" spans="49:50" x14ac:dyDescent="0.25">
      <c r="AW193" s="315"/>
      <c r="AX193" s="315"/>
    </row>
    <row r="194" spans="49:50" x14ac:dyDescent="0.25">
      <c r="AW194" s="315"/>
      <c r="AX194" s="315"/>
    </row>
    <row r="195" spans="49:50" x14ac:dyDescent="0.25">
      <c r="AW195" s="315"/>
      <c r="AX195" s="315"/>
    </row>
    <row r="196" spans="49:50" x14ac:dyDescent="0.25">
      <c r="AW196" s="315"/>
      <c r="AX196" s="315"/>
    </row>
    <row r="197" spans="49:50" x14ac:dyDescent="0.25">
      <c r="AW197" s="315"/>
      <c r="AX197" s="315"/>
    </row>
    <row r="198" spans="49:50" x14ac:dyDescent="0.25">
      <c r="AW198" s="315"/>
      <c r="AX198" s="315"/>
    </row>
    <row r="199" spans="49:50" x14ac:dyDescent="0.25">
      <c r="AW199" s="315"/>
      <c r="AX199" s="315"/>
    </row>
    <row r="200" spans="49:50" x14ac:dyDescent="0.25">
      <c r="AW200" s="315"/>
      <c r="AX200" s="315"/>
    </row>
    <row r="201" spans="49:50" x14ac:dyDescent="0.25">
      <c r="AW201" s="315"/>
      <c r="AX201" s="315"/>
    </row>
    <row r="202" spans="49:50" x14ac:dyDescent="0.25">
      <c r="AW202" s="315"/>
      <c r="AX202" s="315"/>
    </row>
    <row r="203" spans="49:50" x14ac:dyDescent="0.25">
      <c r="AW203" s="315"/>
      <c r="AX203" s="315"/>
    </row>
    <row r="204" spans="49:50" x14ac:dyDescent="0.25">
      <c r="AW204" s="315"/>
      <c r="AX204" s="315"/>
    </row>
    <row r="205" spans="49:50" x14ac:dyDescent="0.25">
      <c r="AW205" s="315"/>
      <c r="AX205" s="315"/>
    </row>
    <row r="206" spans="49:50" x14ac:dyDescent="0.25">
      <c r="AW206" s="315"/>
      <c r="AX206" s="315"/>
    </row>
    <row r="207" spans="49:50" x14ac:dyDescent="0.25">
      <c r="AW207" s="315"/>
      <c r="AX207" s="315"/>
    </row>
    <row r="208" spans="49:50" x14ac:dyDescent="0.25">
      <c r="AW208" s="315"/>
      <c r="AX208" s="315"/>
    </row>
    <row r="209" spans="49:50" x14ac:dyDescent="0.25">
      <c r="AW209" s="315"/>
      <c r="AX209" s="315"/>
    </row>
    <row r="210" spans="49:50" x14ac:dyDescent="0.25">
      <c r="AW210" s="315"/>
      <c r="AX210" s="315"/>
    </row>
    <row r="211" spans="49:50" x14ac:dyDescent="0.25">
      <c r="AW211" s="315"/>
      <c r="AX211" s="315"/>
    </row>
    <row r="212" spans="49:50" x14ac:dyDescent="0.25">
      <c r="AW212" s="315"/>
      <c r="AX212" s="315"/>
    </row>
    <row r="213" spans="49:50" x14ac:dyDescent="0.25">
      <c r="AW213" s="315"/>
      <c r="AX213" s="315"/>
    </row>
    <row r="214" spans="49:50" x14ac:dyDescent="0.25">
      <c r="AW214" s="315"/>
      <c r="AX214" s="315"/>
    </row>
    <row r="215" spans="49:50" x14ac:dyDescent="0.25">
      <c r="AW215" s="315"/>
      <c r="AX215" s="315"/>
    </row>
    <row r="216" spans="49:50" x14ac:dyDescent="0.25">
      <c r="AW216" s="315"/>
      <c r="AX216" s="315"/>
    </row>
    <row r="217" spans="49:50" x14ac:dyDescent="0.25">
      <c r="AW217" s="315"/>
      <c r="AX217" s="315"/>
    </row>
    <row r="218" spans="49:50" x14ac:dyDescent="0.25">
      <c r="AW218" s="315"/>
      <c r="AX218" s="315"/>
    </row>
    <row r="219" spans="49:50" x14ac:dyDescent="0.25">
      <c r="AW219" s="315"/>
      <c r="AX219" s="315"/>
    </row>
    <row r="220" spans="49:50" x14ac:dyDescent="0.25">
      <c r="AW220" s="315"/>
      <c r="AX220" s="315"/>
    </row>
    <row r="221" spans="49:50" x14ac:dyDescent="0.25">
      <c r="AW221" s="315"/>
      <c r="AX221" s="315"/>
    </row>
    <row r="222" spans="49:50" x14ac:dyDescent="0.25">
      <c r="AW222" s="315"/>
      <c r="AX222" s="315"/>
    </row>
    <row r="223" spans="49:50" x14ac:dyDescent="0.25">
      <c r="AW223" s="315"/>
      <c r="AX223" s="315"/>
    </row>
    <row r="224" spans="49:50" x14ac:dyDescent="0.25">
      <c r="AW224" s="315"/>
      <c r="AX224" s="315"/>
    </row>
    <row r="225" spans="49:50" x14ac:dyDescent="0.25">
      <c r="AW225" s="315"/>
      <c r="AX225" s="315"/>
    </row>
    <row r="226" spans="49:50" x14ac:dyDescent="0.25">
      <c r="AW226" s="315"/>
      <c r="AX226" s="315"/>
    </row>
    <row r="227" spans="49:50" x14ac:dyDescent="0.25">
      <c r="AW227" s="315"/>
      <c r="AX227" s="315"/>
    </row>
    <row r="228" spans="49:50" x14ac:dyDescent="0.25">
      <c r="AW228" s="315"/>
      <c r="AX228" s="315"/>
    </row>
    <row r="229" spans="49:50" x14ac:dyDescent="0.25">
      <c r="AW229" s="315"/>
      <c r="AX229" s="315"/>
    </row>
    <row r="230" spans="49:50" x14ac:dyDescent="0.25">
      <c r="AW230" s="315"/>
      <c r="AX230" s="315"/>
    </row>
    <row r="231" spans="49:50" x14ac:dyDescent="0.25">
      <c r="AW231" s="315"/>
      <c r="AX231" s="315"/>
    </row>
    <row r="232" spans="49:50" x14ac:dyDescent="0.25">
      <c r="AW232" s="315"/>
      <c r="AX232" s="315"/>
    </row>
    <row r="233" spans="49:50" x14ac:dyDescent="0.25">
      <c r="AW233" s="315"/>
      <c r="AX233" s="315"/>
    </row>
    <row r="234" spans="49:50" x14ac:dyDescent="0.25">
      <c r="AW234" s="315"/>
      <c r="AX234" s="315"/>
    </row>
    <row r="235" spans="49:50" x14ac:dyDescent="0.25">
      <c r="AW235" s="315"/>
      <c r="AX235" s="315"/>
    </row>
    <row r="236" spans="49:50" x14ac:dyDescent="0.25">
      <c r="AW236" s="315"/>
      <c r="AX236" s="315"/>
    </row>
    <row r="237" spans="49:50" x14ac:dyDescent="0.25">
      <c r="AW237" s="315"/>
      <c r="AX237" s="315"/>
    </row>
    <row r="238" spans="49:50" x14ac:dyDescent="0.25">
      <c r="AW238" s="315"/>
      <c r="AX238" s="315"/>
    </row>
    <row r="239" spans="49:50" x14ac:dyDescent="0.25">
      <c r="AW239" s="315"/>
      <c r="AX239" s="315"/>
    </row>
    <row r="240" spans="49:50" x14ac:dyDescent="0.25">
      <c r="AW240" s="315"/>
      <c r="AX240" s="315"/>
    </row>
    <row r="241" spans="49:50" x14ac:dyDescent="0.25">
      <c r="AW241" s="315"/>
      <c r="AX241" s="315"/>
    </row>
    <row r="242" spans="49:50" x14ac:dyDescent="0.25">
      <c r="AW242" s="315"/>
      <c r="AX242" s="315"/>
    </row>
    <row r="243" spans="49:50" x14ac:dyDescent="0.25">
      <c r="AW243" s="315"/>
      <c r="AX243" s="315"/>
    </row>
    <row r="244" spans="49:50" x14ac:dyDescent="0.25">
      <c r="AW244" s="315"/>
      <c r="AX244" s="315"/>
    </row>
    <row r="245" spans="49:50" x14ac:dyDescent="0.25">
      <c r="AW245" s="315"/>
      <c r="AX245" s="315"/>
    </row>
    <row r="246" spans="49:50" x14ac:dyDescent="0.25">
      <c r="AW246" s="315"/>
      <c r="AX246" s="315"/>
    </row>
    <row r="247" spans="49:50" x14ac:dyDescent="0.25">
      <c r="AW247" s="315"/>
      <c r="AX247" s="315"/>
    </row>
    <row r="248" spans="49:50" x14ac:dyDescent="0.25">
      <c r="AW248" s="315"/>
      <c r="AX248" s="315"/>
    </row>
    <row r="249" spans="49:50" x14ac:dyDescent="0.25">
      <c r="AW249" s="315"/>
      <c r="AX249" s="315"/>
    </row>
    <row r="250" spans="49:50" x14ac:dyDescent="0.25">
      <c r="AW250" s="315"/>
      <c r="AX250" s="315"/>
    </row>
    <row r="251" spans="49:50" x14ac:dyDescent="0.25">
      <c r="AW251" s="315"/>
      <c r="AX251" s="315"/>
    </row>
    <row r="252" spans="49:50" x14ac:dyDescent="0.25">
      <c r="AW252" s="315"/>
      <c r="AX252" s="315"/>
    </row>
    <row r="253" spans="49:50" x14ac:dyDescent="0.25">
      <c r="AW253" s="315"/>
      <c r="AX253" s="315"/>
    </row>
    <row r="254" spans="49:50" x14ac:dyDescent="0.25">
      <c r="AW254" s="315"/>
      <c r="AX254" s="315"/>
    </row>
    <row r="255" spans="49:50" x14ac:dyDescent="0.25">
      <c r="AW255" s="315"/>
      <c r="AX255" s="315"/>
    </row>
    <row r="256" spans="49:50" x14ac:dyDescent="0.25">
      <c r="AW256" s="315"/>
      <c r="AX256" s="315"/>
    </row>
    <row r="257" spans="49:50" x14ac:dyDescent="0.25">
      <c r="AW257" s="315"/>
      <c r="AX257" s="315"/>
    </row>
    <row r="258" spans="49:50" x14ac:dyDescent="0.25">
      <c r="AW258" s="315"/>
      <c r="AX258" s="315"/>
    </row>
    <row r="259" spans="49:50" x14ac:dyDescent="0.25">
      <c r="AW259" s="315"/>
      <c r="AX259" s="315"/>
    </row>
    <row r="260" spans="49:50" x14ac:dyDescent="0.25">
      <c r="AW260" s="315"/>
      <c r="AX260" s="315"/>
    </row>
    <row r="261" spans="49:50" x14ac:dyDescent="0.25">
      <c r="AW261" s="315"/>
      <c r="AX261" s="315"/>
    </row>
    <row r="262" spans="49:50" x14ac:dyDescent="0.25">
      <c r="AW262" s="315"/>
      <c r="AX262" s="315"/>
    </row>
    <row r="263" spans="49:50" x14ac:dyDescent="0.25">
      <c r="AW263" s="315"/>
      <c r="AX263" s="315"/>
    </row>
    <row r="264" spans="49:50" x14ac:dyDescent="0.25">
      <c r="AW264" s="315"/>
      <c r="AX264" s="315"/>
    </row>
    <row r="265" spans="49:50" x14ac:dyDescent="0.25">
      <c r="AW265" s="315"/>
      <c r="AX265" s="315"/>
    </row>
    <row r="266" spans="49:50" x14ac:dyDescent="0.25">
      <c r="AW266" s="315"/>
      <c r="AX266" s="315"/>
    </row>
    <row r="267" spans="49:50" x14ac:dyDescent="0.25">
      <c r="AW267" s="315"/>
      <c r="AX267" s="315"/>
    </row>
    <row r="268" spans="49:50" x14ac:dyDescent="0.25">
      <c r="AW268" s="315"/>
      <c r="AX268" s="315"/>
    </row>
    <row r="269" spans="49:50" x14ac:dyDescent="0.25">
      <c r="AW269" s="315"/>
      <c r="AX269" s="315"/>
    </row>
    <row r="270" spans="49:50" x14ac:dyDescent="0.25">
      <c r="AW270" s="315"/>
      <c r="AX270" s="315"/>
    </row>
    <row r="271" spans="49:50" x14ac:dyDescent="0.25">
      <c r="AW271" s="315"/>
      <c r="AX271" s="315"/>
    </row>
    <row r="272" spans="49:50" x14ac:dyDescent="0.25">
      <c r="AW272" s="315"/>
      <c r="AX272" s="315"/>
    </row>
    <row r="273" spans="49:50" x14ac:dyDescent="0.25">
      <c r="AW273" s="315"/>
      <c r="AX273" s="315"/>
    </row>
    <row r="274" spans="49:50" x14ac:dyDescent="0.25">
      <c r="AW274" s="315"/>
      <c r="AX274" s="315"/>
    </row>
    <row r="275" spans="49:50" x14ac:dyDescent="0.25">
      <c r="AW275" s="315"/>
      <c r="AX275" s="315"/>
    </row>
    <row r="276" spans="49:50" x14ac:dyDescent="0.25">
      <c r="AW276" s="315"/>
      <c r="AX276" s="315"/>
    </row>
    <row r="277" spans="49:50" x14ac:dyDescent="0.25">
      <c r="AW277" s="315"/>
      <c r="AX277" s="315"/>
    </row>
    <row r="278" spans="49:50" x14ac:dyDescent="0.25">
      <c r="AW278" s="315"/>
      <c r="AX278" s="315"/>
    </row>
    <row r="279" spans="49:50" x14ac:dyDescent="0.25">
      <c r="AW279" s="315"/>
      <c r="AX279" s="315"/>
    </row>
    <row r="280" spans="49:50" x14ac:dyDescent="0.25">
      <c r="AW280" s="315"/>
      <c r="AX280" s="315"/>
    </row>
    <row r="281" spans="49:50" x14ac:dyDescent="0.25">
      <c r="AW281" s="315"/>
      <c r="AX281" s="315"/>
    </row>
    <row r="282" spans="49:50" x14ac:dyDescent="0.25">
      <c r="AW282" s="315"/>
      <c r="AX282" s="315"/>
    </row>
    <row r="283" spans="49:50" x14ac:dyDescent="0.25">
      <c r="AW283" s="315"/>
      <c r="AX283" s="315"/>
    </row>
    <row r="284" spans="49:50" x14ac:dyDescent="0.25">
      <c r="AW284" s="315"/>
      <c r="AX284" s="315"/>
    </row>
    <row r="285" spans="49:50" x14ac:dyDescent="0.25">
      <c r="AW285" s="315"/>
      <c r="AX285" s="315"/>
    </row>
    <row r="286" spans="49:50" x14ac:dyDescent="0.25">
      <c r="AW286" s="315"/>
      <c r="AX286" s="315"/>
    </row>
    <row r="287" spans="49:50" x14ac:dyDescent="0.25">
      <c r="AW287" s="315"/>
      <c r="AX287" s="315"/>
    </row>
    <row r="288" spans="49:50" x14ac:dyDescent="0.25">
      <c r="AW288" s="315"/>
      <c r="AX288" s="315"/>
    </row>
    <row r="289" spans="49:50" x14ac:dyDescent="0.25">
      <c r="AW289" s="315"/>
      <c r="AX289" s="315"/>
    </row>
    <row r="290" spans="49:50" x14ac:dyDescent="0.25">
      <c r="AW290" s="315"/>
      <c r="AX290" s="315"/>
    </row>
    <row r="291" spans="49:50" x14ac:dyDescent="0.25">
      <c r="AW291" s="315"/>
      <c r="AX291" s="315"/>
    </row>
    <row r="292" spans="49:50" x14ac:dyDescent="0.25">
      <c r="AW292" s="315"/>
      <c r="AX292" s="315"/>
    </row>
    <row r="293" spans="49:50" x14ac:dyDescent="0.25">
      <c r="AW293" s="315"/>
      <c r="AX293" s="315"/>
    </row>
    <row r="294" spans="49:50" x14ac:dyDescent="0.25">
      <c r="AW294" s="315"/>
      <c r="AX294" s="315"/>
    </row>
    <row r="295" spans="49:50" x14ac:dyDescent="0.25">
      <c r="AW295" s="315"/>
      <c r="AX295" s="315"/>
    </row>
    <row r="296" spans="49:50" x14ac:dyDescent="0.25">
      <c r="AW296" s="315"/>
      <c r="AX296" s="315"/>
    </row>
    <row r="297" spans="49:50" x14ac:dyDescent="0.25">
      <c r="AW297" s="315"/>
      <c r="AX297" s="315"/>
    </row>
    <row r="298" spans="49:50" x14ac:dyDescent="0.25">
      <c r="AW298" s="315"/>
      <c r="AX298" s="315"/>
    </row>
    <row r="299" spans="49:50" x14ac:dyDescent="0.25">
      <c r="AW299" s="315"/>
      <c r="AX299" s="315"/>
    </row>
    <row r="300" spans="49:50" x14ac:dyDescent="0.25">
      <c r="AW300" s="315"/>
      <c r="AX300" s="315"/>
    </row>
    <row r="301" spans="49:50" x14ac:dyDescent="0.25">
      <c r="AW301" s="315"/>
      <c r="AX301" s="315"/>
    </row>
    <row r="302" spans="49:50" x14ac:dyDescent="0.25">
      <c r="AW302" s="315"/>
      <c r="AX302" s="315"/>
    </row>
    <row r="303" spans="49:50" x14ac:dyDescent="0.25">
      <c r="AW303" s="315"/>
      <c r="AX303" s="315"/>
    </row>
    <row r="304" spans="49:50" x14ac:dyDescent="0.25">
      <c r="AW304" s="315"/>
      <c r="AX304" s="315"/>
    </row>
    <row r="305" spans="49:50" x14ac:dyDescent="0.25">
      <c r="AW305" s="315"/>
      <c r="AX305" s="315"/>
    </row>
    <row r="306" spans="49:50" x14ac:dyDescent="0.25">
      <c r="AW306" s="315"/>
      <c r="AX306" s="315"/>
    </row>
    <row r="307" spans="49:50" x14ac:dyDescent="0.25">
      <c r="AW307" s="315"/>
      <c r="AX307" s="315"/>
    </row>
    <row r="308" spans="49:50" x14ac:dyDescent="0.25">
      <c r="AW308" s="315"/>
      <c r="AX308" s="315"/>
    </row>
    <row r="309" spans="49:50" x14ac:dyDescent="0.25">
      <c r="AW309" s="315"/>
      <c r="AX309" s="315"/>
    </row>
    <row r="310" spans="49:50" x14ac:dyDescent="0.25">
      <c r="AW310" s="315"/>
      <c r="AX310" s="315"/>
    </row>
    <row r="311" spans="49:50" x14ac:dyDescent="0.25">
      <c r="AW311" s="315"/>
      <c r="AX311" s="315"/>
    </row>
    <row r="312" spans="49:50" x14ac:dyDescent="0.25">
      <c r="AW312" s="315"/>
      <c r="AX312" s="315"/>
    </row>
    <row r="313" spans="49:50" x14ac:dyDescent="0.25">
      <c r="AW313" s="315"/>
      <c r="AX313" s="315"/>
    </row>
    <row r="314" spans="49:50" x14ac:dyDescent="0.25">
      <c r="AW314" s="315"/>
      <c r="AX314" s="315"/>
    </row>
    <row r="315" spans="49:50" x14ac:dyDescent="0.25">
      <c r="AW315" s="315"/>
      <c r="AX315" s="315"/>
    </row>
    <row r="316" spans="49:50" x14ac:dyDescent="0.25">
      <c r="AW316" s="315"/>
      <c r="AX316" s="315"/>
    </row>
    <row r="317" spans="49:50" x14ac:dyDescent="0.25">
      <c r="AW317" s="315"/>
      <c r="AX317" s="315"/>
    </row>
    <row r="318" spans="49:50" x14ac:dyDescent="0.25">
      <c r="AW318" s="315"/>
      <c r="AX318" s="315"/>
    </row>
    <row r="319" spans="49:50" x14ac:dyDescent="0.25">
      <c r="AW319" s="315"/>
      <c r="AX319" s="315"/>
    </row>
    <row r="320" spans="49:50" x14ac:dyDescent="0.25">
      <c r="AW320" s="315"/>
      <c r="AX320" s="315"/>
    </row>
    <row r="321" spans="49:50" x14ac:dyDescent="0.25">
      <c r="AW321" s="315"/>
      <c r="AX321" s="315"/>
    </row>
    <row r="322" spans="49:50" x14ac:dyDescent="0.25">
      <c r="AW322" s="315"/>
      <c r="AX322" s="315"/>
    </row>
    <row r="323" spans="49:50" x14ac:dyDescent="0.25">
      <c r="AW323" s="315"/>
      <c r="AX323" s="315"/>
    </row>
    <row r="324" spans="49:50" x14ac:dyDescent="0.25">
      <c r="AW324" s="315"/>
      <c r="AX324" s="315"/>
    </row>
    <row r="325" spans="49:50" x14ac:dyDescent="0.25">
      <c r="AW325" s="315"/>
      <c r="AX325" s="315"/>
    </row>
    <row r="326" spans="49:50" x14ac:dyDescent="0.25">
      <c r="AW326" s="315"/>
      <c r="AX326" s="315"/>
    </row>
    <row r="327" spans="49:50" x14ac:dyDescent="0.25">
      <c r="AW327" s="315"/>
      <c r="AX327" s="315"/>
    </row>
    <row r="328" spans="49:50" x14ac:dyDescent="0.25">
      <c r="AW328" s="315"/>
      <c r="AX328" s="315"/>
    </row>
    <row r="329" spans="49:50" x14ac:dyDescent="0.25">
      <c r="AW329" s="315"/>
      <c r="AX329" s="315"/>
    </row>
    <row r="330" spans="49:50" x14ac:dyDescent="0.25">
      <c r="AW330" s="315"/>
      <c r="AX330" s="315"/>
    </row>
    <row r="331" spans="49:50" x14ac:dyDescent="0.25">
      <c r="AW331" s="315"/>
      <c r="AX331" s="315"/>
    </row>
    <row r="332" spans="49:50" x14ac:dyDescent="0.25">
      <c r="AW332" s="315"/>
      <c r="AX332" s="315"/>
    </row>
    <row r="333" spans="49:50" x14ac:dyDescent="0.25">
      <c r="AW333" s="315"/>
      <c r="AX333" s="315"/>
    </row>
    <row r="334" spans="49:50" x14ac:dyDescent="0.25">
      <c r="AW334" s="315"/>
      <c r="AX334" s="315"/>
    </row>
    <row r="335" spans="49:50" x14ac:dyDescent="0.25">
      <c r="AW335" s="315"/>
      <c r="AX335" s="315"/>
    </row>
    <row r="336" spans="49:50" x14ac:dyDescent="0.25">
      <c r="AW336" s="315"/>
      <c r="AX336" s="315"/>
    </row>
    <row r="337" spans="49:50" x14ac:dyDescent="0.25">
      <c r="AW337" s="315"/>
      <c r="AX337" s="315"/>
    </row>
    <row r="338" spans="49:50" x14ac:dyDescent="0.25">
      <c r="AW338" s="315"/>
      <c r="AX338" s="315"/>
    </row>
    <row r="339" spans="49:50" x14ac:dyDescent="0.25">
      <c r="AW339" s="315"/>
      <c r="AX339" s="315"/>
    </row>
    <row r="340" spans="49:50" x14ac:dyDescent="0.25">
      <c r="AW340" s="315"/>
      <c r="AX340" s="315"/>
    </row>
    <row r="341" spans="49:50" x14ac:dyDescent="0.25">
      <c r="AW341" s="315"/>
      <c r="AX341" s="315"/>
    </row>
    <row r="342" spans="49:50" x14ac:dyDescent="0.25">
      <c r="AW342" s="315"/>
      <c r="AX342" s="315"/>
    </row>
    <row r="343" spans="49:50" x14ac:dyDescent="0.25">
      <c r="AW343" s="315"/>
      <c r="AX343" s="315"/>
    </row>
    <row r="344" spans="49:50" x14ac:dyDescent="0.25">
      <c r="AW344" s="315"/>
      <c r="AX344" s="315"/>
    </row>
    <row r="345" spans="49:50" x14ac:dyDescent="0.25">
      <c r="AW345" s="315"/>
      <c r="AX345" s="315"/>
    </row>
    <row r="346" spans="49:50" x14ac:dyDescent="0.25">
      <c r="AW346" s="315"/>
      <c r="AX346" s="315"/>
    </row>
    <row r="347" spans="49:50" x14ac:dyDescent="0.25">
      <c r="AW347" s="315"/>
      <c r="AX347" s="315"/>
    </row>
    <row r="348" spans="49:50" x14ac:dyDescent="0.25">
      <c r="AW348" s="315"/>
      <c r="AX348" s="315"/>
    </row>
    <row r="349" spans="49:50" x14ac:dyDescent="0.25">
      <c r="AW349" s="315"/>
      <c r="AX349" s="315"/>
    </row>
    <row r="350" spans="49:50" x14ac:dyDescent="0.25">
      <c r="AW350" s="315"/>
      <c r="AX350" s="315"/>
    </row>
    <row r="351" spans="49:50" x14ac:dyDescent="0.25">
      <c r="AW351" s="315"/>
      <c r="AX351" s="315"/>
    </row>
    <row r="352" spans="49:50" x14ac:dyDescent="0.25">
      <c r="AW352" s="315"/>
      <c r="AX352" s="315"/>
    </row>
    <row r="353" spans="49:50" x14ac:dyDescent="0.25">
      <c r="AW353" s="315"/>
      <c r="AX353" s="315"/>
    </row>
    <row r="354" spans="49:50" x14ac:dyDescent="0.25">
      <c r="AW354" s="315"/>
      <c r="AX354" s="315"/>
    </row>
    <row r="355" spans="49:50" x14ac:dyDescent="0.25">
      <c r="AW355" s="315"/>
      <c r="AX355" s="315"/>
    </row>
    <row r="356" spans="49:50" x14ac:dyDescent="0.25">
      <c r="AW356" s="315"/>
      <c r="AX356" s="315"/>
    </row>
    <row r="357" spans="49:50" x14ac:dyDescent="0.25">
      <c r="AW357" s="315"/>
      <c r="AX357" s="315"/>
    </row>
    <row r="358" spans="49:50" x14ac:dyDescent="0.25">
      <c r="AW358" s="315"/>
      <c r="AX358" s="315"/>
    </row>
    <row r="359" spans="49:50" x14ac:dyDescent="0.25">
      <c r="AW359" s="315"/>
      <c r="AX359" s="315"/>
    </row>
    <row r="360" spans="49:50" x14ac:dyDescent="0.25">
      <c r="AW360" s="315"/>
      <c r="AX360" s="315"/>
    </row>
    <row r="361" spans="49:50" x14ac:dyDescent="0.25">
      <c r="AW361" s="315"/>
      <c r="AX361" s="315"/>
    </row>
    <row r="362" spans="49:50" x14ac:dyDescent="0.25">
      <c r="AW362" s="315"/>
      <c r="AX362" s="315"/>
    </row>
    <row r="363" spans="49:50" x14ac:dyDescent="0.25">
      <c r="AW363" s="315"/>
      <c r="AX363" s="315"/>
    </row>
    <row r="364" spans="49:50" x14ac:dyDescent="0.25">
      <c r="AW364" s="315"/>
      <c r="AX364" s="315"/>
    </row>
    <row r="365" spans="49:50" x14ac:dyDescent="0.25">
      <c r="AW365" s="315"/>
      <c r="AX365" s="315"/>
    </row>
    <row r="366" spans="49:50" x14ac:dyDescent="0.25">
      <c r="AW366" s="315"/>
      <c r="AX366" s="315"/>
    </row>
    <row r="367" spans="49:50" x14ac:dyDescent="0.25">
      <c r="AW367" s="315"/>
      <c r="AX367" s="315"/>
    </row>
    <row r="368" spans="49:50" x14ac:dyDescent="0.25">
      <c r="AW368" s="315"/>
      <c r="AX368" s="315"/>
    </row>
    <row r="369" spans="49:50" x14ac:dyDescent="0.25">
      <c r="AW369" s="315"/>
      <c r="AX369" s="315"/>
    </row>
    <row r="370" spans="49:50" x14ac:dyDescent="0.25">
      <c r="AW370" s="315"/>
      <c r="AX370" s="315"/>
    </row>
    <row r="371" spans="49:50" x14ac:dyDescent="0.25">
      <c r="AW371" s="315"/>
      <c r="AX371" s="315"/>
    </row>
    <row r="372" spans="49:50" x14ac:dyDescent="0.25">
      <c r="AW372" s="315"/>
      <c r="AX372" s="315"/>
    </row>
    <row r="373" spans="49:50" x14ac:dyDescent="0.25">
      <c r="AW373" s="315"/>
      <c r="AX373" s="315"/>
    </row>
    <row r="374" spans="49:50" x14ac:dyDescent="0.25">
      <c r="AW374" s="315"/>
      <c r="AX374" s="315"/>
    </row>
    <row r="375" spans="49:50" x14ac:dyDescent="0.25">
      <c r="AW375" s="315"/>
      <c r="AX375" s="315"/>
    </row>
    <row r="376" spans="49:50" x14ac:dyDescent="0.25">
      <c r="AW376" s="315"/>
      <c r="AX376" s="315"/>
    </row>
    <row r="377" spans="49:50" x14ac:dyDescent="0.25">
      <c r="AW377" s="315"/>
      <c r="AX377" s="315"/>
    </row>
    <row r="378" spans="49:50" x14ac:dyDescent="0.25">
      <c r="AW378" s="315"/>
      <c r="AX378" s="315"/>
    </row>
    <row r="379" spans="49:50" x14ac:dyDescent="0.25">
      <c r="AW379" s="315"/>
      <c r="AX379" s="315"/>
    </row>
    <row r="380" spans="49:50" x14ac:dyDescent="0.25">
      <c r="AW380" s="315"/>
      <c r="AX380" s="315"/>
    </row>
    <row r="381" spans="49:50" x14ac:dyDescent="0.25">
      <c r="AW381" s="315"/>
      <c r="AX381" s="315"/>
    </row>
    <row r="382" spans="49:50" x14ac:dyDescent="0.25">
      <c r="AW382" s="315"/>
      <c r="AX382" s="315"/>
    </row>
    <row r="383" spans="49:50" x14ac:dyDescent="0.25">
      <c r="AW383" s="315"/>
      <c r="AX383" s="315"/>
    </row>
    <row r="384" spans="49:50" x14ac:dyDescent="0.25">
      <c r="AW384" s="315"/>
      <c r="AX384" s="315"/>
    </row>
    <row r="385" spans="49:50" x14ac:dyDescent="0.25">
      <c r="AW385" s="315"/>
      <c r="AX385" s="315"/>
    </row>
    <row r="386" spans="49:50" x14ac:dyDescent="0.25">
      <c r="AW386" s="315"/>
      <c r="AX386" s="315"/>
    </row>
    <row r="387" spans="49:50" x14ac:dyDescent="0.25">
      <c r="AW387" s="315"/>
      <c r="AX387" s="315"/>
    </row>
    <row r="388" spans="49:50" x14ac:dyDescent="0.25">
      <c r="AW388" s="315"/>
      <c r="AX388" s="315"/>
    </row>
    <row r="389" spans="49:50" x14ac:dyDescent="0.25">
      <c r="AW389" s="315"/>
      <c r="AX389" s="315"/>
    </row>
    <row r="390" spans="49:50" x14ac:dyDescent="0.25">
      <c r="AW390" s="315"/>
      <c r="AX390" s="315"/>
    </row>
    <row r="391" spans="49:50" x14ac:dyDescent="0.25">
      <c r="AW391" s="315"/>
      <c r="AX391" s="315"/>
    </row>
    <row r="392" spans="49:50" x14ac:dyDescent="0.25">
      <c r="AW392" s="315"/>
      <c r="AX392" s="315"/>
    </row>
    <row r="393" spans="49:50" x14ac:dyDescent="0.25">
      <c r="AW393" s="315"/>
      <c r="AX393" s="315"/>
    </row>
    <row r="394" spans="49:50" x14ac:dyDescent="0.25">
      <c r="AW394" s="315"/>
      <c r="AX394" s="315"/>
    </row>
    <row r="395" spans="49:50" x14ac:dyDescent="0.25">
      <c r="AW395" s="315"/>
      <c r="AX395" s="315"/>
    </row>
    <row r="396" spans="49:50" x14ac:dyDescent="0.25">
      <c r="AW396" s="315"/>
      <c r="AX396" s="315"/>
    </row>
    <row r="397" spans="49:50" x14ac:dyDescent="0.25">
      <c r="AW397" s="315"/>
      <c r="AX397" s="315"/>
    </row>
    <row r="398" spans="49:50" x14ac:dyDescent="0.25">
      <c r="AW398" s="315"/>
      <c r="AX398" s="315"/>
    </row>
    <row r="399" spans="49:50" x14ac:dyDescent="0.25">
      <c r="AW399" s="315"/>
      <c r="AX399" s="315"/>
    </row>
    <row r="400" spans="49:50" x14ac:dyDescent="0.25">
      <c r="AW400" s="315"/>
      <c r="AX400" s="315"/>
    </row>
    <row r="401" spans="49:50" x14ac:dyDescent="0.25">
      <c r="AW401" s="315"/>
      <c r="AX401" s="315"/>
    </row>
    <row r="402" spans="49:50" x14ac:dyDescent="0.25">
      <c r="AW402" s="315"/>
      <c r="AX402" s="315"/>
    </row>
    <row r="403" spans="49:50" x14ac:dyDescent="0.25">
      <c r="AW403" s="315"/>
      <c r="AX403" s="315"/>
    </row>
    <row r="404" spans="49:50" x14ac:dyDescent="0.25">
      <c r="AW404" s="315"/>
      <c r="AX404" s="315"/>
    </row>
    <row r="405" spans="49:50" x14ac:dyDescent="0.25">
      <c r="AW405" s="315"/>
      <c r="AX405" s="315"/>
    </row>
    <row r="406" spans="49:50" x14ac:dyDescent="0.25">
      <c r="AW406" s="315"/>
      <c r="AX406" s="315"/>
    </row>
    <row r="407" spans="49:50" x14ac:dyDescent="0.25">
      <c r="AW407" s="315"/>
      <c r="AX407" s="315"/>
    </row>
    <row r="408" spans="49:50" x14ac:dyDescent="0.25">
      <c r="AW408" s="315"/>
      <c r="AX408" s="315"/>
    </row>
    <row r="409" spans="49:50" x14ac:dyDescent="0.25">
      <c r="AW409" s="315"/>
      <c r="AX409" s="315"/>
    </row>
    <row r="410" spans="49:50" x14ac:dyDescent="0.25">
      <c r="AW410" s="315"/>
      <c r="AX410" s="315"/>
    </row>
    <row r="411" spans="49:50" x14ac:dyDescent="0.25">
      <c r="AW411" s="315"/>
      <c r="AX411" s="315"/>
    </row>
    <row r="412" spans="49:50" x14ac:dyDescent="0.25">
      <c r="AW412" s="315"/>
      <c r="AX412" s="315"/>
    </row>
    <row r="413" spans="49:50" x14ac:dyDescent="0.25">
      <c r="AW413" s="315"/>
      <c r="AX413" s="315"/>
    </row>
    <row r="414" spans="49:50" x14ac:dyDescent="0.25">
      <c r="AW414" s="315"/>
      <c r="AX414" s="315"/>
    </row>
    <row r="415" spans="49:50" x14ac:dyDescent="0.25">
      <c r="AW415" s="315"/>
      <c r="AX415" s="315"/>
    </row>
    <row r="416" spans="49:50" x14ac:dyDescent="0.25">
      <c r="AW416" s="315"/>
      <c r="AX416" s="315"/>
    </row>
    <row r="417" spans="49:50" x14ac:dyDescent="0.25">
      <c r="AW417" s="315"/>
      <c r="AX417" s="315"/>
    </row>
    <row r="418" spans="49:50" x14ac:dyDescent="0.25">
      <c r="AW418" s="315"/>
      <c r="AX418" s="315"/>
    </row>
    <row r="419" spans="49:50" x14ac:dyDescent="0.25">
      <c r="AW419" s="315"/>
      <c r="AX419" s="315"/>
    </row>
    <row r="420" spans="49:50" x14ac:dyDescent="0.25">
      <c r="AW420" s="315"/>
      <c r="AX420" s="315"/>
    </row>
    <row r="421" spans="49:50" x14ac:dyDescent="0.25">
      <c r="AW421" s="315"/>
      <c r="AX421" s="315"/>
    </row>
    <row r="422" spans="49:50" x14ac:dyDescent="0.25">
      <c r="AW422" s="315"/>
      <c r="AX422" s="315"/>
    </row>
    <row r="423" spans="49:50" x14ac:dyDescent="0.25">
      <c r="AW423" s="315"/>
      <c r="AX423" s="315"/>
    </row>
    <row r="424" spans="49:50" x14ac:dyDescent="0.25">
      <c r="AW424" s="315"/>
      <c r="AX424" s="315"/>
    </row>
    <row r="425" spans="49:50" x14ac:dyDescent="0.25">
      <c r="AW425" s="315"/>
      <c r="AX425" s="315"/>
    </row>
    <row r="426" spans="49:50" x14ac:dyDescent="0.25">
      <c r="AW426" s="315"/>
      <c r="AX426" s="315"/>
    </row>
    <row r="427" spans="49:50" x14ac:dyDescent="0.25">
      <c r="AW427" s="315"/>
      <c r="AX427" s="315"/>
    </row>
    <row r="428" spans="49:50" x14ac:dyDescent="0.25">
      <c r="AW428" s="315"/>
      <c r="AX428" s="315"/>
    </row>
    <row r="429" spans="49:50" x14ac:dyDescent="0.25">
      <c r="AW429" s="315"/>
      <c r="AX429" s="315"/>
    </row>
    <row r="430" spans="49:50" x14ac:dyDescent="0.25">
      <c r="AW430" s="315"/>
      <c r="AX430" s="315"/>
    </row>
    <row r="431" spans="49:50" x14ac:dyDescent="0.25">
      <c r="AW431" s="315"/>
      <c r="AX431" s="315"/>
    </row>
    <row r="432" spans="49:50" x14ac:dyDescent="0.25">
      <c r="AW432" s="315"/>
      <c r="AX432" s="315"/>
    </row>
    <row r="433" spans="49:50" x14ac:dyDescent="0.25">
      <c r="AW433" s="315"/>
      <c r="AX433" s="315"/>
    </row>
    <row r="434" spans="49:50" x14ac:dyDescent="0.25">
      <c r="AW434" s="315"/>
      <c r="AX434" s="315"/>
    </row>
    <row r="435" spans="49:50" x14ac:dyDescent="0.25">
      <c r="AW435" s="315"/>
      <c r="AX435" s="315"/>
    </row>
    <row r="436" spans="49:50" x14ac:dyDescent="0.25">
      <c r="AW436" s="315"/>
      <c r="AX436" s="315"/>
    </row>
    <row r="437" spans="49:50" x14ac:dyDescent="0.25">
      <c r="AW437" s="315"/>
      <c r="AX437" s="315"/>
    </row>
    <row r="438" spans="49:50" x14ac:dyDescent="0.25">
      <c r="AW438" s="315"/>
      <c r="AX438" s="315"/>
    </row>
    <row r="439" spans="49:50" x14ac:dyDescent="0.25">
      <c r="AW439" s="315"/>
      <c r="AX439" s="315"/>
    </row>
    <row r="440" spans="49:50" x14ac:dyDescent="0.25">
      <c r="AW440" s="315"/>
      <c r="AX440" s="315"/>
    </row>
    <row r="441" spans="49:50" x14ac:dyDescent="0.25">
      <c r="AW441" s="315"/>
      <c r="AX441" s="315"/>
    </row>
    <row r="442" spans="49:50" x14ac:dyDescent="0.25">
      <c r="AW442" s="315"/>
      <c r="AX442" s="315"/>
    </row>
    <row r="443" spans="49:50" x14ac:dyDescent="0.25">
      <c r="AW443" s="315"/>
      <c r="AX443" s="315"/>
    </row>
    <row r="444" spans="49:50" x14ac:dyDescent="0.25">
      <c r="AW444" s="315"/>
      <c r="AX444" s="315"/>
    </row>
    <row r="445" spans="49:50" x14ac:dyDescent="0.25">
      <c r="AW445" s="315"/>
      <c r="AX445" s="315"/>
    </row>
    <row r="446" spans="49:50" x14ac:dyDescent="0.25">
      <c r="AW446" s="315"/>
      <c r="AX446" s="315"/>
    </row>
    <row r="447" spans="49:50" x14ac:dyDescent="0.25">
      <c r="AW447" s="315"/>
      <c r="AX447" s="315"/>
    </row>
    <row r="448" spans="49:50" x14ac:dyDescent="0.25">
      <c r="AW448" s="315"/>
      <c r="AX448" s="315"/>
    </row>
    <row r="449" spans="49:50" x14ac:dyDescent="0.25">
      <c r="AW449" s="315"/>
      <c r="AX449" s="315"/>
    </row>
    <row r="450" spans="49:50" x14ac:dyDescent="0.25">
      <c r="AW450" s="315"/>
      <c r="AX450" s="315"/>
    </row>
    <row r="451" spans="49:50" x14ac:dyDescent="0.25">
      <c r="AW451" s="315"/>
      <c r="AX451" s="315"/>
    </row>
    <row r="452" spans="49:50" x14ac:dyDescent="0.25">
      <c r="AW452" s="315"/>
      <c r="AX452" s="315"/>
    </row>
    <row r="453" spans="49:50" x14ac:dyDescent="0.25">
      <c r="AW453" s="315"/>
      <c r="AX453" s="315"/>
    </row>
    <row r="454" spans="49:50" x14ac:dyDescent="0.25">
      <c r="AW454" s="315"/>
      <c r="AX454" s="315"/>
    </row>
    <row r="455" spans="49:50" x14ac:dyDescent="0.25">
      <c r="AW455" s="315"/>
      <c r="AX455" s="315"/>
    </row>
    <row r="456" spans="49:50" x14ac:dyDescent="0.25">
      <c r="AW456" s="315"/>
      <c r="AX456" s="315"/>
    </row>
    <row r="457" spans="49:50" x14ac:dyDescent="0.25">
      <c r="AW457" s="315"/>
      <c r="AX457" s="315"/>
    </row>
    <row r="458" spans="49:50" x14ac:dyDescent="0.25">
      <c r="AW458" s="315"/>
      <c r="AX458" s="315"/>
    </row>
    <row r="459" spans="49:50" x14ac:dyDescent="0.25">
      <c r="AW459" s="315"/>
      <c r="AX459" s="315"/>
    </row>
    <row r="460" spans="49:50" x14ac:dyDescent="0.25">
      <c r="AW460" s="315"/>
      <c r="AX460" s="315"/>
    </row>
    <row r="461" spans="49:50" x14ac:dyDescent="0.25">
      <c r="AW461" s="315"/>
      <c r="AX461" s="315"/>
    </row>
    <row r="462" spans="49:50" x14ac:dyDescent="0.25">
      <c r="AW462" s="315"/>
      <c r="AX462" s="315"/>
    </row>
    <row r="463" spans="49:50" x14ac:dyDescent="0.25">
      <c r="AW463" s="315"/>
      <c r="AX463" s="315"/>
    </row>
    <row r="464" spans="49:50" x14ac:dyDescent="0.25">
      <c r="AW464" s="315"/>
      <c r="AX464" s="315"/>
    </row>
    <row r="465" spans="49:50" x14ac:dyDescent="0.25">
      <c r="AW465" s="315"/>
      <c r="AX465" s="315"/>
    </row>
    <row r="466" spans="49:50" x14ac:dyDescent="0.25">
      <c r="AW466" s="315"/>
      <c r="AX466" s="315"/>
    </row>
    <row r="467" spans="49:50" x14ac:dyDescent="0.25">
      <c r="AW467" s="315"/>
      <c r="AX467" s="315"/>
    </row>
    <row r="468" spans="49:50" x14ac:dyDescent="0.25">
      <c r="AW468" s="315"/>
      <c r="AX468" s="315"/>
    </row>
    <row r="469" spans="49:50" x14ac:dyDescent="0.25">
      <c r="AW469" s="315"/>
      <c r="AX469" s="315"/>
    </row>
    <row r="470" spans="49:50" x14ac:dyDescent="0.25">
      <c r="AW470" s="315"/>
      <c r="AX470" s="315"/>
    </row>
    <row r="471" spans="49:50" x14ac:dyDescent="0.25">
      <c r="AW471" s="315"/>
      <c r="AX471" s="315"/>
    </row>
    <row r="472" spans="49:50" x14ac:dyDescent="0.25">
      <c r="AW472" s="315"/>
      <c r="AX472" s="315"/>
    </row>
    <row r="473" spans="49:50" x14ac:dyDescent="0.25">
      <c r="AW473" s="315"/>
      <c r="AX473" s="315"/>
    </row>
    <row r="474" spans="49:50" x14ac:dyDescent="0.25">
      <c r="AW474" s="315"/>
      <c r="AX474" s="315"/>
    </row>
    <row r="475" spans="49:50" x14ac:dyDescent="0.25">
      <c r="AW475" s="315"/>
      <c r="AX475" s="315"/>
    </row>
    <row r="476" spans="49:50" x14ac:dyDescent="0.25">
      <c r="AW476" s="315"/>
      <c r="AX476" s="315"/>
    </row>
    <row r="477" spans="49:50" x14ac:dyDescent="0.25">
      <c r="AW477" s="315"/>
      <c r="AX477" s="315"/>
    </row>
    <row r="478" spans="49:50" x14ac:dyDescent="0.25">
      <c r="AW478" s="315"/>
      <c r="AX478" s="315"/>
    </row>
    <row r="479" spans="49:50" x14ac:dyDescent="0.25">
      <c r="AW479" s="315"/>
      <c r="AX479" s="315"/>
    </row>
    <row r="480" spans="49:50" x14ac:dyDescent="0.25">
      <c r="AW480" s="315"/>
      <c r="AX480" s="315"/>
    </row>
    <row r="481" spans="49:50" x14ac:dyDescent="0.25">
      <c r="AW481" s="315"/>
      <c r="AX481" s="315"/>
    </row>
    <row r="482" spans="49:50" x14ac:dyDescent="0.25">
      <c r="AW482" s="315"/>
      <c r="AX482" s="315"/>
    </row>
    <row r="483" spans="49:50" x14ac:dyDescent="0.25">
      <c r="AW483" s="315"/>
      <c r="AX483" s="315"/>
    </row>
    <row r="484" spans="49:50" x14ac:dyDescent="0.25">
      <c r="AW484" s="315"/>
      <c r="AX484" s="315"/>
    </row>
    <row r="485" spans="49:50" x14ac:dyDescent="0.25">
      <c r="AW485" s="315"/>
      <c r="AX485" s="315"/>
    </row>
    <row r="486" spans="49:50" x14ac:dyDescent="0.25">
      <c r="AW486" s="315"/>
      <c r="AX486" s="315"/>
    </row>
    <row r="487" spans="49:50" x14ac:dyDescent="0.25">
      <c r="AW487" s="315"/>
      <c r="AX487" s="315"/>
    </row>
    <row r="488" spans="49:50" x14ac:dyDescent="0.25">
      <c r="AW488" s="315"/>
      <c r="AX488" s="315"/>
    </row>
    <row r="489" spans="49:50" x14ac:dyDescent="0.25">
      <c r="AW489" s="315"/>
      <c r="AX489" s="315"/>
    </row>
    <row r="490" spans="49:50" x14ac:dyDescent="0.25">
      <c r="AW490" s="315"/>
      <c r="AX490" s="315"/>
    </row>
    <row r="491" spans="49:50" x14ac:dyDescent="0.25">
      <c r="AW491" s="315"/>
      <c r="AX491" s="315"/>
    </row>
    <row r="492" spans="49:50" x14ac:dyDescent="0.25">
      <c r="AW492" s="315"/>
      <c r="AX492" s="315"/>
    </row>
    <row r="493" spans="49:50" x14ac:dyDescent="0.25">
      <c r="AW493" s="315"/>
      <c r="AX493" s="315"/>
    </row>
    <row r="494" spans="49:50" x14ac:dyDescent="0.25">
      <c r="AW494" s="315"/>
      <c r="AX494" s="315"/>
    </row>
    <row r="495" spans="49:50" x14ac:dyDescent="0.25">
      <c r="AW495" s="315"/>
      <c r="AX495" s="315"/>
    </row>
    <row r="496" spans="49:50" x14ac:dyDescent="0.25">
      <c r="AW496" s="315"/>
      <c r="AX496" s="315"/>
    </row>
    <row r="497" spans="49:50" x14ac:dyDescent="0.25">
      <c r="AW497" s="315"/>
      <c r="AX497" s="315"/>
    </row>
    <row r="498" spans="49:50" x14ac:dyDescent="0.25">
      <c r="AW498" s="315"/>
      <c r="AX498" s="315"/>
    </row>
    <row r="499" spans="49:50" x14ac:dyDescent="0.25">
      <c r="AW499" s="315"/>
      <c r="AX499" s="315"/>
    </row>
    <row r="500" spans="49:50" x14ac:dyDescent="0.25">
      <c r="AW500" s="315"/>
      <c r="AX500" s="315"/>
    </row>
    <row r="501" spans="49:50" x14ac:dyDescent="0.25">
      <c r="AW501" s="315"/>
      <c r="AX501" s="315"/>
    </row>
    <row r="502" spans="49:50" x14ac:dyDescent="0.25">
      <c r="AW502" s="315"/>
      <c r="AX502" s="315"/>
    </row>
    <row r="503" spans="49:50" x14ac:dyDescent="0.25">
      <c r="AW503" s="315"/>
      <c r="AX503" s="315"/>
    </row>
    <row r="504" spans="49:50" x14ac:dyDescent="0.25">
      <c r="AW504" s="315"/>
      <c r="AX504" s="315"/>
    </row>
    <row r="505" spans="49:50" x14ac:dyDescent="0.25">
      <c r="AW505" s="315"/>
      <c r="AX505" s="315"/>
    </row>
    <row r="506" spans="49:50" x14ac:dyDescent="0.25">
      <c r="AW506" s="315"/>
      <c r="AX506" s="315"/>
    </row>
    <row r="507" spans="49:50" x14ac:dyDescent="0.25">
      <c r="AW507" s="315"/>
      <c r="AX507" s="315"/>
    </row>
    <row r="508" spans="49:50" x14ac:dyDescent="0.25">
      <c r="AW508" s="315"/>
      <c r="AX508" s="315"/>
    </row>
    <row r="509" spans="49:50" x14ac:dyDescent="0.25">
      <c r="AW509" s="315"/>
      <c r="AX509" s="315"/>
    </row>
    <row r="510" spans="49:50" x14ac:dyDescent="0.25">
      <c r="AW510" s="315"/>
      <c r="AX510" s="315"/>
    </row>
    <row r="511" spans="49:50" x14ac:dyDescent="0.25">
      <c r="AW511" s="315"/>
      <c r="AX511" s="315"/>
    </row>
    <row r="512" spans="49:50" x14ac:dyDescent="0.25">
      <c r="AW512" s="315"/>
      <c r="AX512" s="315"/>
    </row>
    <row r="513" spans="49:50" x14ac:dyDescent="0.25">
      <c r="AW513" s="315"/>
      <c r="AX513" s="315"/>
    </row>
    <row r="514" spans="49:50" x14ac:dyDescent="0.25">
      <c r="AW514" s="315"/>
      <c r="AX514" s="315"/>
    </row>
    <row r="515" spans="49:50" x14ac:dyDescent="0.25">
      <c r="AW515" s="315"/>
      <c r="AX515" s="315"/>
    </row>
    <row r="516" spans="49:50" x14ac:dyDescent="0.25">
      <c r="AW516" s="315"/>
      <c r="AX516" s="315"/>
    </row>
    <row r="517" spans="49:50" x14ac:dyDescent="0.25">
      <c r="AW517" s="315"/>
      <c r="AX517" s="315"/>
    </row>
    <row r="518" spans="49:50" x14ac:dyDescent="0.25">
      <c r="AW518" s="315"/>
      <c r="AX518" s="315"/>
    </row>
    <row r="519" spans="49:50" x14ac:dyDescent="0.25">
      <c r="AW519" s="315"/>
      <c r="AX519" s="315"/>
    </row>
    <row r="520" spans="49:50" x14ac:dyDescent="0.25">
      <c r="AW520" s="315"/>
      <c r="AX520" s="315"/>
    </row>
    <row r="521" spans="49:50" x14ac:dyDescent="0.25">
      <c r="AW521" s="315"/>
      <c r="AX521" s="315"/>
    </row>
    <row r="522" spans="49:50" x14ac:dyDescent="0.25">
      <c r="AW522" s="315"/>
      <c r="AX522" s="315"/>
    </row>
    <row r="523" spans="49:50" x14ac:dyDescent="0.25">
      <c r="AW523" s="315"/>
      <c r="AX523" s="315"/>
    </row>
    <row r="524" spans="49:50" x14ac:dyDescent="0.25">
      <c r="AW524" s="315"/>
      <c r="AX524" s="315"/>
    </row>
    <row r="525" spans="49:50" x14ac:dyDescent="0.25">
      <c r="AW525" s="315"/>
      <c r="AX525" s="315"/>
    </row>
    <row r="526" spans="49:50" x14ac:dyDescent="0.25">
      <c r="AW526" s="315"/>
      <c r="AX526" s="315"/>
    </row>
    <row r="527" spans="49:50" x14ac:dyDescent="0.25">
      <c r="AW527" s="315"/>
      <c r="AX527" s="315"/>
    </row>
    <row r="528" spans="49:50" x14ac:dyDescent="0.25">
      <c r="AW528" s="315"/>
      <c r="AX528" s="315"/>
    </row>
    <row r="529" spans="49:50" x14ac:dyDescent="0.25">
      <c r="AW529" s="315"/>
      <c r="AX529" s="315"/>
    </row>
    <row r="530" spans="49:50" x14ac:dyDescent="0.25">
      <c r="AW530" s="315"/>
      <c r="AX530" s="315"/>
    </row>
    <row r="531" spans="49:50" x14ac:dyDescent="0.25">
      <c r="AW531" s="315"/>
      <c r="AX531" s="315"/>
    </row>
    <row r="532" spans="49:50" x14ac:dyDescent="0.25">
      <c r="AW532" s="315"/>
      <c r="AX532" s="315"/>
    </row>
    <row r="533" spans="49:50" x14ac:dyDescent="0.25">
      <c r="AW533" s="315"/>
      <c r="AX533" s="315"/>
    </row>
    <row r="534" spans="49:50" x14ac:dyDescent="0.25">
      <c r="AW534" s="315"/>
      <c r="AX534" s="315"/>
    </row>
    <row r="535" spans="49:50" x14ac:dyDescent="0.25">
      <c r="AW535" s="315"/>
      <c r="AX535" s="315"/>
    </row>
    <row r="536" spans="49:50" x14ac:dyDescent="0.25">
      <c r="AW536" s="315"/>
      <c r="AX536" s="315"/>
    </row>
    <row r="537" spans="49:50" x14ac:dyDescent="0.25">
      <c r="AW537" s="315"/>
      <c r="AX537" s="315"/>
    </row>
    <row r="538" spans="49:50" x14ac:dyDescent="0.25">
      <c r="AW538" s="315"/>
      <c r="AX538" s="315"/>
    </row>
    <row r="539" spans="49:50" x14ac:dyDescent="0.25">
      <c r="AW539" s="315"/>
      <c r="AX539" s="315"/>
    </row>
    <row r="540" spans="49:50" x14ac:dyDescent="0.25">
      <c r="AW540" s="315"/>
      <c r="AX540" s="315"/>
    </row>
    <row r="541" spans="49:50" x14ac:dyDescent="0.25">
      <c r="AW541" s="315"/>
      <c r="AX541" s="315"/>
    </row>
    <row r="542" spans="49:50" x14ac:dyDescent="0.25">
      <c r="AW542" s="315"/>
      <c r="AX542" s="315"/>
    </row>
    <row r="543" spans="49:50" x14ac:dyDescent="0.25">
      <c r="AW543" s="315"/>
      <c r="AX543" s="315"/>
    </row>
    <row r="544" spans="49:50" x14ac:dyDescent="0.25">
      <c r="AW544" s="315"/>
      <c r="AX544" s="315"/>
    </row>
    <row r="545" spans="49:50" x14ac:dyDescent="0.25">
      <c r="AW545" s="315"/>
      <c r="AX545" s="315"/>
    </row>
    <row r="546" spans="49:50" x14ac:dyDescent="0.25">
      <c r="AW546" s="315"/>
      <c r="AX546" s="315"/>
    </row>
    <row r="547" spans="49:50" x14ac:dyDescent="0.25">
      <c r="AW547" s="315"/>
      <c r="AX547" s="315"/>
    </row>
    <row r="548" spans="49:50" x14ac:dyDescent="0.25">
      <c r="AW548" s="315"/>
      <c r="AX548" s="315"/>
    </row>
    <row r="549" spans="49:50" x14ac:dyDescent="0.25">
      <c r="AW549" s="315"/>
      <c r="AX549" s="315"/>
    </row>
    <row r="550" spans="49:50" x14ac:dyDescent="0.25">
      <c r="AW550" s="315"/>
      <c r="AX550" s="315"/>
    </row>
    <row r="551" spans="49:50" x14ac:dyDescent="0.25">
      <c r="AW551" s="315"/>
      <c r="AX551" s="315"/>
    </row>
    <row r="552" spans="49:50" x14ac:dyDescent="0.25">
      <c r="AW552" s="315"/>
      <c r="AX552" s="315"/>
    </row>
    <row r="553" spans="49:50" x14ac:dyDescent="0.25">
      <c r="AW553" s="315"/>
      <c r="AX553" s="315"/>
    </row>
    <row r="554" spans="49:50" x14ac:dyDescent="0.25">
      <c r="AW554" s="315"/>
      <c r="AX554" s="315"/>
    </row>
    <row r="555" spans="49:50" x14ac:dyDescent="0.25">
      <c r="AW555" s="315"/>
      <c r="AX555" s="315"/>
    </row>
    <row r="556" spans="49:50" x14ac:dyDescent="0.25">
      <c r="AW556" s="315"/>
      <c r="AX556" s="315"/>
    </row>
    <row r="557" spans="49:50" x14ac:dyDescent="0.25">
      <c r="AW557" s="315"/>
      <c r="AX557" s="315"/>
    </row>
    <row r="558" spans="49:50" x14ac:dyDescent="0.25">
      <c r="AW558" s="315"/>
      <c r="AX558" s="315"/>
    </row>
    <row r="559" spans="49:50" x14ac:dyDescent="0.25">
      <c r="AW559" s="315"/>
      <c r="AX559" s="315"/>
    </row>
    <row r="560" spans="49:50" x14ac:dyDescent="0.25">
      <c r="AW560" s="315"/>
      <c r="AX560" s="315"/>
    </row>
    <row r="561" spans="49:50" x14ac:dyDescent="0.25">
      <c r="AW561" s="315"/>
      <c r="AX561" s="315"/>
    </row>
    <row r="562" spans="49:50" x14ac:dyDescent="0.25">
      <c r="AW562" s="315"/>
      <c r="AX562" s="315"/>
    </row>
    <row r="563" spans="49:50" x14ac:dyDescent="0.25">
      <c r="AW563" s="315"/>
      <c r="AX563" s="315"/>
    </row>
    <row r="564" spans="49:50" x14ac:dyDescent="0.25">
      <c r="AW564" s="315"/>
      <c r="AX564" s="315"/>
    </row>
    <row r="565" spans="49:50" x14ac:dyDescent="0.25">
      <c r="AW565" s="315"/>
      <c r="AX565" s="315"/>
    </row>
    <row r="566" spans="49:50" x14ac:dyDescent="0.25">
      <c r="AW566" s="315"/>
      <c r="AX566" s="315"/>
    </row>
    <row r="567" spans="49:50" x14ac:dyDescent="0.25">
      <c r="AW567" s="315"/>
      <c r="AX567" s="315"/>
    </row>
    <row r="568" spans="49:50" x14ac:dyDescent="0.25">
      <c r="AW568" s="315"/>
      <c r="AX568" s="315"/>
    </row>
    <row r="569" spans="49:50" x14ac:dyDescent="0.25">
      <c r="AW569" s="315"/>
      <c r="AX569" s="315"/>
    </row>
    <row r="570" spans="49:50" x14ac:dyDescent="0.25">
      <c r="AW570" s="315"/>
      <c r="AX570" s="315"/>
    </row>
    <row r="571" spans="49:50" x14ac:dyDescent="0.25">
      <c r="AW571" s="315"/>
      <c r="AX571" s="315"/>
    </row>
    <row r="572" spans="49:50" x14ac:dyDescent="0.25">
      <c r="AW572" s="315"/>
      <c r="AX572" s="315"/>
    </row>
    <row r="573" spans="49:50" x14ac:dyDescent="0.25">
      <c r="AW573" s="315"/>
      <c r="AX573" s="315"/>
    </row>
    <row r="574" spans="49:50" x14ac:dyDescent="0.25">
      <c r="AW574" s="315"/>
      <c r="AX574" s="315"/>
    </row>
    <row r="575" spans="49:50" x14ac:dyDescent="0.25">
      <c r="AW575" s="315"/>
      <c r="AX575" s="315"/>
    </row>
    <row r="576" spans="49:50" x14ac:dyDescent="0.25">
      <c r="AW576" s="315"/>
      <c r="AX576" s="315"/>
    </row>
    <row r="577" spans="49:50" x14ac:dyDescent="0.25">
      <c r="AW577" s="315"/>
      <c r="AX577" s="315"/>
    </row>
    <row r="578" spans="49:50" x14ac:dyDescent="0.25">
      <c r="AW578" s="315"/>
      <c r="AX578" s="315"/>
    </row>
    <row r="579" spans="49:50" x14ac:dyDescent="0.25">
      <c r="AW579" s="315"/>
      <c r="AX579" s="315"/>
    </row>
    <row r="580" spans="49:50" x14ac:dyDescent="0.25">
      <c r="AW580" s="315"/>
      <c r="AX580" s="315"/>
    </row>
    <row r="581" spans="49:50" x14ac:dyDescent="0.25">
      <c r="AW581" s="315"/>
      <c r="AX581" s="315"/>
    </row>
    <row r="582" spans="49:50" x14ac:dyDescent="0.25">
      <c r="AW582" s="315"/>
      <c r="AX582" s="315"/>
    </row>
    <row r="583" spans="49:50" x14ac:dyDescent="0.25">
      <c r="AW583" s="315"/>
      <c r="AX583" s="315"/>
    </row>
    <row r="584" spans="49:50" x14ac:dyDescent="0.25">
      <c r="AW584" s="315"/>
      <c r="AX584" s="315"/>
    </row>
    <row r="585" spans="49:50" x14ac:dyDescent="0.25">
      <c r="AW585" s="315"/>
      <c r="AX585" s="315"/>
    </row>
    <row r="586" spans="49:50" x14ac:dyDescent="0.25">
      <c r="AW586" s="315"/>
      <c r="AX586" s="315"/>
    </row>
    <row r="587" spans="49:50" x14ac:dyDescent="0.25">
      <c r="AW587" s="315"/>
      <c r="AX587" s="315"/>
    </row>
    <row r="588" spans="49:50" x14ac:dyDescent="0.25">
      <c r="AW588" s="315"/>
      <c r="AX588" s="315"/>
    </row>
    <row r="589" spans="49:50" x14ac:dyDescent="0.25">
      <c r="AW589" s="315"/>
      <c r="AX589" s="315"/>
    </row>
    <row r="590" spans="49:50" x14ac:dyDescent="0.25">
      <c r="AW590" s="315"/>
      <c r="AX590" s="315"/>
    </row>
    <row r="591" spans="49:50" x14ac:dyDescent="0.25">
      <c r="AW591" s="315"/>
      <c r="AX591" s="315"/>
    </row>
    <row r="592" spans="49:50" x14ac:dyDescent="0.25">
      <c r="AW592" s="315"/>
      <c r="AX592" s="315"/>
    </row>
    <row r="593" spans="49:50" x14ac:dyDescent="0.25">
      <c r="AW593" s="315"/>
      <c r="AX593" s="315"/>
    </row>
    <row r="594" spans="49:50" x14ac:dyDescent="0.25">
      <c r="AW594" s="315"/>
      <c r="AX594" s="315"/>
    </row>
    <row r="595" spans="49:50" x14ac:dyDescent="0.25">
      <c r="AW595" s="315"/>
      <c r="AX595" s="315"/>
    </row>
    <row r="596" spans="49:50" x14ac:dyDescent="0.25">
      <c r="AW596" s="315"/>
      <c r="AX596" s="315"/>
    </row>
    <row r="597" spans="49:50" x14ac:dyDescent="0.25">
      <c r="AW597" s="315"/>
      <c r="AX597" s="315"/>
    </row>
    <row r="598" spans="49:50" x14ac:dyDescent="0.25">
      <c r="AW598" s="315"/>
      <c r="AX598" s="315"/>
    </row>
    <row r="599" spans="49:50" x14ac:dyDescent="0.25">
      <c r="AW599" s="315"/>
      <c r="AX599" s="315"/>
    </row>
    <row r="600" spans="49:50" x14ac:dyDescent="0.25">
      <c r="AW600" s="315"/>
      <c r="AX600" s="315"/>
    </row>
    <row r="601" spans="49:50" x14ac:dyDescent="0.25">
      <c r="AW601" s="315"/>
      <c r="AX601" s="315"/>
    </row>
    <row r="602" spans="49:50" x14ac:dyDescent="0.25">
      <c r="AW602" s="315"/>
      <c r="AX602" s="315"/>
    </row>
    <row r="603" spans="49:50" x14ac:dyDescent="0.25">
      <c r="AW603" s="315"/>
      <c r="AX603" s="315"/>
    </row>
    <row r="604" spans="49:50" x14ac:dyDescent="0.25">
      <c r="AW604" s="315"/>
      <c r="AX604" s="315"/>
    </row>
    <row r="605" spans="49:50" x14ac:dyDescent="0.25">
      <c r="AW605" s="315"/>
      <c r="AX605" s="315"/>
    </row>
    <row r="606" spans="49:50" x14ac:dyDescent="0.25">
      <c r="AW606" s="315"/>
      <c r="AX606" s="315"/>
    </row>
    <row r="607" spans="49:50" x14ac:dyDescent="0.25">
      <c r="AW607" s="315"/>
      <c r="AX607" s="315"/>
    </row>
    <row r="608" spans="49:50" x14ac:dyDescent="0.25">
      <c r="AW608" s="315"/>
      <c r="AX608" s="315"/>
    </row>
    <row r="609" spans="49:50" x14ac:dyDescent="0.25">
      <c r="AW609" s="315"/>
      <c r="AX609" s="315"/>
    </row>
    <row r="610" spans="49:50" x14ac:dyDescent="0.25">
      <c r="AW610" s="315"/>
      <c r="AX610" s="315"/>
    </row>
    <row r="611" spans="49:50" x14ac:dyDescent="0.25">
      <c r="AW611" s="315"/>
      <c r="AX611" s="315"/>
    </row>
    <row r="612" spans="49:50" x14ac:dyDescent="0.25">
      <c r="AW612" s="315"/>
      <c r="AX612" s="315"/>
    </row>
    <row r="613" spans="49:50" x14ac:dyDescent="0.25">
      <c r="AW613" s="315"/>
      <c r="AX613" s="315"/>
    </row>
    <row r="614" spans="49:50" x14ac:dyDescent="0.25">
      <c r="AW614" s="315"/>
      <c r="AX614" s="315"/>
    </row>
    <row r="615" spans="49:50" x14ac:dyDescent="0.25">
      <c r="AW615" s="315"/>
      <c r="AX615" s="315"/>
    </row>
    <row r="616" spans="49:50" x14ac:dyDescent="0.25">
      <c r="AW616" s="315"/>
      <c r="AX616" s="315"/>
    </row>
    <row r="617" spans="49:50" x14ac:dyDescent="0.25">
      <c r="AW617" s="315"/>
      <c r="AX617" s="315"/>
    </row>
    <row r="618" spans="49:50" x14ac:dyDescent="0.25">
      <c r="AW618" s="315"/>
      <c r="AX618" s="315"/>
    </row>
    <row r="619" spans="49:50" x14ac:dyDescent="0.25">
      <c r="AW619" s="315"/>
      <c r="AX619" s="315"/>
    </row>
    <row r="620" spans="49:50" x14ac:dyDescent="0.25">
      <c r="AW620" s="315"/>
      <c r="AX620" s="315"/>
    </row>
    <row r="621" spans="49:50" x14ac:dyDescent="0.25">
      <c r="AW621" s="315"/>
      <c r="AX621" s="315"/>
    </row>
    <row r="622" spans="49:50" x14ac:dyDescent="0.25">
      <c r="AW622" s="315"/>
      <c r="AX622" s="315"/>
    </row>
    <row r="623" spans="49:50" x14ac:dyDescent="0.25">
      <c r="AW623" s="315"/>
      <c r="AX623" s="315"/>
    </row>
    <row r="624" spans="49:50" x14ac:dyDescent="0.25">
      <c r="AW624" s="315"/>
      <c r="AX624" s="315"/>
    </row>
    <row r="625" spans="49:50" x14ac:dyDescent="0.25">
      <c r="AW625" s="315"/>
      <c r="AX625" s="315"/>
    </row>
    <row r="626" spans="49:50" x14ac:dyDescent="0.25">
      <c r="AW626" s="315"/>
      <c r="AX626" s="315"/>
    </row>
    <row r="627" spans="49:50" x14ac:dyDescent="0.25">
      <c r="AW627" s="315"/>
      <c r="AX627" s="315"/>
    </row>
    <row r="628" spans="49:50" x14ac:dyDescent="0.25">
      <c r="AW628" s="315"/>
      <c r="AX628" s="315"/>
    </row>
    <row r="629" spans="49:50" x14ac:dyDescent="0.25">
      <c r="AW629" s="315"/>
      <c r="AX629" s="315"/>
    </row>
    <row r="630" spans="49:50" x14ac:dyDescent="0.25">
      <c r="AW630" s="315"/>
      <c r="AX630" s="315"/>
    </row>
    <row r="631" spans="49:50" x14ac:dyDescent="0.25">
      <c r="AW631" s="315"/>
      <c r="AX631" s="315"/>
    </row>
    <row r="632" spans="49:50" x14ac:dyDescent="0.25">
      <c r="AW632" s="315"/>
      <c r="AX632" s="315"/>
    </row>
    <row r="633" spans="49:50" x14ac:dyDescent="0.25">
      <c r="AW633" s="315"/>
      <c r="AX633" s="315"/>
    </row>
    <row r="634" spans="49:50" x14ac:dyDescent="0.25">
      <c r="AW634" s="315"/>
      <c r="AX634" s="315"/>
    </row>
    <row r="635" spans="49:50" x14ac:dyDescent="0.25">
      <c r="AW635" s="315"/>
      <c r="AX635" s="315"/>
    </row>
    <row r="636" spans="49:50" x14ac:dyDescent="0.25">
      <c r="AW636" s="315"/>
      <c r="AX636" s="315"/>
    </row>
    <row r="637" spans="49:50" x14ac:dyDescent="0.25">
      <c r="AW637" s="315"/>
      <c r="AX637" s="315"/>
    </row>
    <row r="638" spans="49:50" x14ac:dyDescent="0.25">
      <c r="AW638" s="315"/>
      <c r="AX638" s="315"/>
    </row>
    <row r="639" spans="49:50" x14ac:dyDescent="0.25">
      <c r="AW639" s="315"/>
      <c r="AX639" s="315"/>
    </row>
    <row r="640" spans="49:50" x14ac:dyDescent="0.25">
      <c r="AW640" s="315"/>
      <c r="AX640" s="315"/>
    </row>
    <row r="641" spans="49:50" x14ac:dyDescent="0.25">
      <c r="AW641" s="315"/>
      <c r="AX641" s="315"/>
    </row>
    <row r="642" spans="49:50" x14ac:dyDescent="0.25">
      <c r="AW642" s="315"/>
      <c r="AX642" s="315"/>
    </row>
    <row r="643" spans="49:50" x14ac:dyDescent="0.25">
      <c r="AW643" s="315"/>
      <c r="AX643" s="315"/>
    </row>
    <row r="644" spans="49:50" x14ac:dyDescent="0.25">
      <c r="AW644" s="315"/>
      <c r="AX644" s="315"/>
    </row>
    <row r="645" spans="49:50" x14ac:dyDescent="0.25">
      <c r="AW645" s="315"/>
      <c r="AX645" s="315"/>
    </row>
    <row r="646" spans="49:50" x14ac:dyDescent="0.25">
      <c r="AW646" s="315"/>
      <c r="AX646" s="315"/>
    </row>
    <row r="647" spans="49:50" x14ac:dyDescent="0.25">
      <c r="AW647" s="315"/>
      <c r="AX647" s="315"/>
    </row>
    <row r="648" spans="49:50" x14ac:dyDescent="0.25">
      <c r="AW648" s="315"/>
      <c r="AX648" s="315"/>
    </row>
    <row r="649" spans="49:50" x14ac:dyDescent="0.25">
      <c r="AW649" s="315"/>
      <c r="AX649" s="315"/>
    </row>
    <row r="650" spans="49:50" x14ac:dyDescent="0.25">
      <c r="AW650" s="315"/>
      <c r="AX650" s="315"/>
    </row>
    <row r="651" spans="49:50" x14ac:dyDescent="0.25">
      <c r="AW651" s="315"/>
      <c r="AX651" s="315"/>
    </row>
    <row r="652" spans="49:50" x14ac:dyDescent="0.25">
      <c r="AW652" s="315"/>
      <c r="AX652" s="315"/>
    </row>
    <row r="653" spans="49:50" x14ac:dyDescent="0.25">
      <c r="AW653" s="315"/>
      <c r="AX653" s="315"/>
    </row>
    <row r="654" spans="49:50" x14ac:dyDescent="0.25">
      <c r="AW654" s="315"/>
      <c r="AX654" s="315"/>
    </row>
    <row r="655" spans="49:50" x14ac:dyDescent="0.25">
      <c r="AW655" s="315"/>
      <c r="AX655" s="315"/>
    </row>
    <row r="656" spans="49:50" x14ac:dyDescent="0.25">
      <c r="AW656" s="315"/>
      <c r="AX656" s="315"/>
    </row>
    <row r="657" spans="49:50" x14ac:dyDescent="0.25">
      <c r="AW657" s="315"/>
      <c r="AX657" s="315"/>
    </row>
    <row r="658" spans="49:50" x14ac:dyDescent="0.25">
      <c r="AW658" s="315"/>
      <c r="AX658" s="315"/>
    </row>
    <row r="659" spans="49:50" x14ac:dyDescent="0.25">
      <c r="AW659" s="315"/>
      <c r="AX659" s="315"/>
    </row>
    <row r="660" spans="49:50" x14ac:dyDescent="0.25">
      <c r="AW660" s="315"/>
      <c r="AX660" s="315"/>
    </row>
    <row r="661" spans="49:50" x14ac:dyDescent="0.25">
      <c r="AW661" s="315"/>
      <c r="AX661" s="315"/>
    </row>
    <row r="662" spans="49:50" x14ac:dyDescent="0.25">
      <c r="AW662" s="315"/>
      <c r="AX662" s="315"/>
    </row>
    <row r="663" spans="49:50" x14ac:dyDescent="0.25">
      <c r="AW663" s="315"/>
      <c r="AX663" s="315"/>
    </row>
    <row r="664" spans="49:50" x14ac:dyDescent="0.25">
      <c r="AW664" s="315"/>
      <c r="AX664" s="315"/>
    </row>
    <row r="665" spans="49:50" x14ac:dyDescent="0.25">
      <c r="AW665" s="315"/>
      <c r="AX665" s="315"/>
    </row>
    <row r="666" spans="49:50" x14ac:dyDescent="0.25">
      <c r="AW666" s="315"/>
      <c r="AX666" s="315"/>
    </row>
    <row r="667" spans="49:50" x14ac:dyDescent="0.25">
      <c r="AW667" s="315"/>
      <c r="AX667" s="315"/>
    </row>
    <row r="668" spans="49:50" x14ac:dyDescent="0.25">
      <c r="AW668" s="315"/>
      <c r="AX668" s="315"/>
    </row>
    <row r="669" spans="49:50" x14ac:dyDescent="0.25">
      <c r="AW669" s="315"/>
      <c r="AX669" s="315"/>
    </row>
    <row r="670" spans="49:50" x14ac:dyDescent="0.25">
      <c r="AW670" s="315"/>
      <c r="AX670" s="315"/>
    </row>
    <row r="671" spans="49:50" x14ac:dyDescent="0.25">
      <c r="AW671" s="315"/>
      <c r="AX671" s="315"/>
    </row>
    <row r="672" spans="49:50" x14ac:dyDescent="0.25">
      <c r="AW672" s="315"/>
      <c r="AX672" s="315"/>
    </row>
    <row r="673" spans="49:50" x14ac:dyDescent="0.25">
      <c r="AW673" s="315"/>
      <c r="AX673" s="315"/>
    </row>
    <row r="674" spans="49:50" x14ac:dyDescent="0.25">
      <c r="AW674" s="315"/>
      <c r="AX674" s="315"/>
    </row>
    <row r="675" spans="49:50" x14ac:dyDescent="0.25">
      <c r="AW675" s="315"/>
      <c r="AX675" s="315"/>
    </row>
    <row r="676" spans="49:50" x14ac:dyDescent="0.25">
      <c r="AW676" s="315"/>
      <c r="AX676" s="315"/>
    </row>
    <row r="677" spans="49:50" x14ac:dyDescent="0.25">
      <c r="AW677" s="315"/>
      <c r="AX677" s="315"/>
    </row>
    <row r="678" spans="49:50" x14ac:dyDescent="0.25">
      <c r="AW678" s="315"/>
      <c r="AX678" s="315"/>
    </row>
    <row r="679" spans="49:50" x14ac:dyDescent="0.25">
      <c r="AW679" s="315"/>
      <c r="AX679" s="315"/>
    </row>
    <row r="680" spans="49:50" x14ac:dyDescent="0.25">
      <c r="AW680" s="315"/>
      <c r="AX680" s="315"/>
    </row>
    <row r="681" spans="49:50" x14ac:dyDescent="0.25">
      <c r="AW681" s="315"/>
      <c r="AX681" s="315"/>
    </row>
    <row r="682" spans="49:50" x14ac:dyDescent="0.25">
      <c r="AW682" s="315"/>
      <c r="AX682" s="315"/>
    </row>
    <row r="683" spans="49:50" x14ac:dyDescent="0.25">
      <c r="AW683" s="315"/>
      <c r="AX683" s="315"/>
    </row>
    <row r="684" spans="49:50" x14ac:dyDescent="0.25">
      <c r="AW684" s="315"/>
      <c r="AX684" s="315"/>
    </row>
    <row r="685" spans="49:50" x14ac:dyDescent="0.25">
      <c r="AW685" s="315"/>
      <c r="AX685" s="315"/>
    </row>
    <row r="686" spans="49:50" x14ac:dyDescent="0.25">
      <c r="AW686" s="315"/>
      <c r="AX686" s="315"/>
    </row>
    <row r="687" spans="49:50" x14ac:dyDescent="0.25">
      <c r="AW687" s="315"/>
      <c r="AX687" s="315"/>
    </row>
    <row r="688" spans="49:50" x14ac:dyDescent="0.25">
      <c r="AW688" s="315"/>
      <c r="AX688" s="315"/>
    </row>
    <row r="689" spans="49:50" x14ac:dyDescent="0.25">
      <c r="AW689" s="315"/>
      <c r="AX689" s="315"/>
    </row>
    <row r="690" spans="49:50" x14ac:dyDescent="0.25">
      <c r="AW690" s="315"/>
      <c r="AX690" s="315"/>
    </row>
    <row r="691" spans="49:50" x14ac:dyDescent="0.25">
      <c r="AW691" s="315"/>
      <c r="AX691" s="315"/>
    </row>
    <row r="692" spans="49:50" x14ac:dyDescent="0.25">
      <c r="AW692" s="315"/>
      <c r="AX692" s="315"/>
    </row>
    <row r="693" spans="49:50" x14ac:dyDescent="0.25">
      <c r="AW693" s="315"/>
      <c r="AX693" s="315"/>
    </row>
    <row r="694" spans="49:50" x14ac:dyDescent="0.25">
      <c r="AW694" s="315"/>
      <c r="AX694" s="315"/>
    </row>
    <row r="695" spans="49:50" x14ac:dyDescent="0.25">
      <c r="AW695" s="315"/>
      <c r="AX695" s="315"/>
    </row>
    <row r="696" spans="49:50" x14ac:dyDescent="0.25">
      <c r="AW696" s="315"/>
      <c r="AX696" s="315"/>
    </row>
    <row r="697" spans="49:50" x14ac:dyDescent="0.25">
      <c r="AW697" s="315"/>
      <c r="AX697" s="315"/>
    </row>
    <row r="698" spans="49:50" x14ac:dyDescent="0.25">
      <c r="AW698" s="315"/>
      <c r="AX698" s="315"/>
    </row>
    <row r="699" spans="49:50" x14ac:dyDescent="0.25">
      <c r="AW699" s="315"/>
      <c r="AX699" s="315"/>
    </row>
    <row r="700" spans="49:50" x14ac:dyDescent="0.25">
      <c r="AW700" s="315"/>
      <c r="AX700" s="315"/>
    </row>
    <row r="701" spans="49:50" x14ac:dyDescent="0.25">
      <c r="AW701" s="315"/>
      <c r="AX701" s="315"/>
    </row>
    <row r="702" spans="49:50" x14ac:dyDescent="0.25">
      <c r="AW702" s="315"/>
      <c r="AX702" s="315"/>
    </row>
    <row r="703" spans="49:50" x14ac:dyDescent="0.25">
      <c r="AW703" s="315"/>
      <c r="AX703" s="315"/>
    </row>
    <row r="704" spans="49:50" x14ac:dyDescent="0.25">
      <c r="AW704" s="315"/>
      <c r="AX704" s="315"/>
    </row>
    <row r="705" spans="49:50" x14ac:dyDescent="0.25">
      <c r="AW705" s="315"/>
      <c r="AX705" s="315"/>
    </row>
    <row r="706" spans="49:50" x14ac:dyDescent="0.25">
      <c r="AW706" s="315"/>
      <c r="AX706" s="315"/>
    </row>
    <row r="707" spans="49:50" x14ac:dyDescent="0.25">
      <c r="AW707" s="315"/>
      <c r="AX707" s="315"/>
    </row>
    <row r="708" spans="49:50" x14ac:dyDescent="0.25">
      <c r="AW708" s="315"/>
      <c r="AX708" s="315"/>
    </row>
    <row r="709" spans="49:50" x14ac:dyDescent="0.25">
      <c r="AW709" s="315"/>
      <c r="AX709" s="315"/>
    </row>
    <row r="710" spans="49:50" x14ac:dyDescent="0.25">
      <c r="AW710" s="315"/>
      <c r="AX710" s="315"/>
    </row>
    <row r="711" spans="49:50" x14ac:dyDescent="0.25">
      <c r="AW711" s="315"/>
      <c r="AX711" s="315"/>
    </row>
    <row r="712" spans="49:50" x14ac:dyDescent="0.25">
      <c r="AW712" s="315"/>
      <c r="AX712" s="315"/>
    </row>
    <row r="713" spans="49:50" x14ac:dyDescent="0.25">
      <c r="AW713" s="315"/>
      <c r="AX713" s="315"/>
    </row>
    <row r="714" spans="49:50" x14ac:dyDescent="0.25">
      <c r="AW714" s="315"/>
      <c r="AX714" s="315"/>
    </row>
    <row r="715" spans="49:50" x14ac:dyDescent="0.25">
      <c r="AW715" s="315"/>
      <c r="AX715" s="315"/>
    </row>
    <row r="716" spans="49:50" x14ac:dyDescent="0.25">
      <c r="AW716" s="315"/>
      <c r="AX716" s="315"/>
    </row>
    <row r="717" spans="49:50" x14ac:dyDescent="0.25">
      <c r="AW717" s="315"/>
      <c r="AX717" s="315"/>
    </row>
    <row r="718" spans="49:50" x14ac:dyDescent="0.25">
      <c r="AW718" s="315"/>
      <c r="AX718" s="315"/>
    </row>
    <row r="719" spans="49:50" x14ac:dyDescent="0.25">
      <c r="AW719" s="315"/>
      <c r="AX719" s="315"/>
    </row>
    <row r="720" spans="49:50" x14ac:dyDescent="0.25">
      <c r="AW720" s="315"/>
      <c r="AX720" s="315"/>
    </row>
    <row r="721" spans="49:50" x14ac:dyDescent="0.25">
      <c r="AW721" s="315"/>
      <c r="AX721" s="315"/>
    </row>
    <row r="722" spans="49:50" x14ac:dyDescent="0.25">
      <c r="AW722" s="315"/>
      <c r="AX722" s="315"/>
    </row>
    <row r="723" spans="49:50" x14ac:dyDescent="0.25">
      <c r="AW723" s="315"/>
      <c r="AX723" s="315"/>
    </row>
    <row r="724" spans="49:50" x14ac:dyDescent="0.25">
      <c r="AW724" s="315"/>
      <c r="AX724" s="315"/>
    </row>
    <row r="725" spans="49:50" x14ac:dyDescent="0.25">
      <c r="AW725" s="315"/>
      <c r="AX725" s="315"/>
    </row>
    <row r="726" spans="49:50" x14ac:dyDescent="0.25">
      <c r="AW726" s="315"/>
      <c r="AX726" s="315"/>
    </row>
    <row r="727" spans="49:50" x14ac:dyDescent="0.25">
      <c r="AW727" s="315"/>
      <c r="AX727" s="315"/>
    </row>
    <row r="728" spans="49:50" x14ac:dyDescent="0.25">
      <c r="AW728" s="315"/>
      <c r="AX728" s="315"/>
    </row>
    <row r="729" spans="49:50" x14ac:dyDescent="0.25">
      <c r="AW729" s="315"/>
      <c r="AX729" s="315"/>
    </row>
    <row r="730" spans="49:50" x14ac:dyDescent="0.25">
      <c r="AW730" s="315"/>
      <c r="AX730" s="315"/>
    </row>
    <row r="731" spans="49:50" x14ac:dyDescent="0.25">
      <c r="AW731" s="315"/>
      <c r="AX731" s="315"/>
    </row>
    <row r="732" spans="49:50" x14ac:dyDescent="0.25">
      <c r="AW732" s="315"/>
      <c r="AX732" s="315"/>
    </row>
    <row r="733" spans="49:50" x14ac:dyDescent="0.25">
      <c r="AW733" s="315"/>
      <c r="AX733" s="315"/>
    </row>
    <row r="734" spans="49:50" x14ac:dyDescent="0.25">
      <c r="AW734" s="315"/>
      <c r="AX734" s="315"/>
    </row>
  </sheetData>
  <autoFilter ref="B2:CK84" xr:uid="{5E836BD2-BD36-4269-88A6-FF3BBF90DCB3}">
    <sortState xmlns:xlrd2="http://schemas.microsoft.com/office/spreadsheetml/2017/richdata2" ref="B14:CK77">
      <sortCondition ref="C2:C80"/>
    </sortState>
  </autoFilter>
  <conditionalFormatting sqref="M3:M84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77:M84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84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:P84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:Q8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7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8:S8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U3 S4:S69 T4:U84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7:AA84">
    <cfRule type="colorScale" priority="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3:AF74 AA3:AB69 AB3:AB74">
    <cfRule type="colorScale" priority="2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3:BC68">
    <cfRule type="colorScale" priority="250">
      <colorScale>
        <cfvo type="min"/>
        <cfvo type="max"/>
        <color rgb="FF63BE7B"/>
        <color rgb="FFFFEF9C"/>
      </colorScale>
    </cfRule>
  </conditionalFormatting>
  <conditionalFormatting sqref="BC3:BC69">
    <cfRule type="colorScale" priority="71">
      <colorScale>
        <cfvo type="min"/>
        <cfvo type="max"/>
        <color rgb="FF63BE7B"/>
        <color rgb="FFFFEF9C"/>
      </colorScale>
    </cfRule>
  </conditionalFormatting>
  <conditionalFormatting sqref="BC3:BC84">
    <cfRule type="colorScale" priority="28">
      <colorScale>
        <cfvo type="min"/>
        <cfvo type="max"/>
        <color rgb="FF63BE7B"/>
        <color rgb="FFFFEF9C"/>
      </colorScale>
    </cfRule>
  </conditionalFormatting>
  <conditionalFormatting sqref="BC78">
    <cfRule type="colorScale" priority="56">
      <colorScale>
        <cfvo type="min"/>
        <cfvo type="max"/>
        <color rgb="FF63BE7B"/>
        <color rgb="FFFFEF9C"/>
      </colorScale>
    </cfRule>
  </conditionalFormatting>
  <conditionalFormatting sqref="BC79:BC84">
    <cfRule type="colorScale" priority="52">
      <colorScale>
        <cfvo type="min"/>
        <cfvo type="max"/>
        <color rgb="FF63BE7B"/>
        <color rgb="FFFFEF9C"/>
      </colorScale>
    </cfRule>
  </conditionalFormatting>
  <conditionalFormatting sqref="BD3:BD68">
    <cfRule type="colorScale" priority="249">
      <colorScale>
        <cfvo type="min"/>
        <cfvo type="max"/>
        <color rgb="FF63BE7B"/>
        <color rgb="FFFFEF9C"/>
      </colorScale>
    </cfRule>
  </conditionalFormatting>
  <conditionalFormatting sqref="BD3:BD69">
    <cfRule type="colorScale" priority="72">
      <colorScale>
        <cfvo type="min"/>
        <cfvo type="max"/>
        <color rgb="FF63BE7B"/>
        <color rgb="FFFFEF9C"/>
      </colorScale>
    </cfRule>
  </conditionalFormatting>
  <conditionalFormatting sqref="BD3:BD84">
    <cfRule type="colorScale" priority="27">
      <colorScale>
        <cfvo type="min"/>
        <cfvo type="max"/>
        <color rgb="FF63BE7B"/>
        <color rgb="FFFFEF9C"/>
      </colorScale>
    </cfRule>
  </conditionalFormatting>
  <conditionalFormatting sqref="BD78">
    <cfRule type="colorScale" priority="57">
      <colorScale>
        <cfvo type="min"/>
        <cfvo type="max"/>
        <color rgb="FF63BE7B"/>
        <color rgb="FFFFEF9C"/>
      </colorScale>
    </cfRule>
  </conditionalFormatting>
  <conditionalFormatting sqref="BD79:BD84">
    <cfRule type="colorScale" priority="53">
      <colorScale>
        <cfvo type="min"/>
        <cfvo type="max"/>
        <color rgb="FF63BE7B"/>
        <color rgb="FFFFEF9C"/>
      </colorScale>
    </cfRule>
  </conditionalFormatting>
  <conditionalFormatting sqref="BE3:BE68">
    <cfRule type="colorScale" priority="248">
      <colorScale>
        <cfvo type="min"/>
        <cfvo type="max"/>
        <color rgb="FF63BE7B"/>
        <color rgb="FFFFEF9C"/>
      </colorScale>
    </cfRule>
  </conditionalFormatting>
  <conditionalFormatting sqref="BE3:BE69">
    <cfRule type="colorScale" priority="73">
      <colorScale>
        <cfvo type="min"/>
        <cfvo type="max"/>
        <color rgb="FF63BE7B"/>
        <color rgb="FFFFEF9C"/>
      </colorScale>
    </cfRule>
  </conditionalFormatting>
  <conditionalFormatting sqref="BE3:BE84">
    <cfRule type="colorScale" priority="26">
      <colorScale>
        <cfvo type="min"/>
        <cfvo type="max"/>
        <color rgb="FF63BE7B"/>
        <color rgb="FFFFEF9C"/>
      </colorScale>
    </cfRule>
  </conditionalFormatting>
  <conditionalFormatting sqref="BE78">
    <cfRule type="colorScale" priority="58">
      <colorScale>
        <cfvo type="min"/>
        <cfvo type="max"/>
        <color rgb="FF63BE7B"/>
        <color rgb="FFFFEF9C"/>
      </colorScale>
    </cfRule>
  </conditionalFormatting>
  <conditionalFormatting sqref="BE79:BE84">
    <cfRule type="colorScale" priority="54">
      <colorScale>
        <cfvo type="min"/>
        <cfvo type="max"/>
        <color rgb="FF63BE7B"/>
        <color rgb="FFFFEF9C"/>
      </colorScale>
    </cfRule>
  </conditionalFormatting>
  <conditionalFormatting sqref="BF3:BF68">
    <cfRule type="colorScale" priority="247">
      <colorScale>
        <cfvo type="min"/>
        <cfvo type="max"/>
        <color rgb="FF63BE7B"/>
        <color rgb="FFFFEF9C"/>
      </colorScale>
    </cfRule>
  </conditionalFormatting>
  <conditionalFormatting sqref="BF3:BF69">
    <cfRule type="colorScale" priority="74">
      <colorScale>
        <cfvo type="min"/>
        <cfvo type="max"/>
        <color rgb="FF63BE7B"/>
        <color rgb="FFFFEF9C"/>
      </colorScale>
    </cfRule>
  </conditionalFormatting>
  <conditionalFormatting sqref="BF3:BF84">
    <cfRule type="colorScale" priority="25">
      <colorScale>
        <cfvo type="min"/>
        <cfvo type="max"/>
        <color rgb="FF63BE7B"/>
        <color rgb="FFFFEF9C"/>
      </colorScale>
    </cfRule>
  </conditionalFormatting>
  <conditionalFormatting sqref="BF78">
    <cfRule type="colorScale" priority="59">
      <colorScale>
        <cfvo type="min"/>
        <cfvo type="max"/>
        <color rgb="FF63BE7B"/>
        <color rgb="FFFFEF9C"/>
      </colorScale>
    </cfRule>
  </conditionalFormatting>
  <conditionalFormatting sqref="BF79:BF84">
    <cfRule type="colorScale" priority="55">
      <colorScale>
        <cfvo type="min"/>
        <cfvo type="max"/>
        <color rgb="FF63BE7B"/>
        <color rgb="FFFFEF9C"/>
      </colorScale>
    </cfRule>
  </conditionalFormatting>
  <conditionalFormatting sqref="BG3:BG69">
    <cfRule type="colorScale" priority="246">
      <colorScale>
        <cfvo type="min"/>
        <cfvo type="max"/>
        <color rgb="FFFFEF9C"/>
        <color rgb="FF63BE7B"/>
      </colorScale>
    </cfRule>
  </conditionalFormatting>
  <conditionalFormatting sqref="BG3:BG84">
    <cfRule type="colorScale" priority="23">
      <colorScale>
        <cfvo type="min"/>
        <cfvo type="max"/>
        <color rgb="FFFFEF9C"/>
        <color rgb="FF63BE7B"/>
      </colorScale>
    </cfRule>
  </conditionalFormatting>
  <conditionalFormatting sqref="BG79:BG84">
    <cfRule type="colorScale" priority="47">
      <colorScale>
        <cfvo type="min"/>
        <cfvo type="max"/>
        <color rgb="FFFFEF9C"/>
        <color rgb="FF63BE7B"/>
      </colorScale>
    </cfRule>
  </conditionalFormatting>
  <conditionalFormatting sqref="BH3:BH69">
    <cfRule type="colorScale" priority="245">
      <colorScale>
        <cfvo type="min"/>
        <cfvo type="max"/>
        <color rgb="FFFFEF9C"/>
        <color rgb="FF63BE7B"/>
      </colorScale>
    </cfRule>
  </conditionalFormatting>
  <conditionalFormatting sqref="BH3:BH84">
    <cfRule type="colorScale" priority="22">
      <colorScale>
        <cfvo type="min"/>
        <cfvo type="max"/>
        <color rgb="FFFFEF9C"/>
        <color rgb="FF63BE7B"/>
      </colorScale>
    </cfRule>
  </conditionalFormatting>
  <conditionalFormatting sqref="BH79:BH84">
    <cfRule type="colorScale" priority="46">
      <colorScale>
        <cfvo type="min"/>
        <cfvo type="max"/>
        <color rgb="FFFFEF9C"/>
        <color rgb="FF63BE7B"/>
      </colorScale>
    </cfRule>
  </conditionalFormatting>
  <conditionalFormatting sqref="BI3:BI69">
    <cfRule type="colorScale" priority="244">
      <colorScale>
        <cfvo type="min"/>
        <cfvo type="max"/>
        <color rgb="FFFFEF9C"/>
        <color rgb="FF63BE7B"/>
      </colorScale>
    </cfRule>
  </conditionalFormatting>
  <conditionalFormatting sqref="BI3:BI84">
    <cfRule type="colorScale" priority="21">
      <colorScale>
        <cfvo type="min"/>
        <cfvo type="max"/>
        <color rgb="FFFFEF9C"/>
        <color rgb="FF63BE7B"/>
      </colorScale>
    </cfRule>
  </conditionalFormatting>
  <conditionalFormatting sqref="BI79:BI84">
    <cfRule type="colorScale" priority="45">
      <colorScale>
        <cfvo type="min"/>
        <cfvo type="max"/>
        <color rgb="FFFFEF9C"/>
        <color rgb="FF63BE7B"/>
      </colorScale>
    </cfRule>
  </conditionalFormatting>
  <conditionalFormatting sqref="BJ3:BJ54">
    <cfRule type="colorScale" priority="243">
      <colorScale>
        <cfvo type="min"/>
        <cfvo type="max"/>
        <color rgb="FFFFEF9C"/>
        <color rgb="FF63BE7B"/>
      </colorScale>
    </cfRule>
  </conditionalFormatting>
  <conditionalFormatting sqref="BJ3:BJ84">
    <cfRule type="colorScale" priority="20">
      <colorScale>
        <cfvo type="min"/>
        <cfvo type="max"/>
        <color rgb="FFFFEF9C"/>
        <color rgb="FF63BE7B"/>
      </colorScale>
    </cfRule>
  </conditionalFormatting>
  <conditionalFormatting sqref="BJ68">
    <cfRule type="colorScale" priority="48">
      <colorScale>
        <cfvo type="min"/>
        <cfvo type="max"/>
        <color rgb="FFFFEF9C"/>
        <color rgb="FF63BE7B"/>
      </colorScale>
    </cfRule>
  </conditionalFormatting>
  <conditionalFormatting sqref="BJ79:BJ84">
    <cfRule type="colorScale" priority="44">
      <colorScale>
        <cfvo type="min"/>
        <cfvo type="max"/>
        <color rgb="FFFFEF9C"/>
        <color rgb="FF63BE7B"/>
      </colorScale>
    </cfRule>
  </conditionalFormatting>
  <conditionalFormatting sqref="BK3:BK54">
    <cfRule type="colorScale" priority="242">
      <colorScale>
        <cfvo type="min"/>
        <cfvo type="max"/>
        <color rgb="FFFFEF9C"/>
        <color rgb="FF63BE7B"/>
      </colorScale>
    </cfRule>
  </conditionalFormatting>
  <conditionalFormatting sqref="BK3:BK69">
    <cfRule type="colorScale" priority="81">
      <colorScale>
        <cfvo type="min"/>
        <cfvo type="max"/>
        <color rgb="FFFFEF9C"/>
        <color rgb="FF63BE7B"/>
      </colorScale>
    </cfRule>
  </conditionalFormatting>
  <conditionalFormatting sqref="BK3:BK84">
    <cfRule type="colorScale" priority="19">
      <colorScale>
        <cfvo type="min"/>
        <cfvo type="max"/>
        <color rgb="FFFFEF9C"/>
        <color rgb="FF63BE7B"/>
      </colorScale>
    </cfRule>
  </conditionalFormatting>
  <conditionalFormatting sqref="BK69">
    <cfRule type="colorScale" priority="32">
      <colorScale>
        <cfvo type="min"/>
        <cfvo type="max"/>
        <color rgb="FFFFEF9C"/>
        <color rgb="FF63BE7B"/>
      </colorScale>
    </cfRule>
  </conditionalFormatting>
  <conditionalFormatting sqref="BK79:BK84">
    <cfRule type="colorScale" priority="36">
      <colorScale>
        <cfvo type="min"/>
        <cfvo type="max"/>
        <color rgb="FFFFEF9C"/>
        <color rgb="FF63BE7B"/>
      </colorScale>
    </cfRule>
    <cfRule type="colorScale" priority="43">
      <colorScale>
        <cfvo type="min"/>
        <cfvo type="max"/>
        <color rgb="FFFFEF9C"/>
        <color rgb="FF63BE7B"/>
      </colorScale>
    </cfRule>
  </conditionalFormatting>
  <conditionalFormatting sqref="BL3:BL54">
    <cfRule type="colorScale" priority="241">
      <colorScale>
        <cfvo type="min"/>
        <cfvo type="max"/>
        <color rgb="FFFFEF9C"/>
        <color rgb="FF63BE7B"/>
      </colorScale>
    </cfRule>
  </conditionalFormatting>
  <conditionalFormatting sqref="BL3:BL69">
    <cfRule type="colorScale" priority="80">
      <colorScale>
        <cfvo type="min"/>
        <cfvo type="max"/>
        <color rgb="FFFFEF9C"/>
        <color rgb="FF63BE7B"/>
      </colorScale>
    </cfRule>
    <cfRule type="colorScale" priority="84">
      <colorScale>
        <cfvo type="min"/>
        <cfvo type="max"/>
        <color rgb="FFFFEF9C"/>
        <color rgb="FF63BE7B"/>
      </colorScale>
    </cfRule>
  </conditionalFormatting>
  <conditionalFormatting sqref="BL3:BL84">
    <cfRule type="colorScale" priority="18">
      <colorScale>
        <cfvo type="min"/>
        <cfvo type="max"/>
        <color rgb="FFFFEF9C"/>
        <color rgb="FF63BE7B"/>
      </colorScale>
    </cfRule>
  </conditionalFormatting>
  <conditionalFormatting sqref="BL69">
    <cfRule type="colorScale" priority="31">
      <colorScale>
        <cfvo type="min"/>
        <cfvo type="max"/>
        <color rgb="FFFFEF9C"/>
        <color rgb="FF63BE7B"/>
      </colorScale>
    </cfRule>
  </conditionalFormatting>
  <conditionalFormatting sqref="BL79:BL84">
    <cfRule type="colorScale" priority="35">
      <colorScale>
        <cfvo type="min"/>
        <cfvo type="max"/>
        <color rgb="FFFFEF9C"/>
        <color rgb="FF63BE7B"/>
      </colorScale>
    </cfRule>
    <cfRule type="colorScale" priority="39">
      <colorScale>
        <cfvo type="min"/>
        <cfvo type="max"/>
        <color rgb="FFFFEF9C"/>
        <color rgb="FF63BE7B"/>
      </colorScale>
    </cfRule>
    <cfRule type="colorScale" priority="42">
      <colorScale>
        <cfvo type="min"/>
        <cfvo type="max"/>
        <color rgb="FFFFEF9C"/>
        <color rgb="FF63BE7B"/>
      </colorScale>
    </cfRule>
  </conditionalFormatting>
  <conditionalFormatting sqref="BM3:BM54">
    <cfRule type="colorScale" priority="240">
      <colorScale>
        <cfvo type="min"/>
        <cfvo type="max"/>
        <color rgb="FFFFEF9C"/>
        <color rgb="FF63BE7B"/>
      </colorScale>
    </cfRule>
  </conditionalFormatting>
  <conditionalFormatting sqref="BM3:BM69">
    <cfRule type="colorScale" priority="79">
      <colorScale>
        <cfvo type="min"/>
        <cfvo type="max"/>
        <color rgb="FFFFEF9C"/>
        <color rgb="FF63BE7B"/>
      </colorScale>
    </cfRule>
    <cfRule type="colorScale" priority="83">
      <colorScale>
        <cfvo type="min"/>
        <cfvo type="max"/>
        <color rgb="FFFFEF9C"/>
        <color rgb="FF63BE7B"/>
      </colorScale>
    </cfRule>
  </conditionalFormatting>
  <conditionalFormatting sqref="BM3:BM84">
    <cfRule type="colorScale" priority="17">
      <colorScale>
        <cfvo type="min"/>
        <cfvo type="max"/>
        <color rgb="FFFFEF9C"/>
        <color rgb="FF63BE7B"/>
      </colorScale>
    </cfRule>
  </conditionalFormatting>
  <conditionalFormatting sqref="BM69">
    <cfRule type="colorScale" priority="30">
      <colorScale>
        <cfvo type="min"/>
        <cfvo type="max"/>
        <color rgb="FFFFEF9C"/>
        <color rgb="FF63BE7B"/>
      </colorScale>
    </cfRule>
  </conditionalFormatting>
  <conditionalFormatting sqref="BM79:BM84">
    <cfRule type="colorScale" priority="34">
      <colorScale>
        <cfvo type="min"/>
        <cfvo type="max"/>
        <color rgb="FFFFEF9C"/>
        <color rgb="FF63BE7B"/>
      </colorScale>
    </cfRule>
    <cfRule type="colorScale" priority="38">
      <colorScale>
        <cfvo type="min"/>
        <cfvo type="max"/>
        <color rgb="FFFFEF9C"/>
        <color rgb="FF63BE7B"/>
      </colorScale>
    </cfRule>
    <cfRule type="colorScale" priority="41">
      <colorScale>
        <cfvo type="min"/>
        <cfvo type="max"/>
        <color rgb="FFFFEF9C"/>
        <color rgb="FF63BE7B"/>
      </colorScale>
    </cfRule>
  </conditionalFormatting>
  <conditionalFormatting sqref="BN3:BN54">
    <cfRule type="colorScale" priority="239">
      <colorScale>
        <cfvo type="min"/>
        <cfvo type="max"/>
        <color rgb="FFFFEF9C"/>
        <color rgb="FF63BE7B"/>
      </colorScale>
    </cfRule>
  </conditionalFormatting>
  <conditionalFormatting sqref="BN3:BN69">
    <cfRule type="colorScale" priority="78">
      <colorScale>
        <cfvo type="min"/>
        <cfvo type="max"/>
        <color rgb="FFFFEF9C"/>
        <color rgb="FF63BE7B"/>
      </colorScale>
    </cfRule>
    <cfRule type="colorScale" priority="82">
      <colorScale>
        <cfvo type="min"/>
        <cfvo type="max"/>
        <color rgb="FFFFEF9C"/>
        <color rgb="FF63BE7B"/>
      </colorScale>
    </cfRule>
  </conditionalFormatting>
  <conditionalFormatting sqref="BN3:BN84">
    <cfRule type="colorScale" priority="16">
      <colorScale>
        <cfvo type="min"/>
        <cfvo type="max"/>
        <color rgb="FFFFEF9C"/>
        <color rgb="FF63BE7B"/>
      </colorScale>
    </cfRule>
  </conditionalFormatting>
  <conditionalFormatting sqref="BN69">
    <cfRule type="colorScale" priority="29">
      <colorScale>
        <cfvo type="min"/>
        <cfvo type="max"/>
        <color rgb="FFFFEF9C"/>
        <color rgb="FF63BE7B"/>
      </colorScale>
    </cfRule>
  </conditionalFormatting>
  <conditionalFormatting sqref="BN79:BN84">
    <cfRule type="colorScale" priority="33">
      <colorScale>
        <cfvo type="min"/>
        <cfvo type="max"/>
        <color rgb="FFFFEF9C"/>
        <color rgb="FF63BE7B"/>
      </colorScale>
    </cfRule>
    <cfRule type="colorScale" priority="37">
      <colorScale>
        <cfvo type="min"/>
        <cfvo type="max"/>
        <color rgb="FFFFEF9C"/>
        <color rgb="FF63BE7B"/>
      </colorScale>
    </cfRule>
    <cfRule type="colorScale" priority="40">
      <colorScale>
        <cfvo type="min"/>
        <cfvo type="max"/>
        <color rgb="FFFFEF9C"/>
        <color rgb="FF63BE7B"/>
      </colorScale>
    </cfRule>
  </conditionalFormatting>
  <conditionalFormatting sqref="BO3:BO54">
    <cfRule type="colorScale" priority="238">
      <colorScale>
        <cfvo type="min"/>
        <cfvo type="max"/>
        <color rgb="FF63BE7B"/>
        <color rgb="FFFFEF9C"/>
      </colorScale>
    </cfRule>
  </conditionalFormatting>
  <conditionalFormatting sqref="BO3:BO69">
    <cfRule type="colorScale" priority="70">
      <colorScale>
        <cfvo type="min"/>
        <cfvo type="max"/>
        <color rgb="FF63BE7B"/>
        <color rgb="FFFFEF9C"/>
      </colorScale>
    </cfRule>
  </conditionalFormatting>
  <conditionalFormatting sqref="BO3:BO73">
    <cfRule type="colorScale" priority="15">
      <colorScale>
        <cfvo type="min"/>
        <cfvo type="max"/>
        <color rgb="FF63BE7B"/>
        <color rgb="FFFFEF9C"/>
      </colorScale>
    </cfRule>
  </conditionalFormatting>
  <conditionalFormatting sqref="BP3:BP54">
    <cfRule type="colorScale" priority="237">
      <colorScale>
        <cfvo type="min"/>
        <cfvo type="max"/>
        <color rgb="FF63BE7B"/>
        <color rgb="FFFFEF9C"/>
      </colorScale>
    </cfRule>
  </conditionalFormatting>
  <conditionalFormatting sqref="BP3:BP84">
    <cfRule type="colorScale" priority="14">
      <colorScale>
        <cfvo type="min"/>
        <cfvo type="max"/>
        <color rgb="FF63BE7B"/>
        <color rgb="FFFFEF9C"/>
      </colorScale>
    </cfRule>
  </conditionalFormatting>
  <conditionalFormatting sqref="BQ3:BQ54">
    <cfRule type="colorScale" priority="236">
      <colorScale>
        <cfvo type="min"/>
        <cfvo type="max"/>
        <color rgb="FF63BE7B"/>
        <color rgb="FFFFEF9C"/>
      </colorScale>
    </cfRule>
  </conditionalFormatting>
  <conditionalFormatting sqref="BQ3:BQ84">
    <cfRule type="colorScale" priority="13">
      <colorScale>
        <cfvo type="min"/>
        <cfvo type="max"/>
        <color rgb="FF63BE7B"/>
        <color rgb="FFFFEF9C"/>
      </colorScale>
    </cfRule>
  </conditionalFormatting>
  <conditionalFormatting sqref="BR3:BR54">
    <cfRule type="colorScale" priority="235">
      <colorScale>
        <cfvo type="min"/>
        <cfvo type="max"/>
        <color rgb="FF63BE7B"/>
        <color rgb="FFFFEF9C"/>
      </colorScale>
    </cfRule>
  </conditionalFormatting>
  <conditionalFormatting sqref="BR3:BR85">
    <cfRule type="colorScale" priority="12">
      <colorScale>
        <cfvo type="min"/>
        <cfvo type="max"/>
        <color rgb="FF63BE7B"/>
        <color rgb="FFFFEF9C"/>
      </colorScale>
    </cfRule>
  </conditionalFormatting>
  <conditionalFormatting sqref="BS3:BS54">
    <cfRule type="colorScale" priority="234">
      <colorScale>
        <cfvo type="min"/>
        <cfvo type="max"/>
        <color rgb="FF63BE7B"/>
        <color rgb="FFFFEF9C"/>
      </colorScale>
    </cfRule>
  </conditionalFormatting>
  <conditionalFormatting sqref="BS3:BS69">
    <cfRule type="colorScale" priority="69">
      <colorScale>
        <cfvo type="min"/>
        <cfvo type="max"/>
        <color rgb="FF63BE7B"/>
        <color rgb="FFFFEF9C"/>
      </colorScale>
    </cfRule>
  </conditionalFormatting>
  <conditionalFormatting sqref="BT3:BT54">
    <cfRule type="colorScale" priority="233">
      <colorScale>
        <cfvo type="min"/>
        <cfvo type="max"/>
        <color rgb="FF63BE7B"/>
        <color rgb="FFFFEF9C"/>
      </colorScale>
    </cfRule>
  </conditionalFormatting>
  <conditionalFormatting sqref="BU3:BU54">
    <cfRule type="colorScale" priority="232">
      <colorScale>
        <cfvo type="min"/>
        <cfvo type="max"/>
        <color rgb="FF63BE7B"/>
        <color rgb="FFFFEF9C"/>
      </colorScale>
    </cfRule>
  </conditionalFormatting>
  <conditionalFormatting sqref="CF3:CF43">
    <cfRule type="colorScale" priority="229">
      <colorScale>
        <cfvo type="min"/>
        <cfvo type="max"/>
        <color rgb="FFFCFCFF"/>
        <color rgb="FF63BE7B"/>
      </colorScale>
    </cfRule>
  </conditionalFormatting>
  <conditionalFormatting sqref="CF44">
    <cfRule type="colorScale" priority="224">
      <colorScale>
        <cfvo type="min"/>
        <cfvo type="max"/>
        <color rgb="FFFCFCFF"/>
        <color rgb="FF63BE7B"/>
      </colorScale>
    </cfRule>
  </conditionalFormatting>
  <conditionalFormatting sqref="CF45">
    <cfRule type="colorScale" priority="214">
      <colorScale>
        <cfvo type="min"/>
        <cfvo type="max"/>
        <color rgb="FFFCFCFF"/>
        <color rgb="FF63BE7B"/>
      </colorScale>
    </cfRule>
  </conditionalFormatting>
  <conditionalFormatting sqref="CF46">
    <cfRule type="colorScale" priority="209">
      <colorScale>
        <cfvo type="min"/>
        <cfvo type="max"/>
        <color rgb="FFFCFCFF"/>
        <color rgb="FF63BE7B"/>
      </colorScale>
    </cfRule>
  </conditionalFormatting>
  <conditionalFormatting sqref="CF47">
    <cfRule type="colorScale" priority="204">
      <colorScale>
        <cfvo type="min"/>
        <cfvo type="max"/>
        <color rgb="FFFCFCFF"/>
        <color rgb="FF63BE7B"/>
      </colorScale>
    </cfRule>
  </conditionalFormatting>
  <conditionalFormatting sqref="CF48">
    <cfRule type="colorScale" priority="194">
      <colorScale>
        <cfvo type="min"/>
        <cfvo type="max"/>
        <color rgb="FFFCFCFF"/>
        <color rgb="FF63BE7B"/>
      </colorScale>
    </cfRule>
  </conditionalFormatting>
  <conditionalFormatting sqref="CF49">
    <cfRule type="colorScale" priority="189">
      <colorScale>
        <cfvo type="min"/>
        <cfvo type="max"/>
        <color rgb="FFFCFCFF"/>
        <color rgb="FF63BE7B"/>
      </colorScale>
    </cfRule>
  </conditionalFormatting>
  <conditionalFormatting sqref="CF50">
    <cfRule type="colorScale" priority="199">
      <colorScale>
        <cfvo type="min"/>
        <cfvo type="max"/>
        <color rgb="FFFCFCFF"/>
        <color rgb="FF63BE7B"/>
      </colorScale>
    </cfRule>
  </conditionalFormatting>
  <conditionalFormatting sqref="CF51">
    <cfRule type="colorScale" priority="184">
      <colorScale>
        <cfvo type="min"/>
        <cfvo type="max"/>
        <color rgb="FFFCFCFF"/>
        <color rgb="FF63BE7B"/>
      </colorScale>
    </cfRule>
  </conditionalFormatting>
  <conditionalFormatting sqref="CF52">
    <cfRule type="colorScale" priority="169">
      <colorScale>
        <cfvo type="min"/>
        <cfvo type="max"/>
        <color rgb="FFFCFCFF"/>
        <color rgb="FF63BE7B"/>
      </colorScale>
    </cfRule>
  </conditionalFormatting>
  <conditionalFormatting sqref="CF53">
    <cfRule type="colorScale" priority="164">
      <colorScale>
        <cfvo type="min"/>
        <cfvo type="max"/>
        <color rgb="FFFCFCFF"/>
        <color rgb="FF63BE7B"/>
      </colorScale>
    </cfRule>
  </conditionalFormatting>
  <conditionalFormatting sqref="CF54">
    <cfRule type="colorScale" priority="159">
      <colorScale>
        <cfvo type="min"/>
        <cfvo type="max"/>
        <color rgb="FFFCFCFF"/>
        <color rgb="FF63BE7B"/>
      </colorScale>
    </cfRule>
  </conditionalFormatting>
  <conditionalFormatting sqref="CF55">
    <cfRule type="colorScale" priority="154">
      <colorScale>
        <cfvo type="min"/>
        <cfvo type="max"/>
        <color rgb="FFFCFCFF"/>
        <color rgb="FF63BE7B"/>
      </colorScale>
    </cfRule>
  </conditionalFormatting>
  <conditionalFormatting sqref="CF56">
    <cfRule type="colorScale" priority="149">
      <colorScale>
        <cfvo type="min"/>
        <cfvo type="max"/>
        <color rgb="FFFCFCFF"/>
        <color rgb="FF63BE7B"/>
      </colorScale>
    </cfRule>
  </conditionalFormatting>
  <conditionalFormatting sqref="CF57">
    <cfRule type="colorScale" priority="144">
      <colorScale>
        <cfvo type="min"/>
        <cfvo type="max"/>
        <color rgb="FFFCFCFF"/>
        <color rgb="FF63BE7B"/>
      </colorScale>
    </cfRule>
  </conditionalFormatting>
  <conditionalFormatting sqref="CF59">
    <cfRule type="colorScale" priority="139">
      <colorScale>
        <cfvo type="min"/>
        <cfvo type="max"/>
        <color rgb="FFFCFCFF"/>
        <color rgb="FF63BE7B"/>
      </colorScale>
    </cfRule>
  </conditionalFormatting>
  <conditionalFormatting sqref="CF60">
    <cfRule type="colorScale" priority="134">
      <colorScale>
        <cfvo type="min"/>
        <cfvo type="max"/>
        <color rgb="FFFCFCFF"/>
        <color rgb="FF63BE7B"/>
      </colorScale>
    </cfRule>
  </conditionalFormatting>
  <conditionalFormatting sqref="CF61">
    <cfRule type="colorScale" priority="129">
      <colorScale>
        <cfvo type="min"/>
        <cfvo type="max"/>
        <color rgb="FFFCFCFF"/>
        <color rgb="FF63BE7B"/>
      </colorScale>
    </cfRule>
  </conditionalFormatting>
  <conditionalFormatting sqref="CF62">
    <cfRule type="colorScale" priority="124">
      <colorScale>
        <cfvo type="min"/>
        <cfvo type="max"/>
        <color rgb="FFFCFCFF"/>
        <color rgb="FF63BE7B"/>
      </colorScale>
    </cfRule>
  </conditionalFormatting>
  <conditionalFormatting sqref="CF63">
    <cfRule type="colorScale" priority="119">
      <colorScale>
        <cfvo type="min"/>
        <cfvo type="max"/>
        <color rgb="FFFCFCFF"/>
        <color rgb="FF63BE7B"/>
      </colorScale>
    </cfRule>
  </conditionalFormatting>
  <conditionalFormatting sqref="CF64">
    <cfRule type="colorScale" priority="114">
      <colorScale>
        <cfvo type="min"/>
        <cfvo type="max"/>
        <color rgb="FFFCFCFF"/>
        <color rgb="FF63BE7B"/>
      </colorScale>
    </cfRule>
  </conditionalFormatting>
  <conditionalFormatting sqref="CF65">
    <cfRule type="colorScale" priority="109">
      <colorScale>
        <cfvo type="min"/>
        <cfvo type="max"/>
        <color rgb="FFFCFCFF"/>
        <color rgb="FF63BE7B"/>
      </colorScale>
    </cfRule>
  </conditionalFormatting>
  <conditionalFormatting sqref="CF66">
    <cfRule type="colorScale" priority="104">
      <colorScale>
        <cfvo type="min"/>
        <cfvo type="max"/>
        <color rgb="FFFCFCFF"/>
        <color rgb="FF63BE7B"/>
      </colorScale>
    </cfRule>
  </conditionalFormatting>
  <conditionalFormatting sqref="CF67">
    <cfRule type="colorScale" priority="99">
      <colorScale>
        <cfvo type="min"/>
        <cfvo type="max"/>
        <color rgb="FFFCFCFF"/>
        <color rgb="FF63BE7B"/>
      </colorScale>
    </cfRule>
  </conditionalFormatting>
  <conditionalFormatting sqref="CF68">
    <cfRule type="colorScale" priority="94">
      <colorScale>
        <cfvo type="min"/>
        <cfvo type="max"/>
        <color rgb="FFFCFCFF"/>
        <color rgb="FF63BE7B"/>
      </colorScale>
    </cfRule>
  </conditionalFormatting>
  <conditionalFormatting sqref="CF69:CF84">
    <cfRule type="colorScale" priority="89">
      <colorScale>
        <cfvo type="min"/>
        <cfvo type="max"/>
        <color rgb="FFFCFCFF"/>
        <color rgb="FF63BE7B"/>
      </colorScale>
    </cfRule>
  </conditionalFormatting>
  <conditionalFormatting sqref="CG3:CG43">
    <cfRule type="colorScale" priority="228">
      <colorScale>
        <cfvo type="min"/>
        <cfvo type="max"/>
        <color rgb="FFFCFCFF"/>
        <color rgb="FF63BE7B"/>
      </colorScale>
    </cfRule>
  </conditionalFormatting>
  <conditionalFormatting sqref="CG44">
    <cfRule type="colorScale" priority="223">
      <colorScale>
        <cfvo type="min"/>
        <cfvo type="max"/>
        <color rgb="FFFCFCFF"/>
        <color rgb="FF63BE7B"/>
      </colorScale>
    </cfRule>
  </conditionalFormatting>
  <conditionalFormatting sqref="CG45">
    <cfRule type="colorScale" priority="213">
      <colorScale>
        <cfvo type="min"/>
        <cfvo type="max"/>
        <color rgb="FFFCFCFF"/>
        <color rgb="FF63BE7B"/>
      </colorScale>
    </cfRule>
  </conditionalFormatting>
  <conditionalFormatting sqref="CG46">
    <cfRule type="colorScale" priority="208">
      <colorScale>
        <cfvo type="min"/>
        <cfvo type="max"/>
        <color rgb="FFFCFCFF"/>
        <color rgb="FF63BE7B"/>
      </colorScale>
    </cfRule>
  </conditionalFormatting>
  <conditionalFormatting sqref="CG47">
    <cfRule type="colorScale" priority="203">
      <colorScale>
        <cfvo type="min"/>
        <cfvo type="max"/>
        <color rgb="FFFCFCFF"/>
        <color rgb="FF63BE7B"/>
      </colorScale>
    </cfRule>
  </conditionalFormatting>
  <conditionalFormatting sqref="CG48">
    <cfRule type="colorScale" priority="193">
      <colorScale>
        <cfvo type="min"/>
        <cfvo type="max"/>
        <color rgb="FFFCFCFF"/>
        <color rgb="FF63BE7B"/>
      </colorScale>
    </cfRule>
  </conditionalFormatting>
  <conditionalFormatting sqref="CG49">
    <cfRule type="colorScale" priority="188">
      <colorScale>
        <cfvo type="min"/>
        <cfvo type="max"/>
        <color rgb="FFFCFCFF"/>
        <color rgb="FF63BE7B"/>
      </colorScale>
    </cfRule>
  </conditionalFormatting>
  <conditionalFormatting sqref="CG50">
    <cfRule type="colorScale" priority="198">
      <colorScale>
        <cfvo type="min"/>
        <cfvo type="max"/>
        <color rgb="FFFCFCFF"/>
        <color rgb="FF63BE7B"/>
      </colorScale>
    </cfRule>
  </conditionalFormatting>
  <conditionalFormatting sqref="CG51">
    <cfRule type="colorScale" priority="183">
      <colorScale>
        <cfvo type="min"/>
        <cfvo type="max"/>
        <color rgb="FFFCFCFF"/>
        <color rgb="FF63BE7B"/>
      </colorScale>
    </cfRule>
  </conditionalFormatting>
  <conditionalFormatting sqref="CG52">
    <cfRule type="colorScale" priority="168">
      <colorScale>
        <cfvo type="min"/>
        <cfvo type="max"/>
        <color rgb="FFFCFCFF"/>
        <color rgb="FF63BE7B"/>
      </colorScale>
    </cfRule>
  </conditionalFormatting>
  <conditionalFormatting sqref="CG53">
    <cfRule type="colorScale" priority="163">
      <colorScale>
        <cfvo type="min"/>
        <cfvo type="max"/>
        <color rgb="FFFCFCFF"/>
        <color rgb="FF63BE7B"/>
      </colorScale>
    </cfRule>
  </conditionalFormatting>
  <conditionalFormatting sqref="CG54">
    <cfRule type="colorScale" priority="158">
      <colorScale>
        <cfvo type="min"/>
        <cfvo type="max"/>
        <color rgb="FFFCFCFF"/>
        <color rgb="FF63BE7B"/>
      </colorScale>
    </cfRule>
  </conditionalFormatting>
  <conditionalFormatting sqref="CG55">
    <cfRule type="colorScale" priority="153">
      <colorScale>
        <cfvo type="min"/>
        <cfvo type="max"/>
        <color rgb="FFFCFCFF"/>
        <color rgb="FF63BE7B"/>
      </colorScale>
    </cfRule>
  </conditionalFormatting>
  <conditionalFormatting sqref="CG56">
    <cfRule type="colorScale" priority="148">
      <colorScale>
        <cfvo type="min"/>
        <cfvo type="max"/>
        <color rgb="FFFCFCFF"/>
        <color rgb="FF63BE7B"/>
      </colorScale>
    </cfRule>
  </conditionalFormatting>
  <conditionalFormatting sqref="CG57">
    <cfRule type="colorScale" priority="143">
      <colorScale>
        <cfvo type="min"/>
        <cfvo type="max"/>
        <color rgb="FFFCFCFF"/>
        <color rgb="FF63BE7B"/>
      </colorScale>
    </cfRule>
  </conditionalFormatting>
  <conditionalFormatting sqref="CG59">
    <cfRule type="colorScale" priority="138">
      <colorScale>
        <cfvo type="min"/>
        <cfvo type="max"/>
        <color rgb="FFFCFCFF"/>
        <color rgb="FF63BE7B"/>
      </colorScale>
    </cfRule>
  </conditionalFormatting>
  <conditionalFormatting sqref="CG60">
    <cfRule type="colorScale" priority="133">
      <colorScale>
        <cfvo type="min"/>
        <cfvo type="max"/>
        <color rgb="FFFCFCFF"/>
        <color rgb="FF63BE7B"/>
      </colorScale>
    </cfRule>
  </conditionalFormatting>
  <conditionalFormatting sqref="CG61">
    <cfRule type="colorScale" priority="128">
      <colorScale>
        <cfvo type="min"/>
        <cfvo type="max"/>
        <color rgb="FFFCFCFF"/>
        <color rgb="FF63BE7B"/>
      </colorScale>
    </cfRule>
  </conditionalFormatting>
  <conditionalFormatting sqref="CG62">
    <cfRule type="colorScale" priority="123">
      <colorScale>
        <cfvo type="min"/>
        <cfvo type="max"/>
        <color rgb="FFFCFCFF"/>
        <color rgb="FF63BE7B"/>
      </colorScale>
    </cfRule>
  </conditionalFormatting>
  <conditionalFormatting sqref="CG63">
    <cfRule type="colorScale" priority="118">
      <colorScale>
        <cfvo type="min"/>
        <cfvo type="max"/>
        <color rgb="FFFCFCFF"/>
        <color rgb="FF63BE7B"/>
      </colorScale>
    </cfRule>
  </conditionalFormatting>
  <conditionalFormatting sqref="CG64">
    <cfRule type="colorScale" priority="113">
      <colorScale>
        <cfvo type="min"/>
        <cfvo type="max"/>
        <color rgb="FFFCFCFF"/>
        <color rgb="FF63BE7B"/>
      </colorScale>
    </cfRule>
  </conditionalFormatting>
  <conditionalFormatting sqref="CG65">
    <cfRule type="colorScale" priority="108">
      <colorScale>
        <cfvo type="min"/>
        <cfvo type="max"/>
        <color rgb="FFFCFCFF"/>
        <color rgb="FF63BE7B"/>
      </colorScale>
    </cfRule>
  </conditionalFormatting>
  <conditionalFormatting sqref="CG66">
    <cfRule type="colorScale" priority="103">
      <colorScale>
        <cfvo type="min"/>
        <cfvo type="max"/>
        <color rgb="FFFCFCFF"/>
        <color rgb="FF63BE7B"/>
      </colorScale>
    </cfRule>
  </conditionalFormatting>
  <conditionalFormatting sqref="CG67">
    <cfRule type="colorScale" priority="98">
      <colorScale>
        <cfvo type="min"/>
        <cfvo type="max"/>
        <color rgb="FFFCFCFF"/>
        <color rgb="FF63BE7B"/>
      </colorScale>
    </cfRule>
  </conditionalFormatting>
  <conditionalFormatting sqref="CG68">
    <cfRule type="colorScale" priority="93">
      <colorScale>
        <cfvo type="min"/>
        <cfvo type="max"/>
        <color rgb="FFFCFCFF"/>
        <color rgb="FF63BE7B"/>
      </colorScale>
    </cfRule>
  </conditionalFormatting>
  <conditionalFormatting sqref="CG69:CG84">
    <cfRule type="colorScale" priority="88">
      <colorScale>
        <cfvo type="min"/>
        <cfvo type="max"/>
        <color rgb="FFFCFCFF"/>
        <color rgb="FF63BE7B"/>
      </colorScale>
    </cfRule>
  </conditionalFormatting>
  <conditionalFormatting sqref="CH3:CH43">
    <cfRule type="colorScale" priority="227">
      <colorScale>
        <cfvo type="min"/>
        <cfvo type="max"/>
        <color rgb="FFFCFCFF"/>
        <color rgb="FF63BE7B"/>
      </colorScale>
    </cfRule>
  </conditionalFormatting>
  <conditionalFormatting sqref="CH44">
    <cfRule type="colorScale" priority="222">
      <colorScale>
        <cfvo type="min"/>
        <cfvo type="max"/>
        <color rgb="FFFCFCFF"/>
        <color rgb="FF63BE7B"/>
      </colorScale>
    </cfRule>
  </conditionalFormatting>
  <conditionalFormatting sqref="CH45">
    <cfRule type="colorScale" priority="212">
      <colorScale>
        <cfvo type="min"/>
        <cfvo type="max"/>
        <color rgb="FFFCFCFF"/>
        <color rgb="FF63BE7B"/>
      </colorScale>
    </cfRule>
  </conditionalFormatting>
  <conditionalFormatting sqref="CH46">
    <cfRule type="colorScale" priority="207">
      <colorScale>
        <cfvo type="min"/>
        <cfvo type="max"/>
        <color rgb="FFFCFCFF"/>
        <color rgb="FF63BE7B"/>
      </colorScale>
    </cfRule>
  </conditionalFormatting>
  <conditionalFormatting sqref="CH47">
    <cfRule type="colorScale" priority="202">
      <colorScale>
        <cfvo type="min"/>
        <cfvo type="max"/>
        <color rgb="FFFCFCFF"/>
        <color rgb="FF63BE7B"/>
      </colorScale>
    </cfRule>
  </conditionalFormatting>
  <conditionalFormatting sqref="CH48">
    <cfRule type="colorScale" priority="192">
      <colorScale>
        <cfvo type="min"/>
        <cfvo type="max"/>
        <color rgb="FFFCFCFF"/>
        <color rgb="FF63BE7B"/>
      </colorScale>
    </cfRule>
  </conditionalFormatting>
  <conditionalFormatting sqref="CH49">
    <cfRule type="colorScale" priority="187">
      <colorScale>
        <cfvo type="min"/>
        <cfvo type="max"/>
        <color rgb="FFFCFCFF"/>
        <color rgb="FF63BE7B"/>
      </colorScale>
    </cfRule>
  </conditionalFormatting>
  <conditionalFormatting sqref="CH50">
    <cfRule type="colorScale" priority="197">
      <colorScale>
        <cfvo type="min"/>
        <cfvo type="max"/>
        <color rgb="FFFCFCFF"/>
        <color rgb="FF63BE7B"/>
      </colorScale>
    </cfRule>
  </conditionalFormatting>
  <conditionalFormatting sqref="CH51">
    <cfRule type="colorScale" priority="182">
      <colorScale>
        <cfvo type="min"/>
        <cfvo type="max"/>
        <color rgb="FFFCFCFF"/>
        <color rgb="FF63BE7B"/>
      </colorScale>
    </cfRule>
  </conditionalFormatting>
  <conditionalFormatting sqref="CH52">
    <cfRule type="colorScale" priority="167">
      <colorScale>
        <cfvo type="min"/>
        <cfvo type="max"/>
        <color rgb="FFFCFCFF"/>
        <color rgb="FF63BE7B"/>
      </colorScale>
    </cfRule>
  </conditionalFormatting>
  <conditionalFormatting sqref="CH53">
    <cfRule type="colorScale" priority="162">
      <colorScale>
        <cfvo type="min"/>
        <cfvo type="max"/>
        <color rgb="FFFCFCFF"/>
        <color rgb="FF63BE7B"/>
      </colorScale>
    </cfRule>
  </conditionalFormatting>
  <conditionalFormatting sqref="CH54">
    <cfRule type="colorScale" priority="157">
      <colorScale>
        <cfvo type="min"/>
        <cfvo type="max"/>
        <color rgb="FFFCFCFF"/>
        <color rgb="FF63BE7B"/>
      </colorScale>
    </cfRule>
  </conditionalFormatting>
  <conditionalFormatting sqref="CH55">
    <cfRule type="colorScale" priority="152">
      <colorScale>
        <cfvo type="min"/>
        <cfvo type="max"/>
        <color rgb="FFFCFCFF"/>
        <color rgb="FF63BE7B"/>
      </colorScale>
    </cfRule>
  </conditionalFormatting>
  <conditionalFormatting sqref="CH56">
    <cfRule type="colorScale" priority="147">
      <colorScale>
        <cfvo type="min"/>
        <cfvo type="max"/>
        <color rgb="FFFCFCFF"/>
        <color rgb="FF63BE7B"/>
      </colorScale>
    </cfRule>
  </conditionalFormatting>
  <conditionalFormatting sqref="CH57">
    <cfRule type="colorScale" priority="142">
      <colorScale>
        <cfvo type="min"/>
        <cfvo type="max"/>
        <color rgb="FFFCFCFF"/>
        <color rgb="FF63BE7B"/>
      </colorScale>
    </cfRule>
  </conditionalFormatting>
  <conditionalFormatting sqref="CH59">
    <cfRule type="colorScale" priority="137">
      <colorScale>
        <cfvo type="min"/>
        <cfvo type="max"/>
        <color rgb="FFFCFCFF"/>
        <color rgb="FF63BE7B"/>
      </colorScale>
    </cfRule>
  </conditionalFormatting>
  <conditionalFormatting sqref="CH60">
    <cfRule type="colorScale" priority="132">
      <colorScale>
        <cfvo type="min"/>
        <cfvo type="max"/>
        <color rgb="FFFCFCFF"/>
        <color rgb="FF63BE7B"/>
      </colorScale>
    </cfRule>
  </conditionalFormatting>
  <conditionalFormatting sqref="CH61">
    <cfRule type="colorScale" priority="127">
      <colorScale>
        <cfvo type="min"/>
        <cfvo type="max"/>
        <color rgb="FFFCFCFF"/>
        <color rgb="FF63BE7B"/>
      </colorScale>
    </cfRule>
  </conditionalFormatting>
  <conditionalFormatting sqref="CH62">
    <cfRule type="colorScale" priority="122">
      <colorScale>
        <cfvo type="min"/>
        <cfvo type="max"/>
        <color rgb="FFFCFCFF"/>
        <color rgb="FF63BE7B"/>
      </colorScale>
    </cfRule>
  </conditionalFormatting>
  <conditionalFormatting sqref="CH63">
    <cfRule type="colorScale" priority="117">
      <colorScale>
        <cfvo type="min"/>
        <cfvo type="max"/>
        <color rgb="FFFCFCFF"/>
        <color rgb="FF63BE7B"/>
      </colorScale>
    </cfRule>
  </conditionalFormatting>
  <conditionalFormatting sqref="CH64">
    <cfRule type="colorScale" priority="112">
      <colorScale>
        <cfvo type="min"/>
        <cfvo type="max"/>
        <color rgb="FFFCFCFF"/>
        <color rgb="FF63BE7B"/>
      </colorScale>
    </cfRule>
  </conditionalFormatting>
  <conditionalFormatting sqref="CH65">
    <cfRule type="colorScale" priority="107">
      <colorScale>
        <cfvo type="min"/>
        <cfvo type="max"/>
        <color rgb="FFFCFCFF"/>
        <color rgb="FF63BE7B"/>
      </colorScale>
    </cfRule>
  </conditionalFormatting>
  <conditionalFormatting sqref="CH66">
    <cfRule type="colorScale" priority="102">
      <colorScale>
        <cfvo type="min"/>
        <cfvo type="max"/>
        <color rgb="FFFCFCFF"/>
        <color rgb="FF63BE7B"/>
      </colorScale>
    </cfRule>
  </conditionalFormatting>
  <conditionalFormatting sqref="CH67">
    <cfRule type="colorScale" priority="97">
      <colorScale>
        <cfvo type="min"/>
        <cfvo type="max"/>
        <color rgb="FFFCFCFF"/>
        <color rgb="FF63BE7B"/>
      </colorScale>
    </cfRule>
  </conditionalFormatting>
  <conditionalFormatting sqref="CH68">
    <cfRule type="colorScale" priority="92">
      <colorScale>
        <cfvo type="min"/>
        <cfvo type="max"/>
        <color rgb="FFFCFCFF"/>
        <color rgb="FF63BE7B"/>
      </colorScale>
    </cfRule>
  </conditionalFormatting>
  <conditionalFormatting sqref="CH69:CH84">
    <cfRule type="colorScale" priority="87">
      <colorScale>
        <cfvo type="min"/>
        <cfvo type="max"/>
        <color rgb="FFFCFCFF"/>
        <color rgb="FF63BE7B"/>
      </colorScale>
    </cfRule>
  </conditionalFormatting>
  <conditionalFormatting sqref="CI3:CI43">
    <cfRule type="colorScale" priority="226">
      <colorScale>
        <cfvo type="min"/>
        <cfvo type="max"/>
        <color rgb="FFFCFCFF"/>
        <color rgb="FF63BE7B"/>
      </colorScale>
    </cfRule>
  </conditionalFormatting>
  <conditionalFormatting sqref="CI44">
    <cfRule type="colorScale" priority="221">
      <colorScale>
        <cfvo type="min"/>
        <cfvo type="max"/>
        <color rgb="FFFCFCFF"/>
        <color rgb="FF63BE7B"/>
      </colorScale>
    </cfRule>
  </conditionalFormatting>
  <conditionalFormatting sqref="CI45">
    <cfRule type="colorScale" priority="211">
      <colorScale>
        <cfvo type="min"/>
        <cfvo type="max"/>
        <color rgb="FFFCFCFF"/>
        <color rgb="FF63BE7B"/>
      </colorScale>
    </cfRule>
  </conditionalFormatting>
  <conditionalFormatting sqref="CI46">
    <cfRule type="colorScale" priority="206">
      <colorScale>
        <cfvo type="min"/>
        <cfvo type="max"/>
        <color rgb="FFFCFCFF"/>
        <color rgb="FF63BE7B"/>
      </colorScale>
    </cfRule>
  </conditionalFormatting>
  <conditionalFormatting sqref="CI47">
    <cfRule type="colorScale" priority="201">
      <colorScale>
        <cfvo type="min"/>
        <cfvo type="max"/>
        <color rgb="FFFCFCFF"/>
        <color rgb="FF63BE7B"/>
      </colorScale>
    </cfRule>
  </conditionalFormatting>
  <conditionalFormatting sqref="CI48">
    <cfRule type="colorScale" priority="191">
      <colorScale>
        <cfvo type="min"/>
        <cfvo type="max"/>
        <color rgb="FFFCFCFF"/>
        <color rgb="FF63BE7B"/>
      </colorScale>
    </cfRule>
  </conditionalFormatting>
  <conditionalFormatting sqref="CI49">
    <cfRule type="colorScale" priority="186">
      <colorScale>
        <cfvo type="min"/>
        <cfvo type="max"/>
        <color rgb="FFFCFCFF"/>
        <color rgb="FF63BE7B"/>
      </colorScale>
    </cfRule>
  </conditionalFormatting>
  <conditionalFormatting sqref="CI50">
    <cfRule type="colorScale" priority="196">
      <colorScale>
        <cfvo type="min"/>
        <cfvo type="max"/>
        <color rgb="FFFCFCFF"/>
        <color rgb="FF63BE7B"/>
      </colorScale>
    </cfRule>
  </conditionalFormatting>
  <conditionalFormatting sqref="CI51">
    <cfRule type="colorScale" priority="181">
      <colorScale>
        <cfvo type="min"/>
        <cfvo type="max"/>
        <color rgb="FFFCFCFF"/>
        <color rgb="FF63BE7B"/>
      </colorScale>
    </cfRule>
  </conditionalFormatting>
  <conditionalFormatting sqref="CI52">
    <cfRule type="colorScale" priority="166">
      <colorScale>
        <cfvo type="min"/>
        <cfvo type="max"/>
        <color rgb="FFFCFCFF"/>
        <color rgb="FF63BE7B"/>
      </colorScale>
    </cfRule>
  </conditionalFormatting>
  <conditionalFormatting sqref="CI53">
    <cfRule type="colorScale" priority="161">
      <colorScale>
        <cfvo type="min"/>
        <cfvo type="max"/>
        <color rgb="FFFCFCFF"/>
        <color rgb="FF63BE7B"/>
      </colorScale>
    </cfRule>
  </conditionalFormatting>
  <conditionalFormatting sqref="CI54">
    <cfRule type="colorScale" priority="156">
      <colorScale>
        <cfvo type="min"/>
        <cfvo type="max"/>
        <color rgb="FFFCFCFF"/>
        <color rgb="FF63BE7B"/>
      </colorScale>
    </cfRule>
  </conditionalFormatting>
  <conditionalFormatting sqref="CI55">
    <cfRule type="colorScale" priority="151">
      <colorScale>
        <cfvo type="min"/>
        <cfvo type="max"/>
        <color rgb="FFFCFCFF"/>
        <color rgb="FF63BE7B"/>
      </colorScale>
    </cfRule>
  </conditionalFormatting>
  <conditionalFormatting sqref="CI56">
    <cfRule type="colorScale" priority="146">
      <colorScale>
        <cfvo type="min"/>
        <cfvo type="max"/>
        <color rgb="FFFCFCFF"/>
        <color rgb="FF63BE7B"/>
      </colorScale>
    </cfRule>
  </conditionalFormatting>
  <conditionalFormatting sqref="CI57">
    <cfRule type="colorScale" priority="141">
      <colorScale>
        <cfvo type="min"/>
        <cfvo type="max"/>
        <color rgb="FFFCFCFF"/>
        <color rgb="FF63BE7B"/>
      </colorScale>
    </cfRule>
  </conditionalFormatting>
  <conditionalFormatting sqref="CI59">
    <cfRule type="colorScale" priority="136">
      <colorScale>
        <cfvo type="min"/>
        <cfvo type="max"/>
        <color rgb="FFFCFCFF"/>
        <color rgb="FF63BE7B"/>
      </colorScale>
    </cfRule>
  </conditionalFormatting>
  <conditionalFormatting sqref="CI60">
    <cfRule type="colorScale" priority="131">
      <colorScale>
        <cfvo type="min"/>
        <cfvo type="max"/>
        <color rgb="FFFCFCFF"/>
        <color rgb="FF63BE7B"/>
      </colorScale>
    </cfRule>
  </conditionalFormatting>
  <conditionalFormatting sqref="CI61">
    <cfRule type="colorScale" priority="126">
      <colorScale>
        <cfvo type="min"/>
        <cfvo type="max"/>
        <color rgb="FFFCFCFF"/>
        <color rgb="FF63BE7B"/>
      </colorScale>
    </cfRule>
  </conditionalFormatting>
  <conditionalFormatting sqref="CI62">
    <cfRule type="colorScale" priority="121">
      <colorScale>
        <cfvo type="min"/>
        <cfvo type="max"/>
        <color rgb="FFFCFCFF"/>
        <color rgb="FF63BE7B"/>
      </colorScale>
    </cfRule>
  </conditionalFormatting>
  <conditionalFormatting sqref="CI63">
    <cfRule type="colorScale" priority="116">
      <colorScale>
        <cfvo type="min"/>
        <cfvo type="max"/>
        <color rgb="FFFCFCFF"/>
        <color rgb="FF63BE7B"/>
      </colorScale>
    </cfRule>
  </conditionalFormatting>
  <conditionalFormatting sqref="CI64">
    <cfRule type="colorScale" priority="111">
      <colorScale>
        <cfvo type="min"/>
        <cfvo type="max"/>
        <color rgb="FFFCFCFF"/>
        <color rgb="FF63BE7B"/>
      </colorScale>
    </cfRule>
  </conditionalFormatting>
  <conditionalFormatting sqref="CI65">
    <cfRule type="colorScale" priority="106">
      <colorScale>
        <cfvo type="min"/>
        <cfvo type="max"/>
        <color rgb="FFFCFCFF"/>
        <color rgb="FF63BE7B"/>
      </colorScale>
    </cfRule>
  </conditionalFormatting>
  <conditionalFormatting sqref="CI66">
    <cfRule type="colorScale" priority="101">
      <colorScale>
        <cfvo type="min"/>
        <cfvo type="max"/>
        <color rgb="FFFCFCFF"/>
        <color rgb="FF63BE7B"/>
      </colorScale>
    </cfRule>
  </conditionalFormatting>
  <conditionalFormatting sqref="CI67">
    <cfRule type="colorScale" priority="96">
      <colorScale>
        <cfvo type="min"/>
        <cfvo type="max"/>
        <color rgb="FFFCFCFF"/>
        <color rgb="FF63BE7B"/>
      </colorScale>
    </cfRule>
  </conditionalFormatting>
  <conditionalFormatting sqref="CI68">
    <cfRule type="colorScale" priority="91">
      <colorScale>
        <cfvo type="min"/>
        <cfvo type="max"/>
        <color rgb="FFFCFCFF"/>
        <color rgb="FF63BE7B"/>
      </colorScale>
    </cfRule>
  </conditionalFormatting>
  <conditionalFormatting sqref="CI69:CI84">
    <cfRule type="colorScale" priority="86">
      <colorScale>
        <cfvo type="min"/>
        <cfvo type="max"/>
        <color rgb="FFFCFCFF"/>
        <color rgb="FF63BE7B"/>
      </colorScale>
    </cfRule>
  </conditionalFormatting>
  <conditionalFormatting sqref="CJ3:CJ43">
    <cfRule type="colorScale" priority="230">
      <colorScale>
        <cfvo type="min"/>
        <cfvo type="max"/>
        <color rgb="FFFCFCFF"/>
        <color rgb="FF63BE7B"/>
      </colorScale>
    </cfRule>
  </conditionalFormatting>
  <conditionalFormatting sqref="CJ44">
    <cfRule type="colorScale" priority="225">
      <colorScale>
        <cfvo type="min"/>
        <cfvo type="max"/>
        <color rgb="FFFCFCFF"/>
        <color rgb="FF63BE7B"/>
      </colorScale>
    </cfRule>
  </conditionalFormatting>
  <conditionalFormatting sqref="CJ45">
    <cfRule type="colorScale" priority="215">
      <colorScale>
        <cfvo type="min"/>
        <cfvo type="max"/>
        <color rgb="FFFCFCFF"/>
        <color rgb="FF63BE7B"/>
      </colorScale>
    </cfRule>
  </conditionalFormatting>
  <conditionalFormatting sqref="CJ46">
    <cfRule type="colorScale" priority="210">
      <colorScale>
        <cfvo type="min"/>
        <cfvo type="max"/>
        <color rgb="FFFCFCFF"/>
        <color rgb="FF63BE7B"/>
      </colorScale>
    </cfRule>
  </conditionalFormatting>
  <conditionalFormatting sqref="CJ47">
    <cfRule type="colorScale" priority="205">
      <colorScale>
        <cfvo type="min"/>
        <cfvo type="max"/>
        <color rgb="FFFCFCFF"/>
        <color rgb="FF63BE7B"/>
      </colorScale>
    </cfRule>
  </conditionalFormatting>
  <conditionalFormatting sqref="CJ48">
    <cfRule type="colorScale" priority="195">
      <colorScale>
        <cfvo type="min"/>
        <cfvo type="max"/>
        <color rgb="FFFCFCFF"/>
        <color rgb="FF63BE7B"/>
      </colorScale>
    </cfRule>
  </conditionalFormatting>
  <conditionalFormatting sqref="CJ49">
    <cfRule type="colorScale" priority="190">
      <colorScale>
        <cfvo type="min"/>
        <cfvo type="max"/>
        <color rgb="FFFCFCFF"/>
        <color rgb="FF63BE7B"/>
      </colorScale>
    </cfRule>
  </conditionalFormatting>
  <conditionalFormatting sqref="CJ50">
    <cfRule type="colorScale" priority="200">
      <colorScale>
        <cfvo type="min"/>
        <cfvo type="max"/>
        <color rgb="FFFCFCFF"/>
        <color rgb="FF63BE7B"/>
      </colorScale>
    </cfRule>
  </conditionalFormatting>
  <conditionalFormatting sqref="CJ51">
    <cfRule type="colorScale" priority="185">
      <colorScale>
        <cfvo type="min"/>
        <cfvo type="max"/>
        <color rgb="FFFCFCFF"/>
        <color rgb="FF63BE7B"/>
      </colorScale>
    </cfRule>
  </conditionalFormatting>
  <conditionalFormatting sqref="CJ52">
    <cfRule type="colorScale" priority="170">
      <colorScale>
        <cfvo type="min"/>
        <cfvo type="max"/>
        <color rgb="FFFCFCFF"/>
        <color rgb="FF63BE7B"/>
      </colorScale>
    </cfRule>
  </conditionalFormatting>
  <conditionalFormatting sqref="CJ53">
    <cfRule type="colorScale" priority="165">
      <colorScale>
        <cfvo type="min"/>
        <cfvo type="max"/>
        <color rgb="FFFCFCFF"/>
        <color rgb="FF63BE7B"/>
      </colorScale>
    </cfRule>
  </conditionalFormatting>
  <conditionalFormatting sqref="CJ54">
    <cfRule type="colorScale" priority="160">
      <colorScale>
        <cfvo type="min"/>
        <cfvo type="max"/>
        <color rgb="FFFCFCFF"/>
        <color rgb="FF63BE7B"/>
      </colorScale>
    </cfRule>
  </conditionalFormatting>
  <conditionalFormatting sqref="CJ55">
    <cfRule type="colorScale" priority="155">
      <colorScale>
        <cfvo type="min"/>
        <cfvo type="max"/>
        <color rgb="FFFCFCFF"/>
        <color rgb="FF63BE7B"/>
      </colorScale>
    </cfRule>
  </conditionalFormatting>
  <conditionalFormatting sqref="CJ56">
    <cfRule type="colorScale" priority="150">
      <colorScale>
        <cfvo type="min"/>
        <cfvo type="max"/>
        <color rgb="FFFCFCFF"/>
        <color rgb="FF63BE7B"/>
      </colorScale>
    </cfRule>
  </conditionalFormatting>
  <conditionalFormatting sqref="CJ57">
    <cfRule type="colorScale" priority="145">
      <colorScale>
        <cfvo type="min"/>
        <cfvo type="max"/>
        <color rgb="FFFCFCFF"/>
        <color rgb="FF63BE7B"/>
      </colorScale>
    </cfRule>
  </conditionalFormatting>
  <conditionalFormatting sqref="CJ59">
    <cfRule type="colorScale" priority="140">
      <colorScale>
        <cfvo type="min"/>
        <cfvo type="max"/>
        <color rgb="FFFCFCFF"/>
        <color rgb="FF63BE7B"/>
      </colorScale>
    </cfRule>
  </conditionalFormatting>
  <conditionalFormatting sqref="CJ60">
    <cfRule type="colorScale" priority="135">
      <colorScale>
        <cfvo type="min"/>
        <cfvo type="max"/>
        <color rgb="FFFCFCFF"/>
        <color rgb="FF63BE7B"/>
      </colorScale>
    </cfRule>
  </conditionalFormatting>
  <conditionalFormatting sqref="CJ61">
    <cfRule type="colorScale" priority="130">
      <colorScale>
        <cfvo type="min"/>
        <cfvo type="max"/>
        <color rgb="FFFCFCFF"/>
        <color rgb="FF63BE7B"/>
      </colorScale>
    </cfRule>
  </conditionalFormatting>
  <conditionalFormatting sqref="CJ62">
    <cfRule type="colorScale" priority="125">
      <colorScale>
        <cfvo type="min"/>
        <cfvo type="max"/>
        <color rgb="FFFCFCFF"/>
        <color rgb="FF63BE7B"/>
      </colorScale>
    </cfRule>
  </conditionalFormatting>
  <conditionalFormatting sqref="CJ63">
    <cfRule type="colorScale" priority="120">
      <colorScale>
        <cfvo type="min"/>
        <cfvo type="max"/>
        <color rgb="FFFCFCFF"/>
        <color rgb="FF63BE7B"/>
      </colorScale>
    </cfRule>
  </conditionalFormatting>
  <conditionalFormatting sqref="CJ64">
    <cfRule type="colorScale" priority="115">
      <colorScale>
        <cfvo type="min"/>
        <cfvo type="max"/>
        <color rgb="FFFCFCFF"/>
        <color rgb="FF63BE7B"/>
      </colorScale>
    </cfRule>
  </conditionalFormatting>
  <conditionalFormatting sqref="CJ65">
    <cfRule type="colorScale" priority="110">
      <colorScale>
        <cfvo type="min"/>
        <cfvo type="max"/>
        <color rgb="FFFCFCFF"/>
        <color rgb="FF63BE7B"/>
      </colorScale>
    </cfRule>
  </conditionalFormatting>
  <conditionalFormatting sqref="CJ66">
    <cfRule type="colorScale" priority="105">
      <colorScale>
        <cfvo type="min"/>
        <cfvo type="max"/>
        <color rgb="FFFCFCFF"/>
        <color rgb="FF63BE7B"/>
      </colorScale>
    </cfRule>
  </conditionalFormatting>
  <conditionalFormatting sqref="CJ67">
    <cfRule type="colorScale" priority="100">
      <colorScale>
        <cfvo type="min"/>
        <cfvo type="max"/>
        <color rgb="FFFCFCFF"/>
        <color rgb="FF63BE7B"/>
      </colorScale>
    </cfRule>
  </conditionalFormatting>
  <conditionalFormatting sqref="CJ68">
    <cfRule type="colorScale" priority="95">
      <colorScale>
        <cfvo type="min"/>
        <cfvo type="max"/>
        <color rgb="FFFCFCFF"/>
        <color rgb="FF63BE7B"/>
      </colorScale>
    </cfRule>
  </conditionalFormatting>
  <conditionalFormatting sqref="CJ69:CJ84">
    <cfRule type="colorScale" priority="90">
      <colorScale>
        <cfvo type="min"/>
        <cfvo type="max"/>
        <color rgb="FFFCFCFF"/>
        <color rgb="FF63BE7B"/>
      </colorScale>
    </cfRule>
  </conditionalFormatting>
  <conditionalFormatting sqref="M3:R12 M13:M69 N3:R84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R84">
    <cfRule type="colorScale" priority="2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77:R77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8:R78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:R84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84">
    <cfRule type="colorScale" priority="2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C3:AE47 AC49:AE84">
    <cfRule type="colorScale" priority="27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dataValidations disablePrompts="1" count="1">
    <dataValidation type="list" allowBlank="1" showInputMessage="1" showErrorMessage="1" sqref="AC3:AE47 AC49:AE84" xr:uid="{1EAA3DED-80A7-48A7-9A32-E414665F9755}">
      <formula1>"High, Medium, Low"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EAEC-C363-4C63-9AB9-85A217834E69}">
  <sheetPr>
    <tabColor theme="8" tint="-0.499984740745262"/>
  </sheetPr>
  <dimension ref="B1:AC51"/>
  <sheetViews>
    <sheetView showGridLines="0" topLeftCell="A32" zoomScale="79" zoomScaleNormal="79" workbookViewId="0">
      <selection activeCell="C39" sqref="C39"/>
    </sheetView>
  </sheetViews>
  <sheetFormatPr defaultColWidth="8.69921875" defaultRowHeight="13.8" x14ac:dyDescent="0.25"/>
  <cols>
    <col min="1" max="1" width="2.09765625" style="36" customWidth="1"/>
    <col min="2" max="2" width="25.19921875" style="36" customWidth="1"/>
    <col min="3" max="3" width="37" style="36" customWidth="1"/>
    <col min="4" max="5" width="36.3984375" style="36" customWidth="1"/>
    <col min="6" max="7" width="14.19921875" style="36" customWidth="1"/>
    <col min="8" max="8" width="12" style="36" customWidth="1"/>
    <col min="9" max="10" width="11.19921875" style="36" customWidth="1"/>
    <col min="11" max="17" width="14.5" style="36" customWidth="1"/>
    <col min="18" max="25" width="15.09765625" style="36" customWidth="1"/>
    <col min="26" max="29" width="13" style="36" customWidth="1"/>
    <col min="30" max="16384" width="8.69921875" style="36"/>
  </cols>
  <sheetData>
    <row r="1" spans="2:10" ht="8.25" customHeight="1" x14ac:dyDescent="0.25"/>
    <row r="2" spans="2:10" x14ac:dyDescent="0.25">
      <c r="B2" s="86" t="s">
        <v>265</v>
      </c>
      <c r="C2" s="86"/>
    </row>
    <row r="3" spans="2:10" x14ac:dyDescent="0.25">
      <c r="B3" s="85" t="s">
        <v>166</v>
      </c>
      <c r="C3" s="100" t="s">
        <v>269</v>
      </c>
      <c r="D3" s="34" t="s">
        <v>266</v>
      </c>
      <c r="E3" s="34" t="s">
        <v>260</v>
      </c>
      <c r="F3" s="34" t="s">
        <v>267</v>
      </c>
      <c r="G3" s="34" t="s">
        <v>268</v>
      </c>
      <c r="I3" s="35" t="s">
        <v>271</v>
      </c>
      <c r="J3" s="35"/>
    </row>
    <row r="4" spans="2:10" x14ac:dyDescent="0.25">
      <c r="B4" s="88" t="s">
        <v>264</v>
      </c>
      <c r="C4" s="101">
        <f>COUNTIF(CCA_Defense!$AU:$AU,'Conviction List'!$B4)</f>
        <v>18</v>
      </c>
      <c r="D4" s="89">
        <f>AVERAGEIFS(CCA_Defense!$CE:$CE,CCA_Defense!$AU:$AU,'Conviction List'!$B4)</f>
        <v>0.21224543658715272</v>
      </c>
      <c r="E4" s="111">
        <f>AVERAGEIFS(CCA_Defense!M:M,CCA_Defense!$AU:$AU,'Conviction List'!$B4)</f>
        <v>73.599999999999994</v>
      </c>
      <c r="F4" s="89">
        <f>AVERAGEIFS(CCA_Defense!BG:BG,CCA_Defense!$AU:$AU,'Conviction List'!$B4)</f>
        <v>0.13273846153846156</v>
      </c>
      <c r="G4" s="89">
        <f>AVERAGEIFS(CCA_Defense!BK:BK,CCA_Defense!$AU:$AU,'Conviction List'!$B4)</f>
        <v>0.17256923076923075</v>
      </c>
      <c r="I4" s="110">
        <f>C4/$C$11</f>
        <v>0.23076923076923078</v>
      </c>
      <c r="J4" s="110"/>
    </row>
    <row r="5" spans="2:10" x14ac:dyDescent="0.25">
      <c r="B5" s="90" t="s">
        <v>203</v>
      </c>
      <c r="C5" s="102">
        <f>COUNTIF(CCA_Defense!$AU:$AU,'Conviction List'!$B5)</f>
        <v>10</v>
      </c>
      <c r="D5" s="91">
        <f>AVERAGEIFS(CCA_Defense!$CE:$CE,CCA_Defense!$AU:$AU,'Conviction List'!B5)</f>
        <v>0.1041267589350502</v>
      </c>
      <c r="E5" s="112">
        <f>AVERAGEIFS(CCA_Defense!M:M,CCA_Defense!$AU:$AU,'Conviction List'!$B5)</f>
        <v>43.035000000000004</v>
      </c>
      <c r="F5" s="91">
        <f>AVERAGEIFS(CCA_Defense!BG:BG,CCA_Defense!$AU:$AU,'Conviction List'!$B5)</f>
        <v>0.19255</v>
      </c>
      <c r="G5" s="91">
        <f>AVERAGEIFS(CCA_Defense!BK:BK,CCA_Defense!$AU:$AU,'Conviction List'!$B5)</f>
        <v>0.19434999999999999</v>
      </c>
      <c r="I5" s="110">
        <f t="shared" ref="I5:I9" si="0">C5/$C$11</f>
        <v>0.12820512820512819</v>
      </c>
      <c r="J5" s="110"/>
    </row>
    <row r="6" spans="2:10" x14ac:dyDescent="0.25">
      <c r="B6" s="92" t="s">
        <v>194</v>
      </c>
      <c r="C6" s="103">
        <f>COUNTIF(CCA_Defense!$AU:$AU,'Conviction List'!$B6)</f>
        <v>7</v>
      </c>
      <c r="D6" s="93">
        <f>AVERAGEIFS(CCA_Defense!$CE:$CE,CCA_Defense!$AU:$AU,'Conviction List'!B6)</f>
        <v>5.2617024768640643E-2</v>
      </c>
      <c r="E6" s="113">
        <f>AVERAGEIFS(CCA_Defense!M:M,CCA_Defense!$AU:$AU,'Conviction List'!$B6)</f>
        <v>64.849999999999994</v>
      </c>
      <c r="F6" s="93">
        <f>AVERAGEIFS(CCA_Defense!BG:BG,CCA_Defense!$AU:$AU,'Conviction List'!$B6)</f>
        <v>0.11646000000000001</v>
      </c>
      <c r="G6" s="93">
        <f>AVERAGEIFS(CCA_Defense!BK:BK,CCA_Defense!$AU:$AU,'Conviction List'!$B6)</f>
        <v>0.15383999999999998</v>
      </c>
      <c r="I6" s="110">
        <f t="shared" si="0"/>
        <v>8.9743589743589744E-2</v>
      </c>
      <c r="J6" s="110"/>
    </row>
    <row r="7" spans="2:10" x14ac:dyDescent="0.25">
      <c r="B7" s="94" t="s">
        <v>195</v>
      </c>
      <c r="C7" s="104">
        <f>COUNTIF(CCA_Defense!$AU:$AU,'Conviction List'!$B7)</f>
        <v>9</v>
      </c>
      <c r="D7" s="95" t="s">
        <v>277</v>
      </c>
      <c r="E7" s="114">
        <f>AVERAGEIFS(CCA_Defense!M:M,CCA_Defense!$AU:$AU,'Conviction List'!$B7)</f>
        <v>77</v>
      </c>
      <c r="F7" s="95">
        <f>AVERAGEIFS(CCA_Defense!BG:BG,CCA_Defense!$AU:$AU,'Conviction List'!$B7)</f>
        <v>0.12255000000000001</v>
      </c>
      <c r="G7" s="95">
        <f>IFERROR(AVERAGEIFS(CCA_Defense!BK:BK,CCA_Defense!$AU:$AU,'Conviction List'!$B7),"")</f>
        <v>0.16880000000000001</v>
      </c>
      <c r="I7" s="110">
        <f t="shared" si="0"/>
        <v>0.11538461538461539</v>
      </c>
      <c r="J7" s="110"/>
    </row>
    <row r="8" spans="2:10" x14ac:dyDescent="0.25">
      <c r="B8" s="96" t="s">
        <v>196</v>
      </c>
      <c r="C8" s="105">
        <f>COUNTIF(CCA_Defense!$AU:$AU,'Conviction List'!$B8)</f>
        <v>25</v>
      </c>
      <c r="D8" s="97">
        <f>AVERAGEIFS(CCA_Defense!$CE:$CE,CCA_Defense!$AU:$AU,'Conviction List'!B8)</f>
        <v>0.31076717926661024</v>
      </c>
      <c r="E8" s="115">
        <f>AVERAGEIFS(CCA_Defense!M:M,CCA_Defense!$AU:$AU,'Conviction List'!$B8)</f>
        <v>84.157499999999999</v>
      </c>
      <c r="F8" s="97">
        <f>AVERAGEIFS(CCA_Defense!BG:BG,CCA_Defense!$AU:$AU,'Conviction List'!$B8)</f>
        <v>0.14373636363636366</v>
      </c>
      <c r="G8" s="97">
        <f>AVERAGEIFS(CCA_Defense!BK:BK,CCA_Defense!$AU:$AU,'Conviction List'!$B8)</f>
        <v>0.2442</v>
      </c>
      <c r="I8" s="110">
        <f t="shared" si="0"/>
        <v>0.32051282051282054</v>
      </c>
      <c r="J8" s="110"/>
    </row>
    <row r="9" spans="2:10" x14ac:dyDescent="0.25">
      <c r="B9" s="98" t="s">
        <v>199</v>
      </c>
      <c r="C9" s="106">
        <f>COUNTIF(CCA_Defense!$AU:$AU,'Conviction List'!$B9)</f>
        <v>9</v>
      </c>
      <c r="D9" s="99">
        <f>AVERAGEIFS(CCA_Defense!$CE:$CE,CCA_Defense!$AU:$AU,'Conviction List'!B9)</f>
        <v>0.40220922402076492</v>
      </c>
      <c r="E9" s="116">
        <f>AVERAGEIFS(CCA_Defense!M:M,CCA_Defense!$AU:$AU,'Conviction List'!$B9)</f>
        <v>174.42625000000001</v>
      </c>
      <c r="F9" s="99">
        <f>AVERAGEIFS(CCA_Defense!BG:BG,CCA_Defense!$AU:$AU,'Conviction List'!$B9)</f>
        <v>8.5580000000000003E-2</v>
      </c>
      <c r="G9" s="99">
        <f>AVERAGEIFS(CCA_Defense!BK:BK,CCA_Defense!$AU:$AU,'Conviction List'!$B9)</f>
        <v>6.0999999999999999E-2</v>
      </c>
      <c r="I9" s="110">
        <f t="shared" si="0"/>
        <v>0.11538461538461539</v>
      </c>
      <c r="J9" s="110"/>
    </row>
    <row r="10" spans="2:10" x14ac:dyDescent="0.25">
      <c r="E10" s="117"/>
    </row>
    <row r="11" spans="2:10" x14ac:dyDescent="0.25">
      <c r="B11" s="107" t="s">
        <v>270</v>
      </c>
      <c r="C11" s="108">
        <f>SUM(C4:C9)</f>
        <v>78</v>
      </c>
      <c r="D11" s="109">
        <f>SUMPRODUCT($I$4:$I$9,D4:D9)</f>
        <v>0.21306496306604972</v>
      </c>
      <c r="E11" s="118">
        <f>SUMPRODUCT($I$4:$I$9,E4:E9)</f>
        <v>84.306073717948721</v>
      </c>
      <c r="F11" s="109">
        <f>SUMPRODUCT($I$4:$I$9,F4:F9)</f>
        <v>0.13585373587950514</v>
      </c>
      <c r="G11" s="109">
        <f>SUMPRODUCT($I$4:$I$9,G4:G9)</f>
        <v>0.18333110453648915</v>
      </c>
    </row>
    <row r="13" spans="2:10" x14ac:dyDescent="0.25">
      <c r="B13" s="86" t="s">
        <v>272</v>
      </c>
    </row>
    <row r="14" spans="2:10" x14ac:dyDescent="0.25">
      <c r="B14" s="85" t="s">
        <v>166</v>
      </c>
      <c r="C14" s="100" t="s">
        <v>259</v>
      </c>
      <c r="D14" s="34" t="s">
        <v>266</v>
      </c>
      <c r="E14" s="34" t="s">
        <v>260</v>
      </c>
      <c r="F14" s="34" t="s">
        <v>267</v>
      </c>
      <c r="G14" s="34" t="s">
        <v>268</v>
      </c>
    </row>
    <row r="15" spans="2:10" x14ac:dyDescent="0.25">
      <c r="B15" s="88" t="s">
        <v>264</v>
      </c>
      <c r="C15" s="101" t="s">
        <v>14</v>
      </c>
      <c r="D15" s="89">
        <v>9.2897728264327101E-2</v>
      </c>
      <c r="E15" s="111">
        <v>39.65</v>
      </c>
      <c r="F15" s="89">
        <v>0.28899999999999998</v>
      </c>
      <c r="G15" s="89">
        <v>0.35</v>
      </c>
      <c r="H15" s="36" t="s">
        <v>277</v>
      </c>
    </row>
    <row r="16" spans="2:10" x14ac:dyDescent="0.25">
      <c r="B16" s="90" t="s">
        <v>203</v>
      </c>
      <c r="C16" s="102" t="s">
        <v>23</v>
      </c>
      <c r="D16" s="91">
        <v>0.19816225679815022</v>
      </c>
      <c r="E16" s="112">
        <v>48.8</v>
      </c>
      <c r="F16" s="91">
        <v>0.16</v>
      </c>
      <c r="G16" s="91">
        <v>0.22</v>
      </c>
    </row>
    <row r="17" spans="2:7" x14ac:dyDescent="0.25">
      <c r="B17" s="92" t="s">
        <v>194</v>
      </c>
      <c r="C17" s="103" t="s">
        <v>18</v>
      </c>
      <c r="D17" s="93">
        <v>7.8543953456870721E-2</v>
      </c>
      <c r="E17" s="113">
        <v>61.75</v>
      </c>
      <c r="F17" s="93">
        <v>0.15</v>
      </c>
      <c r="G17" s="93">
        <v>0.155</v>
      </c>
    </row>
    <row r="18" spans="2:7" x14ac:dyDescent="0.25">
      <c r="B18" s="94" t="s">
        <v>195</v>
      </c>
      <c r="C18" s="104" t="s">
        <v>183</v>
      </c>
      <c r="D18" s="95">
        <v>0.21546923355382444</v>
      </c>
      <c r="E18" s="114">
        <v>77</v>
      </c>
      <c r="F18" s="95">
        <v>0.128</v>
      </c>
      <c r="G18" s="95">
        <v>0</v>
      </c>
    </row>
    <row r="19" spans="2:7" x14ac:dyDescent="0.25">
      <c r="B19" s="96" t="s">
        <v>196</v>
      </c>
      <c r="C19" s="105" t="s">
        <v>105</v>
      </c>
      <c r="D19" s="97">
        <v>0.52106620652198821</v>
      </c>
      <c r="E19" s="115">
        <v>61</v>
      </c>
      <c r="F19" s="97">
        <v>0.26900000000000002</v>
      </c>
      <c r="G19" s="97">
        <v>0.33</v>
      </c>
    </row>
    <row r="20" spans="2:7" x14ac:dyDescent="0.25">
      <c r="B20" s="98" t="s">
        <v>199</v>
      </c>
      <c r="C20" s="106" t="s">
        <v>154</v>
      </c>
      <c r="D20" s="99">
        <v>0.24</v>
      </c>
      <c r="E20" s="116">
        <v>108</v>
      </c>
      <c r="F20" s="99"/>
      <c r="G20" s="99">
        <v>0.22</v>
      </c>
    </row>
    <row r="22" spans="2:7" x14ac:dyDescent="0.25">
      <c r="B22" s="86" t="s">
        <v>273</v>
      </c>
    </row>
    <row r="23" spans="2:7" x14ac:dyDescent="0.25">
      <c r="B23" s="119" t="s">
        <v>166</v>
      </c>
      <c r="C23" s="34" t="s">
        <v>259</v>
      </c>
      <c r="D23" s="34" t="s">
        <v>266</v>
      </c>
      <c r="E23" s="34" t="s">
        <v>260</v>
      </c>
      <c r="F23" s="34" t="s">
        <v>267</v>
      </c>
      <c r="G23" s="34" t="s">
        <v>268</v>
      </c>
    </row>
    <row r="24" spans="2:7" x14ac:dyDescent="0.25">
      <c r="B24" s="36" t="str">
        <f>_xlfn.XLOOKUP($C24,CCA_Defense!$C:$C,CCA_Defense!$AU:$AU)</f>
        <v>Diversified</v>
      </c>
      <c r="C24" s="36" t="s">
        <v>14</v>
      </c>
      <c r="D24" s="87">
        <f>_xlfn.XLOOKUP($C24,CCA_Defense!$C:$C,CCA_Defense!CE:CE)</f>
        <v>9.2897728264327101E-2</v>
      </c>
      <c r="E24" s="120">
        <f>_xlfn.XLOOKUP($C24,CCA_Defense!$C:$C,CCA_Defense!M:M)</f>
        <v>39.65</v>
      </c>
      <c r="F24" s="87">
        <f>_xlfn.XLOOKUP($C24,CCA_Defense!$C:$C,CCA_Defense!BG:BG)</f>
        <v>0.26700000000000002</v>
      </c>
      <c r="G24" s="87">
        <f>_xlfn.XLOOKUP($C24,CCA_Defense!$C:$C,CCA_Defense!BK:BK)</f>
        <v>0.33800000000000002</v>
      </c>
    </row>
    <row r="25" spans="2:7" x14ac:dyDescent="0.25">
      <c r="B25" s="36" t="str">
        <f>_xlfn.XLOOKUP($C25,CCA_Defense!$C:$C,CCA_Defense!$AU:$AU)</f>
        <v>Tier 1</v>
      </c>
      <c r="C25" s="36" t="s">
        <v>18</v>
      </c>
      <c r="D25" s="87">
        <f>_xlfn.XLOOKUP($C25,CCA_Defense!$C:$C,CCA_Defense!CE:CE)</f>
        <v>7.8543953456870721E-2</v>
      </c>
      <c r="E25" s="120">
        <f>_xlfn.XLOOKUP($C25,CCA_Defense!$C:$C,CCA_Defense!M:M)</f>
        <v>61.75</v>
      </c>
      <c r="F25" s="87">
        <f>_xlfn.XLOOKUP($C25,CCA_Defense!$C:$C,CCA_Defense!BG:BG)</f>
        <v>0.14380000000000001</v>
      </c>
      <c r="G25" s="87">
        <f>_xlfn.XLOOKUP($C25,CCA_Defense!$C:$C,CCA_Defense!BK:BK)</f>
        <v>0.19650000000000001</v>
      </c>
    </row>
    <row r="26" spans="2:7" x14ac:dyDescent="0.25">
      <c r="B26" s="36" t="str">
        <f>_xlfn.XLOOKUP($C26,CCA_Defense!$C:$C,CCA_Defense!$AU:$AU)</f>
        <v>Platforms</v>
      </c>
      <c r="C26" s="36" t="s">
        <v>23</v>
      </c>
      <c r="D26" s="87">
        <f>_xlfn.XLOOKUP($C26,CCA_Defense!$C:$C,CCA_Defense!CE:CE)</f>
        <v>0.19816225679815022</v>
      </c>
      <c r="E26" s="120">
        <f>_xlfn.XLOOKUP($C26,CCA_Defense!$C:$C,CCA_Defense!M:M)</f>
        <v>48.8</v>
      </c>
      <c r="F26" s="87">
        <f>_xlfn.XLOOKUP($C26,CCA_Defense!$C:$C,CCA_Defense!BG:BG)</f>
        <v>0</v>
      </c>
      <c r="G26" s="87">
        <f>_xlfn.XLOOKUP($C26,CCA_Defense!$C:$C,CCA_Defense!BK:BK)</f>
        <v>0</v>
      </c>
    </row>
    <row r="27" spans="2:7" x14ac:dyDescent="0.25">
      <c r="B27" s="36" t="str">
        <f>_xlfn.XLOOKUP($C27,CCA_Defense!$C:$C,CCA_Defense!$AU:$AU)</f>
        <v>Tier 3</v>
      </c>
      <c r="C27" s="36" t="s">
        <v>105</v>
      </c>
      <c r="D27" s="87">
        <f>_xlfn.XLOOKUP($C27,CCA_Defense!$C:$C,CCA_Defense!CE:CE)</f>
        <v>0.52106620652198821</v>
      </c>
      <c r="E27" s="120">
        <f>_xlfn.XLOOKUP($C27,CCA_Defense!$C:$C,CCA_Defense!M:M)</f>
        <v>61</v>
      </c>
      <c r="F27" s="87">
        <f>_xlfn.XLOOKUP($C27,CCA_Defense!$C:$C,CCA_Defense!BG:BG)</f>
        <v>0.26079999999999998</v>
      </c>
      <c r="G27" s="87">
        <f>_xlfn.XLOOKUP($C27,CCA_Defense!$C:$C,CCA_Defense!BK:BK)</f>
        <v>0.36709999999999998</v>
      </c>
    </row>
    <row r="28" spans="2:7" x14ac:dyDescent="0.25">
      <c r="B28" s="36" t="str">
        <f>_xlfn.XLOOKUP($C28,CCA_Defense!$C:$C,CCA_Defense!$AU:$AU)</f>
        <v>Diversified</v>
      </c>
      <c r="C28" s="36" t="s">
        <v>106</v>
      </c>
      <c r="D28" s="87">
        <f>_xlfn.XLOOKUP($C28,CCA_Defense!$C:$C,CCA_Defense!CE:CE)</f>
        <v>0.95138067863037779</v>
      </c>
      <c r="E28" s="120">
        <f>_xlfn.XLOOKUP($C28,CCA_Defense!$C:$C,CCA_Defense!M:M)</f>
        <v>64</v>
      </c>
      <c r="F28" s="87">
        <f>_xlfn.XLOOKUP($C28,CCA_Defense!$C:$C,CCA_Defense!BG:BG)</f>
        <v>0.23799999999999999</v>
      </c>
      <c r="G28" s="87">
        <f>_xlfn.XLOOKUP($C28,CCA_Defense!$C:$C,CCA_Defense!BK:BK)</f>
        <v>0.2147</v>
      </c>
    </row>
    <row r="29" spans="2:7" x14ac:dyDescent="0.25">
      <c r="B29" s="36" t="str">
        <f>_xlfn.XLOOKUP($C29,CCA_Defense!$C:$C,CCA_Defense!$AU:$AU)</f>
        <v>Diversified</v>
      </c>
      <c r="C29" s="36" t="s">
        <v>108</v>
      </c>
      <c r="D29" s="87">
        <f>_xlfn.XLOOKUP($C29,CCA_Defense!$C:$C,CCA_Defense!CE:CE)</f>
        <v>0.32180867604332969</v>
      </c>
      <c r="E29" s="120">
        <f>_xlfn.XLOOKUP($C29,CCA_Defense!$C:$C,CCA_Defense!M:M)</f>
        <v>0</v>
      </c>
      <c r="F29" s="87">
        <f>_xlfn.XLOOKUP($C29,CCA_Defense!$C:$C,CCA_Defense!BG:BG)</f>
        <v>-9.8000000000000004E-2</v>
      </c>
      <c r="G29" s="87">
        <f>_xlfn.XLOOKUP($C29,CCA_Defense!$C:$C,CCA_Defense!BK:BK)</f>
        <v>-9.3600000000000003E-2</v>
      </c>
    </row>
    <row r="30" spans="2:7" x14ac:dyDescent="0.25">
      <c r="B30" s="36" t="str">
        <f>_xlfn.XLOOKUP($C30,CCA_Defense!$C:$C,CCA_Defense!$AU:$AU)</f>
        <v>Tier 2</v>
      </c>
      <c r="C30" s="36" t="s">
        <v>183</v>
      </c>
      <c r="D30" s="87">
        <f>_xlfn.XLOOKUP($C30,CCA_Defense!$C:$C,CCA_Defense!CE:CE)</f>
        <v>0.21546923355382444</v>
      </c>
      <c r="E30" s="120">
        <f>_xlfn.XLOOKUP($C30,CCA_Defense!$C:$C,CCA_Defense!M:M)</f>
        <v>77</v>
      </c>
      <c r="F30" s="87">
        <f>_xlfn.XLOOKUP($C30,CCA_Defense!$C:$C,CCA_Defense!BG:BG)</f>
        <v>0.12255000000000001</v>
      </c>
      <c r="G30" s="87">
        <f>_xlfn.XLOOKUP($C30,CCA_Defense!$C:$C,CCA_Defense!BK:BK)</f>
        <v>0.16880000000000001</v>
      </c>
    </row>
    <row r="31" spans="2:7" x14ac:dyDescent="0.25">
      <c r="B31" s="36" t="str">
        <f>_xlfn.XLOOKUP($C31,CCA_Defense!$C:$C,CCA_Defense!$AU:$AU)</f>
        <v>Tier 3</v>
      </c>
      <c r="C31" s="36" t="s">
        <v>185</v>
      </c>
      <c r="D31" s="87">
        <f>_xlfn.XLOOKUP($C31,CCA_Defense!$C:$C,CCA_Defense!CE:CE)</f>
        <v>0.14325511666462407</v>
      </c>
      <c r="E31" s="120">
        <f>_xlfn.XLOOKUP($C31,CCA_Defense!$C:$C,CCA_Defense!M:M)</f>
        <v>43</v>
      </c>
      <c r="F31" s="87">
        <f>_xlfn.XLOOKUP($C31,CCA_Defense!$C:$C,CCA_Defense!BG:BG)</f>
        <v>0</v>
      </c>
      <c r="G31" s="87">
        <f>_xlfn.XLOOKUP($C31,CCA_Defense!$C:$C,CCA_Defense!BK:BK)</f>
        <v>0</v>
      </c>
    </row>
    <row r="35" spans="2:29" s="3" customFormat="1" x14ac:dyDescent="0.25">
      <c r="B35" s="296" t="s">
        <v>1098</v>
      </c>
      <c r="C35" s="297" t="s">
        <v>1099</v>
      </c>
      <c r="D35" s="297" t="s">
        <v>1100</v>
      </c>
      <c r="E35" s="297" t="s">
        <v>1101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2:29" x14ac:dyDescent="0.25">
      <c r="B36" s="298" t="s">
        <v>1114</v>
      </c>
      <c r="C36" s="299"/>
      <c r="D36" s="299"/>
      <c r="E36" s="299"/>
    </row>
    <row r="37" spans="2:29" x14ac:dyDescent="0.25">
      <c r="B37" s="304" t="s">
        <v>266</v>
      </c>
      <c r="C37" s="300" t="s">
        <v>1115</v>
      </c>
      <c r="D37" s="300" t="s">
        <v>1116</v>
      </c>
      <c r="E37" s="300" t="s">
        <v>1117</v>
      </c>
    </row>
    <row r="38" spans="2:29" x14ac:dyDescent="0.25">
      <c r="B38" s="304" t="s">
        <v>260</v>
      </c>
      <c r="C38" s="301" t="s">
        <v>1121</v>
      </c>
      <c r="D38" s="301" t="s">
        <v>1122</v>
      </c>
      <c r="E38" s="301" t="s">
        <v>1123</v>
      </c>
    </row>
    <row r="39" spans="2:29" x14ac:dyDescent="0.25">
      <c r="B39" s="304" t="s">
        <v>5</v>
      </c>
      <c r="C39" s="300" t="s">
        <v>1118</v>
      </c>
      <c r="D39" s="301" t="s">
        <v>1120</v>
      </c>
      <c r="E39" s="301" t="s">
        <v>1119</v>
      </c>
    </row>
    <row r="40" spans="2:29" x14ac:dyDescent="0.25">
      <c r="B40" s="304" t="s">
        <v>6</v>
      </c>
      <c r="C40" s="301" t="s">
        <v>1124</v>
      </c>
      <c r="D40" s="301" t="s">
        <v>1125</v>
      </c>
      <c r="E40" s="301" t="s">
        <v>1126</v>
      </c>
    </row>
    <row r="41" spans="2:29" x14ac:dyDescent="0.25">
      <c r="B41" s="304" t="s">
        <v>1113</v>
      </c>
      <c r="C41" s="301" t="s">
        <v>1130</v>
      </c>
      <c r="D41" s="301" t="s">
        <v>1131</v>
      </c>
      <c r="E41" s="301" t="s">
        <v>1132</v>
      </c>
    </row>
    <row r="42" spans="2:29" x14ac:dyDescent="0.25">
      <c r="B42" s="443" t="s">
        <v>1133</v>
      </c>
      <c r="C42" s="301" t="s">
        <v>1135</v>
      </c>
      <c r="D42" s="301" t="s">
        <v>1134</v>
      </c>
      <c r="E42" s="301" t="s">
        <v>1136</v>
      </c>
    </row>
    <row r="43" spans="2:29" x14ac:dyDescent="0.25">
      <c r="B43" s="298" t="s">
        <v>1102</v>
      </c>
      <c r="C43" s="302"/>
      <c r="D43" s="302"/>
      <c r="E43" s="302"/>
    </row>
    <row r="44" spans="2:29" x14ac:dyDescent="0.25">
      <c r="B44" s="304" t="s">
        <v>1103</v>
      </c>
      <c r="C44" s="301" t="s">
        <v>1183</v>
      </c>
      <c r="D44" s="301" t="s">
        <v>1184</v>
      </c>
      <c r="E44" s="301" t="s">
        <v>1137</v>
      </c>
    </row>
    <row r="45" spans="2:29" x14ac:dyDescent="0.25">
      <c r="B45" s="304" t="s">
        <v>1104</v>
      </c>
      <c r="C45" s="301" t="s">
        <v>1138</v>
      </c>
      <c r="D45" s="301" t="s">
        <v>1139</v>
      </c>
      <c r="E45" s="301" t="s">
        <v>1140</v>
      </c>
    </row>
    <row r="46" spans="2:29" x14ac:dyDescent="0.25">
      <c r="B46" s="306" t="s">
        <v>1141</v>
      </c>
      <c r="C46" s="301" t="s">
        <v>1127</v>
      </c>
      <c r="D46" s="301" t="s">
        <v>1142</v>
      </c>
      <c r="E46" s="301" t="s">
        <v>1128</v>
      </c>
    </row>
    <row r="47" spans="2:29" ht="41.4" x14ac:dyDescent="0.25">
      <c r="B47" s="305" t="s">
        <v>1106</v>
      </c>
      <c r="C47" s="303" t="s">
        <v>1143</v>
      </c>
      <c r="D47" s="303" t="s">
        <v>1144</v>
      </c>
      <c r="E47" s="303" t="s">
        <v>1145</v>
      </c>
    </row>
    <row r="48" spans="2:29" ht="55.2" x14ac:dyDescent="0.25">
      <c r="B48" s="304" t="s">
        <v>1107</v>
      </c>
      <c r="C48" s="303" t="s">
        <v>1146</v>
      </c>
      <c r="D48" s="303" t="s">
        <v>1147</v>
      </c>
      <c r="E48" s="303" t="s">
        <v>1148</v>
      </c>
    </row>
    <row r="49" spans="2:5" ht="55.2" x14ac:dyDescent="0.25">
      <c r="B49" s="304" t="s">
        <v>1108</v>
      </c>
      <c r="C49" s="303" t="s">
        <v>1149</v>
      </c>
      <c r="D49" s="303" t="s">
        <v>1150</v>
      </c>
      <c r="E49" s="303" t="s">
        <v>1151</v>
      </c>
    </row>
    <row r="50" spans="2:5" ht="41.4" x14ac:dyDescent="0.25">
      <c r="B50" s="304" t="s">
        <v>1109</v>
      </c>
      <c r="C50" s="303" t="s">
        <v>1152</v>
      </c>
      <c r="D50" s="303" t="s">
        <v>1153</v>
      </c>
      <c r="E50" s="303" t="s">
        <v>1154</v>
      </c>
    </row>
    <row r="51" spans="2:5" x14ac:dyDescent="0.25">
      <c r="B51" s="305" t="s">
        <v>1110</v>
      </c>
      <c r="C51" s="301" t="s">
        <v>1117</v>
      </c>
      <c r="D51" s="301" t="s">
        <v>1155</v>
      </c>
      <c r="E51" s="301" t="s">
        <v>1156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B65F-40E0-4637-A537-32A7062D5ACB}">
  <sheetPr>
    <tabColor theme="8" tint="-0.499984740745262"/>
  </sheetPr>
  <dimension ref="B1:T91"/>
  <sheetViews>
    <sheetView showGridLines="0" zoomScale="85" zoomScaleNormal="85" workbookViewId="0">
      <pane xSplit="5" ySplit="2" topLeftCell="F15" activePane="bottomRight" state="frozen"/>
      <selection pane="topRight" activeCell="F1" sqref="F1"/>
      <selection pane="bottomLeft" activeCell="A3" sqref="A3"/>
      <selection pane="bottomRight"/>
    </sheetView>
  </sheetViews>
  <sheetFormatPr defaultRowHeight="13.8" x14ac:dyDescent="0.25"/>
  <cols>
    <col min="1" max="1" width="1.3984375" customWidth="1"/>
    <col min="2" max="2" width="8.69921875" style="5"/>
    <col min="3" max="3" width="43.59765625" style="5" customWidth="1"/>
    <col min="4" max="4" width="8.69921875" style="2"/>
    <col min="5" max="5" width="15.19921875" style="5" customWidth="1"/>
    <col min="6" max="6" width="14.69921875" style="5" customWidth="1"/>
    <col min="7" max="7" width="8.69921875" style="2"/>
    <col min="12" max="12" width="8.69921875" style="5"/>
    <col min="13" max="13" width="11.19921875" style="2" customWidth="1"/>
    <col min="14" max="14" width="15.59765625" style="5" customWidth="1"/>
    <col min="15" max="20" width="12.19921875" customWidth="1"/>
  </cols>
  <sheetData>
    <row r="1" spans="2:20" ht="17.399999999999999" customHeight="1" x14ac:dyDescent="0.25">
      <c r="B1" s="248"/>
      <c r="C1" s="248"/>
      <c r="D1" s="156" t="s">
        <v>407</v>
      </c>
      <c r="E1" s="160"/>
      <c r="F1" s="248"/>
      <c r="G1" s="252" t="s">
        <v>437</v>
      </c>
      <c r="H1" s="151"/>
      <c r="I1" s="151"/>
      <c r="J1" s="151"/>
      <c r="K1" s="151"/>
      <c r="L1" s="253"/>
      <c r="M1" s="159" t="s">
        <v>1080</v>
      </c>
      <c r="N1" s="256" t="s">
        <v>1081</v>
      </c>
      <c r="O1" s="252" t="s">
        <v>1091</v>
      </c>
      <c r="P1" s="151"/>
      <c r="Q1" s="151"/>
      <c r="R1" s="151"/>
      <c r="S1" s="151"/>
      <c r="T1" s="253"/>
    </row>
    <row r="2" spans="2:20" x14ac:dyDescent="0.25">
      <c r="B2" s="270" t="s">
        <v>103</v>
      </c>
      <c r="C2" s="263" t="s">
        <v>259</v>
      </c>
      <c r="D2" s="276" t="s">
        <v>409</v>
      </c>
      <c r="E2" s="263" t="s">
        <v>408</v>
      </c>
      <c r="F2" s="249" t="s">
        <v>438</v>
      </c>
      <c r="G2" s="254" t="s">
        <v>460</v>
      </c>
      <c r="H2" s="141" t="s">
        <v>461</v>
      </c>
      <c r="I2" s="141" t="s">
        <v>462</v>
      </c>
      <c r="J2" s="141" t="s">
        <v>463</v>
      </c>
      <c r="K2" s="141" t="s">
        <v>464</v>
      </c>
      <c r="L2" s="255" t="s">
        <v>465</v>
      </c>
      <c r="M2" s="257" t="s">
        <v>1090</v>
      </c>
      <c r="N2" s="258"/>
      <c r="O2" s="254" t="s">
        <v>460</v>
      </c>
      <c r="P2" s="141" t="s">
        <v>461</v>
      </c>
      <c r="Q2" s="141" t="s">
        <v>462</v>
      </c>
      <c r="R2" s="141" t="s">
        <v>463</v>
      </c>
      <c r="S2" s="141" t="s">
        <v>464</v>
      </c>
      <c r="T2" s="255" t="s">
        <v>465</v>
      </c>
    </row>
    <row r="3" spans="2:20" x14ac:dyDescent="0.25">
      <c r="B3" s="271">
        <v>1</v>
      </c>
      <c r="C3" s="150" t="s">
        <v>14</v>
      </c>
      <c r="D3" s="277" t="s">
        <v>410</v>
      </c>
      <c r="E3" s="271" t="s">
        <v>15</v>
      </c>
      <c r="F3" s="250">
        <f>_xlfn.XLOOKUP($D3,BB_Input!$C$4:$C$172,BB_Input!$G$4:$G$172)</f>
        <v>32941.5311500764</v>
      </c>
      <c r="G3" s="144">
        <f>_xlfn.XLOOKUP($D3,CCA_Defense!$D:$D,CCA_Defense!M:M)</f>
        <v>39.65</v>
      </c>
      <c r="H3" s="145">
        <f>_xlfn.XLOOKUP($D3,CCA_Defense!$D:$D,CCA_Defense!N:N)</f>
        <v>34.750905626531036</v>
      </c>
      <c r="I3" s="145">
        <f>_xlfn.XLOOKUP($D3,CCA_Defense!$D:$D,CCA_Defense!O:O)</f>
        <v>29.185423491237042</v>
      </c>
      <c r="J3" s="145">
        <f>_xlfn.XLOOKUP($D3,CCA_Defense!$D:$D,CCA_Defense!P:P)</f>
        <v>25.131016908358436</v>
      </c>
      <c r="K3" s="145">
        <f>_xlfn.XLOOKUP($D3,CCA_Defense!$D:$D,CCA_Defense!Q:Q)</f>
        <v>21.546295344480995</v>
      </c>
      <c r="L3" s="149" t="str">
        <f>_xlfn.XLOOKUP($D3,CCA_Defense!$D:$D,CCA_Defense!R:R)</f>
        <v/>
      </c>
      <c r="M3" s="259">
        <f>_xlfn.XLOOKUP($D3,CCA_Defense!$D:$D,CCA_Defense!T:T)</f>
        <v>7.3652200579954599E-2</v>
      </c>
      <c r="N3" s="260">
        <f>_xlfn.XLOOKUP($D3,CCA_Defense!$D:$D,CCA_Defense!U:U)</f>
        <v>0</v>
      </c>
      <c r="O3" s="246">
        <f>IFERROR(_xlfn.XLOOKUP($D3,BB_Input!$C$4:$C$163,BB_Input!$CY$4:$CY$163),"")</f>
        <v>309809.5</v>
      </c>
      <c r="P3" s="143">
        <f>IFERROR(O3*(1+$M3),"")</f>
        <v>332627.65143557545</v>
      </c>
      <c r="Q3" s="143">
        <f t="shared" ref="Q3:T3" si="0">IFERROR(P3*(1+$M3),"")</f>
        <v>357126.40993754769</v>
      </c>
      <c r="R3" s="143">
        <f t="shared" si="0"/>
        <v>383429.55591466709</v>
      </c>
      <c r="S3" s="143">
        <f t="shared" si="0"/>
        <v>411669.98647517711</v>
      </c>
      <c r="T3" s="146">
        <f t="shared" si="0"/>
        <v>441990.3868917941</v>
      </c>
    </row>
    <row r="4" spans="2:20" x14ac:dyDescent="0.25">
      <c r="B4" s="272">
        <f t="shared" ref="B4:B13" si="1">B3+1</f>
        <v>2</v>
      </c>
      <c r="C4" s="150" t="s">
        <v>16</v>
      </c>
      <c r="D4" s="278" t="s">
        <v>411</v>
      </c>
      <c r="E4" s="271" t="s">
        <v>17</v>
      </c>
      <c r="F4" s="250">
        <f>_xlfn.XLOOKUP($D4,BB_Input!$C$4:$C$172,BB_Input!$G$4:$G$172)</f>
        <v>32574.519232867202</v>
      </c>
      <c r="G4" s="144">
        <f>_xlfn.XLOOKUP($D4,CCA_Defense!$D:$D,CCA_Defense!M:M)</f>
        <v>61.39</v>
      </c>
      <c r="H4" s="145">
        <f>_xlfn.XLOOKUP($D4,CCA_Defense!$D:$D,CCA_Defense!N:N)</f>
        <v>48.548221454579398</v>
      </c>
      <c r="I4" s="145">
        <f>_xlfn.XLOOKUP($D4,CCA_Defense!$D:$D,CCA_Defense!O:O)</f>
        <v>40.935212154609147</v>
      </c>
      <c r="J4" s="145">
        <f>_xlfn.XLOOKUP($D4,CCA_Defense!$D:$D,CCA_Defense!P:P)</f>
        <v>34.95175138667274</v>
      </c>
      <c r="K4" s="145">
        <f>_xlfn.XLOOKUP($D4,CCA_Defense!$D:$D,CCA_Defense!Q:Q)</f>
        <v>31.397174254317111</v>
      </c>
      <c r="L4" s="149" t="str">
        <f>_xlfn.XLOOKUP($D4,CCA_Defense!$D:$D,CCA_Defense!R:R)</f>
        <v/>
      </c>
      <c r="M4" s="259">
        <f>_xlfn.XLOOKUP($D4,CCA_Defense!$D:$D,CCA_Defense!T:T)</f>
        <v>6.9230987580708461E-2</v>
      </c>
      <c r="N4" s="260">
        <f>_xlfn.XLOOKUP($D4,CCA_Defense!$D:$D,CCA_Defense!U:U)</f>
        <v>0</v>
      </c>
      <c r="O4" s="246">
        <f>IFERROR(_xlfn.XLOOKUP($D4,BB_Input!$C$4:$C$163,BB_Input!$CY$4:$CY$163),"")</f>
        <v>230241</v>
      </c>
      <c r="P4" s="143">
        <f t="shared" ref="P4:T4" si="2">IFERROR(O4*(1+$M4),"")</f>
        <v>246180.8118115699</v>
      </c>
      <c r="Q4" s="143">
        <f t="shared" si="2"/>
        <v>263224.15253670543</v>
      </c>
      <c r="R4" s="143">
        <f t="shared" si="2"/>
        <v>281447.42057191656</v>
      </c>
      <c r="S4" s="143">
        <f t="shared" si="2"/>
        <v>300932.30345015333</v>
      </c>
      <c r="T4" s="146">
        <f t="shared" si="2"/>
        <v>321766.14401294489</v>
      </c>
    </row>
    <row r="5" spans="2:20" x14ac:dyDescent="0.25">
      <c r="B5" s="272">
        <f t="shared" si="1"/>
        <v>3</v>
      </c>
      <c r="C5" s="150" t="s">
        <v>18</v>
      </c>
      <c r="D5" s="278" t="s">
        <v>19</v>
      </c>
      <c r="E5" s="271" t="s">
        <v>19</v>
      </c>
      <c r="F5" s="250">
        <f>_xlfn.XLOOKUP($D5,BB_Input!$C$4:$C$172,BB_Input!$G$4:$G$172)</f>
        <v>6048.8875288416239</v>
      </c>
      <c r="G5" s="144">
        <f>_xlfn.XLOOKUP($D5,CCA_Defense!$D:$D,CCA_Defense!M:M)</f>
        <v>61.75</v>
      </c>
      <c r="H5" s="145">
        <f>_xlfn.XLOOKUP($D5,CCA_Defense!$D:$D,CCA_Defense!N:N)</f>
        <v>58.607225712419208</v>
      </c>
      <c r="I5" s="145">
        <f>_xlfn.XLOOKUP($D5,CCA_Defense!$D:$D,CCA_Defense!O:O)</f>
        <v>44.206126676438764</v>
      </c>
      <c r="J5" s="145">
        <f>_xlfn.XLOOKUP($D5,CCA_Defense!$D:$D,CCA_Defense!P:P)</f>
        <v>34.064669315391995</v>
      </c>
      <c r="K5" s="145">
        <f>_xlfn.XLOOKUP($D5,CCA_Defense!$D:$D,CCA_Defense!Q:Q)</f>
        <v>39.967618758010659</v>
      </c>
      <c r="L5" s="149" t="str">
        <f>_xlfn.XLOOKUP($D5,CCA_Defense!$D:$D,CCA_Defense!R:R)</f>
        <v/>
      </c>
      <c r="M5" s="259">
        <f>_xlfn.XLOOKUP($D5,CCA_Defense!$D:$D,CCA_Defense!T:T)</f>
        <v>6.2356498236636311E-2</v>
      </c>
      <c r="N5" s="260">
        <f>_xlfn.XLOOKUP($D5,CCA_Defense!$D:$D,CCA_Defense!U:U)</f>
        <v>0</v>
      </c>
      <c r="O5" s="246">
        <f>IFERROR(_xlfn.XLOOKUP($D5,BB_Input!$C$4:$C$163,BB_Input!$CY$4:$CY$163),"")</f>
        <v>33230.728999999999</v>
      </c>
      <c r="P5" s="143">
        <f t="shared" ref="P5:T5" si="3">IFERROR(O5*(1+$M5),"")</f>
        <v>35302.88089429064</v>
      </c>
      <c r="Q5" s="143">
        <f t="shared" si="3"/>
        <v>37504.244924523657</v>
      </c>
      <c r="R5" s="143">
        <f t="shared" si="3"/>
        <v>39842.878307026091</v>
      </c>
      <c r="S5" s="143">
        <f t="shared" si="3"/>
        <v>42327.340677920678</v>
      </c>
      <c r="T5" s="146">
        <f t="shared" si="3"/>
        <v>44966.725422264943</v>
      </c>
    </row>
    <row r="6" spans="2:20" x14ac:dyDescent="0.25">
      <c r="B6" s="272">
        <f t="shared" si="1"/>
        <v>4</v>
      </c>
      <c r="C6" s="150" t="s">
        <v>20</v>
      </c>
      <c r="D6" s="278" t="s">
        <v>412</v>
      </c>
      <c r="E6" s="271" t="s">
        <v>42</v>
      </c>
      <c r="F6" s="250">
        <f>_xlfn.XLOOKUP($D6,BB_Input!$C$4:$C$172,BB_Input!$G$4:$G$172)</f>
        <v>11415.979094043627</v>
      </c>
      <c r="G6" s="144">
        <f>_xlfn.XLOOKUP($D6,CCA_Defense!$D:$D,CCA_Defense!M:M)</f>
        <v>38.06</v>
      </c>
      <c r="H6" s="145">
        <f>_xlfn.XLOOKUP($D6,CCA_Defense!$D:$D,CCA_Defense!N:N)</f>
        <v>37.053118495122767</v>
      </c>
      <c r="I6" s="145">
        <f>_xlfn.XLOOKUP($D6,CCA_Defense!$D:$D,CCA_Defense!O:O)</f>
        <v>30.39666612083192</v>
      </c>
      <c r="J6" s="145">
        <f>_xlfn.XLOOKUP($D6,CCA_Defense!$D:$D,CCA_Defense!P:P)</f>
        <v>28.263240418648476</v>
      </c>
      <c r="K6" s="145" t="str">
        <f>_xlfn.XLOOKUP($D6,CCA_Defense!$D:$D,CCA_Defense!Q:Q)</f>
        <v/>
      </c>
      <c r="L6" s="149" t="str">
        <f>_xlfn.XLOOKUP($D6,CCA_Defense!$D:$D,CCA_Defense!R:R)</f>
        <v/>
      </c>
      <c r="M6" s="259">
        <f>_xlfn.XLOOKUP($D6,CCA_Defense!$D:$D,CCA_Defense!T:T)</f>
        <v>4.7036670931645368E-2</v>
      </c>
      <c r="N6" s="260">
        <f>_xlfn.XLOOKUP($D6,CCA_Defense!$D:$D,CCA_Defense!U:U)</f>
        <v>0</v>
      </c>
      <c r="O6" s="246">
        <f>IFERROR(_xlfn.XLOOKUP($D6,BB_Input!$C$4:$C$163,BB_Input!$CY$4:$CY$163),"")</f>
        <v>114318.8</v>
      </c>
      <c r="P6" s="143">
        <f t="shared" ref="P6:T6" si="4">IFERROR(O6*(1+$M6),"")</f>
        <v>119695.9757769006</v>
      </c>
      <c r="Q6" s="143">
        <f t="shared" si="4"/>
        <v>125326.07600136087</v>
      </c>
      <c r="R6" s="143">
        <f t="shared" si="4"/>
        <v>131220.99739739127</v>
      </c>
      <c r="S6" s="143">
        <f t="shared" si="4"/>
        <v>137393.19627129467</v>
      </c>
      <c r="T6" s="146">
        <f t="shared" si="4"/>
        <v>143855.71483255454</v>
      </c>
    </row>
    <row r="7" spans="2:20" x14ac:dyDescent="0.25">
      <c r="B7" s="272">
        <f t="shared" si="1"/>
        <v>5</v>
      </c>
      <c r="C7" s="150" t="s">
        <v>21</v>
      </c>
      <c r="D7" s="277" t="s">
        <v>22</v>
      </c>
      <c r="E7" s="271" t="s">
        <v>22</v>
      </c>
      <c r="F7" s="250">
        <f>_xlfn.XLOOKUP($D7,BB_Input!$C$4:$C$172,BB_Input!$G$4:$G$172)</f>
        <v>3131.5231992618174</v>
      </c>
      <c r="G7" s="144">
        <f>_xlfn.XLOOKUP($D7,CCA_Defense!$D:$D,CCA_Defense!M:M)</f>
        <v>88.75</v>
      </c>
      <c r="H7" s="145">
        <f>_xlfn.XLOOKUP($D7,CCA_Defense!$D:$D,CCA_Defense!N:N)</f>
        <v>38.480116184106834</v>
      </c>
      <c r="I7" s="145">
        <f>_xlfn.XLOOKUP($D7,CCA_Defense!$D:$D,CCA_Defense!O:O)</f>
        <v>28.728984789351905</v>
      </c>
      <c r="J7" s="145">
        <f>_xlfn.XLOOKUP($D7,CCA_Defense!$D:$D,CCA_Defense!P:P)</f>
        <v>26.55771469049326</v>
      </c>
      <c r="K7" s="145" t="str">
        <f>_xlfn.XLOOKUP($D7,CCA_Defense!$D:$D,CCA_Defense!Q:Q)</f>
        <v/>
      </c>
      <c r="L7" s="149" t="str">
        <f>_xlfn.XLOOKUP($D7,CCA_Defense!$D:$D,CCA_Defense!R:R)</f>
        <v/>
      </c>
      <c r="M7" s="259">
        <f>_xlfn.XLOOKUP($D7,CCA_Defense!$D:$D,CCA_Defense!T:T)</f>
        <v>4.382685810433818E-2</v>
      </c>
      <c r="N7" s="260">
        <f>_xlfn.XLOOKUP($D7,CCA_Defense!$D:$D,CCA_Defense!U:U)</f>
        <v>0</v>
      </c>
      <c r="O7" s="246">
        <f>IFERROR(_xlfn.XLOOKUP($D7,BB_Input!$C$4:$C$163,BB_Input!$CY$4:$CY$163),"")</f>
        <v>50756.877</v>
      </c>
      <c r="P7" s="143">
        <f t="shared" ref="P7:T7" si="5">IFERROR(O7*(1+$M7),"")</f>
        <v>52981.391446098343</v>
      </c>
      <c r="Q7" s="143">
        <f t="shared" si="5"/>
        <v>55303.399371176893</v>
      </c>
      <c r="R7" s="143">
        <f t="shared" si="5"/>
        <v>57727.173608105004</v>
      </c>
      <c r="S7" s="143">
        <f t="shared" si="5"/>
        <v>60257.174254591919</v>
      </c>
      <c r="T7" s="146">
        <f t="shared" si="5"/>
        <v>62898.056880416298</v>
      </c>
    </row>
    <row r="8" spans="2:20" x14ac:dyDescent="0.25">
      <c r="B8" s="272">
        <f t="shared" si="1"/>
        <v>6</v>
      </c>
      <c r="C8" s="150" t="s">
        <v>23</v>
      </c>
      <c r="D8" s="278" t="s">
        <v>413</v>
      </c>
      <c r="E8" s="271" t="s">
        <v>132</v>
      </c>
      <c r="F8" s="250">
        <f>_xlfn.XLOOKUP($D8,BB_Input!$C$4:$C$172,BB_Input!$G$4:$G$172)</f>
        <v>4833.9547335099069</v>
      </c>
      <c r="G8" s="144">
        <f>_xlfn.XLOOKUP($D8,CCA_Defense!$D:$D,CCA_Defense!M:M)</f>
        <v>48.8</v>
      </c>
      <c r="H8" s="145">
        <f>_xlfn.XLOOKUP($D8,CCA_Defense!$D:$D,CCA_Defense!N:N)</f>
        <v>59.974547230113636</v>
      </c>
      <c r="I8" s="145">
        <f>_xlfn.XLOOKUP($D8,CCA_Defense!$D:$D,CCA_Defense!O:O)</f>
        <v>45.560774829506215</v>
      </c>
      <c r="J8" s="145">
        <f>_xlfn.XLOOKUP($D8,CCA_Defense!$D:$D,CCA_Defense!P:P)</f>
        <v>37.626617083531364</v>
      </c>
      <c r="K8" s="145" t="str">
        <f>_xlfn.XLOOKUP($D8,CCA_Defense!$D:$D,CCA_Defense!Q:Q)</f>
        <v/>
      </c>
      <c r="L8" s="149" t="str">
        <f>_xlfn.XLOOKUP($D8,CCA_Defense!$D:$D,CCA_Defense!R:R)</f>
        <v/>
      </c>
      <c r="M8" s="259">
        <f>_xlfn.XLOOKUP($D8,CCA_Defense!$D:$D,CCA_Defense!T:T)</f>
        <v>0.15561323700522059</v>
      </c>
      <c r="N8" s="260">
        <f>_xlfn.XLOOKUP($D8,CCA_Defense!$D:$D,CCA_Defense!U:U)</f>
        <v>0</v>
      </c>
      <c r="O8" s="246">
        <f>IFERROR(_xlfn.XLOOKUP($D8,BB_Input!$C$4:$C$163,BB_Input!$CY$4:$CY$163),"")</f>
        <v>48199.588000000003</v>
      </c>
      <c r="P8" s="143">
        <f t="shared" ref="P8:T8" si="6">IFERROR(O8*(1+$M8),"")</f>
        <v>55700.081910997986</v>
      </c>
      <c r="Q8" s="143">
        <f t="shared" si="6"/>
        <v>64367.751958624314</v>
      </c>
      <c r="R8" s="143">
        <f t="shared" si="6"/>
        <v>74384.226199654964</v>
      </c>
      <c r="S8" s="143">
        <f t="shared" si="6"/>
        <v>85959.396420711812</v>
      </c>
      <c r="T8" s="146">
        <f t="shared" si="6"/>
        <v>99335.816348753753</v>
      </c>
    </row>
    <row r="9" spans="2:20" x14ac:dyDescent="0.25">
      <c r="B9" s="272">
        <f t="shared" si="1"/>
        <v>7</v>
      </c>
      <c r="C9" s="150" t="s">
        <v>24</v>
      </c>
      <c r="D9" s="277" t="s">
        <v>43</v>
      </c>
      <c r="E9" s="271" t="s">
        <v>43</v>
      </c>
      <c r="F9" s="250">
        <f>_xlfn.XLOOKUP($D9,BB_Input!$C$4:$C$172,BB_Input!$G$4:$G$172)</f>
        <v>1733.225468982961</v>
      </c>
      <c r="G9" s="144">
        <f>_xlfn.XLOOKUP($D9,CCA_Defense!$D:$D,CCA_Defense!M:M)</f>
        <v>59.41</v>
      </c>
      <c r="H9" s="145">
        <f>_xlfn.XLOOKUP($D9,CCA_Defense!$D:$D,CCA_Defense!N:N)</f>
        <v>38.804099946279258</v>
      </c>
      <c r="I9" s="145">
        <f>_xlfn.XLOOKUP($D9,CCA_Defense!$D:$D,CCA_Defense!O:O)</f>
        <v>27.780973046661977</v>
      </c>
      <c r="J9" s="145">
        <f>_xlfn.XLOOKUP($D9,CCA_Defense!$D:$D,CCA_Defense!P:P)</f>
        <v>22.834963623643791</v>
      </c>
      <c r="K9" s="145" t="str">
        <f>_xlfn.XLOOKUP($D9,CCA_Defense!$D:$D,CCA_Defense!Q:Q)</f>
        <v/>
      </c>
      <c r="L9" s="149" t="str">
        <f>_xlfn.XLOOKUP($D9,CCA_Defense!$D:$D,CCA_Defense!R:R)</f>
        <v/>
      </c>
      <c r="M9" s="259">
        <f>_xlfn.XLOOKUP($D9,CCA_Defense!$D:$D,CCA_Defense!T:T)</f>
        <v>5.1918151629170982E-2</v>
      </c>
      <c r="N9" s="260">
        <f>_xlfn.XLOOKUP($D9,CCA_Defense!$D:$D,CCA_Defense!U:U)</f>
        <v>0</v>
      </c>
      <c r="O9" s="246">
        <f>IFERROR(_xlfn.XLOOKUP($D9,BB_Input!$C$4:$C$163,BB_Input!$CY$4:$CY$163),"")</f>
        <v>40222.226999999999</v>
      </c>
      <c r="P9" s="143">
        <f t="shared" ref="P9:T9" si="7">IFERROR(O9*(1+$M9),"")</f>
        <v>42310.490680248928</v>
      </c>
      <c r="Q9" s="143">
        <f t="shared" si="7"/>
        <v>44507.173150890711</v>
      </c>
      <c r="R9" s="143">
        <f t="shared" si="7"/>
        <v>46817.903315124422</v>
      </c>
      <c r="S9" s="143">
        <f t="shared" si="7"/>
        <v>49248.602318398916</v>
      </c>
      <c r="T9" s="146">
        <f t="shared" si="7"/>
        <v>51805.498721090291</v>
      </c>
    </row>
    <row r="10" spans="2:20" x14ac:dyDescent="0.25">
      <c r="B10" s="272">
        <f t="shared" si="1"/>
        <v>8</v>
      </c>
      <c r="C10" s="264" t="s">
        <v>25</v>
      </c>
      <c r="D10" s="277" t="s">
        <v>44</v>
      </c>
      <c r="E10" s="279" t="s">
        <v>44</v>
      </c>
      <c r="F10" s="250">
        <f>_xlfn.XLOOKUP($D10,BB_Input!$C$4:$C$172,BB_Input!$G$4:$G$172)</f>
        <v>649.8201604438342</v>
      </c>
      <c r="G10" s="148">
        <f>_xlfn.XLOOKUP($D10,CCA_Defense!$D:$D,CCA_Defense!M:M)</f>
        <v>73.81</v>
      </c>
      <c r="H10" s="145">
        <f>_xlfn.XLOOKUP($D10,CCA_Defense!$D:$D,CCA_Defense!N:N)</f>
        <v>39.336703234809299</v>
      </c>
      <c r="I10" s="145">
        <f>_xlfn.XLOOKUP($D10,CCA_Defense!$D:$D,CCA_Defense!O:O)</f>
        <v>30.554465760894562</v>
      </c>
      <c r="J10" s="145">
        <f>_xlfn.XLOOKUP($D10,CCA_Defense!$D:$D,CCA_Defense!P:P)</f>
        <v>24.070352230654478</v>
      </c>
      <c r="K10" s="145" t="str">
        <f>_xlfn.XLOOKUP($D10,CCA_Defense!$D:$D,CCA_Defense!Q:Q)</f>
        <v/>
      </c>
      <c r="L10" s="149" t="str">
        <f>_xlfn.XLOOKUP($D10,CCA_Defense!$D:$D,CCA_Defense!R:R)</f>
        <v/>
      </c>
      <c r="M10" s="259">
        <f>_xlfn.XLOOKUP($D10,CCA_Defense!$D:$D,CCA_Defense!T:T)</f>
        <v>5.39406656124942E-2</v>
      </c>
      <c r="N10" s="260">
        <f>_xlfn.XLOOKUP($D10,CCA_Defense!$D:$D,CCA_Defense!U:U)</f>
        <v>0</v>
      </c>
      <c r="O10" s="246">
        <f>IFERROR(_xlfn.XLOOKUP($D10,BB_Input!$C$4:$C$163,BB_Input!$CY$4:$CY$163),"")</f>
        <v>10527.857</v>
      </c>
      <c r="P10" s="143">
        <f t="shared" ref="P10:T10" si="8">IFERROR(O10*(1+$M10),"")</f>
        <v>11095.736614053156</v>
      </c>
      <c r="Q10" s="143">
        <f t="shared" si="8"/>
        <v>11694.248032476105</v>
      </c>
      <c r="R10" s="143">
        <f t="shared" si="8"/>
        <v>12325.043555185466</v>
      </c>
      <c r="S10" s="143">
        <f t="shared" si="8"/>
        <v>12989.864608255151</v>
      </c>
      <c r="T10" s="146">
        <f t="shared" si="8"/>
        <v>13690.546551440615</v>
      </c>
    </row>
    <row r="11" spans="2:20" x14ac:dyDescent="0.25">
      <c r="B11" s="272">
        <f t="shared" si="1"/>
        <v>9</v>
      </c>
      <c r="C11" s="265" t="s">
        <v>27</v>
      </c>
      <c r="D11" s="278" t="s">
        <v>26</v>
      </c>
      <c r="E11" s="271" t="s">
        <v>26</v>
      </c>
      <c r="F11" s="250">
        <f>_xlfn.XLOOKUP($D11,BB_Input!$C$4:$C$172,BB_Input!$G$4:$G$172)</f>
        <v>1666.7201690041356</v>
      </c>
      <c r="G11" s="144">
        <f>_xlfn.XLOOKUP($D11,CCA_Defense!$D:$D,CCA_Defense!M:M)</f>
        <v>0</v>
      </c>
      <c r="H11" s="145">
        <f>_xlfn.XLOOKUP($D11,CCA_Defense!$D:$D,CCA_Defense!N:N)</f>
        <v>48.318592954235541</v>
      </c>
      <c r="I11" s="145">
        <f>_xlfn.XLOOKUP($D11,CCA_Defense!$D:$D,CCA_Defense!O:O)</f>
        <v>38.101024878932769</v>
      </c>
      <c r="J11" s="145">
        <f>_xlfn.XLOOKUP($D11,CCA_Defense!$D:$D,CCA_Defense!P:P)</f>
        <v>29.124122595608046</v>
      </c>
      <c r="K11" s="145">
        <f>_xlfn.XLOOKUP($D11,CCA_Defense!$D:$D,CCA_Defense!Q:Q)</f>
        <v>23.970578779881372</v>
      </c>
      <c r="L11" s="149" t="str">
        <f>_xlfn.XLOOKUP($D11,CCA_Defense!$D:$D,CCA_Defense!R:R)</f>
        <v/>
      </c>
      <c r="M11" s="259">
        <f>_xlfn.XLOOKUP($D11,CCA_Defense!$D:$D,CCA_Defense!T:T)</f>
        <v>0.19573800863209587</v>
      </c>
      <c r="N11" s="260">
        <f>_xlfn.XLOOKUP($D11,CCA_Defense!$D:$D,CCA_Defense!U:U)</f>
        <v>0</v>
      </c>
      <c r="O11" s="246">
        <f>IFERROR(_xlfn.XLOOKUP($D11,BB_Input!$C$4:$C$163,BB_Input!$CY$4:$CY$163),"")</f>
        <v>7083.5</v>
      </c>
      <c r="P11" s="143">
        <f t="shared" ref="P11:T11" si="9">IFERROR(O11*(1+$M11),"")</f>
        <v>8470.0101841454507</v>
      </c>
      <c r="Q11" s="143">
        <f t="shared" si="9"/>
        <v>10127.913110683654</v>
      </c>
      <c r="R11" s="143">
        <f t="shared" si="9"/>
        <v>12110.330654567768</v>
      </c>
      <c r="S11" s="143">
        <f t="shared" si="9"/>
        <v>14480.782660769089</v>
      </c>
      <c r="T11" s="146">
        <f t="shared" si="9"/>
        <v>17315.222222222215</v>
      </c>
    </row>
    <row r="12" spans="2:20" x14ac:dyDescent="0.25">
      <c r="B12" s="272">
        <f t="shared" si="1"/>
        <v>10</v>
      </c>
      <c r="C12" s="150" t="s">
        <v>29</v>
      </c>
      <c r="D12" s="278" t="s">
        <v>28</v>
      </c>
      <c r="E12" s="271" t="s">
        <v>28</v>
      </c>
      <c r="F12" s="250">
        <f>_xlfn.XLOOKUP($D12,BB_Input!$C$4:$C$172,BB_Input!$G$4:$G$172)</f>
        <v>602.33536309504859</v>
      </c>
      <c r="G12" s="144">
        <f>_xlfn.XLOOKUP($D12,CCA_Defense!$D:$D,CCA_Defense!M:M)</f>
        <v>105</v>
      </c>
      <c r="H12" s="145">
        <f>_xlfn.XLOOKUP($D12,CCA_Defense!$D:$D,CCA_Defense!N:N)</f>
        <v>59.901787894112729</v>
      </c>
      <c r="I12" s="145">
        <f>_xlfn.XLOOKUP($D12,CCA_Defense!$D:$D,CCA_Defense!O:O)</f>
        <v>45.026847276111575</v>
      </c>
      <c r="J12" s="145" t="str">
        <f>_xlfn.XLOOKUP($D12,CCA_Defense!$D:$D,CCA_Defense!P:P)</f>
        <v/>
      </c>
      <c r="K12" s="145" t="str">
        <f>_xlfn.XLOOKUP($D12,CCA_Defense!$D:$D,CCA_Defense!Q:Q)</f>
        <v/>
      </c>
      <c r="L12" s="149" t="str">
        <f>_xlfn.XLOOKUP($D12,CCA_Defense!$D:$D,CCA_Defense!R:R)</f>
        <v/>
      </c>
      <c r="M12" s="259">
        <f>_xlfn.XLOOKUP($D12,CCA_Defense!$D:$D,CCA_Defense!T:T)</f>
        <v>0.10143232856742476</v>
      </c>
      <c r="N12" s="260">
        <f>_xlfn.XLOOKUP($D12,CCA_Defense!$D:$D,CCA_Defense!U:U)</f>
        <v>0</v>
      </c>
      <c r="O12" s="246">
        <f>IFERROR(_xlfn.XLOOKUP($D12,BB_Input!$C$4:$C$163,BB_Input!$CY$4:$CY$163),"")</f>
        <v>3646.6120000000001</v>
      </c>
      <c r="P12" s="143">
        <f t="shared" ref="P12:T12" si="10">IFERROR(O12*(1+$M12),"")</f>
        <v>4016.4963465419141</v>
      </c>
      <c r="Q12" s="143">
        <f t="shared" si="10"/>
        <v>4423.8989236542147</v>
      </c>
      <c r="R12" s="143">
        <f t="shared" si="10"/>
        <v>4872.6252928273861</v>
      </c>
      <c r="S12" s="143">
        <f t="shared" si="10"/>
        <v>5366.8670225153983</v>
      </c>
      <c r="T12" s="146">
        <f t="shared" si="10"/>
        <v>5911.2408417208571</v>
      </c>
    </row>
    <row r="13" spans="2:20" x14ac:dyDescent="0.25">
      <c r="B13" s="272">
        <f t="shared" si="1"/>
        <v>11</v>
      </c>
      <c r="C13" s="266" t="s">
        <v>31</v>
      </c>
      <c r="D13" s="278" t="s">
        <v>30</v>
      </c>
      <c r="E13" s="271" t="s">
        <v>30</v>
      </c>
      <c r="F13" s="250">
        <f>_xlfn.XLOOKUP($D13,BB_Input!$C$4:$C$172,BB_Input!$G$4:$G$172)</f>
        <v>1026.2887621778134</v>
      </c>
      <c r="G13" s="144">
        <f>_xlfn.XLOOKUP($D13,CCA_Defense!$D:$D,CCA_Defense!M:M)</f>
        <v>58.07</v>
      </c>
      <c r="H13" s="145">
        <f>_xlfn.XLOOKUP($D13,CCA_Defense!$D:$D,CCA_Defense!N:N)</f>
        <v>53.831009445320106</v>
      </c>
      <c r="I13" s="145">
        <f>_xlfn.XLOOKUP($D13,CCA_Defense!$D:$D,CCA_Defense!O:O)</f>
        <v>44.264575758915662</v>
      </c>
      <c r="J13" s="145">
        <f>_xlfn.XLOOKUP($D13,CCA_Defense!$D:$D,CCA_Defense!P:P)</f>
        <v>36.398215216585029</v>
      </c>
      <c r="K13" s="145">
        <f>_xlfn.XLOOKUP($D13,CCA_Defense!$D:$D,CCA_Defense!Q:Q)</f>
        <v>29.929803872253277</v>
      </c>
      <c r="L13" s="149">
        <f>_xlfn.XLOOKUP($D13,CCA_Defense!$D:$D,CCA_Defense!R:R)</f>
        <v>24.61090892784695</v>
      </c>
      <c r="M13" s="259">
        <f>_xlfn.XLOOKUP($D13,CCA_Defense!$D:$D,CCA_Defense!T:T)</f>
        <v>7.5507964882346193E-2</v>
      </c>
      <c r="N13" s="260">
        <f>_xlfn.XLOOKUP($D13,CCA_Defense!$D:$D,CCA_Defense!U:U)</f>
        <v>0.26</v>
      </c>
      <c r="O13" s="246">
        <f>IFERROR(_xlfn.XLOOKUP($D13,BB_Input!$C$4:$C$163,BB_Input!$CY$4:$CY$163),"")</f>
        <v>10511.791999999999</v>
      </c>
      <c r="P13" s="143">
        <f>IFERROR(O13*(1+$N13),"")</f>
        <v>13244.857919999999</v>
      </c>
      <c r="Q13" s="143">
        <f t="shared" ref="Q13:T14" si="11">IFERROR(P13*(1+$N13),"")</f>
        <v>16688.520979199999</v>
      </c>
      <c r="R13" s="143">
        <f t="shared" si="11"/>
        <v>21027.536433792</v>
      </c>
      <c r="S13" s="143">
        <f t="shared" si="11"/>
        <v>26494.695906577919</v>
      </c>
      <c r="T13" s="146">
        <f t="shared" si="11"/>
        <v>33383.316842288179</v>
      </c>
    </row>
    <row r="14" spans="2:20" x14ac:dyDescent="0.25">
      <c r="B14" s="272">
        <f t="shared" ref="B14:B45" si="12">B13+1</f>
        <v>12</v>
      </c>
      <c r="C14" s="150" t="s">
        <v>180</v>
      </c>
      <c r="D14" s="277" t="s">
        <v>421</v>
      </c>
      <c r="E14" s="271" t="s">
        <v>181</v>
      </c>
      <c r="F14" s="250">
        <f>_xlfn.XLOOKUP($D14,BB_Input!$C$4:$C$172,BB_Input!$G$4:$G$172)</f>
        <v>637.04538612548106</v>
      </c>
      <c r="G14" s="144">
        <f>_xlfn.XLOOKUP($D14,CCA_Defense!$D:$D,CCA_Defense!M:M)</f>
        <v>76.099999999999994</v>
      </c>
      <c r="H14" s="145">
        <f>_xlfn.XLOOKUP($D14,CCA_Defense!$D:$D,CCA_Defense!N:N)</f>
        <v>52.028001315409924</v>
      </c>
      <c r="I14" s="145">
        <f>_xlfn.XLOOKUP($D14,CCA_Defense!$D:$D,CCA_Defense!O:O)</f>
        <v>35.472710132855568</v>
      </c>
      <c r="J14" s="145">
        <f>_xlfn.XLOOKUP($D14,CCA_Defense!$D:$D,CCA_Defense!P:P)</f>
        <v>24.185306610978735</v>
      </c>
      <c r="K14" s="145">
        <f>_xlfn.XLOOKUP($D14,CCA_Defense!$D:$D,CCA_Defense!Q:Q)</f>
        <v>16.489550803316778</v>
      </c>
      <c r="L14" s="149">
        <f>_xlfn.XLOOKUP($D14,CCA_Defense!$D:$D,CCA_Defense!R:R)</f>
        <v>11.242581707512267</v>
      </c>
      <c r="M14" s="259">
        <f>_xlfn.XLOOKUP($D14,CCA_Defense!$D:$D,CCA_Defense!T:T)</f>
        <v>0.10881150248535115</v>
      </c>
      <c r="N14" s="260">
        <f>_xlfn.XLOOKUP($D14,CCA_Defense!$D:$D,CCA_Defense!U:U)</f>
        <v>0.54390000000000005</v>
      </c>
      <c r="O14" s="246">
        <f>IFERROR(_xlfn.XLOOKUP($D14,BB_Input!$C$4:$C$163,BB_Input!$CY$4:$CY$163),"")</f>
        <v>10307.236999999999</v>
      </c>
      <c r="P14" s="143">
        <f>IFERROR(O14*(1+$N14),"")</f>
        <v>15913.343204299999</v>
      </c>
      <c r="Q14" s="143">
        <f t="shared" si="11"/>
        <v>24568.610573118771</v>
      </c>
      <c r="R14" s="143">
        <f t="shared" si="11"/>
        <v>37931.477863838074</v>
      </c>
      <c r="S14" s="143">
        <f t="shared" si="11"/>
        <v>58562.408673979604</v>
      </c>
      <c r="T14" s="146">
        <f t="shared" si="11"/>
        <v>90414.502751757114</v>
      </c>
    </row>
    <row r="15" spans="2:20" x14ac:dyDescent="0.25">
      <c r="B15" s="272">
        <f t="shared" si="12"/>
        <v>13</v>
      </c>
      <c r="C15" s="265" t="s">
        <v>35</v>
      </c>
      <c r="D15" s="277" t="s">
        <v>34</v>
      </c>
      <c r="E15" s="271" t="s">
        <v>34</v>
      </c>
      <c r="F15" s="250">
        <f>_xlfn.XLOOKUP($D15,BB_Input!$C$4:$C$172,BB_Input!$G$4:$G$172)</f>
        <v>251.06425894065927</v>
      </c>
      <c r="G15" s="144">
        <f>_xlfn.XLOOKUP($D15,CCA_Defense!$D:$D,CCA_Defense!M:M)</f>
        <v>67.45</v>
      </c>
      <c r="H15" s="145">
        <f>_xlfn.XLOOKUP($D15,CCA_Defense!$D:$D,CCA_Defense!N:N)</f>
        <v>39.670589671415442</v>
      </c>
      <c r="I15" s="145">
        <f>_xlfn.XLOOKUP($D15,CCA_Defense!$D:$D,CCA_Defense!O:O)</f>
        <v>27.340541530299831</v>
      </c>
      <c r="J15" s="145">
        <f>_xlfn.XLOOKUP($D15,CCA_Defense!$D:$D,CCA_Defense!P:P)</f>
        <v>21.75483949722782</v>
      </c>
      <c r="K15" s="145" t="str">
        <f>_xlfn.XLOOKUP($D15,CCA_Defense!$D:$D,CCA_Defense!Q:Q)</f>
        <v/>
      </c>
      <c r="L15" s="149" t="str">
        <f>_xlfn.XLOOKUP($D15,CCA_Defense!$D:$D,CCA_Defense!R:R)</f>
        <v/>
      </c>
      <c r="M15" s="259">
        <f>_xlfn.XLOOKUP($D15,CCA_Defense!$D:$D,CCA_Defense!T:T)</f>
        <v>7.9915005883559653E-2</v>
      </c>
      <c r="N15" s="260">
        <f>_xlfn.XLOOKUP($D15,CCA_Defense!$D:$D,CCA_Defense!U:U)</f>
        <v>0</v>
      </c>
      <c r="O15" s="246">
        <f>IFERROR(_xlfn.XLOOKUP($D15,BB_Input!$C$4:$C$163,BB_Input!$CY$4:$CY$163),"")</f>
        <v>10836.71</v>
      </c>
      <c r="P15" s="143">
        <f t="shared" ref="P15:T15" si="13">IFERROR(O15*(1+$M15),"")</f>
        <v>11702.725743408428</v>
      </c>
      <c r="Q15" s="143">
        <f t="shared" si="13"/>
        <v>12637.949140046596</v>
      </c>
      <c r="R15" s="143">
        <f t="shared" si="13"/>
        <v>13647.910919929547</v>
      </c>
      <c r="S15" s="143">
        <f t="shared" si="13"/>
        <v>14738.583801394014</v>
      </c>
      <c r="T15" s="146">
        <f t="shared" si="13"/>
        <v>15916.417812597752</v>
      </c>
    </row>
    <row r="16" spans="2:20" x14ac:dyDescent="0.25">
      <c r="B16" s="272">
        <f t="shared" si="12"/>
        <v>14</v>
      </c>
      <c r="C16" s="267" t="s">
        <v>37</v>
      </c>
      <c r="D16" s="277" t="s">
        <v>36</v>
      </c>
      <c r="E16" s="279" t="s">
        <v>36</v>
      </c>
      <c r="F16" s="250">
        <f>_xlfn.XLOOKUP($D16,BB_Input!$C$4:$C$172,BB_Input!$G$4:$G$172)</f>
        <v>476.85876105258313</v>
      </c>
      <c r="G16" s="148">
        <f>_xlfn.XLOOKUP($D16,CCA_Defense!$D:$D,CCA_Defense!M:M)</f>
        <v>0</v>
      </c>
      <c r="H16" s="145">
        <f>_xlfn.XLOOKUP($D16,CCA_Defense!$D:$D,CCA_Defense!N:N)</f>
        <v>61.963867170181338</v>
      </c>
      <c r="I16" s="145">
        <f>_xlfn.XLOOKUP($D16,CCA_Defense!$D:$D,CCA_Defense!O:O)</f>
        <v>51.794235195473021</v>
      </c>
      <c r="J16" s="145">
        <f>_xlfn.XLOOKUP($D16,CCA_Defense!$D:$D,CCA_Defense!P:P)</f>
        <v>43.293663258882837</v>
      </c>
      <c r="K16" s="145">
        <f>_xlfn.XLOOKUP($D16,CCA_Defense!$D:$D,CCA_Defense!Q:Q)</f>
        <v>36.188221938208379</v>
      </c>
      <c r="L16" s="149">
        <f>_xlfn.XLOOKUP($D16,CCA_Defense!$D:$D,CCA_Defense!R:R)</f>
        <v>30.248939647774669</v>
      </c>
      <c r="M16" s="259">
        <f>_xlfn.XLOOKUP($D16,CCA_Defense!$D:$D,CCA_Defense!T:T)</f>
        <v>0.25927467693590334</v>
      </c>
      <c r="N16" s="260">
        <f>_xlfn.XLOOKUP($D16,CCA_Defense!$D:$D,CCA_Defense!U:U)</f>
        <v>0</v>
      </c>
      <c r="O16" s="246">
        <f>IFERROR(_xlfn.XLOOKUP($D16,BB_Input!$C$4:$C$163,BB_Input!$CY$4:$CY$163),"")</f>
        <v>2491.2620000000002</v>
      </c>
      <c r="P16" s="143">
        <f t="shared" ref="P16:T16" si="14">IFERROR(O16*(1+$M16),"")</f>
        <v>3137.1831502126925</v>
      </c>
      <c r="Q16" s="143">
        <f t="shared" si="14"/>
        <v>3950.5752979728477</v>
      </c>
      <c r="R16" s="143">
        <f t="shared" si="14"/>
        <v>4974.8594320657176</v>
      </c>
      <c r="S16" s="143">
        <f t="shared" si="14"/>
        <v>6264.7145041160884</v>
      </c>
      <c r="T16" s="146">
        <f t="shared" si="14"/>
        <v>7888.9963332664547</v>
      </c>
    </row>
    <row r="17" spans="2:20" x14ac:dyDescent="0.25">
      <c r="B17" s="272">
        <f t="shared" si="12"/>
        <v>15</v>
      </c>
      <c r="C17" s="150" t="s">
        <v>39</v>
      </c>
      <c r="D17" s="277" t="s">
        <v>38</v>
      </c>
      <c r="E17" s="271" t="s">
        <v>38</v>
      </c>
      <c r="F17" s="250">
        <f>_xlfn.XLOOKUP($D17,BB_Input!$C$4:$C$172,BB_Input!$G$4:$G$172)</f>
        <v>983.42850438325775</v>
      </c>
      <c r="G17" s="144">
        <f>_xlfn.XLOOKUP($D17,CCA_Defense!$D:$D,CCA_Defense!M:M)</f>
        <v>0</v>
      </c>
      <c r="H17" s="145">
        <f>_xlfn.XLOOKUP($D17,CCA_Defense!$D:$D,CCA_Defense!N:N)</f>
        <v>84.838709677419359</v>
      </c>
      <c r="I17" s="145">
        <f>_xlfn.XLOOKUP($D17,CCA_Defense!$D:$D,CCA_Defense!O:O)</f>
        <v>57.173913043478265</v>
      </c>
      <c r="J17" s="145">
        <f>_xlfn.XLOOKUP($D17,CCA_Defense!$D:$D,CCA_Defense!P:P)</f>
        <v>35.06666666666667</v>
      </c>
      <c r="K17" s="145" t="str">
        <f>_xlfn.XLOOKUP($D17,CCA_Defense!$D:$D,CCA_Defense!Q:Q)</f>
        <v/>
      </c>
      <c r="L17" s="149" t="str">
        <f>_xlfn.XLOOKUP($D17,CCA_Defense!$D:$D,CCA_Defense!R:R)</f>
        <v/>
      </c>
      <c r="M17" s="259">
        <f>_xlfn.XLOOKUP($D17,CCA_Defense!$D:$D,CCA_Defense!T:T)</f>
        <v>0.13611833235028162</v>
      </c>
      <c r="N17" s="260">
        <f>_xlfn.XLOOKUP($D17,CCA_Defense!$D:$D,CCA_Defense!U:U)</f>
        <v>0</v>
      </c>
      <c r="O17" s="246">
        <f>IFERROR(_xlfn.XLOOKUP($D17,BB_Input!$C$4:$C$163,BB_Input!$CY$4:$CY$163),"")</f>
        <v>5620.692</v>
      </c>
      <c r="P17" s="143">
        <f t="shared" ref="P17:T17" si="15">IFERROR(O17*(1+$M17),"")</f>
        <v>6385.7712216945692</v>
      </c>
      <c r="Q17" s="143">
        <f t="shared" si="15"/>
        <v>7254.9917511620552</v>
      </c>
      <c r="R17" s="143">
        <f t="shared" si="15"/>
        <v>8242.5291295452844</v>
      </c>
      <c r="S17" s="143">
        <f t="shared" si="15"/>
        <v>9364.4884490076074</v>
      </c>
      <c r="T17" s="146">
        <f t="shared" si="15"/>
        <v>10639.166999999999</v>
      </c>
    </row>
    <row r="18" spans="2:20" x14ac:dyDescent="0.25">
      <c r="B18" s="271">
        <f t="shared" si="12"/>
        <v>16</v>
      </c>
      <c r="C18" s="268" t="s">
        <v>40</v>
      </c>
      <c r="D18" s="278" t="s">
        <v>414</v>
      </c>
      <c r="E18" s="271" t="s">
        <v>109</v>
      </c>
      <c r="F18" s="250">
        <f>_xlfn.XLOOKUP($D18,BB_Input!$C$4:$C$172,BB_Input!$G$4:$G$172)</f>
        <v>31344.866794862148</v>
      </c>
      <c r="G18" s="144">
        <f>_xlfn.XLOOKUP($D18,CCA_Defense!$D:$D,CCA_Defense!M:M)</f>
        <v>105</v>
      </c>
      <c r="H18" s="145">
        <f>_xlfn.XLOOKUP($D18,CCA_Defense!$D:$D,CCA_Defense!N:N)</f>
        <v>66.283298742700055</v>
      </c>
      <c r="I18" s="145">
        <f>_xlfn.XLOOKUP($D18,CCA_Defense!$D:$D,CCA_Defense!O:O)</f>
        <v>52.057926875756309</v>
      </c>
      <c r="J18" s="145">
        <f>_xlfn.XLOOKUP($D18,CCA_Defense!$D:$D,CCA_Defense!P:P)</f>
        <v>46.357757602305512</v>
      </c>
      <c r="K18" s="145">
        <f>_xlfn.XLOOKUP($D18,CCA_Defense!$D:$D,CCA_Defense!Q:Q)</f>
        <v>50.407074524818576</v>
      </c>
      <c r="L18" s="149" t="str">
        <f>_xlfn.XLOOKUP($D18,CCA_Defense!$D:$D,CCA_Defense!R:R)</f>
        <v/>
      </c>
      <c r="M18" s="259">
        <f>_xlfn.XLOOKUP($D18,CCA_Defense!$D:$D,CCA_Defense!T:T)</f>
        <v>9.0495011157345845E-2</v>
      </c>
      <c r="N18" s="260">
        <f>_xlfn.XLOOKUP($D18,CCA_Defense!$D:$D,CCA_Defense!U:U)</f>
        <v>0</v>
      </c>
      <c r="O18" s="246">
        <f>IFERROR(_xlfn.XLOOKUP($D18,BB_Input!$C$4:$C$163,BB_Input!$CY$4:$CY$163),"")</f>
        <v>977110.8</v>
      </c>
      <c r="P18" s="143">
        <f t="shared" ref="P18:T18" si="16">IFERROR(O18*(1+$M18),"")</f>
        <v>1065534.4527479634</v>
      </c>
      <c r="Q18" s="143">
        <f t="shared" si="16"/>
        <v>1161960.0049379268</v>
      </c>
      <c r="R18" s="143">
        <f t="shared" si="16"/>
        <v>1267111.5885491741</v>
      </c>
      <c r="S18" s="143">
        <f t="shared" si="16"/>
        <v>1381778.8658925339</v>
      </c>
      <c r="T18" s="146">
        <f t="shared" si="16"/>
        <v>1506822.9597784635</v>
      </c>
    </row>
    <row r="19" spans="2:20" x14ac:dyDescent="0.25">
      <c r="B19" s="272">
        <f t="shared" si="12"/>
        <v>17</v>
      </c>
      <c r="C19" s="150" t="s">
        <v>104</v>
      </c>
      <c r="D19" s="277" t="s">
        <v>110</v>
      </c>
      <c r="E19" s="271" t="s">
        <v>110</v>
      </c>
      <c r="F19" s="250">
        <f>_xlfn.XLOOKUP($D19,BB_Input!$C$4:$C$172,BB_Input!$G$4:$G$172)</f>
        <v>183.75245428899439</v>
      </c>
      <c r="G19" s="144">
        <f>_xlfn.XLOOKUP($D19,CCA_Defense!$D:$D,CCA_Defense!M:M)</f>
        <v>59</v>
      </c>
      <c r="H19" s="145">
        <f>_xlfn.XLOOKUP($D19,CCA_Defense!$D:$D,CCA_Defense!N:N)</f>
        <v>44.785977228963084</v>
      </c>
      <c r="I19" s="145">
        <f>_xlfn.XLOOKUP($D19,CCA_Defense!$D:$D,CCA_Defense!O:O)</f>
        <v>32.741084482103304</v>
      </c>
      <c r="J19" s="145">
        <f>_xlfn.XLOOKUP($D19,CCA_Defense!$D:$D,CCA_Defense!P:P)</f>
        <v>23.965090652809675</v>
      </c>
      <c r="K19" s="145">
        <f>_xlfn.XLOOKUP($D19,CCA_Defense!$D:$D,CCA_Defense!Q:Q)</f>
        <v>17.854307451638356</v>
      </c>
      <c r="L19" s="149">
        <f>_xlfn.XLOOKUP($D19,CCA_Defense!$D:$D,CCA_Defense!R:R)</f>
        <v>13.527146102546062</v>
      </c>
      <c r="M19" s="259">
        <f>_xlfn.XLOOKUP($D19,CCA_Defense!$D:$D,CCA_Defense!T:T)</f>
        <v>1.0662907796143433</v>
      </c>
      <c r="N19" s="260">
        <f>_xlfn.XLOOKUP($D19,CCA_Defense!$D:$D,CCA_Defense!U:U)</f>
        <v>0</v>
      </c>
      <c r="O19" s="246">
        <f>IFERROR(_xlfn.XLOOKUP($D19,BB_Input!$C$4:$C$163,BB_Input!$CY$4:$CY$163),"")</f>
        <v>5073.1509999999998</v>
      </c>
      <c r="P19" s="143">
        <f t="shared" ref="P19:T19" si="17">IFERROR(O19*(1+$M19),"")</f>
        <v>10482.605134891284</v>
      </c>
      <c r="Q19" s="143">
        <f t="shared" si="17"/>
        <v>21660.11033656383</v>
      </c>
      <c r="R19" s="143">
        <f t="shared" si="17"/>
        <v>44756.086273871173</v>
      </c>
      <c r="S19" s="143">
        <f t="shared" si="17"/>
        <v>92479.088399324071</v>
      </c>
      <c r="T19" s="146">
        <f t="shared" si="17"/>
        <v>191088.68766666311</v>
      </c>
    </row>
    <row r="20" spans="2:20" x14ac:dyDescent="0.25">
      <c r="B20" s="273">
        <f t="shared" si="12"/>
        <v>18</v>
      </c>
      <c r="C20" s="265" t="s">
        <v>154</v>
      </c>
      <c r="D20" s="277" t="s">
        <v>157</v>
      </c>
      <c r="E20" s="279" t="s">
        <v>157</v>
      </c>
      <c r="F20" s="250">
        <f>_xlfn.XLOOKUP($D20,BB_Input!$C$4:$C$172,BB_Input!$G$4:$G$172)</f>
        <v>1191.4721106679779</v>
      </c>
      <c r="G20" s="148">
        <f>_xlfn.XLOOKUP($D20,CCA_Defense!$D:$D,CCA_Defense!M:M)</f>
        <v>108</v>
      </c>
      <c r="H20" s="145">
        <f>_xlfn.XLOOKUP($D20,CCA_Defense!$D:$D,CCA_Defense!N:N)</f>
        <v>84.32863542279388</v>
      </c>
      <c r="I20" s="145">
        <f>_xlfn.XLOOKUP($D20,CCA_Defense!$D:$D,CCA_Defense!O:O)</f>
        <v>55.772907025657339</v>
      </c>
      <c r="J20" s="145">
        <f>_xlfn.XLOOKUP($D20,CCA_Defense!$D:$D,CCA_Defense!P:P)</f>
        <v>36.886843270937391</v>
      </c>
      <c r="K20" s="145">
        <f>_xlfn.XLOOKUP($D20,CCA_Defense!$D:$D,CCA_Defense!Q:Q)</f>
        <v>24.396060364376581</v>
      </c>
      <c r="L20" s="149">
        <f>_xlfn.XLOOKUP($D20,CCA_Defense!$D:$D,CCA_Defense!R:R)</f>
        <v>16.134960558450118</v>
      </c>
      <c r="M20" s="259">
        <f>_xlfn.XLOOKUP($D20,CCA_Defense!$D:$D,CCA_Defense!T:T)</f>
        <v>0.18772564182493784</v>
      </c>
      <c r="N20" s="260">
        <f>_xlfn.XLOOKUP($D20,CCA_Defense!$D:$D,CCA_Defense!U:U)</f>
        <v>0.44</v>
      </c>
      <c r="O20" s="246">
        <f>IFERROR(_xlfn.XLOOKUP($D20,BB_Input!$C$4:$C$163,BB_Input!$CY$4:$CY$163),"")</f>
        <v>4437.9399999999996</v>
      </c>
      <c r="P20" s="143">
        <f>IFERROR(O20*(1+$N20),"")</f>
        <v>6390.6335999999992</v>
      </c>
      <c r="Q20" s="143">
        <f t="shared" ref="Q20:T20" si="18">IFERROR(P20*(1+$N20),"")</f>
        <v>9202.5123839999978</v>
      </c>
      <c r="R20" s="143">
        <f t="shared" si="18"/>
        <v>13251.617832959997</v>
      </c>
      <c r="S20" s="143">
        <f t="shared" si="18"/>
        <v>19082.329679462397</v>
      </c>
      <c r="T20" s="146">
        <f t="shared" si="18"/>
        <v>27478.55473842585</v>
      </c>
    </row>
    <row r="21" spans="2:20" x14ac:dyDescent="0.25">
      <c r="B21" s="272">
        <f t="shared" si="12"/>
        <v>19</v>
      </c>
      <c r="C21" s="265" t="s">
        <v>105</v>
      </c>
      <c r="D21" s="278" t="s">
        <v>415</v>
      </c>
      <c r="E21" s="271" t="s">
        <v>112</v>
      </c>
      <c r="F21" s="250">
        <f>_xlfn.XLOOKUP($D21,BB_Input!$C$4:$C$172,BB_Input!$G$4:$G$172)</f>
        <v>1399.8115236287513</v>
      </c>
      <c r="G21" s="144">
        <f>_xlfn.XLOOKUP($D21,CCA_Defense!$D:$D,CCA_Defense!M:M)</f>
        <v>61</v>
      </c>
      <c r="H21" s="145">
        <f>_xlfn.XLOOKUP($D21,CCA_Defense!$D:$D,CCA_Defense!N:N)</f>
        <v>46.506808441338045</v>
      </c>
      <c r="I21" s="145">
        <f>_xlfn.XLOOKUP($D21,CCA_Defense!$D:$D,CCA_Defense!O:O)</f>
        <v>30.078892804191884</v>
      </c>
      <c r="J21" s="145">
        <f>_xlfn.XLOOKUP($D21,CCA_Defense!$D:$D,CCA_Defense!P:P)</f>
        <v>23.192366577824885</v>
      </c>
      <c r="K21" s="145" t="str">
        <f>_xlfn.XLOOKUP($D21,CCA_Defense!$D:$D,CCA_Defense!Q:Q)</f>
        <v/>
      </c>
      <c r="L21" s="149" t="str">
        <f>_xlfn.XLOOKUP($D21,CCA_Defense!$D:$D,CCA_Defense!R:R)</f>
        <v/>
      </c>
      <c r="M21" s="259">
        <f>_xlfn.XLOOKUP($D21,CCA_Defense!$D:$D,CCA_Defense!T:T)</f>
        <v>0.39868041650340957</v>
      </c>
      <c r="N21" s="260">
        <f>_xlfn.XLOOKUP($D21,CCA_Defense!$D:$D,CCA_Defense!U:U)</f>
        <v>0</v>
      </c>
      <c r="O21" s="246">
        <f>IFERROR(_xlfn.XLOOKUP($D21,BB_Input!$C$4:$C$163,BB_Input!$CY$4:$CY$163),"")</f>
        <v>9736.4159999999993</v>
      </c>
      <c r="P21" s="143">
        <f t="shared" ref="P21:T21" si="19">IFERROR(O21*(1+$M21),"")</f>
        <v>13618.134386130461</v>
      </c>
      <c r="Q21" s="143">
        <f t="shared" si="19"/>
        <v>19047.417875192357</v>
      </c>
      <c r="R21" s="143">
        <f t="shared" si="19"/>
        <v>26641.250366988537</v>
      </c>
      <c r="S21" s="143">
        <f t="shared" si="19"/>
        <v>37262.595159471144</v>
      </c>
      <c r="T21" s="146">
        <f t="shared" si="19"/>
        <v>52118.462117647039</v>
      </c>
    </row>
    <row r="22" spans="2:20" x14ac:dyDescent="0.25">
      <c r="B22" s="272">
        <f t="shared" si="12"/>
        <v>20</v>
      </c>
      <c r="C22" s="150" t="s">
        <v>394</v>
      </c>
      <c r="D22" s="277" t="s">
        <v>401</v>
      </c>
      <c r="E22" s="271" t="s">
        <v>401</v>
      </c>
      <c r="F22" s="250">
        <f>_xlfn.XLOOKUP($D22,BB_Input!$C$4:$C$172,BB_Input!$G$4:$G$172)</f>
        <v>91.853864980894514</v>
      </c>
      <c r="G22" s="144">
        <f>_xlfn.XLOOKUP($D22,CCA_Defense!$D:$D,CCA_Defense!M:M)</f>
        <v>36</v>
      </c>
      <c r="H22" s="145">
        <f>_xlfn.XLOOKUP($D22,CCA_Defense!$D:$D,CCA_Defense!N:N)</f>
        <v>20.472867216503555</v>
      </c>
      <c r="I22" s="145">
        <f>_xlfn.XLOOKUP($D22,CCA_Defense!$D:$D,CCA_Defense!O:O)</f>
        <v>17.930853193332471</v>
      </c>
      <c r="J22" s="145">
        <f>_xlfn.XLOOKUP($D22,CCA_Defense!$D:$D,CCA_Defense!P:P)</f>
        <v>15.704468399114205</v>
      </c>
      <c r="K22" s="145">
        <f>_xlfn.XLOOKUP($D22,CCA_Defense!$D:$D,CCA_Defense!Q:Q)</f>
        <v>13.754522723463342</v>
      </c>
      <c r="L22" s="149">
        <f>_xlfn.XLOOKUP($D22,CCA_Defense!$D:$D,CCA_Defense!R:R)</f>
        <v>12.046692096941042</v>
      </c>
      <c r="M22" s="259" t="str">
        <f>_xlfn.XLOOKUP($D22,CCA_Defense!$D:$D,CCA_Defense!T:T)</f>
        <v/>
      </c>
      <c r="N22" s="260">
        <f>_xlfn.XLOOKUP($D22,CCA_Defense!$D:$D,CCA_Defense!U:U)</f>
        <v>0.44269999999999998</v>
      </c>
      <c r="O22" s="246">
        <f>IFERROR(_xlfn.XLOOKUP($D22,BB_Input!$C$4:$C$163,BB_Input!$CY$4:$CY$163),"")</f>
        <v>1151.1110000000001</v>
      </c>
      <c r="P22" s="143">
        <f>IFERROR(O22*(1+$N22),"")</f>
        <v>1660.7078397</v>
      </c>
      <c r="Q22" s="143">
        <f t="shared" ref="Q22:T22" si="20">IFERROR(P22*(1+$N22),"")</f>
        <v>2395.9032003351899</v>
      </c>
      <c r="R22" s="143">
        <f t="shared" si="20"/>
        <v>3456.5695471235781</v>
      </c>
      <c r="S22" s="143">
        <f t="shared" si="20"/>
        <v>4986.7928856351855</v>
      </c>
      <c r="T22" s="146">
        <f t="shared" si="20"/>
        <v>7194.4460961058812</v>
      </c>
    </row>
    <row r="23" spans="2:20" x14ac:dyDescent="0.25">
      <c r="B23" s="272">
        <f t="shared" si="12"/>
        <v>21</v>
      </c>
      <c r="C23" s="267" t="s">
        <v>33</v>
      </c>
      <c r="D23" s="278" t="s">
        <v>32</v>
      </c>
      <c r="E23" s="279" t="s">
        <v>32</v>
      </c>
      <c r="F23" s="250">
        <f>_xlfn.XLOOKUP($D23,BB_Input!$C$4:$C$172,BB_Input!$G$4:$G$172)</f>
        <v>393.71613215423162</v>
      </c>
      <c r="G23" s="148">
        <f>_xlfn.XLOOKUP($D23,CCA_Defense!$D:$D,CCA_Defense!M:M)</f>
        <v>0</v>
      </c>
      <c r="H23" s="145">
        <f>_xlfn.XLOOKUP($D23,CCA_Defense!$D:$D,CCA_Defense!N:N)</f>
        <v>65.524588829832652</v>
      </c>
      <c r="I23" s="145">
        <f>_xlfn.XLOOKUP($D23,CCA_Defense!$D:$D,CCA_Defense!O:O)</f>
        <v>35.955021756699772</v>
      </c>
      <c r="J23" s="145">
        <f>_xlfn.XLOOKUP($D23,CCA_Defense!$D:$D,CCA_Defense!P:P)</f>
        <v>22.949281829395932</v>
      </c>
      <c r="K23" s="145" t="str">
        <f>_xlfn.XLOOKUP($D23,CCA_Defense!$D:$D,CCA_Defense!Q:Q)</f>
        <v/>
      </c>
      <c r="L23" s="149" t="str">
        <f>_xlfn.XLOOKUP($D23,CCA_Defense!$D:$D,CCA_Defense!R:R)</f>
        <v/>
      </c>
      <c r="M23" s="259">
        <f>_xlfn.XLOOKUP($D23,CCA_Defense!$D:$D,CCA_Defense!T:T)</f>
        <v>7.2374263686593346E-2</v>
      </c>
      <c r="N23" s="260">
        <f>_xlfn.XLOOKUP($D23,CCA_Defense!$D:$D,CCA_Defense!U:U)</f>
        <v>0</v>
      </c>
      <c r="O23" s="246">
        <f>IFERROR(_xlfn.XLOOKUP($D23,BB_Input!$C$4:$C$163,BB_Input!$CY$4:$CY$163),"")</f>
        <v>11308.64</v>
      </c>
      <c r="P23" s="143">
        <f t="shared" ref="P23:T23" si="21">IFERROR(O23*(1+$M23),"")</f>
        <v>12127.094493296758</v>
      </c>
      <c r="Q23" s="143">
        <f t="shared" si="21"/>
        <v>13004.784027906851</v>
      </c>
      <c r="R23" s="143">
        <f t="shared" si="21"/>
        <v>13945.995696329779</v>
      </c>
      <c r="S23" s="143">
        <f t="shared" si="21"/>
        <v>14955.326866228048</v>
      </c>
      <c r="T23" s="146">
        <f t="shared" si="21"/>
        <v>16037.707636363632</v>
      </c>
    </row>
    <row r="24" spans="2:20" x14ac:dyDescent="0.25">
      <c r="B24" s="272">
        <f t="shared" si="12"/>
        <v>22</v>
      </c>
      <c r="C24" s="266" t="s">
        <v>108</v>
      </c>
      <c r="D24" s="278" t="s">
        <v>416</v>
      </c>
      <c r="E24" s="271" t="s">
        <v>115</v>
      </c>
      <c r="F24" s="250">
        <f>_xlfn.XLOOKUP($D24,BB_Input!$C$4:$C$172,BB_Input!$G$4:$G$172)</f>
        <v>231.34957797546713</v>
      </c>
      <c r="G24" s="144">
        <f>_xlfn.XLOOKUP($D24,CCA_Defense!$D:$D,CCA_Defense!M:M)</f>
        <v>0</v>
      </c>
      <c r="H24" s="145" t="str">
        <f>_xlfn.XLOOKUP($D24,CCA_Defense!$D:$D,CCA_Defense!N:N)</f>
        <v/>
      </c>
      <c r="I24" s="145" t="str">
        <f>_xlfn.XLOOKUP($D24,CCA_Defense!$D:$D,CCA_Defense!O:O)</f>
        <v/>
      </c>
      <c r="J24" s="145">
        <f>_xlfn.XLOOKUP($D24,CCA_Defense!$D:$D,CCA_Defense!P:P)</f>
        <v>27.268411390396164</v>
      </c>
      <c r="K24" s="145">
        <f>_xlfn.XLOOKUP($D24,CCA_Defense!$D:$D,CCA_Defense!Q:Q)</f>
        <v>33.792365467564089</v>
      </c>
      <c r="L24" s="149">
        <f>_xlfn.XLOOKUP($D24,CCA_Defense!$D:$D,CCA_Defense!R:R)</f>
        <v>25.126303418517423</v>
      </c>
      <c r="M24" s="259">
        <f>_xlfn.XLOOKUP($D24,CCA_Defense!$D:$D,CCA_Defense!T:T)</f>
        <v>0.25007157075047903</v>
      </c>
      <c r="N24" s="260">
        <f>_xlfn.XLOOKUP($D24,CCA_Defense!$D:$D,CCA_Defense!U:U)</f>
        <v>0.34489999999999998</v>
      </c>
      <c r="O24" s="246">
        <f>IFERROR(_xlfn.XLOOKUP($D24,BB_Input!$C$4:$C$163,BB_Input!$CY$4:$CY$163),"")</f>
        <v>1611.48</v>
      </c>
      <c r="P24" s="143">
        <f>IFERROR(O24*(1+$N24),"")</f>
        <v>2167.2794520000002</v>
      </c>
      <c r="Q24" s="143">
        <f t="shared" ref="Q24:T24" si="22">IFERROR(P24*(1+$N24),"")</f>
        <v>2914.7741349948001</v>
      </c>
      <c r="R24" s="143">
        <f t="shared" si="22"/>
        <v>3920.0797341545067</v>
      </c>
      <c r="S24" s="143">
        <f t="shared" si="22"/>
        <v>5272.1152344643961</v>
      </c>
      <c r="T24" s="146">
        <f t="shared" si="22"/>
        <v>7090.4677788311665</v>
      </c>
    </row>
    <row r="25" spans="2:20" x14ac:dyDescent="0.25">
      <c r="B25" s="272">
        <f t="shared" si="12"/>
        <v>23</v>
      </c>
      <c r="C25" s="150" t="s">
        <v>164</v>
      </c>
      <c r="D25" s="277" t="s">
        <v>418</v>
      </c>
      <c r="E25" s="271" t="s">
        <v>165</v>
      </c>
      <c r="F25" s="250">
        <f>_xlfn.XLOOKUP($D25,BB_Input!$C$4:$C$172,BB_Input!$G$4:$G$172)</f>
        <v>376.5270310091982</v>
      </c>
      <c r="G25" s="144">
        <f>_xlfn.XLOOKUP($D25,CCA_Defense!$D:$D,CCA_Defense!M:M)</f>
        <v>54.4</v>
      </c>
      <c r="H25" s="145">
        <f>_xlfn.XLOOKUP($D25,CCA_Defense!$D:$D,CCA_Defense!N:N)</f>
        <v>39.887601555182357</v>
      </c>
      <c r="I25" s="145">
        <f>_xlfn.XLOOKUP($D25,CCA_Defense!$D:$D,CCA_Defense!O:O)</f>
        <v>26.816751014075287</v>
      </c>
      <c r="J25" s="145">
        <f>_xlfn.XLOOKUP($D25,CCA_Defense!$D:$D,CCA_Defense!P:P)</f>
        <v>20.122066755560667</v>
      </c>
      <c r="K25" s="145">
        <f>_xlfn.XLOOKUP($D25,CCA_Defense!$D:$D,CCA_Defense!Q:Q)</f>
        <v>15.005285627326133</v>
      </c>
      <c r="L25" s="149" t="str">
        <f>_xlfn.XLOOKUP($D25,CCA_Defense!$D:$D,CCA_Defense!R:R)</f>
        <v/>
      </c>
      <c r="M25" s="259">
        <f>_xlfn.XLOOKUP($D25,CCA_Defense!$D:$D,CCA_Defense!T:T)</f>
        <v>0.16353388300369021</v>
      </c>
      <c r="N25" s="260">
        <f>_xlfn.XLOOKUP($D25,CCA_Defense!$D:$D,CCA_Defense!U:U)</f>
        <v>0</v>
      </c>
      <c r="O25" s="246">
        <f>IFERROR(_xlfn.XLOOKUP($D25,BB_Input!$C$4:$C$163,BB_Input!$CY$4:$CY$163),"")</f>
        <v>15196.26</v>
      </c>
      <c r="P25" s="143">
        <f t="shared" ref="P25:T25" si="23">IFERROR(O25*(1+$M25),"")</f>
        <v>17681.363404933658</v>
      </c>
      <c r="Q25" s="143">
        <f t="shared" si="23"/>
        <v>20572.865419341812</v>
      </c>
      <c r="R25" s="143">
        <f t="shared" si="23"/>
        <v>23937.225985879122</v>
      </c>
      <c r="S25" s="143">
        <f t="shared" si="23"/>
        <v>27851.773499686773</v>
      </c>
      <c r="T25" s="146">
        <f t="shared" si="23"/>
        <v>32406.482168629831</v>
      </c>
    </row>
    <row r="26" spans="2:20" x14ac:dyDescent="0.25">
      <c r="B26" s="272">
        <f t="shared" si="12"/>
        <v>24</v>
      </c>
      <c r="C26" s="150" t="s">
        <v>155</v>
      </c>
      <c r="D26" s="278" t="s">
        <v>417</v>
      </c>
      <c r="E26" s="271" t="s">
        <v>158</v>
      </c>
      <c r="F26" s="250">
        <f>_xlfn.XLOOKUP($D26,BB_Input!$C$4:$C$172,BB_Input!$G$4:$G$172)</f>
        <v>288.03437059694005</v>
      </c>
      <c r="G26" s="144">
        <f>_xlfn.XLOOKUP($D26,CCA_Defense!$D:$D,CCA_Defense!M:M)</f>
        <v>100</v>
      </c>
      <c r="H26" s="145">
        <f>_xlfn.XLOOKUP($D26,CCA_Defense!$D:$D,CCA_Defense!N:N)</f>
        <v>78.98918379149201</v>
      </c>
      <c r="I26" s="145">
        <f>_xlfn.XLOOKUP($D26,CCA_Defense!$D:$D,CCA_Defense!O:O)</f>
        <v>51.417814303735796</v>
      </c>
      <c r="J26" s="145">
        <f>_xlfn.XLOOKUP($D26,CCA_Defense!$D:$D,CCA_Defense!P:P)</f>
        <v>33.470299360888234</v>
      </c>
      <c r="K26" s="145">
        <f>_xlfn.XLOOKUP($D26,CCA_Defense!$D:$D,CCA_Defense!Q:Q)</f>
        <v>21.787408789682495</v>
      </c>
      <c r="L26" s="149">
        <f>_xlfn.XLOOKUP($D26,CCA_Defense!$D:$D,CCA_Defense!R:R)</f>
        <v>14.182459996860226</v>
      </c>
      <c r="M26" s="259">
        <f>_xlfn.XLOOKUP($D26,CCA_Defense!$D:$D,CCA_Defense!T:T)</f>
        <v>0.67027765233480996</v>
      </c>
      <c r="N26" s="260">
        <f>_xlfn.XLOOKUP($D26,CCA_Defense!$D:$D,CCA_Defense!U:U)</f>
        <v>0</v>
      </c>
      <c r="O26" s="246">
        <f>IFERROR(_xlfn.XLOOKUP($D26,BB_Input!$C$4:$C$163,BB_Input!$CY$4:$CY$163),"")</f>
        <v>806.39800000000002</v>
      </c>
      <c r="P26" s="143">
        <f t="shared" ref="P26:T26" si="24">IFERROR(O26*(1+$M26),"")</f>
        <v>1346.9085582874861</v>
      </c>
      <c r="Q26" s="143">
        <f t="shared" si="24"/>
        <v>2249.711264646086</v>
      </c>
      <c r="R26" s="143">
        <f t="shared" si="24"/>
        <v>3757.6424495442407</v>
      </c>
      <c r="S26" s="143">
        <f t="shared" si="24"/>
        <v>6276.3062089383793</v>
      </c>
      <c r="T26" s="146">
        <f t="shared" si="24"/>
        <v>10483.173999999988</v>
      </c>
    </row>
    <row r="27" spans="2:20" x14ac:dyDescent="0.25">
      <c r="B27" s="272">
        <f t="shared" si="12"/>
        <v>25</v>
      </c>
      <c r="C27" s="265" t="s">
        <v>156</v>
      </c>
      <c r="D27" s="277" t="s">
        <v>159</v>
      </c>
      <c r="E27" s="271" t="s">
        <v>159</v>
      </c>
      <c r="F27" s="250">
        <f>_xlfn.XLOOKUP($D27,BB_Input!$C$4:$C$172,BB_Input!$G$4:$G$172)</f>
        <v>213.04635563888289</v>
      </c>
      <c r="G27" s="144">
        <f>_xlfn.XLOOKUP($D27,CCA_Defense!$D:$D,CCA_Defense!M:M)</f>
        <v>82</v>
      </c>
      <c r="H27" s="145">
        <f>_xlfn.XLOOKUP($D27,CCA_Defense!$D:$D,CCA_Defense!N:N)</f>
        <v>73.677848188511703</v>
      </c>
      <c r="I27" s="145">
        <f>_xlfn.XLOOKUP($D27,CCA_Defense!$D:$D,CCA_Defense!O:O)</f>
        <v>69.220968718685512</v>
      </c>
      <c r="J27" s="145">
        <f>_xlfn.XLOOKUP($D27,CCA_Defense!$D:$D,CCA_Defense!P:P)</f>
        <v>66.946447982924141</v>
      </c>
      <c r="K27" s="145">
        <f>_xlfn.XLOOKUP($D27,CCA_Defense!$D:$D,CCA_Defense!Q:Q)</f>
        <v>64.746665360095463</v>
      </c>
      <c r="L27" s="149">
        <f>_xlfn.XLOOKUP($D27,CCA_Defense!$D:$D,CCA_Defense!R:R)</f>
        <v>60.879743791324067</v>
      </c>
      <c r="M27" s="259">
        <f>_xlfn.XLOOKUP($D27,CCA_Defense!$D:$D,CCA_Defense!T:T)</f>
        <v>3.3975226532429875E-2</v>
      </c>
      <c r="N27" s="260">
        <f>_xlfn.XLOOKUP($D27,CCA_Defense!$D:$D,CCA_Defense!U:U)</f>
        <v>0</v>
      </c>
      <c r="O27" s="246">
        <f>IFERROR(_xlfn.XLOOKUP($D27,BB_Input!$C$4:$C$163,BB_Input!$CY$4:$CY$163),"")</f>
        <v>1476.605</v>
      </c>
      <c r="P27" s="143">
        <f t="shared" ref="P27:T27" si="25">IFERROR(O27*(1+$M27),"")</f>
        <v>1526.7729893739186</v>
      </c>
      <c r="Q27" s="143">
        <f t="shared" si="25"/>
        <v>1578.6454475514925</v>
      </c>
      <c r="R27" s="143">
        <f t="shared" si="25"/>
        <v>1632.2802842464434</v>
      </c>
      <c r="S27" s="143">
        <f t="shared" si="25"/>
        <v>1687.7373766681353</v>
      </c>
      <c r="T27" s="146">
        <f t="shared" si="25"/>
        <v>1745.0786363676839</v>
      </c>
    </row>
    <row r="28" spans="2:20" x14ac:dyDescent="0.25">
      <c r="B28" s="272">
        <f t="shared" si="12"/>
        <v>26</v>
      </c>
      <c r="C28" s="150" t="s">
        <v>293</v>
      </c>
      <c r="D28" s="278" t="s">
        <v>426</v>
      </c>
      <c r="E28" s="271" t="s">
        <v>319</v>
      </c>
      <c r="F28" s="250">
        <f>_xlfn.XLOOKUP($D28,BB_Input!$C$4:$C$172,BB_Input!$G$4:$G$172)</f>
        <v>731.76171309599408</v>
      </c>
      <c r="G28" s="144">
        <f>_xlfn.XLOOKUP($D28,CCA_Defense!$D:$D,CCA_Defense!M:M)</f>
        <v>113</v>
      </c>
      <c r="H28" s="145">
        <f>_xlfn.XLOOKUP($D28,CCA_Defense!$D:$D,CCA_Defense!N:N)</f>
        <v>124.1527599486521</v>
      </c>
      <c r="I28" s="145">
        <f>_xlfn.XLOOKUP($D28,CCA_Defense!$D:$D,CCA_Defense!O:O)</f>
        <v>68.013361462728554</v>
      </c>
      <c r="J28" s="145">
        <f>_xlfn.XLOOKUP($D28,CCA_Defense!$D:$D,CCA_Defense!P:P)</f>
        <v>48.576092415871422</v>
      </c>
      <c r="K28" s="145">
        <f>_xlfn.XLOOKUP($D28,CCA_Defense!$D:$D,CCA_Defense!Q:Q)</f>
        <v>25.326681855081571</v>
      </c>
      <c r="L28" s="149" t="str">
        <f>_xlfn.XLOOKUP($D28,CCA_Defense!$D:$D,CCA_Defense!R:R)</f>
        <v/>
      </c>
      <c r="M28" s="259">
        <f>_xlfn.XLOOKUP($D28,CCA_Defense!$D:$D,CCA_Defense!T:T)</f>
        <v>2.2702436309467392E-2</v>
      </c>
      <c r="N28" s="260">
        <f>_xlfn.XLOOKUP($D28,CCA_Defense!$D:$D,CCA_Defense!U:U)</f>
        <v>0</v>
      </c>
      <c r="O28" s="246">
        <f>IFERROR(_xlfn.XLOOKUP($D28,BB_Input!$C$4:$C$163,BB_Input!$CY$4:$CY$163),"")</f>
        <v>14038</v>
      </c>
      <c r="P28" s="143">
        <f t="shared" ref="P28:T28" si="26">IFERROR(O28*(1+$M28),"")</f>
        <v>14356.696800912305</v>
      </c>
      <c r="Q28" s="143">
        <f t="shared" si="26"/>
        <v>14682.628795649351</v>
      </c>
      <c r="R28" s="143">
        <f t="shared" si="26"/>
        <v>15015.960240738134</v>
      </c>
      <c r="S28" s="143">
        <f t="shared" si="26"/>
        <v>15356.859121728987</v>
      </c>
      <c r="T28" s="146">
        <f t="shared" si="26"/>
        <v>15705.497237853504</v>
      </c>
    </row>
    <row r="29" spans="2:20" x14ac:dyDescent="0.25">
      <c r="B29" s="273">
        <f t="shared" si="12"/>
        <v>27</v>
      </c>
      <c r="C29" s="264" t="s">
        <v>167</v>
      </c>
      <c r="D29" s="277" t="s">
        <v>169</v>
      </c>
      <c r="E29" s="279" t="s">
        <v>169</v>
      </c>
      <c r="F29" s="250">
        <f>_xlfn.XLOOKUP($D29,BB_Input!$C$4:$C$172,BB_Input!$G$4:$G$172)</f>
        <v>3075.7584726666423</v>
      </c>
      <c r="G29" s="148">
        <f>_xlfn.XLOOKUP($D29,CCA_Defense!$D:$D,CCA_Defense!M:M)</f>
        <v>146</v>
      </c>
      <c r="H29" s="145">
        <f>_xlfn.XLOOKUP($D29,CCA_Defense!$D:$D,CCA_Defense!N:N)</f>
        <v>58.586448959396357</v>
      </c>
      <c r="I29" s="145">
        <f>_xlfn.XLOOKUP($D29,CCA_Defense!$D:$D,CCA_Defense!O:O)</f>
        <v>42.162059910090356</v>
      </c>
      <c r="J29" s="145">
        <f>_xlfn.XLOOKUP($D29,CCA_Defense!$D:$D,CCA_Defense!P:P)</f>
        <v>30.930775510204079</v>
      </c>
      <c r="K29" s="145">
        <f>_xlfn.XLOOKUP($D29,CCA_Defense!$D:$D,CCA_Defense!Q:Q)</f>
        <v>20.724358732435118</v>
      </c>
      <c r="L29" s="149" t="str">
        <f>_xlfn.XLOOKUP($D29,CCA_Defense!$D:$D,CCA_Defense!R:R)</f>
        <v/>
      </c>
      <c r="M29" s="259">
        <f>_xlfn.XLOOKUP($D29,CCA_Defense!$D:$D,CCA_Defense!T:T)</f>
        <v>0.27657456967336425</v>
      </c>
      <c r="N29" s="260">
        <f>_xlfn.XLOOKUP($D29,CCA_Defense!$D:$D,CCA_Defense!U:U)</f>
        <v>0</v>
      </c>
      <c r="O29" s="246">
        <f>IFERROR(_xlfn.XLOOKUP($D29,BB_Input!$C$4:$C$163,BB_Input!$CY$4:$CY$163),"")</f>
        <v>27217.52</v>
      </c>
      <c r="P29" s="143">
        <f t="shared" ref="P29:T29" si="27">IFERROR(O29*(1+$M29),"")</f>
        <v>34745.193881576182</v>
      </c>
      <c r="Q29" s="143">
        <f t="shared" si="27"/>
        <v>44354.830927590716</v>
      </c>
      <c r="R29" s="143">
        <f t="shared" si="27"/>
        <v>56622.24920432394</v>
      </c>
      <c r="S29" s="143">
        <f t="shared" si="27"/>
        <v>72282.523411947812</v>
      </c>
      <c r="T29" s="146">
        <f t="shared" si="27"/>
        <v>92274.031219512151</v>
      </c>
    </row>
    <row r="30" spans="2:20" x14ac:dyDescent="0.25">
      <c r="B30" s="272">
        <f t="shared" si="12"/>
        <v>28</v>
      </c>
      <c r="C30" s="150" t="s">
        <v>168</v>
      </c>
      <c r="D30" s="277" t="s">
        <v>170</v>
      </c>
      <c r="E30" s="271" t="s">
        <v>170</v>
      </c>
      <c r="F30" s="250">
        <f>_xlfn.XLOOKUP($D30,BB_Input!$C$4:$C$172,BB_Input!$G$4:$G$172)</f>
        <v>1576.5101248916276</v>
      </c>
      <c r="G30" s="144">
        <f>_xlfn.XLOOKUP($D30,CCA_Defense!$D:$D,CCA_Defense!M:M)</f>
        <v>62</v>
      </c>
      <c r="H30" s="145">
        <f>_xlfn.XLOOKUP($D30,CCA_Defense!$D:$D,CCA_Defense!N:N)</f>
        <v>52.869448605837071</v>
      </c>
      <c r="I30" s="145">
        <f>_xlfn.XLOOKUP($D30,CCA_Defense!$D:$D,CCA_Defense!O:O)</f>
        <v>36.643396627815598</v>
      </c>
      <c r="J30" s="145">
        <f>_xlfn.XLOOKUP($D30,CCA_Defense!$D:$D,CCA_Defense!P:P)</f>
        <v>27.262701941759616</v>
      </c>
      <c r="K30" s="145">
        <f>_xlfn.XLOOKUP($D30,CCA_Defense!$D:$D,CCA_Defense!Q:Q)</f>
        <v>19.449008151858834</v>
      </c>
      <c r="L30" s="149" t="str">
        <f>_xlfn.XLOOKUP($D30,CCA_Defense!$D:$D,CCA_Defense!R:R)</f>
        <v/>
      </c>
      <c r="M30" s="259">
        <f>_xlfn.XLOOKUP($D30,CCA_Defense!$D:$D,CCA_Defense!T:T)</f>
        <v>0.30068266737640675</v>
      </c>
      <c r="N30" s="260">
        <f>_xlfn.XLOOKUP($D30,CCA_Defense!$D:$D,CCA_Defense!U:U)</f>
        <v>0</v>
      </c>
      <c r="O30" s="246">
        <f>IFERROR(_xlfn.XLOOKUP($D30,BB_Input!$C$4:$C$163,BB_Input!$CY$4:$CY$163),"")</f>
        <v>37159.89</v>
      </c>
      <c r="P30" s="143">
        <f t="shared" ref="P30:T30" si="28">IFERROR(O30*(1+$M30),"")</f>
        <v>48333.224844613862</v>
      </c>
      <c r="Q30" s="143">
        <f t="shared" si="28"/>
        <v>62866.187813795965</v>
      </c>
      <c r="R30" s="143">
        <f t="shared" si="28"/>
        <v>81768.960853434284</v>
      </c>
      <c r="S30" s="143">
        <f t="shared" si="28"/>
        <v>106355.47011144189</v>
      </c>
      <c r="T30" s="146">
        <f t="shared" si="28"/>
        <v>138334.71655462193</v>
      </c>
    </row>
    <row r="31" spans="2:20" x14ac:dyDescent="0.25">
      <c r="B31" s="272">
        <f t="shared" si="12"/>
        <v>29</v>
      </c>
      <c r="C31" s="150" t="s">
        <v>172</v>
      </c>
      <c r="D31" s="277" t="s">
        <v>419</v>
      </c>
      <c r="E31" s="271" t="s">
        <v>173</v>
      </c>
      <c r="F31" s="250">
        <f>_xlfn.XLOOKUP($D31,BB_Input!$C$4:$C$172,BB_Input!$G$4:$G$172)</f>
        <v>12586.447987215897</v>
      </c>
      <c r="G31" s="144">
        <f>_xlfn.XLOOKUP($D31,CCA_Defense!$D:$D,CCA_Defense!M:M)</f>
        <v>108</v>
      </c>
      <c r="H31" s="145">
        <f>_xlfn.XLOOKUP($D31,CCA_Defense!$D:$D,CCA_Defense!N:N)</f>
        <v>66.813535739131979</v>
      </c>
      <c r="I31" s="145">
        <f>_xlfn.XLOOKUP($D31,CCA_Defense!$D:$D,CCA_Defense!O:O)</f>
        <v>52.0712170572452</v>
      </c>
      <c r="J31" s="145">
        <f>_xlfn.XLOOKUP($D31,CCA_Defense!$D:$D,CCA_Defense!P:P)</f>
        <v>43.450835040827592</v>
      </c>
      <c r="K31" s="145">
        <f>_xlfn.XLOOKUP($D31,CCA_Defense!$D:$D,CCA_Defense!Q:Q)</f>
        <v>34.141872675563334</v>
      </c>
      <c r="L31" s="149" t="str">
        <f>_xlfn.XLOOKUP($D31,CCA_Defense!$D:$D,CCA_Defense!R:R)</f>
        <v/>
      </c>
      <c r="M31" s="259">
        <f>_xlfn.XLOOKUP($D31,CCA_Defense!$D:$D,CCA_Defense!T:T)</f>
        <v>0.12104298558703531</v>
      </c>
      <c r="N31" s="260">
        <f>_xlfn.XLOOKUP($D31,CCA_Defense!$D:$D,CCA_Defense!U:U)</f>
        <v>0</v>
      </c>
      <c r="O31" s="246">
        <f>IFERROR(_xlfn.XLOOKUP($D31,BB_Input!$C$4:$C$163,BB_Input!$CY$4:$CY$163),"")</f>
        <v>75402.600000000006</v>
      </c>
      <c r="P31" s="143">
        <f t="shared" ref="P31:T31" si="29">IFERROR(O31*(1+$M31),"")</f>
        <v>84529.555825025003</v>
      </c>
      <c r="Q31" s="143">
        <f t="shared" si="29"/>
        <v>94761.265632432012</v>
      </c>
      <c r="R31" s="143">
        <f t="shared" si="29"/>
        <v>106231.45214258772</v>
      </c>
      <c r="S31" s="143">
        <f t="shared" si="29"/>
        <v>119090.02427317281</v>
      </c>
      <c r="T31" s="146">
        <f t="shared" si="29"/>
        <v>133505.03636483016</v>
      </c>
    </row>
    <row r="32" spans="2:20" x14ac:dyDescent="0.25">
      <c r="B32" s="272">
        <f t="shared" si="12"/>
        <v>30</v>
      </c>
      <c r="C32" s="150" t="s">
        <v>174</v>
      </c>
      <c r="D32" s="278" t="s">
        <v>420</v>
      </c>
      <c r="E32" s="271" t="s">
        <v>175</v>
      </c>
      <c r="F32" s="250">
        <f>_xlfn.XLOOKUP($D32,BB_Input!$C$4:$C$172,BB_Input!$G$4:$G$172)</f>
        <v>7725.7373042171575</v>
      </c>
      <c r="G32" s="144">
        <f>_xlfn.XLOOKUP($D32,CCA_Defense!$D:$D,CCA_Defense!M:M)</f>
        <v>58</v>
      </c>
      <c r="H32" s="145">
        <f>_xlfn.XLOOKUP($D32,CCA_Defense!$D:$D,CCA_Defense!N:N)</f>
        <v>54.214165576527755</v>
      </c>
      <c r="I32" s="145">
        <f>_xlfn.XLOOKUP($D32,CCA_Defense!$D:$D,CCA_Defense!O:O)</f>
        <v>40.967009570157629</v>
      </c>
      <c r="J32" s="145">
        <f>_xlfn.XLOOKUP($D32,CCA_Defense!$D:$D,CCA_Defense!P:P)</f>
        <v>34.129732985722214</v>
      </c>
      <c r="K32" s="145">
        <f>_xlfn.XLOOKUP($D32,CCA_Defense!$D:$D,CCA_Defense!Q:Q)</f>
        <v>25.76490963186642</v>
      </c>
      <c r="L32" s="149" t="str">
        <f>_xlfn.XLOOKUP($D32,CCA_Defense!$D:$D,CCA_Defense!R:R)</f>
        <v/>
      </c>
      <c r="M32" s="259">
        <f>_xlfn.XLOOKUP($D32,CCA_Defense!$D:$D,CCA_Defense!T:T)</f>
        <v>7.6451951619749839E-2</v>
      </c>
      <c r="N32" s="260">
        <f>_xlfn.XLOOKUP($D32,CCA_Defense!$D:$D,CCA_Defense!U:U)</f>
        <v>0</v>
      </c>
      <c r="O32" s="246">
        <f>IFERROR(_xlfn.XLOOKUP($D32,BB_Input!$C$4:$C$163,BB_Input!$CY$4:$CY$163),"")</f>
        <v>151228.03</v>
      </c>
      <c r="P32" s="143">
        <f t="shared" ref="P32:T32" si="30">IFERROR(O32*(1+$M32),"")</f>
        <v>162789.7080331101</v>
      </c>
      <c r="Q32" s="143">
        <f t="shared" si="30"/>
        <v>175235.29891585067</v>
      </c>
      <c r="R32" s="143">
        <f t="shared" si="30"/>
        <v>188632.37951063769</v>
      </c>
      <c r="S32" s="143">
        <f t="shared" si="30"/>
        <v>203053.69306290327</v>
      </c>
      <c r="T32" s="146">
        <f t="shared" si="30"/>
        <v>218577.5441811599</v>
      </c>
    </row>
    <row r="33" spans="2:20" x14ac:dyDescent="0.25">
      <c r="B33" s="271">
        <f t="shared" si="12"/>
        <v>31</v>
      </c>
      <c r="C33" s="268" t="s">
        <v>176</v>
      </c>
      <c r="D33" s="277" t="s">
        <v>177</v>
      </c>
      <c r="E33" s="271" t="s">
        <v>177</v>
      </c>
      <c r="F33" s="250">
        <f>_xlfn.XLOOKUP($D33,BB_Input!$C$4:$C$172,BB_Input!$G$4:$G$172)</f>
        <v>62121.340185833091</v>
      </c>
      <c r="G33" s="144">
        <f>_xlfn.XLOOKUP($D33,CCA_Defense!$D:$D,CCA_Defense!M:M)</f>
        <v>33</v>
      </c>
      <c r="H33" s="145">
        <f>_xlfn.XLOOKUP($D33,CCA_Defense!$D:$D,CCA_Defense!N:N)</f>
        <v>30.839424932853397</v>
      </c>
      <c r="I33" s="145">
        <f>_xlfn.XLOOKUP($D33,CCA_Defense!$D:$D,CCA_Defense!O:O)</f>
        <v>25.364498162902628</v>
      </c>
      <c r="J33" s="145">
        <f>_xlfn.XLOOKUP($D33,CCA_Defense!$D:$D,CCA_Defense!P:P)</f>
        <v>21.507314690410549</v>
      </c>
      <c r="K33" s="145">
        <f>_xlfn.XLOOKUP($D33,CCA_Defense!$D:$D,CCA_Defense!Q:Q)</f>
        <v>18.582136183072041</v>
      </c>
      <c r="L33" s="149" t="str">
        <f>_xlfn.XLOOKUP($D33,CCA_Defense!$D:$D,CCA_Defense!R:R)</f>
        <v/>
      </c>
      <c r="M33" s="259">
        <f>_xlfn.XLOOKUP($D33,CCA_Defense!$D:$D,CCA_Defense!T:T)</f>
        <v>0.10317480970002654</v>
      </c>
      <c r="N33" s="260">
        <f>_xlfn.XLOOKUP($D33,CCA_Defense!$D:$D,CCA_Defense!U:U)</f>
        <v>0</v>
      </c>
      <c r="O33" s="246">
        <f>IFERROR(_xlfn.XLOOKUP($D33,BB_Input!$C$4:$C$163,BB_Input!$CY$4:$CY$163),"")</f>
        <v>2542086.5</v>
      </c>
      <c r="P33" s="143">
        <f t="shared" ref="P33:T33" si="31">IFERROR(O33*(1+$M33),"")</f>
        <v>2804365.7908785064</v>
      </c>
      <c r="Q33" s="143">
        <f t="shared" si="31"/>
        <v>3093705.6976816603</v>
      </c>
      <c r="R33" s="143">
        <f t="shared" si="31"/>
        <v>3412898.194307853</v>
      </c>
      <c r="S33" s="143">
        <f t="shared" si="31"/>
        <v>3765023.3160311296</v>
      </c>
      <c r="T33" s="146">
        <f t="shared" si="31"/>
        <v>4153478.880178804</v>
      </c>
    </row>
    <row r="34" spans="2:20" x14ac:dyDescent="0.25">
      <c r="B34" s="272">
        <f t="shared" si="12"/>
        <v>32</v>
      </c>
      <c r="C34" s="150" t="s">
        <v>178</v>
      </c>
      <c r="D34" s="277" t="s">
        <v>179</v>
      </c>
      <c r="E34" s="271" t="s">
        <v>179</v>
      </c>
      <c r="F34" s="250">
        <f>_xlfn.XLOOKUP($D34,BB_Input!$C$4:$C$172,BB_Input!$G$4:$G$172)</f>
        <v>10792.140731948568</v>
      </c>
      <c r="G34" s="144">
        <f>_xlfn.XLOOKUP($D34,CCA_Defense!$D:$D,CCA_Defense!M:M)</f>
        <v>156</v>
      </c>
      <c r="H34" s="145">
        <f>_xlfn.XLOOKUP($D34,CCA_Defense!$D:$D,CCA_Defense!N:N)</f>
        <v>55.684550081471421</v>
      </c>
      <c r="I34" s="145">
        <f>_xlfn.XLOOKUP($D34,CCA_Defense!$D:$D,CCA_Defense!O:O)</f>
        <v>31.449243975472672</v>
      </c>
      <c r="J34" s="145">
        <f>_xlfn.XLOOKUP($D34,CCA_Defense!$D:$D,CCA_Defense!P:P)</f>
        <v>22.968009263738388</v>
      </c>
      <c r="K34" s="145" t="str">
        <f>_xlfn.XLOOKUP($D34,CCA_Defense!$D:$D,CCA_Defense!Q:Q)</f>
        <v/>
      </c>
      <c r="L34" s="149" t="str">
        <f>_xlfn.XLOOKUP($D34,CCA_Defense!$D:$D,CCA_Defense!R:R)</f>
        <v/>
      </c>
      <c r="M34" s="259">
        <f>_xlfn.XLOOKUP($D34,CCA_Defense!$D:$D,CCA_Defense!T:T)</f>
        <v>5.4167392244909456E-2</v>
      </c>
      <c r="N34" s="260">
        <f>_xlfn.XLOOKUP($D34,CCA_Defense!$D:$D,CCA_Defense!U:U)</f>
        <v>0</v>
      </c>
      <c r="O34" s="246">
        <f>IFERROR(_xlfn.XLOOKUP($D34,BB_Input!$C$4:$C$163,BB_Input!$CY$4:$CY$163),"")</f>
        <v>273551.7</v>
      </c>
      <c r="P34" s="143">
        <f t="shared" ref="P34:T34" si="32">IFERROR(O34*(1+$M34),"")</f>
        <v>288369.28223316185</v>
      </c>
      <c r="Q34" s="143">
        <f t="shared" si="32"/>
        <v>303989.49425526854</v>
      </c>
      <c r="R34" s="143">
        <f t="shared" si="32"/>
        <v>320455.81242892536</v>
      </c>
      <c r="S34" s="143">
        <f t="shared" si="32"/>
        <v>337814.06811792409</v>
      </c>
      <c r="T34" s="146">
        <f t="shared" si="32"/>
        <v>356112.57525151625</v>
      </c>
    </row>
    <row r="35" spans="2:20" x14ac:dyDescent="0.25">
      <c r="B35" s="271">
        <f t="shared" si="12"/>
        <v>33</v>
      </c>
      <c r="C35" s="268" t="s">
        <v>474</v>
      </c>
      <c r="D35" s="277" t="s">
        <v>489</v>
      </c>
      <c r="E35" s="271" t="s">
        <v>476</v>
      </c>
      <c r="F35" s="250">
        <f>_xlfn.XLOOKUP($D35,BB_Input!$C$4:$C$172,BB_Input!$G$4:$G$172)</f>
        <v>30.544449415516073</v>
      </c>
      <c r="G35" s="144">
        <f>_xlfn.XLOOKUP($D35,CCA_Defense!$D:$D,CCA_Defense!M:M)</f>
        <v>31.6</v>
      </c>
      <c r="H35" s="145">
        <f>_xlfn.XLOOKUP($D35,CCA_Defense!$D:$D,CCA_Defense!N:N)</f>
        <v>61.262396129972892</v>
      </c>
      <c r="I35" s="145">
        <f>_xlfn.XLOOKUP($D35,CCA_Defense!$D:$D,CCA_Defense!O:O)</f>
        <v>41.105770505094661</v>
      </c>
      <c r="J35" s="145">
        <f>_xlfn.XLOOKUP($D35,CCA_Defense!$D:$D,CCA_Defense!P:P)</f>
        <v>27.581101549353612</v>
      </c>
      <c r="K35" s="145">
        <f>_xlfn.XLOOKUP($D35,CCA_Defense!$D:$D,CCA_Defense!Q:Q)</f>
        <v>18.506335079681158</v>
      </c>
      <c r="L35" s="149">
        <f>_xlfn.XLOOKUP($D35,CCA_Defense!$D:$D,CCA_Defense!R:R)</f>
        <v>12.417358946617698</v>
      </c>
      <c r="M35" s="259" t="str">
        <f>_xlfn.XLOOKUP($D35,CCA_Defense!$D:$D,CCA_Defense!T:T)</f>
        <v/>
      </c>
      <c r="N35" s="260">
        <f>_xlfn.XLOOKUP($D35,CCA_Defense!$D:$D,CCA_Defense!U:U)</f>
        <v>0.40600000000000003</v>
      </c>
      <c r="O35" s="246">
        <f>IFERROR(_xlfn.XLOOKUP($D35,BB_Input!$C$4:$C$163,BB_Input!$CY$4:$CY$163),"")</f>
        <v>171.2</v>
      </c>
      <c r="P35" s="143">
        <f>IFERROR(O35*(1+$N35),"")</f>
        <v>240.7072</v>
      </c>
      <c r="Q35" s="143">
        <f t="shared" ref="Q35:T35" si="33">IFERROR(P35*(1+$N35),"")</f>
        <v>338.43432320000005</v>
      </c>
      <c r="R35" s="143">
        <f t="shared" si="33"/>
        <v>475.8386584192001</v>
      </c>
      <c r="S35" s="143">
        <f t="shared" si="33"/>
        <v>669.0291537373954</v>
      </c>
      <c r="T35" s="146">
        <f t="shared" si="33"/>
        <v>940.65499015477803</v>
      </c>
    </row>
    <row r="36" spans="2:20" x14ac:dyDescent="0.25">
      <c r="B36" s="272">
        <f t="shared" si="12"/>
        <v>34</v>
      </c>
      <c r="C36" s="150" t="s">
        <v>256</v>
      </c>
      <c r="D36" s="277" t="s">
        <v>422</v>
      </c>
      <c r="E36" s="271" t="s">
        <v>182</v>
      </c>
      <c r="F36" s="250">
        <f>_xlfn.XLOOKUP($D36,BB_Input!$C$4:$C$172,BB_Input!$G$4:$G$172)</f>
        <v>83.637470997004883</v>
      </c>
      <c r="G36" s="144">
        <f>_xlfn.XLOOKUP($D36,CCA_Defense!$D:$D,CCA_Defense!M:M)</f>
        <v>53.5</v>
      </c>
      <c r="H36" s="145">
        <f>_xlfn.XLOOKUP($D36,CCA_Defense!$D:$D,CCA_Defense!N:N)</f>
        <v>150.81605894611374</v>
      </c>
      <c r="I36" s="145">
        <f>_xlfn.XLOOKUP($D36,CCA_Defense!$D:$D,CCA_Defense!O:O)</f>
        <v>140.63933060394993</v>
      </c>
      <c r="J36" s="145">
        <f>_xlfn.XLOOKUP($D36,CCA_Defense!$D:$D,CCA_Defense!P:P)</f>
        <v>131.14930499406745</v>
      </c>
      <c r="K36" s="145">
        <f>_xlfn.XLOOKUP($D36,CCA_Defense!$D:$D,CCA_Defense!Q:Q)</f>
        <v>122.29964496107928</v>
      </c>
      <c r="L36" s="149">
        <f>_xlfn.XLOOKUP($D36,CCA_Defense!$D:$D,CCA_Defense!R:R)</f>
        <v>114.04714007659159</v>
      </c>
      <c r="M36" s="259">
        <f>_xlfn.XLOOKUP($D36,CCA_Defense!$D:$D,CCA_Defense!T:T)</f>
        <v>2.1295687604812881E-2</v>
      </c>
      <c r="N36" s="260">
        <f>_xlfn.XLOOKUP($D36,CCA_Defense!$D:$D,CCA_Defense!U:U)</f>
        <v>0</v>
      </c>
      <c r="O36" s="246">
        <f>IFERROR(_xlfn.XLOOKUP($D36,BB_Input!$C$4:$C$163,BB_Input!$CY$4:$CY$163),"")</f>
        <v>406.16899999999998</v>
      </c>
      <c r="P36" s="143">
        <f t="shared" ref="P36:T36" si="34">IFERROR(O36*(1+$M36),"")</f>
        <v>414.81864813875927</v>
      </c>
      <c r="Q36" s="143">
        <f t="shared" si="34"/>
        <v>423.65249648217309</v>
      </c>
      <c r="R36" s="143">
        <f t="shared" si="34"/>
        <v>432.67446770025657</v>
      </c>
      <c r="S36" s="143">
        <f t="shared" si="34"/>
        <v>441.88856799897997</v>
      </c>
      <c r="T36" s="146">
        <f t="shared" si="34"/>
        <v>451.29888889922438</v>
      </c>
    </row>
    <row r="37" spans="2:20" x14ac:dyDescent="0.25">
      <c r="B37" s="272">
        <f t="shared" si="12"/>
        <v>35</v>
      </c>
      <c r="C37" s="150" t="s">
        <v>296</v>
      </c>
      <c r="D37" s="277" t="s">
        <v>429</v>
      </c>
      <c r="E37" s="271" t="s">
        <v>321</v>
      </c>
      <c r="F37" s="250">
        <f>_xlfn.XLOOKUP($D37,BB_Input!$C$4:$C$172,BB_Input!$G$4:$G$172)</f>
        <v>130.14987176206944</v>
      </c>
      <c r="G37" s="144">
        <f>_xlfn.XLOOKUP($D37,CCA_Defense!$D:$D,CCA_Defense!M:M)</f>
        <v>57</v>
      </c>
      <c r="H37" s="145">
        <f>_xlfn.XLOOKUP($D37,CCA_Defense!$D:$D,CCA_Defense!N:N)</f>
        <v>41.345253810562589</v>
      </c>
      <c r="I37" s="145">
        <f>_xlfn.XLOOKUP($D37,CCA_Defense!$D:$D,CCA_Defense!O:O)</f>
        <v>27.156160138300546</v>
      </c>
      <c r="J37" s="145">
        <f>_xlfn.XLOOKUP($D37,CCA_Defense!$D:$D,CCA_Defense!P:P)</f>
        <v>17.836558383120227</v>
      </c>
      <c r="K37" s="145">
        <f>_xlfn.XLOOKUP($D37,CCA_Defense!$D:$D,CCA_Defense!Q:Q)</f>
        <v>11.715309282837588</v>
      </c>
      <c r="L37" s="149">
        <f>_xlfn.XLOOKUP($D37,CCA_Defense!$D:$D,CCA_Defense!R:R)</f>
        <v>7.694784422225017</v>
      </c>
      <c r="M37" s="259">
        <f>_xlfn.XLOOKUP($D37,CCA_Defense!$D:$D,CCA_Defense!T:T)</f>
        <v>0.31601710017674001</v>
      </c>
      <c r="N37" s="260">
        <f>_xlfn.XLOOKUP($D37,CCA_Defense!$D:$D,CCA_Defense!U:U)</f>
        <v>0.45</v>
      </c>
      <c r="O37" s="246">
        <f>IFERROR(_xlfn.XLOOKUP($D37,BB_Input!$C$4:$C$163,BB_Input!$CY$4:$CY$163),"")</f>
        <v>1948.6610000000001</v>
      </c>
      <c r="P37" s="143">
        <f>IFERROR(O37*(1+$N37),"")</f>
        <v>2825.55845</v>
      </c>
      <c r="Q37" s="143">
        <f t="shared" ref="Q37:T37" si="35">IFERROR(P37*(1+$N37),"")</f>
        <v>4097.0597525000003</v>
      </c>
      <c r="R37" s="143">
        <f t="shared" si="35"/>
        <v>5940.7366411250005</v>
      </c>
      <c r="S37" s="143">
        <f t="shared" si="35"/>
        <v>8614.0681296312505</v>
      </c>
      <c r="T37" s="146">
        <f t="shared" si="35"/>
        <v>12490.398787965312</v>
      </c>
    </row>
    <row r="38" spans="2:20" x14ac:dyDescent="0.25">
      <c r="B38" s="272">
        <f t="shared" si="12"/>
        <v>36</v>
      </c>
      <c r="C38" s="150" t="s">
        <v>185</v>
      </c>
      <c r="D38" s="277" t="s">
        <v>257</v>
      </c>
      <c r="E38" s="271" t="s">
        <v>257</v>
      </c>
      <c r="F38" s="250">
        <f>_xlfn.XLOOKUP($D38,BB_Input!$C$4:$C$172,BB_Input!$G$4:$G$172)</f>
        <v>2722.5173978912667</v>
      </c>
      <c r="G38" s="144">
        <f>_xlfn.XLOOKUP($D38,CCA_Defense!$D:$D,CCA_Defense!M:M)</f>
        <v>43</v>
      </c>
      <c r="H38" s="145">
        <f>_xlfn.XLOOKUP($D38,CCA_Defense!$D:$D,CCA_Defense!N:N)</f>
        <v>39.533631192194505</v>
      </c>
      <c r="I38" s="145">
        <f>_xlfn.XLOOKUP($D38,CCA_Defense!$D:$D,CCA_Defense!O:O)</f>
        <v>31.151942600209804</v>
      </c>
      <c r="J38" s="145">
        <f>_xlfn.XLOOKUP($D38,CCA_Defense!$D:$D,CCA_Defense!P:P)</f>
        <v>28.716611582603829</v>
      </c>
      <c r="K38" s="145" t="str">
        <f>_xlfn.XLOOKUP($D38,CCA_Defense!$D:$D,CCA_Defense!Q:Q)</f>
        <v/>
      </c>
      <c r="L38" s="149" t="str">
        <f>_xlfn.XLOOKUP($D38,CCA_Defense!$D:$D,CCA_Defense!R:R)</f>
        <v/>
      </c>
      <c r="M38" s="259">
        <f>_xlfn.XLOOKUP($D38,CCA_Defense!$D:$D,CCA_Defense!T:T)</f>
        <v>0.11304961305614281</v>
      </c>
      <c r="N38" s="260">
        <f>_xlfn.XLOOKUP($D38,CCA_Defense!$D:$D,CCA_Defense!U:U)</f>
        <v>0</v>
      </c>
      <c r="O38" s="246">
        <f>IFERROR(_xlfn.XLOOKUP($D38,BB_Input!$C$4:$C$163,BB_Input!$CY$4:$CY$163),"")</f>
        <v>19672.014999999999</v>
      </c>
      <c r="P38" s="143">
        <f t="shared" ref="P38:T38" si="36">IFERROR(O38*(1+$M38),"")</f>
        <v>21895.928683784638</v>
      </c>
      <c r="Q38" s="143">
        <f t="shared" si="36"/>
        <v>24371.254948991391</v>
      </c>
      <c r="R38" s="143">
        <f t="shared" si="36"/>
        <v>27126.415890667475</v>
      </c>
      <c r="S38" s="143">
        <f t="shared" si="36"/>
        <v>30193.04671070744</v>
      </c>
      <c r="T38" s="146">
        <f t="shared" si="36"/>
        <v>33606.358958338962</v>
      </c>
    </row>
    <row r="39" spans="2:20" x14ac:dyDescent="0.25">
      <c r="B39" s="272">
        <f t="shared" si="12"/>
        <v>37</v>
      </c>
      <c r="C39" s="150" t="s">
        <v>286</v>
      </c>
      <c r="D39" s="278" t="s">
        <v>440</v>
      </c>
      <c r="E39" s="271"/>
      <c r="F39" s="250" t="e">
        <f>_xlfn.XLOOKUP($D39,BB_Input!$C$4:$C$172,BB_Input!$G$4:$G$172)</f>
        <v>#N/A</v>
      </c>
      <c r="G39" s="144"/>
      <c r="H39" s="145"/>
      <c r="I39" s="145"/>
      <c r="J39" s="145"/>
      <c r="K39" s="145"/>
      <c r="L39" s="149"/>
      <c r="M39" s="259" t="str">
        <f>_xlfn.XLOOKUP($D39,CCA_Defense!$D:$D,CCA_Defense!T:T)</f>
        <v/>
      </c>
      <c r="N39" s="260">
        <f>_xlfn.XLOOKUP($D39,CCA_Defense!$D:$D,CCA_Defense!U:U)</f>
        <v>0</v>
      </c>
      <c r="O39" s="246" t="str">
        <f>IFERROR(_xlfn.XLOOKUP($D39,BB_Input!$C$4:$C$163,BB_Input!$CY$4:$CY$163),"")</f>
        <v/>
      </c>
      <c r="P39" s="143" t="str">
        <f t="shared" ref="P39:T39" si="37">IFERROR(O39*(1+$M39),"")</f>
        <v/>
      </c>
      <c r="Q39" s="143" t="str">
        <f t="shared" si="37"/>
        <v/>
      </c>
      <c r="R39" s="143" t="str">
        <f t="shared" si="37"/>
        <v/>
      </c>
      <c r="S39" s="143" t="str">
        <f t="shared" si="37"/>
        <v/>
      </c>
      <c r="T39" s="146" t="str">
        <f t="shared" si="37"/>
        <v/>
      </c>
    </row>
    <row r="40" spans="2:20" x14ac:dyDescent="0.25">
      <c r="B40" s="272">
        <f t="shared" si="12"/>
        <v>38</v>
      </c>
      <c r="C40" s="150" t="s">
        <v>287</v>
      </c>
      <c r="D40" s="278" t="s">
        <v>441</v>
      </c>
      <c r="E40" s="271"/>
      <c r="F40" s="250" t="e">
        <f>_xlfn.XLOOKUP($D40,BB_Input!$C$4:$C$172,BB_Input!$G$4:$G$172)</f>
        <v>#N/A</v>
      </c>
      <c r="G40" s="144"/>
      <c r="H40" s="145"/>
      <c r="I40" s="145"/>
      <c r="J40" s="145"/>
      <c r="K40" s="145"/>
      <c r="L40" s="149"/>
      <c r="M40" s="259" t="str">
        <f>_xlfn.XLOOKUP($D40,CCA_Defense!$D:$D,CCA_Defense!T:T)</f>
        <v/>
      </c>
      <c r="N40" s="260">
        <f>_xlfn.XLOOKUP($D40,CCA_Defense!$D:$D,CCA_Defense!U:U)</f>
        <v>0</v>
      </c>
      <c r="O40" s="246" t="str">
        <f>IFERROR(_xlfn.XLOOKUP($D40,BB_Input!$C$4:$C$163,BB_Input!$CY$4:$CY$163),"")</f>
        <v/>
      </c>
      <c r="P40" s="143" t="str">
        <f t="shared" ref="P40:T40" si="38">IFERROR(O40*(1+$M40),"")</f>
        <v/>
      </c>
      <c r="Q40" s="143" t="str">
        <f t="shared" si="38"/>
        <v/>
      </c>
      <c r="R40" s="143" t="str">
        <f t="shared" si="38"/>
        <v/>
      </c>
      <c r="S40" s="143" t="str">
        <f t="shared" si="38"/>
        <v/>
      </c>
      <c r="T40" s="146" t="str">
        <f t="shared" si="38"/>
        <v/>
      </c>
    </row>
    <row r="41" spans="2:20" x14ac:dyDescent="0.25">
      <c r="B41" s="272">
        <f t="shared" si="12"/>
        <v>39</v>
      </c>
      <c r="C41" s="150" t="s">
        <v>288</v>
      </c>
      <c r="D41" s="277" t="s">
        <v>314</v>
      </c>
      <c r="E41" s="271" t="s">
        <v>314</v>
      </c>
      <c r="F41" s="250">
        <f>_xlfn.XLOOKUP($D41,BB_Input!$C$4:$C$172,BB_Input!$G$4:$G$172)</f>
        <v>186.68179306580453</v>
      </c>
      <c r="G41" s="144">
        <f>_xlfn.XLOOKUP($D41,CCA_Defense!$D:$D,CCA_Defense!M:M)</f>
        <v>50.25</v>
      </c>
      <c r="H41" s="145" t="str">
        <f>_xlfn.XLOOKUP($D41,CCA_Defense!$D:$D,CCA_Defense!N:N)</f>
        <v/>
      </c>
      <c r="I41" s="145" t="str">
        <f>_xlfn.XLOOKUP($D41,CCA_Defense!$D:$D,CCA_Defense!O:O)</f>
        <v/>
      </c>
      <c r="J41" s="145" t="str">
        <f>_xlfn.XLOOKUP($D41,CCA_Defense!$D:$D,CCA_Defense!P:P)</f>
        <v/>
      </c>
      <c r="K41" s="145" t="str">
        <f>_xlfn.XLOOKUP($D41,CCA_Defense!$D:$D,CCA_Defense!Q:Q)</f>
        <v/>
      </c>
      <c r="L41" s="149" t="str">
        <f>_xlfn.XLOOKUP($D41,CCA_Defense!$D:$D,CCA_Defense!R:R)</f>
        <v/>
      </c>
      <c r="M41" s="259">
        <f>_xlfn.XLOOKUP($D41,CCA_Defense!$D:$D,CCA_Defense!T:T)</f>
        <v>0.43413497286210756</v>
      </c>
      <c r="N41" s="260">
        <f>_xlfn.XLOOKUP($D41,CCA_Defense!$D:$D,CCA_Defense!U:U)</f>
        <v>0</v>
      </c>
      <c r="O41" s="246">
        <f>IFERROR(_xlfn.XLOOKUP($D41,BB_Input!$C$4:$C$163,BB_Input!$CY$4:$CY$163),"")</f>
        <v>1582.4770000000001</v>
      </c>
      <c r="P41" s="143">
        <f t="shared" ref="P41:T41" si="39">IFERROR(O41*(1+$M41),"")</f>
        <v>2269.4856094499096</v>
      </c>
      <c r="Q41" s="143">
        <f t="shared" si="39"/>
        <v>3254.7486829193899</v>
      </c>
      <c r="R41" s="143">
        <f t="shared" si="39"/>
        <v>4667.74891405158</v>
      </c>
      <c r="S41" s="143">
        <f t="shared" si="39"/>
        <v>6694.1819621804943</v>
      </c>
      <c r="T41" s="146">
        <f t="shared" si="39"/>
        <v>9600.3604666657338</v>
      </c>
    </row>
    <row r="42" spans="2:20" x14ac:dyDescent="0.25">
      <c r="B42" s="272">
        <f t="shared" si="12"/>
        <v>40</v>
      </c>
      <c r="C42" s="150" t="s">
        <v>289</v>
      </c>
      <c r="D42" s="278" t="s">
        <v>424</v>
      </c>
      <c r="E42" s="271" t="s">
        <v>315</v>
      </c>
      <c r="F42" s="250">
        <f>_xlfn.XLOOKUP($D42,BB_Input!$C$4:$C$172,BB_Input!$G$4:$G$172)</f>
        <v>11472.11940573734</v>
      </c>
      <c r="G42" s="144">
        <f>_xlfn.XLOOKUP($D42,CCA_Defense!$D:$D,CCA_Defense!M:M)</f>
        <v>23.8</v>
      </c>
      <c r="H42" s="145">
        <f>_xlfn.XLOOKUP($D42,CCA_Defense!$D:$D,CCA_Defense!N:N)</f>
        <v>35.802943441069324</v>
      </c>
      <c r="I42" s="145">
        <f>_xlfn.XLOOKUP($D42,CCA_Defense!$D:$D,CCA_Defense!O:O)</f>
        <v>31.385383246414907</v>
      </c>
      <c r="J42" s="145">
        <f>_xlfn.XLOOKUP($D42,CCA_Defense!$D:$D,CCA_Defense!P:P)</f>
        <v>28.046468678908749</v>
      </c>
      <c r="K42" s="145">
        <f>_xlfn.XLOOKUP($D42,CCA_Defense!$D:$D,CCA_Defense!Q:Q)</f>
        <v>26.821029992433367</v>
      </c>
      <c r="L42" s="149">
        <f>_xlfn.XLOOKUP($D42,CCA_Defense!$D:$D,CCA_Defense!R:R)</f>
        <v>26.146572349399655</v>
      </c>
      <c r="M42" s="259">
        <f>_xlfn.XLOOKUP($D42,CCA_Defense!$D:$D,CCA_Defense!T:T)</f>
        <v>8.17477291778681E-2</v>
      </c>
      <c r="N42" s="260">
        <f>_xlfn.XLOOKUP($D42,CCA_Defense!$D:$D,CCA_Defense!U:U)</f>
        <v>0</v>
      </c>
      <c r="O42" s="246">
        <f>IFERROR(_xlfn.XLOOKUP($D42,BB_Input!$C$4:$C$163,BB_Input!$CY$4:$CY$163),"")</f>
        <v>483417.59999999998</v>
      </c>
      <c r="P42" s="143">
        <f t="shared" ref="P42:T42" si="40">IFERROR(O42*(1+$M42),"")</f>
        <v>522935.89104461495</v>
      </c>
      <c r="Q42" s="143">
        <f t="shared" si="40"/>
        <v>565684.71264311729</v>
      </c>
      <c r="R42" s="143">
        <f t="shared" si="40"/>
        <v>611928.15333232703</v>
      </c>
      <c r="S42" s="143">
        <f t="shared" si="40"/>
        <v>661951.8902872511</v>
      </c>
      <c r="T42" s="146">
        <f t="shared" si="40"/>
        <v>716064.95414323115</v>
      </c>
    </row>
    <row r="43" spans="2:20" x14ac:dyDescent="0.25">
      <c r="B43" s="272">
        <f t="shared" si="12"/>
        <v>41</v>
      </c>
      <c r="C43" s="150" t="s">
        <v>290</v>
      </c>
      <c r="D43" s="278" t="s">
        <v>316</v>
      </c>
      <c r="E43" s="271" t="s">
        <v>316</v>
      </c>
      <c r="F43" s="250">
        <f>_xlfn.XLOOKUP($D43,BB_Input!$C$4:$C$172,BB_Input!$G$4:$G$172)</f>
        <v>127.45359114228727</v>
      </c>
      <c r="G43" s="144">
        <f>_xlfn.XLOOKUP($D43,CCA_Defense!$D:$D,CCA_Defense!M:M)</f>
        <v>48</v>
      </c>
      <c r="H43" s="145">
        <f>_xlfn.XLOOKUP($D43,CCA_Defense!$D:$D,CCA_Defense!N:N)</f>
        <v>40.805415898853433</v>
      </c>
      <c r="I43" s="145">
        <f>_xlfn.XLOOKUP($D43,CCA_Defense!$D:$D,CCA_Defense!O:O)</f>
        <v>31.811509656039803</v>
      </c>
      <c r="J43" s="145">
        <f>_xlfn.XLOOKUP($D43,CCA_Defense!$D:$D,CCA_Defense!P:P)</f>
        <v>25.599945163629506</v>
      </c>
      <c r="K43" s="145">
        <f>_xlfn.XLOOKUP($D43,CCA_Defense!$D:$D,CCA_Defense!Q:Q)</f>
        <v>20.601260344663022</v>
      </c>
      <c r="L43" s="149">
        <f>_xlfn.XLOOKUP($D43,CCA_Defense!$D:$D,CCA_Defense!R:R)</f>
        <v>16.578626441417462</v>
      </c>
      <c r="M43" s="259">
        <f>_xlfn.XLOOKUP($D43,CCA_Defense!$D:$D,CCA_Defense!T:T)</f>
        <v>0.24263975773023261</v>
      </c>
      <c r="N43" s="260">
        <f>_xlfn.XLOOKUP($D43,CCA_Defense!$D:$D,CCA_Defense!U:U)</f>
        <v>0</v>
      </c>
      <c r="O43" s="246">
        <f>IFERROR(_xlfn.XLOOKUP($D43,BB_Input!$C$4:$C$163,BB_Input!$CY$4:$CY$163),"")</f>
        <v>1455.605</v>
      </c>
      <c r="P43" s="143">
        <f t="shared" ref="P43:T43" si="41">IFERROR(O43*(1+$M43),"")</f>
        <v>1808.7926445509152</v>
      </c>
      <c r="Q43" s="143">
        <f t="shared" si="41"/>
        <v>2247.677653608976</v>
      </c>
      <c r="R43" s="143">
        <f t="shared" si="41"/>
        <v>2793.0536149363156</v>
      </c>
      <c r="S43" s="143">
        <f t="shared" si="41"/>
        <v>3470.7594673920134</v>
      </c>
      <c r="T43" s="146">
        <f t="shared" si="41"/>
        <v>4312.9037036999225</v>
      </c>
    </row>
    <row r="44" spans="2:20" x14ac:dyDescent="0.25">
      <c r="B44" s="272">
        <f t="shared" si="12"/>
        <v>42</v>
      </c>
      <c r="C44" s="150" t="s">
        <v>291</v>
      </c>
      <c r="D44" s="277" t="s">
        <v>317</v>
      </c>
      <c r="E44" s="271" t="s">
        <v>317</v>
      </c>
      <c r="F44" s="250">
        <f>_xlfn.XLOOKUP($D44,BB_Input!$C$4:$C$172,BB_Input!$G$4:$G$172)</f>
        <v>169.74633983950821</v>
      </c>
      <c r="G44" s="144">
        <f>_xlfn.XLOOKUP($D44,CCA_Defense!$D:$D,CCA_Defense!M:M)</f>
        <v>48</v>
      </c>
      <c r="H44" s="145">
        <f>_xlfn.XLOOKUP($D44,CCA_Defense!$D:$D,CCA_Defense!N:N)</f>
        <v>27.308231114045558</v>
      </c>
      <c r="I44" s="145">
        <f>_xlfn.XLOOKUP($D44,CCA_Defense!$D:$D,CCA_Defense!O:O)</f>
        <v>22.427730395503787</v>
      </c>
      <c r="J44" s="145">
        <f>_xlfn.XLOOKUP($D44,CCA_Defense!$D:$D,CCA_Defense!P:P)</f>
        <v>18.529107747633823</v>
      </c>
      <c r="K44" s="145">
        <f>_xlfn.XLOOKUP($D44,CCA_Defense!$D:$D,CCA_Defense!Q:Q)</f>
        <v>16.485737111244752</v>
      </c>
      <c r="L44" s="149">
        <f>_xlfn.XLOOKUP($D44,CCA_Defense!$D:$D,CCA_Defense!R:R)</f>
        <v>14.667707252972225</v>
      </c>
      <c r="M44" s="259">
        <f>_xlfn.XLOOKUP($D44,CCA_Defense!$D:$D,CCA_Defense!T:T)</f>
        <v>0.12394778726607927</v>
      </c>
      <c r="N44" s="260">
        <f>_xlfn.XLOOKUP($D44,CCA_Defense!$D:$D,CCA_Defense!U:U)</f>
        <v>0</v>
      </c>
      <c r="O44" s="246">
        <f>IFERROR(_xlfn.XLOOKUP($D44,BB_Input!$C$4:$C$163,BB_Input!$CY$4:$CY$163),"")</f>
        <v>8273.6219999999994</v>
      </c>
      <c r="P44" s="143">
        <f t="shared" ref="P44:T44" si="42">IFERROR(O44*(1+$M44),"")</f>
        <v>9299.1191395759524</v>
      </c>
      <c r="Q44" s="143">
        <f t="shared" si="42"/>
        <v>10451.724380450038</v>
      </c>
      <c r="R44" s="143">
        <f t="shared" si="42"/>
        <v>11747.192490521753</v>
      </c>
      <c r="S44" s="143">
        <f t="shared" si="42"/>
        <v>13203.231006310627</v>
      </c>
      <c r="T44" s="146">
        <f t="shared" si="42"/>
        <v>14839.742274305718</v>
      </c>
    </row>
    <row r="45" spans="2:20" x14ac:dyDescent="0.25">
      <c r="B45" s="272">
        <f t="shared" si="12"/>
        <v>43</v>
      </c>
      <c r="C45" s="150" t="s">
        <v>292</v>
      </c>
      <c r="D45" s="278" t="s">
        <v>425</v>
      </c>
      <c r="E45" s="271" t="s">
        <v>318</v>
      </c>
      <c r="F45" s="250">
        <f>_xlfn.XLOOKUP($D45,BB_Input!$C$4:$C$172,BB_Input!$G$4:$G$172)</f>
        <v>12.771906433426825</v>
      </c>
      <c r="G45" s="144">
        <f>_xlfn.XLOOKUP($D45,CCA_Defense!$D:$D,CCA_Defense!M:M)</f>
        <v>41</v>
      </c>
      <c r="H45" s="145" t="str">
        <f>_xlfn.XLOOKUP($D45,CCA_Defense!$D:$D,CCA_Defense!N:N)</f>
        <v/>
      </c>
      <c r="I45" s="145" t="str">
        <f>_xlfn.XLOOKUP($D45,CCA_Defense!$D:$D,CCA_Defense!O:O)</f>
        <v/>
      </c>
      <c r="J45" s="145" t="str">
        <f>_xlfn.XLOOKUP($D45,CCA_Defense!$D:$D,CCA_Defense!P:P)</f>
        <v/>
      </c>
      <c r="K45" s="145" t="str">
        <f>_xlfn.XLOOKUP($D45,CCA_Defense!$D:$D,CCA_Defense!Q:Q)</f>
        <v/>
      </c>
      <c r="L45" s="149" t="str">
        <f>_xlfn.XLOOKUP($D45,CCA_Defense!$D:$D,CCA_Defense!R:R)</f>
        <v/>
      </c>
      <c r="M45" s="259">
        <f>_xlfn.XLOOKUP($D45,CCA_Defense!$D:$D,CCA_Defense!T:T)</f>
        <v>0.84784979742228839</v>
      </c>
      <c r="N45" s="260">
        <f>_xlfn.XLOOKUP($D45,CCA_Defense!$D:$D,CCA_Defense!U:U)</f>
        <v>0</v>
      </c>
      <c r="O45" s="246">
        <f>IFERROR(_xlfn.XLOOKUP($D45,BB_Input!$C$4:$C$163,BB_Input!$CY$4:$CY$163),"")</f>
        <v>345.18900000000002</v>
      </c>
      <c r="P45" s="143">
        <f t="shared" ref="P45:T45" si="43">IFERROR(O45*(1+$M45),"")</f>
        <v>637.85742372240236</v>
      </c>
      <c r="Q45" s="143">
        <f t="shared" si="43"/>
        <v>1178.6647112097439</v>
      </c>
      <c r="R45" s="143">
        <f t="shared" si="43"/>
        <v>2177.9953478377251</v>
      </c>
      <c r="S45" s="143">
        <f t="shared" si="43"/>
        <v>4024.6082622886265</v>
      </c>
      <c r="T45" s="146">
        <f t="shared" si="43"/>
        <v>7436.8715621741057</v>
      </c>
    </row>
    <row r="46" spans="2:20" x14ac:dyDescent="0.25">
      <c r="B46" s="272">
        <f t="shared" ref="B46:B77" si="44">B45+1</f>
        <v>44</v>
      </c>
      <c r="C46" s="150" t="s">
        <v>107</v>
      </c>
      <c r="D46" s="277" t="s">
        <v>114</v>
      </c>
      <c r="E46" s="271" t="s">
        <v>114</v>
      </c>
      <c r="F46" s="250">
        <f>_xlfn.XLOOKUP($D46,BB_Input!$C$4:$C$172,BB_Input!$G$4:$G$172)</f>
        <v>839.8166589137262</v>
      </c>
      <c r="G46" s="144">
        <f>_xlfn.XLOOKUP($D46,CCA_Defense!$D:$D,CCA_Defense!M:M)</f>
        <v>89</v>
      </c>
      <c r="H46" s="145">
        <f>_xlfn.XLOOKUP($D46,CCA_Defense!$D:$D,CCA_Defense!N:N)</f>
        <v>302.44682898572307</v>
      </c>
      <c r="I46" s="145">
        <f>_xlfn.XLOOKUP($D46,CCA_Defense!$D:$D,CCA_Defense!O:O)</f>
        <v>234.9101584355131</v>
      </c>
      <c r="J46" s="145">
        <f>_xlfn.XLOOKUP($D46,CCA_Defense!$D:$D,CCA_Defense!P:P)</f>
        <v>182.454491988748</v>
      </c>
      <c r="K46" s="145">
        <f>_xlfn.XLOOKUP($D46,CCA_Defense!$D:$D,CCA_Defense!Q:Q)</f>
        <v>141.71222678737715</v>
      </c>
      <c r="L46" s="149">
        <f>_xlfn.XLOOKUP($D46,CCA_Defense!$D:$D,CCA_Defense!R:R)</f>
        <v>110.06774896106961</v>
      </c>
      <c r="M46" s="259">
        <f>_xlfn.XLOOKUP($D46,CCA_Defense!$D:$D,CCA_Defense!T:T)</f>
        <v>0.34490167754544471</v>
      </c>
      <c r="N46" s="260">
        <f>_xlfn.XLOOKUP($D46,CCA_Defense!$D:$D,CCA_Defense!U:U)</f>
        <v>0.25</v>
      </c>
      <c r="O46" s="246">
        <f>IFERROR(_xlfn.XLOOKUP($D46,BB_Input!$C$4:$C$163,BB_Input!$CY$4:$CY$163),"")</f>
        <v>6646.46</v>
      </c>
      <c r="P46" s="143">
        <f>IFERROR(O46*(1+$N46),"")</f>
        <v>8308.0750000000007</v>
      </c>
      <c r="Q46" s="143">
        <f t="shared" ref="Q46:T46" si="45">IFERROR(P46*(1+$N46),"")</f>
        <v>10385.09375</v>
      </c>
      <c r="R46" s="143">
        <f t="shared" si="45"/>
        <v>12981.3671875</v>
      </c>
      <c r="S46" s="143">
        <f t="shared" si="45"/>
        <v>16226.708984375</v>
      </c>
      <c r="T46" s="146">
        <f t="shared" si="45"/>
        <v>20283.38623046875</v>
      </c>
    </row>
    <row r="47" spans="2:20" x14ac:dyDescent="0.25">
      <c r="B47" s="272">
        <f t="shared" si="44"/>
        <v>45</v>
      </c>
      <c r="C47" s="150" t="s">
        <v>390</v>
      </c>
      <c r="D47" s="278" t="s">
        <v>442</v>
      </c>
      <c r="E47" s="271"/>
      <c r="F47" s="250" t="e">
        <f>_xlfn.XLOOKUP($D47,BB_Input!$C$4:$C$172,BB_Input!$G$4:$G$172)</f>
        <v>#N/A</v>
      </c>
      <c r="G47" s="144"/>
      <c r="H47" s="145"/>
      <c r="I47" s="145"/>
      <c r="J47" s="145"/>
      <c r="K47" s="145"/>
      <c r="L47" s="149"/>
      <c r="M47" s="259" t="str">
        <f>_xlfn.XLOOKUP($D47,CCA_Defense!$D:$D,CCA_Defense!T:T)</f>
        <v/>
      </c>
      <c r="N47" s="260">
        <f>_xlfn.XLOOKUP($D47,CCA_Defense!$D:$D,CCA_Defense!U:U)</f>
        <v>0</v>
      </c>
      <c r="O47" s="246" t="str">
        <f>IFERROR(_xlfn.XLOOKUP($D47,BB_Input!$C$4:$C$163,BB_Input!$CY$4:$CY$163),"")</f>
        <v/>
      </c>
      <c r="P47" s="143" t="str">
        <f t="shared" ref="P47:T47" si="46">IFERROR(O47*(1+$M47),"")</f>
        <v/>
      </c>
      <c r="Q47" s="143" t="str">
        <f t="shared" si="46"/>
        <v/>
      </c>
      <c r="R47" s="143" t="str">
        <f t="shared" si="46"/>
        <v/>
      </c>
      <c r="S47" s="143" t="str">
        <f t="shared" si="46"/>
        <v/>
      </c>
      <c r="T47" s="146" t="str">
        <f t="shared" si="46"/>
        <v/>
      </c>
    </row>
    <row r="48" spans="2:20" x14ac:dyDescent="0.25">
      <c r="B48" s="272">
        <f t="shared" si="44"/>
        <v>46</v>
      </c>
      <c r="C48" s="150" t="s">
        <v>294</v>
      </c>
      <c r="D48" s="277" t="s">
        <v>427</v>
      </c>
      <c r="E48" s="271" t="s">
        <v>294</v>
      </c>
      <c r="F48" s="250">
        <f>_xlfn.XLOOKUP($D48,BB_Input!$C$4:$C$172,BB_Input!$G$4:$G$172)</f>
        <v>1032.493085130563</v>
      </c>
      <c r="G48" s="144">
        <f>_xlfn.XLOOKUP($D48,CCA_Defense!$D:$D,CCA_Defense!M:M)</f>
        <v>70</v>
      </c>
      <c r="H48" s="145" t="str">
        <f>_xlfn.XLOOKUP($D48,CCA_Defense!$D:$D,CCA_Defense!N:N)</f>
        <v/>
      </c>
      <c r="I48" s="145" t="str">
        <f>_xlfn.XLOOKUP($D48,CCA_Defense!$D:$D,CCA_Defense!O:O)</f>
        <v/>
      </c>
      <c r="J48" s="145" t="str">
        <f>_xlfn.XLOOKUP($D48,CCA_Defense!$D:$D,CCA_Defense!P:P)</f>
        <v/>
      </c>
      <c r="K48" s="145" t="str">
        <f>_xlfn.XLOOKUP($D48,CCA_Defense!$D:$D,CCA_Defense!Q:Q)</f>
        <v/>
      </c>
      <c r="L48" s="149" t="str">
        <f>_xlfn.XLOOKUP($D48,CCA_Defense!$D:$D,CCA_Defense!R:R)</f>
        <v/>
      </c>
      <c r="M48" s="259">
        <f>_xlfn.XLOOKUP($D48,CCA_Defense!$D:$D,CCA_Defense!T:T)</f>
        <v>-2.9945711436597622E-2</v>
      </c>
      <c r="N48" s="260">
        <f>_xlfn.XLOOKUP($D48,CCA_Defense!$D:$D,CCA_Defense!U:U)</f>
        <v>0</v>
      </c>
      <c r="O48" s="246">
        <f>IFERROR(_xlfn.XLOOKUP($D48,BB_Input!$C$4:$C$163,BB_Input!$CY$4:$CY$163),"")</f>
        <v>40645.199999999997</v>
      </c>
      <c r="P48" s="143">
        <f t="shared" ref="P48:T48" si="47">IFERROR(O48*(1+$M48),"")</f>
        <v>39428.050569517196</v>
      </c>
      <c r="Q48" s="143">
        <f t="shared" si="47"/>
        <v>38247.349544654855</v>
      </c>
      <c r="R48" s="143">
        <f t="shared" si="47"/>
        <v>37102.005451975936</v>
      </c>
      <c r="S48" s="143">
        <f t="shared" si="47"/>
        <v>35990.959502991995</v>
      </c>
      <c r="T48" s="146">
        <f t="shared" si="47"/>
        <v>34913.184615389124</v>
      </c>
    </row>
    <row r="49" spans="2:20" x14ac:dyDescent="0.25">
      <c r="B49" s="272">
        <f t="shared" si="44"/>
        <v>47</v>
      </c>
      <c r="C49" s="150" t="s">
        <v>295</v>
      </c>
      <c r="D49" s="277" t="s">
        <v>428</v>
      </c>
      <c r="E49" s="271" t="s">
        <v>320</v>
      </c>
      <c r="F49" s="250">
        <f>_xlfn.XLOOKUP($D49,BB_Input!$C$4:$C$172,BB_Input!$G$4:$G$172)</f>
        <v>54.330873506606046</v>
      </c>
      <c r="G49" s="144">
        <f>_xlfn.XLOOKUP($D49,CCA_Defense!$D:$D,CCA_Defense!M:M)</f>
        <v>45</v>
      </c>
      <c r="H49" s="145">
        <f>_xlfn.XLOOKUP($D49,CCA_Defense!$D:$D,CCA_Defense!N:N)</f>
        <v>33.478578419384903</v>
      </c>
      <c r="I49" s="145">
        <f>_xlfn.XLOOKUP($D49,CCA_Defense!$D:$D,CCA_Defense!O:O)</f>
        <v>33.406269799281823</v>
      </c>
      <c r="J49" s="145">
        <f>_xlfn.XLOOKUP($D49,CCA_Defense!$D:$D,CCA_Defense!P:P)</f>
        <v>34.286520707756125</v>
      </c>
      <c r="K49" s="145">
        <f>_xlfn.XLOOKUP($D49,CCA_Defense!$D:$D,CCA_Defense!Q:Q)</f>
        <v>35.2187160866605</v>
      </c>
      <c r="L49" s="149">
        <f>_xlfn.XLOOKUP($D49,CCA_Defense!$D:$D,CCA_Defense!R:R)</f>
        <v>35.142649034764595</v>
      </c>
      <c r="M49" s="259">
        <f>_xlfn.XLOOKUP($D49,CCA_Defense!$D:$D,CCA_Defense!T:T)</f>
        <v>2.1645224246086901E-3</v>
      </c>
      <c r="N49" s="260">
        <f>_xlfn.XLOOKUP($D49,CCA_Defense!$D:$D,CCA_Defense!U:U)</f>
        <v>0</v>
      </c>
      <c r="O49" s="246">
        <f>IFERROR(_xlfn.XLOOKUP($D49,BB_Input!$C$4:$C$163,BB_Input!$CY$4:$CY$163),"")</f>
        <v>807.52200000000005</v>
      </c>
      <c r="P49" s="143">
        <f t="shared" ref="P49:T49" si="48">IFERROR(O49*(1+$M49),"")</f>
        <v>809.2698994773649</v>
      </c>
      <c r="Q49" s="143">
        <f t="shared" si="48"/>
        <v>811.02158232234456</v>
      </c>
      <c r="R49" s="143">
        <f t="shared" si="48"/>
        <v>812.77705672412299</v>
      </c>
      <c r="S49" s="143">
        <f t="shared" si="48"/>
        <v>814.53633088960987</v>
      </c>
      <c r="T49" s="146">
        <f t="shared" si="48"/>
        <v>816.29941304347892</v>
      </c>
    </row>
    <row r="50" spans="2:20" x14ac:dyDescent="0.25">
      <c r="B50" s="272">
        <f t="shared" si="44"/>
        <v>48</v>
      </c>
      <c r="C50" s="150" t="s">
        <v>183</v>
      </c>
      <c r="D50" s="277" t="s">
        <v>423</v>
      </c>
      <c r="E50" s="271" t="s">
        <v>184</v>
      </c>
      <c r="F50" s="250">
        <f>_xlfn.XLOOKUP($D50,BB_Input!$C$4:$C$172,BB_Input!$G$4:$G$172)</f>
        <v>308.39378174204847</v>
      </c>
      <c r="G50" s="144">
        <f>_xlfn.XLOOKUP($D50,CCA_Defense!$D:$D,CCA_Defense!M:M)</f>
        <v>77</v>
      </c>
      <c r="H50" s="145">
        <f>_xlfn.XLOOKUP($D50,CCA_Defense!$D:$D,CCA_Defense!N:N)</f>
        <v>43.697924538357526</v>
      </c>
      <c r="I50" s="145">
        <f>_xlfn.XLOOKUP($D50,CCA_Defense!$D:$D,CCA_Defense!O:O)</f>
        <v>36.502349042357906</v>
      </c>
      <c r="J50" s="145">
        <f>_xlfn.XLOOKUP($D50,CCA_Defense!$D:$D,CCA_Defense!P:P)</f>
        <v>30.491642330530901</v>
      </c>
      <c r="K50" s="145">
        <f>_xlfn.XLOOKUP($D50,CCA_Defense!$D:$D,CCA_Defense!Q:Q)</f>
        <v>25.470696445703769</v>
      </c>
      <c r="L50" s="149">
        <f>_xlfn.XLOOKUP($D50,CCA_Defense!$D:$D,CCA_Defense!R:R)</f>
        <v>21.276531135864559</v>
      </c>
      <c r="M50" s="259">
        <f>_xlfn.XLOOKUP($D50,CCA_Defense!$D:$D,CCA_Defense!T:T)</f>
        <v>0.16894795688450862</v>
      </c>
      <c r="N50" s="260">
        <f>_xlfn.XLOOKUP($D50,CCA_Defense!$D:$D,CCA_Defense!U:U)</f>
        <v>0.19120000000000001</v>
      </c>
      <c r="O50" s="246">
        <f>IFERROR(_xlfn.XLOOKUP($D50,BB_Input!$C$4:$C$163,BB_Input!$CY$4:$CY$163),"")</f>
        <v>4174.5230000000001</v>
      </c>
      <c r="P50" s="143">
        <f>IFERROR(O50*(1+$N50),"")</f>
        <v>4972.6917976000004</v>
      </c>
      <c r="Q50" s="143">
        <f t="shared" ref="Q50:T50" si="49">IFERROR(P50*(1+$N50),"")</f>
        <v>5923.4704693011208</v>
      </c>
      <c r="R50" s="143">
        <f t="shared" si="49"/>
        <v>7056.038023031495</v>
      </c>
      <c r="S50" s="143">
        <f t="shared" si="49"/>
        <v>8405.152493035117</v>
      </c>
      <c r="T50" s="146">
        <f t="shared" si="49"/>
        <v>10012.217649703432</v>
      </c>
    </row>
    <row r="51" spans="2:20" x14ac:dyDescent="0.25">
      <c r="B51" s="272">
        <f t="shared" si="44"/>
        <v>49</v>
      </c>
      <c r="C51" s="150" t="s">
        <v>297</v>
      </c>
      <c r="D51" s="277" t="s">
        <v>322</v>
      </c>
      <c r="E51" s="271" t="s">
        <v>322</v>
      </c>
      <c r="F51" s="250">
        <f>_xlfn.XLOOKUP($D51,BB_Input!$C$4:$C$172,BB_Input!$G$4:$G$172)</f>
        <v>324.63404464559375</v>
      </c>
      <c r="G51" s="144">
        <f>_xlfn.XLOOKUP($D51,CCA_Defense!$D:$D,CCA_Defense!M:M)</f>
        <v>73</v>
      </c>
      <c r="H51" s="145" t="str">
        <f>_xlfn.XLOOKUP($D51,CCA_Defense!$D:$D,CCA_Defense!N:N)</f>
        <v/>
      </c>
      <c r="I51" s="145" t="str">
        <f>_xlfn.XLOOKUP($D51,CCA_Defense!$D:$D,CCA_Defense!O:O)</f>
        <v/>
      </c>
      <c r="J51" s="145" t="str">
        <f>_xlfn.XLOOKUP($D51,CCA_Defense!$D:$D,CCA_Defense!P:P)</f>
        <v/>
      </c>
      <c r="K51" s="145" t="str">
        <f>_xlfn.XLOOKUP($D51,CCA_Defense!$D:$D,CCA_Defense!Q:Q)</f>
        <v/>
      </c>
      <c r="L51" s="149" t="str">
        <f>_xlfn.XLOOKUP($D51,CCA_Defense!$D:$D,CCA_Defense!R:R)</f>
        <v/>
      </c>
      <c r="M51" s="259">
        <f>_xlfn.XLOOKUP($D51,CCA_Defense!$D:$D,CCA_Defense!T:T)</f>
        <v>0.15342350780229363</v>
      </c>
      <c r="N51" s="260">
        <f>_xlfn.XLOOKUP($D51,CCA_Defense!$D:$D,CCA_Defense!U:U)</f>
        <v>0</v>
      </c>
      <c r="O51" s="246">
        <f>IFERROR(_xlfn.XLOOKUP($D51,BB_Input!$C$4:$C$163,BB_Input!$CY$4:$CY$163),"")</f>
        <v>7670.9530000000004</v>
      </c>
      <c r="P51" s="143">
        <f t="shared" ref="P51:T51" si="50">IFERROR(O51*(1+$M51),"")</f>
        <v>8847.8575174465277</v>
      </c>
      <c r="Q51" s="143">
        <f t="shared" si="50"/>
        <v>10205.326854308067</v>
      </c>
      <c r="R51" s="143">
        <f t="shared" si="50"/>
        <v>11771.063898564957</v>
      </c>
      <c r="S51" s="143">
        <f t="shared" si="50"/>
        <v>13577.021812447734</v>
      </c>
      <c r="T51" s="146">
        <f t="shared" si="50"/>
        <v>15660.056124421721</v>
      </c>
    </row>
    <row r="52" spans="2:20" x14ac:dyDescent="0.25">
      <c r="B52" s="272">
        <f t="shared" si="44"/>
        <v>50</v>
      </c>
      <c r="C52" s="150" t="s">
        <v>298</v>
      </c>
      <c r="D52" s="277" t="s">
        <v>430</v>
      </c>
      <c r="E52" s="271" t="s">
        <v>323</v>
      </c>
      <c r="F52" s="250">
        <f>_xlfn.XLOOKUP($D52,BB_Input!$C$4:$C$172,BB_Input!$G$4:$G$172)</f>
        <v>36.711698168549837</v>
      </c>
      <c r="G52" s="144">
        <f>_xlfn.XLOOKUP($D52,CCA_Defense!$D:$D,CCA_Defense!M:M)</f>
        <v>518</v>
      </c>
      <c r="H52" s="145">
        <f>_xlfn.XLOOKUP($D52,CCA_Defense!$D:$D,CCA_Defense!N:N)</f>
        <v>140.75056134721748</v>
      </c>
      <c r="I52" s="145">
        <f>_xlfn.XLOOKUP($D52,CCA_Defense!$D:$D,CCA_Defense!O:O)</f>
        <v>138.65048346733491</v>
      </c>
      <c r="J52" s="145">
        <f>_xlfn.XLOOKUP($D52,CCA_Defense!$D:$D,CCA_Defense!P:P)</f>
        <v>136.58173993567345</v>
      </c>
      <c r="K52" s="145">
        <f>_xlfn.XLOOKUP($D52,CCA_Defense!$D:$D,CCA_Defense!Q:Q)</f>
        <v>134.54386322605811</v>
      </c>
      <c r="L52" s="149">
        <f>_xlfn.XLOOKUP($D52,CCA_Defense!$D:$D,CCA_Defense!R:R)</f>
        <v>132.53639278806844</v>
      </c>
      <c r="M52" s="259">
        <f>_xlfn.XLOOKUP($D52,CCA_Defense!$D:$D,CCA_Defense!T:T)</f>
        <v>2.540056575138715E-2</v>
      </c>
      <c r="N52" s="260">
        <f>_xlfn.XLOOKUP($D52,CCA_Defense!$D:$D,CCA_Defense!U:U)</f>
        <v>0</v>
      </c>
      <c r="O52" s="246">
        <f>IFERROR(_xlfn.XLOOKUP($D52,BB_Input!$C$4:$C$163,BB_Input!$CY$4:$CY$163),"")</f>
        <v>2283.2159999999999</v>
      </c>
      <c r="P52" s="143">
        <f t="shared" ref="P52:T52" si="51">IFERROR(O52*(1+$M52),"")</f>
        <v>2341.2109781326189</v>
      </c>
      <c r="Q52" s="143">
        <f t="shared" si="51"/>
        <v>2400.6790615205459</v>
      </c>
      <c r="R52" s="143">
        <f t="shared" si="51"/>
        <v>2461.657667870677</v>
      </c>
      <c r="S52" s="143">
        <f t="shared" si="51"/>
        <v>2524.1851653208323</v>
      </c>
      <c r="T52" s="146">
        <f t="shared" si="51"/>
        <v>2588.3008965812401</v>
      </c>
    </row>
    <row r="53" spans="2:20" x14ac:dyDescent="0.25">
      <c r="B53" s="272">
        <f t="shared" si="44"/>
        <v>51</v>
      </c>
      <c r="C53" s="150" t="s">
        <v>299</v>
      </c>
      <c r="D53" s="277" t="s">
        <v>1079</v>
      </c>
      <c r="E53" s="271" t="s">
        <v>324</v>
      </c>
      <c r="F53" s="250">
        <f>_xlfn.XLOOKUP($D53,BB_Input!$C$4:$C$172,BB_Input!$G$4:$G$172)</f>
        <v>1616.1621824987262</v>
      </c>
      <c r="G53" s="144">
        <f>_xlfn.XLOOKUP($D53,CCA_Defense!$D:$D,CCA_Defense!M:M)</f>
        <v>17.8</v>
      </c>
      <c r="H53" s="145">
        <f>_xlfn.XLOOKUP($D53,CCA_Defense!$D:$D,CCA_Defense!N:N)</f>
        <v>15.832960463940708</v>
      </c>
      <c r="I53" s="145">
        <f>_xlfn.XLOOKUP($D53,CCA_Defense!$D:$D,CCA_Defense!O:O)</f>
        <v>13.45430772616046</v>
      </c>
      <c r="J53" s="145">
        <f>_xlfn.XLOOKUP($D53,CCA_Defense!$D:$D,CCA_Defense!P:P)</f>
        <v>10.732277192849159</v>
      </c>
      <c r="K53" s="145">
        <f>_xlfn.XLOOKUP($D53,CCA_Defense!$D:$D,CCA_Defense!Q:Q)</f>
        <v>9.1199217154558081</v>
      </c>
      <c r="L53" s="149">
        <f>_xlfn.XLOOKUP($D53,CCA_Defense!$D:$D,CCA_Defense!R:R)</f>
        <v>7.5076160697495649</v>
      </c>
      <c r="M53" s="259">
        <f>_xlfn.XLOOKUP($D53,CCA_Defense!$D:$D,CCA_Defense!T:T)</f>
        <v>0.58931627108919971</v>
      </c>
      <c r="N53" s="260">
        <f>_xlfn.XLOOKUP($D53,CCA_Defense!$D:$D,CCA_Defense!U:U)</f>
        <v>0</v>
      </c>
      <c r="O53" s="246">
        <f>IFERROR(_xlfn.XLOOKUP($D53,BB_Input!$C$4:$C$163,BB_Input!$CY$4:$CY$163),"")</f>
        <v>49378.686000000002</v>
      </c>
      <c r="P53" s="143">
        <f t="shared" ref="P53:T53" si="52">IFERROR(O53*(1+$M53),"")</f>
        <v>78478.349104804467</v>
      </c>
      <c r="Q53" s="143">
        <f t="shared" si="52"/>
        <v>124726.91716048427</v>
      </c>
      <c r="R53" s="143">
        <f t="shared" si="52"/>
        <v>198230.51888595236</v>
      </c>
      <c r="S53" s="143">
        <f t="shared" si="52"/>
        <v>315050.98909189901</v>
      </c>
      <c r="T53" s="146">
        <f t="shared" si="52"/>
        <v>500715.66318650107</v>
      </c>
    </row>
    <row r="54" spans="2:20" x14ac:dyDescent="0.25">
      <c r="B54" s="272">
        <f t="shared" si="44"/>
        <v>52</v>
      </c>
      <c r="C54" s="150" t="s">
        <v>300</v>
      </c>
      <c r="D54" s="277" t="s">
        <v>432</v>
      </c>
      <c r="E54" s="271" t="s">
        <v>325</v>
      </c>
      <c r="F54" s="250">
        <f>_xlfn.XLOOKUP($D54,BB_Input!$C$4:$C$172,BB_Input!$G$4:$G$172)</f>
        <v>147.71936725891192</v>
      </c>
      <c r="G54" s="144">
        <f>_xlfn.XLOOKUP($D54,CCA_Defense!$D:$D,CCA_Defense!M:M)</f>
        <v>0</v>
      </c>
      <c r="H54" s="145" t="str">
        <f>_xlfn.XLOOKUP($D54,CCA_Defense!$D:$D,CCA_Defense!N:N)</f>
        <v/>
      </c>
      <c r="I54" s="145" t="str">
        <f>_xlfn.XLOOKUP($D54,CCA_Defense!$D:$D,CCA_Defense!O:O)</f>
        <v/>
      </c>
      <c r="J54" s="145">
        <f>_xlfn.XLOOKUP($D54,CCA_Defense!$D:$D,CCA_Defense!P:P)</f>
        <v>371.63760412605393</v>
      </c>
      <c r="K54" s="145">
        <f>_xlfn.XLOOKUP($D54,CCA_Defense!$D:$D,CCA_Defense!Q:Q)</f>
        <v>229.45656261933036</v>
      </c>
      <c r="L54" s="149">
        <f>_xlfn.XLOOKUP($D54,CCA_Defense!$D:$D,CCA_Defense!R:R)</f>
        <v>196.76543890747934</v>
      </c>
      <c r="M54" s="259">
        <f>_xlfn.XLOOKUP($D54,CCA_Defense!$D:$D,CCA_Defense!T:T)</f>
        <v>-2.8214491099295368E-2</v>
      </c>
      <c r="N54" s="260">
        <f>_xlfn.XLOOKUP($D54,CCA_Defense!$D:$D,CCA_Defense!U:U)</f>
        <v>0</v>
      </c>
      <c r="O54" s="246">
        <f>IFERROR(_xlfn.XLOOKUP($D54,BB_Input!$C$4:$C$163,BB_Input!$CY$4:$CY$163),"")</f>
        <v>2591.8000000000002</v>
      </c>
      <c r="P54" s="143">
        <f t="shared" ref="P54:T54" si="53">IFERROR(O54*(1+$M54),"")</f>
        <v>2518.6736819688463</v>
      </c>
      <c r="Q54" s="143">
        <f t="shared" si="53"/>
        <v>2447.6105857869065</v>
      </c>
      <c r="R54" s="143">
        <f t="shared" si="53"/>
        <v>2378.5524986996807</v>
      </c>
      <c r="S54" s="143">
        <f t="shared" si="53"/>
        <v>2311.4428503959116</v>
      </c>
      <c r="T54" s="146">
        <f t="shared" si="53"/>
        <v>2246.2266666668861</v>
      </c>
    </row>
    <row r="55" spans="2:20" x14ac:dyDescent="0.25">
      <c r="B55" s="272">
        <f t="shared" si="44"/>
        <v>53</v>
      </c>
      <c r="C55" s="150" t="s">
        <v>301</v>
      </c>
      <c r="D55" s="278" t="s">
        <v>443</v>
      </c>
      <c r="E55" s="271"/>
      <c r="F55" s="250" t="e">
        <f>_xlfn.XLOOKUP($D55,BB_Input!$C$4:$C$172,BB_Input!$G$4:$G$172)</f>
        <v>#N/A</v>
      </c>
      <c r="G55" s="144"/>
      <c r="H55" s="145"/>
      <c r="I55" s="145"/>
      <c r="J55" s="145"/>
      <c r="K55" s="145"/>
      <c r="L55" s="149"/>
      <c r="M55" s="259" t="str">
        <f>_xlfn.XLOOKUP($D55,CCA_Defense!$D:$D,CCA_Defense!T:T)</f>
        <v/>
      </c>
      <c r="N55" s="260">
        <f>_xlfn.XLOOKUP($D55,CCA_Defense!$D:$D,CCA_Defense!U:U)</f>
        <v>0</v>
      </c>
      <c r="O55" s="246" t="str">
        <f>IFERROR(_xlfn.XLOOKUP($D55,BB_Input!$C$4:$C$163,BB_Input!$CY$4:$CY$163),"")</f>
        <v/>
      </c>
      <c r="P55" s="143" t="str">
        <f t="shared" ref="P55:T55" si="54">IFERROR(O55*(1+$M55),"")</f>
        <v/>
      </c>
      <c r="Q55" s="143" t="str">
        <f t="shared" si="54"/>
        <v/>
      </c>
      <c r="R55" s="143" t="str">
        <f t="shared" si="54"/>
        <v/>
      </c>
      <c r="S55" s="143" t="str">
        <f t="shared" si="54"/>
        <v/>
      </c>
      <c r="T55" s="146" t="str">
        <f t="shared" si="54"/>
        <v/>
      </c>
    </row>
    <row r="56" spans="2:20" x14ac:dyDescent="0.25">
      <c r="B56" s="272">
        <f t="shared" si="44"/>
        <v>54</v>
      </c>
      <c r="C56" s="150" t="s">
        <v>302</v>
      </c>
      <c r="D56" s="278" t="s">
        <v>444</v>
      </c>
      <c r="E56" s="271"/>
      <c r="F56" s="250" t="e">
        <f>_xlfn.XLOOKUP($D56,BB_Input!$C$4:$C$172,BB_Input!$G$4:$G$172)</f>
        <v>#N/A</v>
      </c>
      <c r="G56" s="144"/>
      <c r="H56" s="145"/>
      <c r="I56" s="145"/>
      <c r="J56" s="145"/>
      <c r="K56" s="145"/>
      <c r="L56" s="149"/>
      <c r="M56" s="259" t="str">
        <f>_xlfn.XLOOKUP($D56,CCA_Defense!$D:$D,CCA_Defense!T:T)</f>
        <v/>
      </c>
      <c r="N56" s="260">
        <f>_xlfn.XLOOKUP($D56,CCA_Defense!$D:$D,CCA_Defense!U:U)</f>
        <v>0</v>
      </c>
      <c r="O56" s="246" t="str">
        <f>IFERROR(_xlfn.XLOOKUP($D56,BB_Input!$C$4:$C$163,BB_Input!$CY$4:$CY$163),"")</f>
        <v/>
      </c>
      <c r="P56" s="143" t="str">
        <f t="shared" ref="P56:T56" si="55">IFERROR(O56*(1+$M56),"")</f>
        <v/>
      </c>
      <c r="Q56" s="143" t="str">
        <f t="shared" si="55"/>
        <v/>
      </c>
      <c r="R56" s="143" t="str">
        <f t="shared" si="55"/>
        <v/>
      </c>
      <c r="S56" s="143" t="str">
        <f t="shared" si="55"/>
        <v/>
      </c>
      <c r="T56" s="146" t="str">
        <f t="shared" si="55"/>
        <v/>
      </c>
    </row>
    <row r="57" spans="2:20" ht="14.4" x14ac:dyDescent="0.3">
      <c r="B57" s="272">
        <f t="shared" si="44"/>
        <v>55</v>
      </c>
      <c r="C57" s="150" t="s">
        <v>303</v>
      </c>
      <c r="D57" s="280" t="s">
        <v>485</v>
      </c>
      <c r="E57" s="271"/>
      <c r="F57" s="250" t="e">
        <f>_xlfn.XLOOKUP($D57,BB_Input!$C$4:$C$172,BB_Input!$G$4:$G$172)</f>
        <v>#N/A</v>
      </c>
      <c r="G57" s="144"/>
      <c r="H57" s="145"/>
      <c r="I57" s="145"/>
      <c r="J57" s="145"/>
      <c r="K57" s="145"/>
      <c r="L57" s="149"/>
      <c r="M57" s="259" t="str">
        <f>_xlfn.XLOOKUP($D57,CCA_Defense!$D:$D,CCA_Defense!T:T)</f>
        <v/>
      </c>
      <c r="N57" s="260">
        <f>_xlfn.XLOOKUP($D57,CCA_Defense!$D:$D,CCA_Defense!U:U)</f>
        <v>0</v>
      </c>
      <c r="O57" s="246" t="str">
        <f>IFERROR(_xlfn.XLOOKUP($D57,BB_Input!$C$4:$C$163,BB_Input!$CY$4:$CY$163),"")</f>
        <v/>
      </c>
      <c r="P57" s="143" t="str">
        <f t="shared" ref="P57:T57" si="56">IFERROR(O57*(1+$M57),"")</f>
        <v/>
      </c>
      <c r="Q57" s="143" t="str">
        <f t="shared" si="56"/>
        <v/>
      </c>
      <c r="R57" s="143" t="str">
        <f t="shared" si="56"/>
        <v/>
      </c>
      <c r="S57" s="143" t="str">
        <f t="shared" si="56"/>
        <v/>
      </c>
      <c r="T57" s="146" t="str">
        <f t="shared" si="56"/>
        <v/>
      </c>
    </row>
    <row r="58" spans="2:20" ht="14.4" x14ac:dyDescent="0.3">
      <c r="B58" s="272">
        <f t="shared" si="44"/>
        <v>56</v>
      </c>
      <c r="C58" s="150" t="s">
        <v>304</v>
      </c>
      <c r="D58" s="280" t="s">
        <v>484</v>
      </c>
      <c r="E58" s="271"/>
      <c r="F58" s="250" t="e">
        <f>_xlfn.XLOOKUP($D58,BB_Input!$C$4:$C$172,BB_Input!$G$4:$G$172)</f>
        <v>#N/A</v>
      </c>
      <c r="G58" s="144"/>
      <c r="H58" s="145"/>
      <c r="I58" s="145"/>
      <c r="J58" s="145"/>
      <c r="K58" s="145"/>
      <c r="L58" s="149"/>
      <c r="M58" s="259" t="str">
        <f>_xlfn.XLOOKUP($D58,CCA_Defense!$D:$D,CCA_Defense!T:T)</f>
        <v/>
      </c>
      <c r="N58" s="260">
        <f>_xlfn.XLOOKUP($D58,CCA_Defense!$D:$D,CCA_Defense!U:U)</f>
        <v>0</v>
      </c>
      <c r="O58" s="246" t="str">
        <f>IFERROR(_xlfn.XLOOKUP($D58,BB_Input!$C$4:$C$163,BB_Input!$CY$4:$CY$163),"")</f>
        <v/>
      </c>
      <c r="P58" s="143" t="str">
        <f t="shared" ref="P58:T58" si="57">IFERROR(O58*(1+$M58),"")</f>
        <v/>
      </c>
      <c r="Q58" s="143" t="str">
        <f t="shared" si="57"/>
        <v/>
      </c>
      <c r="R58" s="143" t="str">
        <f t="shared" si="57"/>
        <v/>
      </c>
      <c r="S58" s="143" t="str">
        <f t="shared" si="57"/>
        <v/>
      </c>
      <c r="T58" s="146" t="str">
        <f t="shared" si="57"/>
        <v/>
      </c>
    </row>
    <row r="59" spans="2:20" x14ac:dyDescent="0.25">
      <c r="B59" s="272">
        <f t="shared" si="44"/>
        <v>57</v>
      </c>
      <c r="C59" s="150" t="s">
        <v>305</v>
      </c>
      <c r="D59" s="278" t="s">
        <v>445</v>
      </c>
      <c r="E59" s="271"/>
      <c r="F59" s="250" t="e">
        <f>_xlfn.XLOOKUP($D59,BB_Input!$C$4:$C$172,BB_Input!$G$4:$G$172)</f>
        <v>#N/A</v>
      </c>
      <c r="G59" s="144"/>
      <c r="H59" s="145"/>
      <c r="I59" s="145"/>
      <c r="J59" s="145"/>
      <c r="K59" s="145"/>
      <c r="L59" s="149"/>
      <c r="M59" s="259" t="str">
        <f>_xlfn.XLOOKUP($D59,CCA_Defense!$D:$D,CCA_Defense!T:T)</f>
        <v/>
      </c>
      <c r="N59" s="260">
        <f>_xlfn.XLOOKUP($D59,CCA_Defense!$D:$D,CCA_Defense!U:U)</f>
        <v>0</v>
      </c>
      <c r="O59" s="246" t="str">
        <f>IFERROR(_xlfn.XLOOKUP($D59,BB_Input!$C$4:$C$163,BB_Input!$CY$4:$CY$163),"")</f>
        <v/>
      </c>
      <c r="P59" s="143" t="str">
        <f t="shared" ref="P59:T59" si="58">IFERROR(O59*(1+$M59),"")</f>
        <v/>
      </c>
      <c r="Q59" s="143" t="str">
        <f t="shared" si="58"/>
        <v/>
      </c>
      <c r="R59" s="143" t="str">
        <f t="shared" si="58"/>
        <v/>
      </c>
      <c r="S59" s="143" t="str">
        <f t="shared" si="58"/>
        <v/>
      </c>
      <c r="T59" s="146" t="str">
        <f t="shared" si="58"/>
        <v/>
      </c>
    </row>
    <row r="60" spans="2:20" x14ac:dyDescent="0.25">
      <c r="B60" s="272">
        <f t="shared" si="44"/>
        <v>58</v>
      </c>
      <c r="C60" s="150" t="s">
        <v>306</v>
      </c>
      <c r="D60" s="278" t="s">
        <v>446</v>
      </c>
      <c r="E60" s="271"/>
      <c r="F60" s="250" t="e">
        <f>_xlfn.XLOOKUP($D60,BB_Input!$C$4:$C$172,BB_Input!$G$4:$G$172)</f>
        <v>#N/A</v>
      </c>
      <c r="G60" s="144"/>
      <c r="H60" s="145"/>
      <c r="I60" s="145"/>
      <c r="J60" s="145"/>
      <c r="K60" s="145"/>
      <c r="L60" s="149"/>
      <c r="M60" s="259" t="str">
        <f>_xlfn.XLOOKUP($D60,CCA_Defense!$D:$D,CCA_Defense!T:T)</f>
        <v/>
      </c>
      <c r="N60" s="260">
        <f>_xlfn.XLOOKUP($D60,CCA_Defense!$D:$D,CCA_Defense!U:U)</f>
        <v>0</v>
      </c>
      <c r="O60" s="246" t="str">
        <f>IFERROR(_xlfn.XLOOKUP($D60,BB_Input!$C$4:$C$163,BB_Input!$CY$4:$CY$163),"")</f>
        <v/>
      </c>
      <c r="P60" s="143" t="str">
        <f t="shared" ref="P60:T60" si="59">IFERROR(O60*(1+$M60),"")</f>
        <v/>
      </c>
      <c r="Q60" s="143" t="str">
        <f t="shared" si="59"/>
        <v/>
      </c>
      <c r="R60" s="143" t="str">
        <f t="shared" si="59"/>
        <v/>
      </c>
      <c r="S60" s="143" t="str">
        <f t="shared" si="59"/>
        <v/>
      </c>
      <c r="T60" s="146" t="str">
        <f t="shared" si="59"/>
        <v/>
      </c>
    </row>
    <row r="61" spans="2:20" x14ac:dyDescent="0.25">
      <c r="B61" s="272">
        <f t="shared" si="44"/>
        <v>59</v>
      </c>
      <c r="C61" s="150" t="s">
        <v>307</v>
      </c>
      <c r="D61" s="278" t="s">
        <v>447</v>
      </c>
      <c r="E61" s="271"/>
      <c r="F61" s="250" t="e">
        <f>_xlfn.XLOOKUP($D61,BB_Input!$C$4:$C$172,BB_Input!$G$4:$G$172)</f>
        <v>#N/A</v>
      </c>
      <c r="G61" s="144"/>
      <c r="H61" s="145"/>
      <c r="I61" s="145"/>
      <c r="J61" s="145"/>
      <c r="K61" s="145"/>
      <c r="L61" s="149"/>
      <c r="M61" s="259" t="str">
        <f>_xlfn.XLOOKUP($D61,CCA_Defense!$D:$D,CCA_Defense!T:T)</f>
        <v/>
      </c>
      <c r="N61" s="260">
        <f>_xlfn.XLOOKUP($D61,CCA_Defense!$D:$D,CCA_Defense!U:U)</f>
        <v>0</v>
      </c>
      <c r="O61" s="246" t="str">
        <f>IFERROR(_xlfn.XLOOKUP($D61,BB_Input!$C$4:$C$163,BB_Input!$CY$4:$CY$163),"")</f>
        <v/>
      </c>
      <c r="P61" s="143" t="str">
        <f t="shared" ref="P61:T61" si="60">IFERROR(O61*(1+$M61),"")</f>
        <v/>
      </c>
      <c r="Q61" s="143" t="str">
        <f t="shared" si="60"/>
        <v/>
      </c>
      <c r="R61" s="143" t="str">
        <f t="shared" si="60"/>
        <v/>
      </c>
      <c r="S61" s="143" t="str">
        <f t="shared" si="60"/>
        <v/>
      </c>
      <c r="T61" s="146" t="str">
        <f t="shared" si="60"/>
        <v/>
      </c>
    </row>
    <row r="62" spans="2:20" x14ac:dyDescent="0.25">
      <c r="B62" s="272">
        <f t="shared" si="44"/>
        <v>60</v>
      </c>
      <c r="C62" s="150" t="s">
        <v>308</v>
      </c>
      <c r="D62" s="278" t="s">
        <v>448</v>
      </c>
      <c r="E62" s="271"/>
      <c r="F62" s="250" t="e">
        <f>_xlfn.XLOOKUP($D62,BB_Input!$C$4:$C$172,BB_Input!$G$4:$G$172)</f>
        <v>#N/A</v>
      </c>
      <c r="G62" s="144"/>
      <c r="H62" s="145"/>
      <c r="I62" s="145"/>
      <c r="J62" s="145"/>
      <c r="K62" s="145"/>
      <c r="L62" s="149"/>
      <c r="M62" s="259" t="str">
        <f>_xlfn.XLOOKUP($D62,CCA_Defense!$D:$D,CCA_Defense!T:T)</f>
        <v/>
      </c>
      <c r="N62" s="260">
        <f>_xlfn.XLOOKUP($D62,CCA_Defense!$D:$D,CCA_Defense!U:U)</f>
        <v>0</v>
      </c>
      <c r="O62" s="246" t="str">
        <f>IFERROR(_xlfn.XLOOKUP($D62,BB_Input!$C$4:$C$163,BB_Input!$CY$4:$CY$163),"")</f>
        <v/>
      </c>
      <c r="P62" s="143" t="str">
        <f t="shared" ref="P62:T62" si="61">IFERROR(O62*(1+$M62),"")</f>
        <v/>
      </c>
      <c r="Q62" s="143" t="str">
        <f t="shared" si="61"/>
        <v/>
      </c>
      <c r="R62" s="143" t="str">
        <f t="shared" si="61"/>
        <v/>
      </c>
      <c r="S62" s="143" t="str">
        <f t="shared" si="61"/>
        <v/>
      </c>
      <c r="T62" s="146" t="str">
        <f t="shared" si="61"/>
        <v/>
      </c>
    </row>
    <row r="63" spans="2:20" x14ac:dyDescent="0.25">
      <c r="B63" s="272">
        <f t="shared" si="44"/>
        <v>61</v>
      </c>
      <c r="C63" s="150" t="s">
        <v>309</v>
      </c>
      <c r="D63" s="278" t="s">
        <v>449</v>
      </c>
      <c r="E63" s="271"/>
      <c r="F63" s="250" t="e">
        <f>_xlfn.XLOOKUP($D63,BB_Input!$C$4:$C$172,BB_Input!$G$4:$G$172)</f>
        <v>#N/A</v>
      </c>
      <c r="G63" s="144"/>
      <c r="H63" s="145"/>
      <c r="I63" s="145"/>
      <c r="J63" s="145"/>
      <c r="K63" s="145"/>
      <c r="L63" s="149"/>
      <c r="M63" s="259" t="str">
        <f>_xlfn.XLOOKUP($D63,CCA_Defense!$D:$D,CCA_Defense!T:T)</f>
        <v/>
      </c>
      <c r="N63" s="260">
        <f>_xlfn.XLOOKUP($D63,CCA_Defense!$D:$D,CCA_Defense!U:U)</f>
        <v>0</v>
      </c>
      <c r="O63" s="246" t="str">
        <f>IFERROR(_xlfn.XLOOKUP($D63,BB_Input!$C$4:$C$163,BB_Input!$CY$4:$CY$163),"")</f>
        <v/>
      </c>
      <c r="P63" s="143" t="str">
        <f t="shared" ref="P63:T63" si="62">IFERROR(O63*(1+$M63),"")</f>
        <v/>
      </c>
      <c r="Q63" s="143" t="str">
        <f t="shared" si="62"/>
        <v/>
      </c>
      <c r="R63" s="143" t="str">
        <f t="shared" si="62"/>
        <v/>
      </c>
      <c r="S63" s="143" t="str">
        <f t="shared" si="62"/>
        <v/>
      </c>
      <c r="T63" s="146" t="str">
        <f t="shared" si="62"/>
        <v/>
      </c>
    </row>
    <row r="64" spans="2:20" x14ac:dyDescent="0.25">
      <c r="B64" s="272">
        <f t="shared" si="44"/>
        <v>62</v>
      </c>
      <c r="C64" s="150" t="s">
        <v>310</v>
      </c>
      <c r="D64" s="278" t="s">
        <v>450</v>
      </c>
      <c r="E64" s="271"/>
      <c r="F64" s="250" t="e">
        <f>_xlfn.XLOOKUP($D64,BB_Input!$C$4:$C$172,BB_Input!$G$4:$G$172)</f>
        <v>#N/A</v>
      </c>
      <c r="G64" s="144"/>
      <c r="H64" s="145"/>
      <c r="I64" s="145"/>
      <c r="J64" s="145"/>
      <c r="K64" s="145"/>
      <c r="L64" s="149"/>
      <c r="M64" s="259" t="str">
        <f>_xlfn.XLOOKUP($D64,CCA_Defense!$D:$D,CCA_Defense!T:T)</f>
        <v/>
      </c>
      <c r="N64" s="260">
        <f>_xlfn.XLOOKUP($D64,CCA_Defense!$D:$D,CCA_Defense!U:U)</f>
        <v>0</v>
      </c>
      <c r="O64" s="246" t="str">
        <f>IFERROR(_xlfn.XLOOKUP($D64,BB_Input!$C$4:$C$163,BB_Input!$CY$4:$CY$163),"")</f>
        <v/>
      </c>
      <c r="P64" s="143" t="str">
        <f t="shared" ref="P64:T64" si="63">IFERROR(O64*(1+$M64),"")</f>
        <v/>
      </c>
      <c r="Q64" s="143" t="str">
        <f t="shared" si="63"/>
        <v/>
      </c>
      <c r="R64" s="143" t="str">
        <f t="shared" si="63"/>
        <v/>
      </c>
      <c r="S64" s="143" t="str">
        <f t="shared" si="63"/>
        <v/>
      </c>
      <c r="T64" s="146" t="str">
        <f t="shared" si="63"/>
        <v/>
      </c>
    </row>
    <row r="65" spans="2:20" ht="14.4" x14ac:dyDescent="0.3">
      <c r="B65" s="272">
        <f t="shared" si="44"/>
        <v>63</v>
      </c>
      <c r="C65" s="150" t="s">
        <v>311</v>
      </c>
      <c r="D65" s="280" t="s">
        <v>488</v>
      </c>
      <c r="E65" s="271"/>
      <c r="F65" s="250" t="e">
        <f>_xlfn.XLOOKUP($D65,BB_Input!$C$4:$C$172,BB_Input!$G$4:$G$172)</f>
        <v>#N/A</v>
      </c>
      <c r="G65" s="144"/>
      <c r="H65" s="145"/>
      <c r="I65" s="145"/>
      <c r="J65" s="145"/>
      <c r="K65" s="145"/>
      <c r="L65" s="149"/>
      <c r="M65" s="259" t="str">
        <f>_xlfn.XLOOKUP($D65,CCA_Defense!$D:$D,CCA_Defense!T:T)</f>
        <v/>
      </c>
      <c r="N65" s="260">
        <f>_xlfn.XLOOKUP($D65,CCA_Defense!$D:$D,CCA_Defense!U:U)</f>
        <v>0</v>
      </c>
      <c r="O65" s="246" t="str">
        <f>IFERROR(_xlfn.XLOOKUP($D65,BB_Input!$C$4:$C$163,BB_Input!$CY$4:$CY$163),"")</f>
        <v/>
      </c>
      <c r="P65" s="143" t="str">
        <f t="shared" ref="P65:T65" si="64">IFERROR(O65*(1+$M65),"")</f>
        <v/>
      </c>
      <c r="Q65" s="143" t="str">
        <f t="shared" si="64"/>
        <v/>
      </c>
      <c r="R65" s="143" t="str">
        <f t="shared" si="64"/>
        <v/>
      </c>
      <c r="S65" s="143" t="str">
        <f t="shared" si="64"/>
        <v/>
      </c>
      <c r="T65" s="146" t="str">
        <f t="shared" si="64"/>
        <v/>
      </c>
    </row>
    <row r="66" spans="2:20" ht="14.4" x14ac:dyDescent="0.3">
      <c r="B66" s="272">
        <f t="shared" si="44"/>
        <v>64</v>
      </c>
      <c r="C66" s="150" t="s">
        <v>312</v>
      </c>
      <c r="D66" s="280" t="s">
        <v>487</v>
      </c>
      <c r="E66" s="271"/>
      <c r="F66" s="250" t="e">
        <f>_xlfn.XLOOKUP($D66,BB_Input!$C$4:$C$172,BB_Input!$G$4:$G$172)</f>
        <v>#N/A</v>
      </c>
      <c r="G66" s="144"/>
      <c r="H66" s="145"/>
      <c r="I66" s="145"/>
      <c r="J66" s="145"/>
      <c r="K66" s="145"/>
      <c r="L66" s="149"/>
      <c r="M66" s="259" t="str">
        <f>_xlfn.XLOOKUP($D66,CCA_Defense!$D:$D,CCA_Defense!T:T)</f>
        <v/>
      </c>
      <c r="N66" s="260">
        <f>_xlfn.XLOOKUP($D66,CCA_Defense!$D:$D,CCA_Defense!U:U)</f>
        <v>0</v>
      </c>
      <c r="O66" s="246" t="str">
        <f>IFERROR(_xlfn.XLOOKUP($D66,BB_Input!$C$4:$C$163,BB_Input!$CY$4:$CY$163),"")</f>
        <v/>
      </c>
      <c r="P66" s="143" t="str">
        <f t="shared" ref="P66:T66" si="65">IFERROR(O66*(1+$M66),"")</f>
        <v/>
      </c>
      <c r="Q66" s="143" t="str">
        <f t="shared" si="65"/>
        <v/>
      </c>
      <c r="R66" s="143" t="str">
        <f t="shared" si="65"/>
        <v/>
      </c>
      <c r="S66" s="143" t="str">
        <f t="shared" si="65"/>
        <v/>
      </c>
      <c r="T66" s="146" t="str">
        <f t="shared" si="65"/>
        <v/>
      </c>
    </row>
    <row r="67" spans="2:20" x14ac:dyDescent="0.25">
      <c r="B67" s="272">
        <f t="shared" si="44"/>
        <v>65</v>
      </c>
      <c r="C67" s="150" t="s">
        <v>313</v>
      </c>
      <c r="D67" s="278" t="s">
        <v>451</v>
      </c>
      <c r="E67" s="271"/>
      <c r="F67" s="250" t="e">
        <f>_xlfn.XLOOKUP($D67,BB_Input!$C$4:$C$172,BB_Input!$G$4:$G$172)</f>
        <v>#N/A</v>
      </c>
      <c r="G67" s="144"/>
      <c r="H67" s="145"/>
      <c r="I67" s="145"/>
      <c r="J67" s="145"/>
      <c r="K67" s="145"/>
      <c r="L67" s="149"/>
      <c r="M67" s="259" t="str">
        <f>_xlfn.XLOOKUP($D67,CCA_Defense!$D:$D,CCA_Defense!T:T)</f>
        <v/>
      </c>
      <c r="N67" s="260">
        <f>_xlfn.XLOOKUP($D67,CCA_Defense!$D:$D,CCA_Defense!U:U)</f>
        <v>0</v>
      </c>
      <c r="O67" s="246" t="str">
        <f>IFERROR(_xlfn.XLOOKUP($D67,BB_Input!$C$4:$C$163,BB_Input!$CY$4:$CY$163),"")</f>
        <v/>
      </c>
      <c r="P67" s="143" t="str">
        <f t="shared" ref="P67:T67" si="66">IFERROR(O67*(1+$M67),"")</f>
        <v/>
      </c>
      <c r="Q67" s="143" t="str">
        <f t="shared" si="66"/>
        <v/>
      </c>
      <c r="R67" s="143" t="str">
        <f t="shared" si="66"/>
        <v/>
      </c>
      <c r="S67" s="143" t="str">
        <f t="shared" si="66"/>
        <v/>
      </c>
      <c r="T67" s="146" t="str">
        <f t="shared" si="66"/>
        <v/>
      </c>
    </row>
    <row r="68" spans="2:20" x14ac:dyDescent="0.25">
      <c r="B68" s="272">
        <f t="shared" si="44"/>
        <v>66</v>
      </c>
      <c r="C68" s="150" t="s">
        <v>392</v>
      </c>
      <c r="D68" s="278" t="s">
        <v>402</v>
      </c>
      <c r="E68" s="271" t="s">
        <v>402</v>
      </c>
      <c r="F68" s="250">
        <f>_xlfn.XLOOKUP($D68,BB_Input!$C$4:$C$172,BB_Input!$G$4:$G$172)</f>
        <v>6066.7162520526335</v>
      </c>
      <c r="G68" s="144">
        <f>_xlfn.XLOOKUP($D68,CCA_Defense!$D:$D,CCA_Defense!M:M)</f>
        <v>23.7</v>
      </c>
      <c r="H68" s="145">
        <f>_xlfn.XLOOKUP($D68,CCA_Defense!$D:$D,CCA_Defense!N:N)</f>
        <v>15.589055700103192</v>
      </c>
      <c r="I68" s="145">
        <f>_xlfn.XLOOKUP($D68,CCA_Defense!$D:$D,CCA_Defense!O:O)</f>
        <v>12.706684693668469</v>
      </c>
      <c r="J68" s="145">
        <f>_xlfn.XLOOKUP($D68,CCA_Defense!$D:$D,CCA_Defense!P:P)</f>
        <v>11.629351240557044</v>
      </c>
      <c r="K68" s="145">
        <f>_xlfn.XLOOKUP($D68,CCA_Defense!$D:$D,CCA_Defense!Q:Q)</f>
        <v>12.473983548109331</v>
      </c>
      <c r="L68" s="149" t="str">
        <f>_xlfn.XLOOKUP($D68,CCA_Defense!$D:$D,CCA_Defense!R:R)</f>
        <v/>
      </c>
      <c r="M68" s="259">
        <f>_xlfn.XLOOKUP($D68,CCA_Defense!$D:$D,CCA_Defense!T:T)</f>
        <v>-2.0937532772013052E-3</v>
      </c>
      <c r="N68" s="260">
        <f>_xlfn.XLOOKUP($D68,CCA_Defense!$D:$D,CCA_Defense!U:U)</f>
        <v>0</v>
      </c>
      <c r="O68" s="246">
        <f>IFERROR(_xlfn.XLOOKUP($D68,BB_Input!$C$4:$C$163,BB_Input!$CY$4:$CY$163),"")</f>
        <v>1017402.6</v>
      </c>
      <c r="P68" s="143">
        <f t="shared" ref="P68:T68" si="67">IFERROR(O68*(1+$M68),"")</f>
        <v>1015272.4099720168</v>
      </c>
      <c r="Q68" s="143">
        <f t="shared" si="67"/>
        <v>1013146.6800363859</v>
      </c>
      <c r="R68" s="143">
        <f t="shared" si="67"/>
        <v>1011025.4008547741</v>
      </c>
      <c r="S68" s="143">
        <f t="shared" si="67"/>
        <v>1008908.5631084007</v>
      </c>
      <c r="T68" s="146">
        <f t="shared" si="67"/>
        <v>1006796.157497996</v>
      </c>
    </row>
    <row r="69" spans="2:20" x14ac:dyDescent="0.25">
      <c r="B69" s="274">
        <f t="shared" si="44"/>
        <v>67</v>
      </c>
      <c r="C69" s="269" t="s">
        <v>116</v>
      </c>
      <c r="D69" s="277" t="s">
        <v>111</v>
      </c>
      <c r="E69" s="281" t="s">
        <v>111</v>
      </c>
      <c r="F69" s="250">
        <f>_xlfn.XLOOKUP($D69,BB_Input!$C$4:$C$172,BB_Input!$G$4:$G$172)</f>
        <v>266.42668357637672</v>
      </c>
      <c r="G69" s="218">
        <f>_xlfn.XLOOKUP($D69,CCA_Defense!$D:$D,CCA_Defense!M:M)</f>
        <v>353</v>
      </c>
      <c r="H69" s="219">
        <f>_xlfn.XLOOKUP($D69,CCA_Defense!$D:$D,CCA_Defense!N:N)</f>
        <v>77.575307745611653</v>
      </c>
      <c r="I69" s="219">
        <f>_xlfn.XLOOKUP($D69,CCA_Defense!$D:$D,CCA_Defense!O:O)</f>
        <v>72.408744262758532</v>
      </c>
      <c r="J69" s="219">
        <f>_xlfn.XLOOKUP($D69,CCA_Defense!$D:$D,CCA_Defense!P:P)</f>
        <v>67.586277103827058</v>
      </c>
      <c r="K69" s="219">
        <f>_xlfn.XLOOKUP($D69,CCA_Defense!$D:$D,CCA_Defense!Q:Q)</f>
        <v>63.084989240790826</v>
      </c>
      <c r="L69" s="294">
        <f>_xlfn.XLOOKUP($D69,CCA_Defense!$D:$D,CCA_Defense!R:R)</f>
        <v>58.883489933866201</v>
      </c>
      <c r="M69" s="261">
        <f>_xlfn.XLOOKUP($D69,CCA_Defense!$D:$D,CCA_Defense!T:T)</f>
        <v>0.10286313147795072</v>
      </c>
      <c r="N69" s="262">
        <f>_xlfn.XLOOKUP($D69,CCA_Defense!$D:$D,CCA_Defense!U:U)</f>
        <v>0</v>
      </c>
      <c r="O69" s="246">
        <f>IFERROR(_xlfn.XLOOKUP($D69,BB_Input!$C$4:$C$163,BB_Input!$CY$4:$CY$163),"")</f>
        <v>7593.8190000000004</v>
      </c>
      <c r="P69" s="143">
        <f t="shared" ref="P69:T69" si="68">IFERROR(O69*(1+$M69),"")</f>
        <v>8374.9430022167599</v>
      </c>
      <c r="Q69" s="143">
        <f t="shared" si="68"/>
        <v>9236.4158653741251</v>
      </c>
      <c r="R69" s="143">
        <f t="shared" si="68"/>
        <v>10186.502524919133</v>
      </c>
      <c r="S69" s="143">
        <f t="shared" si="68"/>
        <v>11234.318073440367</v>
      </c>
      <c r="T69" s="146">
        <f t="shared" si="68"/>
        <v>12389.91521049378</v>
      </c>
    </row>
    <row r="70" spans="2:20" x14ac:dyDescent="0.25">
      <c r="B70" s="271">
        <f t="shared" si="44"/>
        <v>68</v>
      </c>
      <c r="C70" s="268" t="s">
        <v>395</v>
      </c>
      <c r="D70" s="277" t="s">
        <v>478</v>
      </c>
      <c r="E70" s="150"/>
      <c r="F70" s="250" t="e">
        <f>_xlfn.XLOOKUP($D70,BB_Input!$C$4:$C$172,BB_Input!$G$4:$G$172)</f>
        <v>#N/A</v>
      </c>
      <c r="G70" s="295"/>
      <c r="H70" s="145"/>
      <c r="I70" s="145"/>
      <c r="J70" s="145"/>
      <c r="K70" s="145"/>
      <c r="L70" s="149"/>
      <c r="M70" s="259" t="str">
        <f>_xlfn.XLOOKUP($D70,CCA_Defense!$D:$D,CCA_Defense!T:T)</f>
        <v/>
      </c>
      <c r="N70" s="260">
        <f>_xlfn.XLOOKUP($D70,CCA_Defense!$D:$D,CCA_Defense!U:U)</f>
        <v>0</v>
      </c>
      <c r="O70" s="246" t="str">
        <f>IFERROR(_xlfn.XLOOKUP($D70,BB_Input!$C$4:$C$163,BB_Input!$CY$4:$CY$163),"")</f>
        <v/>
      </c>
      <c r="P70" s="143" t="str">
        <f t="shared" ref="P70:T70" si="69">IFERROR(O70*(1+$M70),"")</f>
        <v/>
      </c>
      <c r="Q70" s="143" t="str">
        <f t="shared" si="69"/>
        <v/>
      </c>
      <c r="R70" s="143" t="str">
        <f t="shared" si="69"/>
        <v/>
      </c>
      <c r="S70" s="143" t="str">
        <f t="shared" si="69"/>
        <v/>
      </c>
      <c r="T70" s="146" t="str">
        <f t="shared" si="69"/>
        <v/>
      </c>
    </row>
    <row r="71" spans="2:20" x14ac:dyDescent="0.25">
      <c r="B71" s="271">
        <f t="shared" si="44"/>
        <v>69</v>
      </c>
      <c r="C71" s="268" t="s">
        <v>396</v>
      </c>
      <c r="D71" s="277" t="s">
        <v>479</v>
      </c>
      <c r="E71" s="150"/>
      <c r="F71" s="250" t="e">
        <f>_xlfn.XLOOKUP($D71,BB_Input!$C$4:$C$172,BB_Input!$G$4:$G$172)</f>
        <v>#N/A</v>
      </c>
      <c r="G71" s="295"/>
      <c r="H71" s="145"/>
      <c r="I71" s="145"/>
      <c r="J71" s="145"/>
      <c r="K71" s="145"/>
      <c r="L71" s="149"/>
      <c r="M71" s="259" t="str">
        <f>_xlfn.XLOOKUP($D71,CCA_Defense!$D:$D,CCA_Defense!T:T)</f>
        <v/>
      </c>
      <c r="N71" s="260">
        <f>_xlfn.XLOOKUP($D71,CCA_Defense!$D:$D,CCA_Defense!U:U)</f>
        <v>0</v>
      </c>
      <c r="O71" s="246" t="str">
        <f>IFERROR(_xlfn.XLOOKUP($D71,BB_Input!$C$4:$C$163,BB_Input!$CY$4:$CY$163),"")</f>
        <v/>
      </c>
      <c r="P71" s="143" t="str">
        <f t="shared" ref="P71:T71" si="70">IFERROR(O71*(1+$M71),"")</f>
        <v/>
      </c>
      <c r="Q71" s="143" t="str">
        <f t="shared" si="70"/>
        <v/>
      </c>
      <c r="R71" s="143" t="str">
        <f t="shared" si="70"/>
        <v/>
      </c>
      <c r="S71" s="143" t="str">
        <f t="shared" si="70"/>
        <v/>
      </c>
      <c r="T71" s="146" t="str">
        <f t="shared" si="70"/>
        <v/>
      </c>
    </row>
    <row r="72" spans="2:20" x14ac:dyDescent="0.25">
      <c r="B72" s="271">
        <f t="shared" si="44"/>
        <v>70</v>
      </c>
      <c r="C72" s="268" t="s">
        <v>397</v>
      </c>
      <c r="D72" s="277" t="s">
        <v>480</v>
      </c>
      <c r="E72" s="150"/>
      <c r="F72" s="250" t="e">
        <f>_xlfn.XLOOKUP($D72,BB_Input!$C$4:$C$172,BB_Input!$G$4:$G$172)</f>
        <v>#N/A</v>
      </c>
      <c r="G72" s="295"/>
      <c r="H72" s="145"/>
      <c r="I72" s="145"/>
      <c r="J72" s="145"/>
      <c r="K72" s="145"/>
      <c r="L72" s="149"/>
      <c r="M72" s="259" t="str">
        <f>_xlfn.XLOOKUP($D72,CCA_Defense!$D:$D,CCA_Defense!T:T)</f>
        <v/>
      </c>
      <c r="N72" s="260">
        <f>_xlfn.XLOOKUP($D72,CCA_Defense!$D:$D,CCA_Defense!U:U)</f>
        <v>0</v>
      </c>
      <c r="O72" s="246" t="str">
        <f>IFERROR(_xlfn.XLOOKUP($D72,BB_Input!$C$4:$C$163,BB_Input!$CY$4:$CY$163),"")</f>
        <v/>
      </c>
      <c r="P72" s="143" t="str">
        <f t="shared" ref="P72:T72" si="71">IFERROR(O72*(1+$M72),"")</f>
        <v/>
      </c>
      <c r="Q72" s="143" t="str">
        <f t="shared" si="71"/>
        <v/>
      </c>
      <c r="R72" s="143" t="str">
        <f t="shared" si="71"/>
        <v/>
      </c>
      <c r="S72" s="143" t="str">
        <f t="shared" si="71"/>
        <v/>
      </c>
      <c r="T72" s="146" t="str">
        <f t="shared" si="71"/>
        <v/>
      </c>
    </row>
    <row r="73" spans="2:20" ht="14.4" x14ac:dyDescent="0.3">
      <c r="B73" s="271">
        <f t="shared" si="44"/>
        <v>71</v>
      </c>
      <c r="C73" s="268" t="s">
        <v>398</v>
      </c>
      <c r="D73" s="280" t="s">
        <v>486</v>
      </c>
      <c r="E73" s="150"/>
      <c r="F73" s="250" t="e">
        <f>_xlfn.XLOOKUP($D73,BB_Input!$C$4:$C$172,BB_Input!$G$4:$G$172)</f>
        <v>#N/A</v>
      </c>
      <c r="G73" s="295"/>
      <c r="H73" s="145"/>
      <c r="I73" s="145"/>
      <c r="J73" s="145"/>
      <c r="K73" s="145"/>
      <c r="L73" s="149"/>
      <c r="M73" s="259" t="str">
        <f>_xlfn.XLOOKUP($D73,CCA_Defense!$D:$D,CCA_Defense!T:T)</f>
        <v/>
      </c>
      <c r="N73" s="260">
        <f>_xlfn.XLOOKUP($D73,CCA_Defense!$D:$D,CCA_Defense!U:U)</f>
        <v>0</v>
      </c>
      <c r="O73" s="246" t="str">
        <f>IFERROR(_xlfn.XLOOKUP($D73,BB_Input!$C$4:$C$163,BB_Input!$CY$4:$CY$163),"")</f>
        <v/>
      </c>
      <c r="P73" s="143" t="str">
        <f t="shared" ref="P73:T73" si="72">IFERROR(O73*(1+$M73),"")</f>
        <v/>
      </c>
      <c r="Q73" s="143" t="str">
        <f t="shared" si="72"/>
        <v/>
      </c>
      <c r="R73" s="143" t="str">
        <f t="shared" si="72"/>
        <v/>
      </c>
      <c r="S73" s="143" t="str">
        <f t="shared" si="72"/>
        <v/>
      </c>
      <c r="T73" s="146" t="str">
        <f t="shared" si="72"/>
        <v/>
      </c>
    </row>
    <row r="74" spans="2:20" x14ac:dyDescent="0.25">
      <c r="B74" s="271">
        <f t="shared" si="44"/>
        <v>72</v>
      </c>
      <c r="C74" s="268" t="s">
        <v>399</v>
      </c>
      <c r="D74" s="277" t="s">
        <v>481</v>
      </c>
      <c r="E74" s="150"/>
      <c r="F74" s="250" t="e">
        <f>_xlfn.XLOOKUP($D74,BB_Input!$C$4:$C$172,BB_Input!$G$4:$G$172)</f>
        <v>#N/A</v>
      </c>
      <c r="G74" s="295"/>
      <c r="H74" s="145"/>
      <c r="I74" s="145"/>
      <c r="J74" s="145"/>
      <c r="K74" s="145"/>
      <c r="L74" s="149"/>
      <c r="M74" s="259" t="str">
        <f>_xlfn.XLOOKUP($D74,CCA_Defense!$D:$D,CCA_Defense!T:T)</f>
        <v/>
      </c>
      <c r="N74" s="260">
        <f>_xlfn.XLOOKUP($D74,CCA_Defense!$D:$D,CCA_Defense!U:U)</f>
        <v>0</v>
      </c>
      <c r="O74" s="246" t="str">
        <f>IFERROR(_xlfn.XLOOKUP($D74,BB_Input!$C$4:$C$163,BB_Input!$CY$4:$CY$163),"")</f>
        <v/>
      </c>
      <c r="P74" s="143" t="str">
        <f t="shared" ref="P74:T74" si="73">IFERROR(O74*(1+$M74),"")</f>
        <v/>
      </c>
      <c r="Q74" s="143" t="str">
        <f t="shared" si="73"/>
        <v/>
      </c>
      <c r="R74" s="143" t="str">
        <f t="shared" si="73"/>
        <v/>
      </c>
      <c r="S74" s="143" t="str">
        <f t="shared" si="73"/>
        <v/>
      </c>
      <c r="T74" s="146" t="str">
        <f t="shared" si="73"/>
        <v/>
      </c>
    </row>
    <row r="75" spans="2:20" x14ac:dyDescent="0.25">
      <c r="B75" s="271">
        <f t="shared" si="44"/>
        <v>73</v>
      </c>
      <c r="C75" s="268" t="s">
        <v>400</v>
      </c>
      <c r="D75" s="277" t="s">
        <v>482</v>
      </c>
      <c r="E75" s="150"/>
      <c r="F75" s="250" t="e">
        <f>_xlfn.XLOOKUP($D75,BB_Input!$C$4:$C$172,BB_Input!$G$4:$G$172)</f>
        <v>#N/A</v>
      </c>
      <c r="G75" s="295"/>
      <c r="H75" s="145"/>
      <c r="I75" s="145"/>
      <c r="J75" s="145"/>
      <c r="K75" s="145"/>
      <c r="L75" s="149"/>
      <c r="M75" s="259" t="str">
        <f>_xlfn.XLOOKUP($D75,CCA_Defense!$D:$D,CCA_Defense!T:T)</f>
        <v/>
      </c>
      <c r="N75" s="260">
        <f>_xlfn.XLOOKUP($D75,CCA_Defense!$D:$D,CCA_Defense!U:U)</f>
        <v>0</v>
      </c>
      <c r="O75" s="246" t="str">
        <f>IFERROR(_xlfn.XLOOKUP($D75,BB_Input!$C$4:$C$163,BB_Input!$CY$4:$CY$163),"")</f>
        <v/>
      </c>
      <c r="P75" s="143" t="str">
        <f t="shared" ref="P75:T75" si="74">IFERROR(O75*(1+$M75),"")</f>
        <v/>
      </c>
      <c r="Q75" s="143" t="str">
        <f t="shared" si="74"/>
        <v/>
      </c>
      <c r="R75" s="143" t="str">
        <f t="shared" si="74"/>
        <v/>
      </c>
      <c r="S75" s="143" t="str">
        <f t="shared" si="74"/>
        <v/>
      </c>
      <c r="T75" s="146" t="str">
        <f t="shared" si="74"/>
        <v/>
      </c>
    </row>
    <row r="76" spans="2:20" x14ac:dyDescent="0.25">
      <c r="B76" s="271">
        <f t="shared" si="44"/>
        <v>74</v>
      </c>
      <c r="C76" s="268" t="s">
        <v>404</v>
      </c>
      <c r="D76" s="277" t="s">
        <v>483</v>
      </c>
      <c r="E76" s="150"/>
      <c r="F76" s="250" t="e">
        <f>_xlfn.XLOOKUP($D76,BB_Input!$C$4:$C$172,BB_Input!$G$4:$G$172)</f>
        <v>#N/A</v>
      </c>
      <c r="G76" s="295"/>
      <c r="H76" s="145"/>
      <c r="I76" s="145"/>
      <c r="J76" s="145"/>
      <c r="K76" s="145"/>
      <c r="L76" s="149"/>
      <c r="M76" s="259" t="str">
        <f>_xlfn.XLOOKUP($D76,CCA_Defense!$D:$D,CCA_Defense!T:T)</f>
        <v/>
      </c>
      <c r="N76" s="260">
        <f>_xlfn.XLOOKUP($D76,CCA_Defense!$D:$D,CCA_Defense!U:U)</f>
        <v>0</v>
      </c>
      <c r="O76" s="246" t="str">
        <f>IFERROR(_xlfn.XLOOKUP($D76,BB_Input!$C$4:$C$163,BB_Input!$CY$4:$CY$163),"")</f>
        <v/>
      </c>
      <c r="P76" s="143" t="str">
        <f t="shared" ref="P76:T76" si="75">IFERROR(O76*(1+$M76),"")</f>
        <v/>
      </c>
      <c r="Q76" s="143" t="str">
        <f t="shared" si="75"/>
        <v/>
      </c>
      <c r="R76" s="143" t="str">
        <f t="shared" si="75"/>
        <v/>
      </c>
      <c r="S76" s="143" t="str">
        <f t="shared" si="75"/>
        <v/>
      </c>
      <c r="T76" s="146" t="str">
        <f t="shared" si="75"/>
        <v/>
      </c>
    </row>
    <row r="77" spans="2:20" x14ac:dyDescent="0.25">
      <c r="B77" s="272">
        <f t="shared" si="44"/>
        <v>75</v>
      </c>
      <c r="C77" s="150" t="s">
        <v>106</v>
      </c>
      <c r="D77" s="277" t="s">
        <v>113</v>
      </c>
      <c r="E77" s="271" t="s">
        <v>113</v>
      </c>
      <c r="F77" s="250">
        <f>_xlfn.XLOOKUP($D77,BB_Input!$C$4:$C$172,BB_Input!$G$4:$G$172)</f>
        <v>528.31030807688762</v>
      </c>
      <c r="G77" s="144">
        <f>_xlfn.XLOOKUP($D77,CCA_Defense!$D:$D,CCA_Defense!M:M)</f>
        <v>64</v>
      </c>
      <c r="H77" s="145">
        <f>_xlfn.XLOOKUP($D77,CCA_Defense!$D:$D,CCA_Defense!N:N)</f>
        <v>68.982587497753329</v>
      </c>
      <c r="I77" s="145">
        <f>_xlfn.XLOOKUP($D77,CCA_Defense!$D:$D,CCA_Defense!O:O)</f>
        <v>40.407862717885486</v>
      </c>
      <c r="J77" s="145">
        <f>_xlfn.XLOOKUP($D77,CCA_Defense!$D:$D,CCA_Defense!P:P)</f>
        <v>23.669674169306241</v>
      </c>
      <c r="K77" s="145">
        <f>_xlfn.XLOOKUP($D77,CCA_Defense!$D:$D,CCA_Defense!Q:Q)</f>
        <v>13.864961856375084</v>
      </c>
      <c r="L77" s="149">
        <f>_xlfn.XLOOKUP($D77,CCA_Defense!$D:$D,CCA_Defense!R:R)</f>
        <v>8.1216651274405987</v>
      </c>
      <c r="M77" s="259">
        <f>_xlfn.XLOOKUP($D77,CCA_Defense!$D:$D,CCA_Defense!T:T)</f>
        <v>0.70715753959488648</v>
      </c>
      <c r="N77" s="260">
        <f>_xlfn.XLOOKUP($D77,CCA_Defense!$D:$D,CCA_Defense!U:U)</f>
        <v>0.375</v>
      </c>
      <c r="O77" s="246">
        <f>IFERROR(_xlfn.XLOOKUP($D77,BB_Input!$C$4:$C$163,BB_Input!$CY$4:$CY$163),"")</f>
        <v>2429.2579999999998</v>
      </c>
      <c r="P77" s="143">
        <f>IFERROR(O77*(1+$N77),"")</f>
        <v>3340.2297499999995</v>
      </c>
      <c r="Q77" s="143">
        <f t="shared" ref="Q77:T77" si="76">IFERROR(P77*(1+$N77),"")</f>
        <v>4592.815906249999</v>
      </c>
      <c r="R77" s="143">
        <f t="shared" si="76"/>
        <v>6315.1218710937483</v>
      </c>
      <c r="S77" s="143">
        <f t="shared" si="76"/>
        <v>8683.2925727539041</v>
      </c>
      <c r="T77" s="146">
        <f t="shared" si="76"/>
        <v>11939.527287536617</v>
      </c>
    </row>
    <row r="78" spans="2:20" x14ac:dyDescent="0.25">
      <c r="B78" s="271">
        <f t="shared" ref="B78:B80" si="77">B77+1</f>
        <v>76</v>
      </c>
      <c r="C78" s="268" t="s">
        <v>475</v>
      </c>
      <c r="D78" s="277" t="s">
        <v>477</v>
      </c>
      <c r="E78" s="271" t="s">
        <v>477</v>
      </c>
      <c r="F78" s="250">
        <f>_xlfn.XLOOKUP($D78,BB_Input!$C$4:$C$172,BB_Input!$G$4:$G$172)</f>
        <v>40.354107655973408</v>
      </c>
      <c r="G78" s="144">
        <f>_xlfn.XLOOKUP($D78,CCA_Defense!$D:$D,CCA_Defense!M:M)</f>
        <v>107</v>
      </c>
      <c r="H78" s="145">
        <f>_xlfn.XLOOKUP($D78,CCA_Defense!$D:$D,CCA_Defense!N:N)</f>
        <v>72.408949814753399</v>
      </c>
      <c r="I78" s="145">
        <f>_xlfn.XLOOKUP($D78,CCA_Defense!$D:$D,CCA_Defense!O:O)</f>
        <v>46.848027298911255</v>
      </c>
      <c r="J78" s="145">
        <f>_xlfn.XLOOKUP($D78,CCA_Defense!$D:$D,CCA_Defense!P:P)</f>
        <v>30.310309256168136</v>
      </c>
      <c r="K78" s="145">
        <f>_xlfn.XLOOKUP($D78,CCA_Defense!$D:$D,CCA_Defense!Q:Q)</f>
        <v>19.610534320746151</v>
      </c>
      <c r="L78" s="149">
        <f>_xlfn.XLOOKUP($D78,CCA_Defense!$D:$D,CCA_Defense!R:R)</f>
        <v>12.687863165464147</v>
      </c>
      <c r="M78" s="259">
        <f>_xlfn.XLOOKUP($D78,CCA_Defense!$D:$D,CCA_Defense!T:T)</f>
        <v>0.48616695773039964</v>
      </c>
      <c r="N78" s="260">
        <f>_xlfn.XLOOKUP($D78,CCA_Defense!$D:$D,CCA_Defense!U:U)</f>
        <v>0</v>
      </c>
      <c r="O78" s="246">
        <f>IFERROR(_xlfn.XLOOKUP($D78,BB_Input!$C$4:$C$163,BB_Input!$CY$4:$CY$163),"")</f>
        <v>495.017</v>
      </c>
      <c r="P78" s="143">
        <f t="shared" ref="P78:T78" si="78">IFERROR(O78*(1+$M78),"")</f>
        <v>735.67790891482923</v>
      </c>
      <c r="Q78" s="143">
        <f t="shared" si="78"/>
        <v>1093.3401997614139</v>
      </c>
      <c r="R78" s="143">
        <f t="shared" si="78"/>
        <v>1624.8860784437682</v>
      </c>
      <c r="S78" s="143">
        <f t="shared" si="78"/>
        <v>2414.8519998592546</v>
      </c>
      <c r="T78" s="146">
        <f t="shared" si="78"/>
        <v>3588.8732500000001</v>
      </c>
    </row>
    <row r="79" spans="2:20" x14ac:dyDescent="0.25">
      <c r="B79" s="271">
        <f t="shared" si="77"/>
        <v>77</v>
      </c>
      <c r="C79" s="268" t="s">
        <v>1016</v>
      </c>
      <c r="D79" s="277" t="s">
        <v>1017</v>
      </c>
      <c r="E79" s="271" t="s">
        <v>1017</v>
      </c>
      <c r="F79" s="250">
        <f>_xlfn.XLOOKUP($D79,BB_Input!$C$4:$C$172,BB_Input!$G$4:$G$172)</f>
        <v>3055.6101096825096</v>
      </c>
      <c r="G79" s="144">
        <f>_xlfn.XLOOKUP($D79,CCA_Defense!$D:$D,CCA_Defense!M:M)</f>
        <v>396</v>
      </c>
      <c r="H79" s="145">
        <f>_xlfn.XLOOKUP($D79,CCA_Defense!$D:$D,CCA_Defense!N:N)</f>
        <v>282.73659265365001</v>
      </c>
      <c r="I79" s="145">
        <f>_xlfn.XLOOKUP($D79,CCA_Defense!$D:$D,CCA_Defense!O:O)</f>
        <v>109.57990575832602</v>
      </c>
      <c r="J79" s="145">
        <f>_xlfn.XLOOKUP($D79,CCA_Defense!$D:$D,CCA_Defense!P:P)</f>
        <v>40.911530548349582</v>
      </c>
      <c r="K79" s="145">
        <f>_xlfn.XLOOKUP($D79,CCA_Defense!$D:$D,CCA_Defense!Q:Q)</f>
        <v>23.17412260978066</v>
      </c>
      <c r="L79" s="149" t="str">
        <f>_xlfn.XLOOKUP($D79,CCA_Defense!$D:$D,CCA_Defense!R:R)</f>
        <v/>
      </c>
      <c r="M79" s="259">
        <f>_xlfn.XLOOKUP($D79,CCA_Defense!$D:$D,CCA_Defense!T:T)</f>
        <v>0.11452879670818686</v>
      </c>
      <c r="N79" s="260">
        <f>_xlfn.XLOOKUP($D79,CCA_Defense!$D:$D,CCA_Defense!U:U)</f>
        <v>0</v>
      </c>
      <c r="O79" s="246">
        <f>IFERROR(_xlfn.XLOOKUP($D79,BB_Input!$C$4:$C$163,BB_Input!$CY$4:$CY$163),"")</f>
        <v>3080.74</v>
      </c>
      <c r="P79" s="143">
        <f t="shared" ref="P79:T79" si="79">IFERROR(O79*(1+$M79),"")</f>
        <v>3433.5734451707795</v>
      </c>
      <c r="Q79" s="143">
        <f t="shared" si="79"/>
        <v>3826.8164802553729</v>
      </c>
      <c r="R79" s="143">
        <f t="shared" si="79"/>
        <v>4265.0971669620803</v>
      </c>
      <c r="S79" s="143">
        <f t="shared" si="79"/>
        <v>4753.5736133377441</v>
      </c>
      <c r="T79" s="146">
        <f t="shared" si="79"/>
        <v>5297.9946793371046</v>
      </c>
    </row>
    <row r="80" spans="2:20" x14ac:dyDescent="0.25">
      <c r="B80" s="271">
        <f t="shared" si="77"/>
        <v>78</v>
      </c>
      <c r="C80" s="268" t="s">
        <v>1022</v>
      </c>
      <c r="D80" s="277" t="s">
        <v>1028</v>
      </c>
      <c r="E80" s="271" t="s">
        <v>1023</v>
      </c>
      <c r="F80" s="250">
        <f>_xlfn.XLOOKUP($D80,BB_Input!$C$4:$C$172,BB_Input!$G$4:$G$172)</f>
        <v>54.37792102991947</v>
      </c>
      <c r="G80" s="144">
        <f>_xlfn.XLOOKUP($D80,CCA_Defense!$D:$D,CCA_Defense!M:M)</f>
        <v>68.900000000000006</v>
      </c>
      <c r="H80" s="145" t="str">
        <f>_xlfn.XLOOKUP($D80,CCA_Defense!$D:$D,CCA_Defense!N:N)</f>
        <v/>
      </c>
      <c r="I80" s="145" t="str">
        <f>_xlfn.XLOOKUP($D80,CCA_Defense!$D:$D,CCA_Defense!O:O)</f>
        <v/>
      </c>
      <c r="J80" s="145" t="str">
        <f>_xlfn.XLOOKUP($D80,CCA_Defense!$D:$D,CCA_Defense!P:P)</f>
        <v/>
      </c>
      <c r="K80" s="145" t="str">
        <f>_xlfn.XLOOKUP($D80,CCA_Defense!$D:$D,CCA_Defense!Q:Q)</f>
        <v/>
      </c>
      <c r="L80" s="149" t="str">
        <f>_xlfn.XLOOKUP($D80,CCA_Defense!$D:$D,CCA_Defense!R:R)</f>
        <v/>
      </c>
      <c r="M80" s="259" t="str">
        <f>_xlfn.XLOOKUP($D80,CCA_Defense!$D:$D,CCA_Defense!T:T)</f>
        <v/>
      </c>
      <c r="N80" s="260">
        <f>_xlfn.XLOOKUP($D80,CCA_Defense!$D:$D,CCA_Defense!U:U)</f>
        <v>0</v>
      </c>
      <c r="O80" s="246">
        <f>IFERROR(_xlfn.XLOOKUP($D80,BB_Input!$C$4:$C$163,BB_Input!$CY$4:$CY$163),"")</f>
        <v>1625.4829999999999</v>
      </c>
      <c r="P80" s="143" t="str">
        <f t="shared" ref="P80:T80" si="80">IFERROR(O80*(1+$M80),"")</f>
        <v/>
      </c>
      <c r="Q80" s="143" t="str">
        <f t="shared" si="80"/>
        <v/>
      </c>
      <c r="R80" s="143" t="str">
        <f t="shared" si="80"/>
        <v/>
      </c>
      <c r="S80" s="143" t="str">
        <f t="shared" si="80"/>
        <v/>
      </c>
      <c r="T80" s="146" t="str">
        <f t="shared" si="80"/>
        <v/>
      </c>
    </row>
    <row r="81" spans="4:15" x14ac:dyDescent="0.25">
      <c r="O81" s="2"/>
    </row>
    <row r="82" spans="4:15" ht="14.4" x14ac:dyDescent="0.3">
      <c r="D82" s="280" t="s">
        <v>559</v>
      </c>
      <c r="O82" s="2"/>
    </row>
    <row r="83" spans="4:15" x14ac:dyDescent="0.25">
      <c r="O83" s="2"/>
    </row>
    <row r="84" spans="4:15" x14ac:dyDescent="0.25">
      <c r="O84" s="2"/>
    </row>
    <row r="85" spans="4:15" x14ac:dyDescent="0.25">
      <c r="F85" s="275" t="e">
        <f ca="1">MATCH(F86,INDIRECT($C$86&amp;"!$C$3:$DF$3"),0)</f>
        <v>#REF!</v>
      </c>
      <c r="O85" s="2"/>
    </row>
    <row r="86" spans="4:15" x14ac:dyDescent="0.25">
      <c r="F86" s="251" t="s">
        <v>492</v>
      </c>
      <c r="O86" s="2"/>
    </row>
    <row r="87" spans="4:15" x14ac:dyDescent="0.25">
      <c r="O87" s="2"/>
    </row>
    <row r="88" spans="4:15" x14ac:dyDescent="0.25">
      <c r="O88" s="2"/>
    </row>
    <row r="89" spans="4:15" x14ac:dyDescent="0.25">
      <c r="O89" s="2"/>
    </row>
    <row r="90" spans="4:15" x14ac:dyDescent="0.25">
      <c r="O90" s="2"/>
    </row>
    <row r="91" spans="4:15" x14ac:dyDescent="0.25">
      <c r="O91" s="2"/>
    </row>
  </sheetData>
  <conditionalFormatting sqref="G3:G80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77:G8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L12 G13:G69 H13:L7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80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77:L7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8:L7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9:L8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80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3:J8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3:K80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3:L80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3:N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B0D8-B726-48D0-9476-182EDF9C2828}">
  <sheetPr>
    <tabColor rgb="FFAEC9E4"/>
  </sheetPr>
  <dimension ref="A1:BW101"/>
  <sheetViews>
    <sheetView workbookViewId="0">
      <pane xSplit="1" ySplit="4" topLeftCell="AI5" activePane="bottomRight" state="frozen"/>
      <selection pane="topRight" activeCell="B1" sqref="B1"/>
      <selection pane="bottomLeft" activeCell="A2" sqref="A2"/>
      <selection pane="bottomRight" activeCell="K5" sqref="K5"/>
    </sheetView>
  </sheetViews>
  <sheetFormatPr defaultRowHeight="13.8" x14ac:dyDescent="0.25"/>
  <cols>
    <col min="3" max="3" width="2.59765625" customWidth="1"/>
    <col min="5" max="5" width="10.19921875" customWidth="1"/>
    <col min="6" max="6" width="2.59765625" customWidth="1"/>
    <col min="8" max="8" width="10.69921875" customWidth="1"/>
    <col min="9" max="9" width="2.59765625" customWidth="1"/>
    <col min="14" max="14" width="2.59765625" customWidth="1"/>
    <col min="17" max="17" width="2.59765625" customWidth="1"/>
    <col min="26" max="26" width="2.59765625" customWidth="1"/>
    <col min="28" max="28" width="10.69921875" customWidth="1"/>
    <col min="29" max="29" width="12.8984375" customWidth="1"/>
    <col min="30" max="30" width="2.59765625" customWidth="1"/>
    <col min="31" max="32" width="12.69921875" customWidth="1"/>
    <col min="33" max="33" width="2.59765625" customWidth="1"/>
    <col min="34" max="36" width="12.69921875" customWidth="1"/>
    <col min="37" max="37" width="2.59765625" customWidth="1"/>
    <col min="39" max="39" width="10.3984375" bestFit="1" customWidth="1"/>
    <col min="40" max="40" width="2.59765625" customWidth="1"/>
    <col min="51" max="51" width="2.59765625" customWidth="1"/>
    <col min="52" max="52" width="9.59765625" customWidth="1"/>
    <col min="62" max="62" width="2.59765625" customWidth="1"/>
    <col min="63" max="63" width="9.59765625" customWidth="1"/>
    <col min="73" max="75" width="2.59765625" customWidth="1"/>
  </cols>
  <sheetData>
    <row r="1" spans="1:75" x14ac:dyDescent="0.25">
      <c r="A1" s="171"/>
      <c r="B1" s="165"/>
      <c r="C1" s="172"/>
      <c r="D1" s="434" t="s">
        <v>560</v>
      </c>
      <c r="E1" s="434"/>
      <c r="F1" s="172"/>
      <c r="G1" s="433" t="s">
        <v>561</v>
      </c>
      <c r="H1" s="433"/>
      <c r="I1" s="172"/>
      <c r="J1" s="434" t="s">
        <v>437</v>
      </c>
      <c r="K1" s="434"/>
      <c r="L1" s="437" t="s">
        <v>562</v>
      </c>
      <c r="M1" s="437"/>
      <c r="N1" s="172"/>
      <c r="O1" s="434" t="s">
        <v>563</v>
      </c>
      <c r="P1" s="434"/>
      <c r="Q1" s="172"/>
      <c r="R1" s="436" t="s">
        <v>564</v>
      </c>
      <c r="S1" s="436"/>
      <c r="T1" s="436"/>
      <c r="U1" s="435" t="s">
        <v>565</v>
      </c>
      <c r="V1" s="435"/>
      <c r="W1" s="435"/>
      <c r="X1" s="435"/>
      <c r="Y1" s="435"/>
      <c r="Z1" s="172"/>
      <c r="AA1" s="433" t="s">
        <v>566</v>
      </c>
      <c r="AB1" s="433"/>
      <c r="AC1" s="175" t="s">
        <v>495</v>
      </c>
      <c r="AD1" s="172" t="s">
        <v>277</v>
      </c>
      <c r="AE1" s="176" t="s">
        <v>567</v>
      </c>
      <c r="AF1" s="177" t="s">
        <v>568</v>
      </c>
      <c r="AG1" s="172" t="s">
        <v>277</v>
      </c>
      <c r="AH1" s="433" t="s">
        <v>569</v>
      </c>
      <c r="AI1" s="433"/>
      <c r="AJ1" s="433"/>
      <c r="AK1" s="172"/>
      <c r="AL1" s="434" t="s">
        <v>570</v>
      </c>
      <c r="AM1" s="434"/>
      <c r="AN1" s="172"/>
      <c r="AO1" s="433" t="s">
        <v>571</v>
      </c>
      <c r="AP1" s="433"/>
      <c r="AQ1" s="433"/>
      <c r="AR1" s="433"/>
      <c r="AS1" s="433"/>
      <c r="AT1" s="433"/>
      <c r="AU1" s="434" t="s">
        <v>572</v>
      </c>
      <c r="AV1" s="434"/>
      <c r="AW1" s="434"/>
      <c r="AX1" s="434"/>
      <c r="AY1" s="172"/>
      <c r="AZ1" s="433" t="s">
        <v>573</v>
      </c>
      <c r="BA1" s="433"/>
      <c r="BB1" s="433"/>
      <c r="BC1" s="433"/>
      <c r="BD1" s="433"/>
      <c r="BE1" s="433"/>
      <c r="BF1" s="434" t="s">
        <v>574</v>
      </c>
      <c r="BG1" s="434"/>
      <c r="BH1" s="434"/>
      <c r="BI1" s="434"/>
      <c r="BJ1" s="172"/>
      <c r="BK1" s="433" t="s">
        <v>575</v>
      </c>
      <c r="BL1" s="433"/>
      <c r="BM1" s="433"/>
      <c r="BN1" s="433"/>
      <c r="BO1" s="433"/>
      <c r="BP1" s="433"/>
      <c r="BQ1" s="434" t="s">
        <v>576</v>
      </c>
      <c r="BR1" s="434"/>
      <c r="BS1" s="434"/>
      <c r="BT1" s="434"/>
      <c r="BU1" s="172"/>
      <c r="BV1" s="172"/>
      <c r="BW1" s="172"/>
    </row>
    <row r="2" spans="1:75" x14ac:dyDescent="0.25">
      <c r="A2" s="171"/>
      <c r="B2" s="165"/>
      <c r="C2" s="172" t="s">
        <v>277</v>
      </c>
      <c r="D2" s="178" t="s">
        <v>577</v>
      </c>
      <c r="E2" s="179" t="s">
        <v>578</v>
      </c>
      <c r="F2" s="172" t="s">
        <v>277</v>
      </c>
      <c r="G2" s="178" t="s">
        <v>577</v>
      </c>
      <c r="H2" s="179" t="s">
        <v>578</v>
      </c>
      <c r="I2" s="172" t="s">
        <v>277</v>
      </c>
      <c r="J2" s="180" t="s">
        <v>579</v>
      </c>
      <c r="K2" s="181" t="s">
        <v>580</v>
      </c>
      <c r="L2" s="180" t="s">
        <v>579</v>
      </c>
      <c r="M2" s="181" t="s">
        <v>580</v>
      </c>
      <c r="N2" s="172" t="s">
        <v>277</v>
      </c>
      <c r="O2" s="180" t="s">
        <v>581</v>
      </c>
      <c r="P2" s="181" t="s">
        <v>582</v>
      </c>
      <c r="Q2" s="172"/>
      <c r="R2" s="171" t="s">
        <v>519</v>
      </c>
      <c r="S2" s="171" t="s">
        <v>532</v>
      </c>
      <c r="T2" s="171" t="s">
        <v>527</v>
      </c>
      <c r="U2" s="171" t="s">
        <v>524</v>
      </c>
      <c r="V2" s="171" t="s">
        <v>530</v>
      </c>
      <c r="W2" s="171" t="s">
        <v>531</v>
      </c>
      <c r="X2" s="171" t="s">
        <v>533</v>
      </c>
      <c r="Y2" s="171" t="s">
        <v>535</v>
      </c>
      <c r="Z2" s="172" t="s">
        <v>277</v>
      </c>
      <c r="AA2" s="178" t="s">
        <v>577</v>
      </c>
      <c r="AB2" s="179" t="s">
        <v>578</v>
      </c>
      <c r="AC2" s="182" t="s">
        <v>495</v>
      </c>
      <c r="AD2" s="172" t="s">
        <v>277</v>
      </c>
      <c r="AE2" s="171" t="s">
        <v>523</v>
      </c>
      <c r="AF2" s="171" t="s">
        <v>568</v>
      </c>
      <c r="AG2" s="172" t="s">
        <v>277</v>
      </c>
      <c r="AH2" s="171" t="s">
        <v>583</v>
      </c>
      <c r="AI2" s="171" t="s">
        <v>584</v>
      </c>
      <c r="AJ2" s="171" t="s">
        <v>585</v>
      </c>
      <c r="AK2" s="172"/>
      <c r="AL2" s="178" t="s">
        <v>577</v>
      </c>
      <c r="AM2" s="179" t="s">
        <v>578</v>
      </c>
      <c r="AN2" s="172" t="s">
        <v>277</v>
      </c>
      <c r="AO2" s="171" t="s">
        <v>497</v>
      </c>
      <c r="AP2" s="171" t="s">
        <v>498</v>
      </c>
      <c r="AQ2" s="171" t="s">
        <v>499</v>
      </c>
      <c r="AR2" s="171" t="s">
        <v>500</v>
      </c>
      <c r="AS2" s="171" t="s">
        <v>496</v>
      </c>
      <c r="AT2" s="171" t="s">
        <v>494</v>
      </c>
      <c r="AU2" s="171" t="s">
        <v>586</v>
      </c>
      <c r="AV2" s="171" t="s">
        <v>587</v>
      </c>
      <c r="AW2" s="171" t="s">
        <v>588</v>
      </c>
      <c r="AX2" s="171" t="s">
        <v>589</v>
      </c>
      <c r="AY2" s="172" t="s">
        <v>277</v>
      </c>
      <c r="AZ2" s="171" t="s">
        <v>590</v>
      </c>
      <c r="BA2" s="171" t="s">
        <v>591</v>
      </c>
      <c r="BB2" s="171" t="s">
        <v>592</v>
      </c>
      <c r="BC2" s="171" t="s">
        <v>593</v>
      </c>
      <c r="BD2" s="171" t="s">
        <v>594</v>
      </c>
      <c r="BE2" s="171" t="s">
        <v>595</v>
      </c>
      <c r="BF2" s="171" t="s">
        <v>596</v>
      </c>
      <c r="BG2" s="171" t="s">
        <v>597</v>
      </c>
      <c r="BH2" s="171" t="s">
        <v>598</v>
      </c>
      <c r="BI2" s="171" t="s">
        <v>599</v>
      </c>
      <c r="BJ2" s="172"/>
      <c r="BK2" s="171" t="s">
        <v>537</v>
      </c>
      <c r="BL2" s="171" t="s">
        <v>538</v>
      </c>
      <c r="BM2" s="171" t="s">
        <v>539</v>
      </c>
      <c r="BN2" s="171" t="s">
        <v>540</v>
      </c>
      <c r="BO2" s="171" t="s">
        <v>541</v>
      </c>
      <c r="BP2" s="171" t="s">
        <v>542</v>
      </c>
      <c r="BQ2" s="171" t="s">
        <v>600</v>
      </c>
      <c r="BR2" s="171" t="s">
        <v>601</v>
      </c>
      <c r="BS2" s="171" t="s">
        <v>602</v>
      </c>
      <c r="BT2" s="171" t="s">
        <v>603</v>
      </c>
      <c r="BU2" s="172" t="s">
        <v>277</v>
      </c>
      <c r="BV2" s="172" t="s">
        <v>277</v>
      </c>
      <c r="BW2" s="172" t="s">
        <v>277</v>
      </c>
    </row>
    <row r="3" spans="1:75" x14ac:dyDescent="0.25">
      <c r="A3" s="165"/>
      <c r="B3" s="165"/>
      <c r="C3" s="172" t="s">
        <v>277</v>
      </c>
      <c r="D3" s="167" t="s">
        <v>492</v>
      </c>
      <c r="E3" s="167" t="s">
        <v>513</v>
      </c>
      <c r="F3" s="172" t="s">
        <v>277</v>
      </c>
      <c r="G3" s="167" t="s">
        <v>604</v>
      </c>
      <c r="H3" s="167" t="s">
        <v>605</v>
      </c>
      <c r="I3" s="172" t="s">
        <v>277</v>
      </c>
      <c r="J3" s="167" t="s">
        <v>606</v>
      </c>
      <c r="K3" s="167" t="s">
        <v>607</v>
      </c>
      <c r="L3" s="167" t="s">
        <v>608</v>
      </c>
      <c r="M3" s="167" t="s">
        <v>609</v>
      </c>
      <c r="N3" s="172" t="s">
        <v>277</v>
      </c>
      <c r="O3" s="167" t="s">
        <v>610</v>
      </c>
      <c r="P3" s="167" t="s">
        <v>611</v>
      </c>
      <c r="Q3" s="172"/>
      <c r="R3" s="167" t="s">
        <v>493</v>
      </c>
      <c r="S3" s="167" t="s">
        <v>518</v>
      </c>
      <c r="T3" s="167" t="s">
        <v>526</v>
      </c>
      <c r="U3" s="167" t="s">
        <v>525</v>
      </c>
      <c r="V3" s="167" t="s">
        <v>528</v>
      </c>
      <c r="W3" s="167" t="s">
        <v>529</v>
      </c>
      <c r="X3" s="167" t="s">
        <v>534</v>
      </c>
      <c r="Y3" s="167" t="s">
        <v>536</v>
      </c>
      <c r="Z3" s="172" t="s">
        <v>277</v>
      </c>
      <c r="AA3" s="167" t="s">
        <v>612</v>
      </c>
      <c r="AB3" s="167" t="s">
        <v>613</v>
      </c>
      <c r="AC3" s="169" t="s">
        <v>614</v>
      </c>
      <c r="AD3" s="172" t="s">
        <v>277</v>
      </c>
      <c r="AE3" s="167" t="s">
        <v>522</v>
      </c>
      <c r="AF3" s="167" t="s">
        <v>615</v>
      </c>
      <c r="AG3" s="172" t="s">
        <v>277</v>
      </c>
      <c r="AH3" s="167" t="s">
        <v>616</v>
      </c>
      <c r="AI3" s="167" t="s">
        <v>617</v>
      </c>
      <c r="AJ3" s="167" t="s">
        <v>618</v>
      </c>
      <c r="AK3" s="172"/>
      <c r="AL3" s="167" t="s">
        <v>619</v>
      </c>
      <c r="AM3" s="167" t="s">
        <v>521</v>
      </c>
      <c r="AN3" s="172" t="s">
        <v>277</v>
      </c>
      <c r="AO3" s="167" t="s">
        <v>501</v>
      </c>
      <c r="AP3" s="167" t="s">
        <v>502</v>
      </c>
      <c r="AQ3" s="167" t="s">
        <v>503</v>
      </c>
      <c r="AR3" s="167" t="s">
        <v>504</v>
      </c>
      <c r="AS3" s="167" t="s">
        <v>505</v>
      </c>
      <c r="AT3" s="167" t="s">
        <v>506</v>
      </c>
      <c r="AU3" s="167" t="s">
        <v>514</v>
      </c>
      <c r="AV3" s="167" t="s">
        <v>515</v>
      </c>
      <c r="AW3" s="167" t="s">
        <v>620</v>
      </c>
      <c r="AX3" s="167" t="s">
        <v>621</v>
      </c>
      <c r="AY3" s="172" t="s">
        <v>277</v>
      </c>
      <c r="AZ3" s="167" t="s">
        <v>622</v>
      </c>
      <c r="BA3" s="167" t="s">
        <v>623</v>
      </c>
      <c r="BB3" s="167" t="s">
        <v>624</v>
      </c>
      <c r="BC3" s="167" t="s">
        <v>625</v>
      </c>
      <c r="BD3" s="167" t="s">
        <v>626</v>
      </c>
      <c r="BE3" s="167" t="s">
        <v>627</v>
      </c>
      <c r="BF3" s="167" t="s">
        <v>628</v>
      </c>
      <c r="BG3" s="167" t="s">
        <v>629</v>
      </c>
      <c r="BH3" s="167" t="s">
        <v>630</v>
      </c>
      <c r="BI3" s="167" t="s">
        <v>631</v>
      </c>
      <c r="BJ3" s="172"/>
      <c r="BK3" s="167" t="s">
        <v>543</v>
      </c>
      <c r="BL3" s="167" t="s">
        <v>545</v>
      </c>
      <c r="BM3" s="167" t="s">
        <v>546</v>
      </c>
      <c r="BN3" s="167" t="s">
        <v>547</v>
      </c>
      <c r="BO3" s="167" t="s">
        <v>548</v>
      </c>
      <c r="BP3" s="167" t="s">
        <v>549</v>
      </c>
      <c r="BQ3" s="167" t="s">
        <v>555</v>
      </c>
      <c r="BR3" s="167" t="s">
        <v>557</v>
      </c>
      <c r="BS3" s="167" t="s">
        <v>632</v>
      </c>
      <c r="BT3" s="167" t="s">
        <v>633</v>
      </c>
      <c r="BU3" s="172" t="s">
        <v>277</v>
      </c>
      <c r="BV3" s="172" t="s">
        <v>277</v>
      </c>
      <c r="BW3" s="172" t="s">
        <v>277</v>
      </c>
    </row>
    <row r="4" spans="1:75" x14ac:dyDescent="0.25">
      <c r="A4" s="165" t="s">
        <v>490</v>
      </c>
      <c r="B4" s="165" t="s">
        <v>491</v>
      </c>
      <c r="C4" s="172" t="s">
        <v>277</v>
      </c>
      <c r="D4" s="168" t="s">
        <v>492</v>
      </c>
      <c r="E4" s="168" t="s">
        <v>513</v>
      </c>
      <c r="F4" s="172" t="s">
        <v>277</v>
      </c>
      <c r="G4" s="168" t="s">
        <v>604</v>
      </c>
      <c r="H4" s="168" t="s">
        <v>605</v>
      </c>
      <c r="I4" s="172" t="s">
        <v>277</v>
      </c>
      <c r="J4" s="168" t="s">
        <v>606</v>
      </c>
      <c r="K4" s="168" t="s">
        <v>607</v>
      </c>
      <c r="L4" s="168" t="s">
        <v>608</v>
      </c>
      <c r="M4" s="168" t="s">
        <v>609</v>
      </c>
      <c r="N4" s="172" t="s">
        <v>277</v>
      </c>
      <c r="O4" s="168" t="s">
        <v>610</v>
      </c>
      <c r="P4" s="168" t="s">
        <v>611</v>
      </c>
      <c r="Q4" s="172"/>
      <c r="R4" s="168" t="s">
        <v>493</v>
      </c>
      <c r="S4" s="168" t="s">
        <v>520</v>
      </c>
      <c r="T4" s="168" t="s">
        <v>526</v>
      </c>
      <c r="U4" s="168" t="s">
        <v>525</v>
      </c>
      <c r="V4" s="168" t="s">
        <v>528</v>
      </c>
      <c r="W4" s="168" t="s">
        <v>529</v>
      </c>
      <c r="X4" s="168" t="s">
        <v>534</v>
      </c>
      <c r="Y4" s="168" t="s">
        <v>536</v>
      </c>
      <c r="Z4" s="172" t="s">
        <v>277</v>
      </c>
      <c r="AA4" s="168" t="s">
        <v>612</v>
      </c>
      <c r="AB4" s="168" t="s">
        <v>613</v>
      </c>
      <c r="AC4" s="168" t="s">
        <v>614</v>
      </c>
      <c r="AD4" s="172" t="s">
        <v>277</v>
      </c>
      <c r="AE4" s="168" t="s">
        <v>522</v>
      </c>
      <c r="AF4" s="168" t="s">
        <v>615</v>
      </c>
      <c r="AG4" s="172" t="s">
        <v>277</v>
      </c>
      <c r="AH4" s="168" t="s">
        <v>616</v>
      </c>
      <c r="AI4" s="168" t="s">
        <v>617</v>
      </c>
      <c r="AJ4" s="168" t="s">
        <v>618</v>
      </c>
      <c r="AK4" s="172"/>
      <c r="AL4" s="168" t="s">
        <v>619</v>
      </c>
      <c r="AM4" s="168" t="s">
        <v>521</v>
      </c>
      <c r="AN4" s="172" t="s">
        <v>277</v>
      </c>
      <c r="AO4" s="168" t="s">
        <v>509</v>
      </c>
      <c r="AP4" s="168" t="s">
        <v>510</v>
      </c>
      <c r="AQ4" s="168" t="s">
        <v>508</v>
      </c>
      <c r="AR4" s="168" t="s">
        <v>512</v>
      </c>
      <c r="AS4" s="168" t="s">
        <v>507</v>
      </c>
      <c r="AT4" s="168" t="s">
        <v>511</v>
      </c>
      <c r="AU4" s="168" t="s">
        <v>516</v>
      </c>
      <c r="AV4" s="168" t="s">
        <v>517</v>
      </c>
      <c r="AW4" s="168" t="s">
        <v>634</v>
      </c>
      <c r="AX4" s="168" t="s">
        <v>635</v>
      </c>
      <c r="AY4" s="172" t="s">
        <v>277</v>
      </c>
      <c r="AZ4" s="168" t="s">
        <v>636</v>
      </c>
      <c r="BA4" s="168" t="s">
        <v>637</v>
      </c>
      <c r="BB4" s="168" t="s">
        <v>638</v>
      </c>
      <c r="BC4" s="168" t="s">
        <v>639</v>
      </c>
      <c r="BD4" s="168" t="s">
        <v>640</v>
      </c>
      <c r="BE4" s="168" t="s">
        <v>641</v>
      </c>
      <c r="BF4" s="168" t="s">
        <v>642</v>
      </c>
      <c r="BG4" s="168" t="s">
        <v>643</v>
      </c>
      <c r="BH4" s="168" t="s">
        <v>644</v>
      </c>
      <c r="BI4" s="168" t="s">
        <v>645</v>
      </c>
      <c r="BJ4" s="172"/>
      <c r="BK4" s="168" t="s">
        <v>544</v>
      </c>
      <c r="BL4" s="168" t="s">
        <v>550</v>
      </c>
      <c r="BM4" s="168" t="s">
        <v>551</v>
      </c>
      <c r="BN4" s="168" t="s">
        <v>552</v>
      </c>
      <c r="BO4" s="168" t="s">
        <v>554</v>
      </c>
      <c r="BP4" s="168" t="s">
        <v>553</v>
      </c>
      <c r="BQ4" s="168" t="s">
        <v>556</v>
      </c>
      <c r="BR4" s="168" t="s">
        <v>558</v>
      </c>
      <c r="BS4" s="168" t="s">
        <v>646</v>
      </c>
      <c r="BT4" s="168" t="s">
        <v>647</v>
      </c>
      <c r="BU4" s="172" t="s">
        <v>277</v>
      </c>
      <c r="BV4" s="172" t="s">
        <v>277</v>
      </c>
      <c r="BW4" s="172" t="s">
        <v>277</v>
      </c>
    </row>
    <row r="5" spans="1:75" x14ac:dyDescent="0.25">
      <c r="A5" s="142" t="s">
        <v>410</v>
      </c>
      <c r="B5" s="166" t="str">
        <f>A5&amp;" IN Equity"</f>
        <v>HNAL IN Equity</v>
      </c>
      <c r="C5" s="173"/>
      <c r="D5" s="183">
        <v>33764.415785179233</v>
      </c>
      <c r="E5" s="184">
        <v>2978723.85</v>
      </c>
      <c r="F5" s="173"/>
      <c r="G5" s="183">
        <v>29305.750429792963</v>
      </c>
      <c r="H5" s="184">
        <v>2596948.5499999998</v>
      </c>
      <c r="I5" s="173"/>
      <c r="J5" s="170">
        <v>35.783160953806821</v>
      </c>
      <c r="K5" s="170">
        <v>34.444891267361648</v>
      </c>
      <c r="L5" s="170">
        <v>24.391684966271747</v>
      </c>
      <c r="M5" s="170">
        <v>24.219881562099872</v>
      </c>
      <c r="N5" s="173"/>
      <c r="O5" s="185">
        <v>8.5151136554320956</v>
      </c>
      <c r="P5" s="185">
        <v>9.229364462630155</v>
      </c>
      <c r="Q5" s="173"/>
      <c r="R5" s="185">
        <v>0.25909832435671337</v>
      </c>
      <c r="S5" s="185">
        <v>0.23329415273313334</v>
      </c>
      <c r="T5" s="185">
        <v>0.28220013316695364</v>
      </c>
      <c r="U5" s="185">
        <v>0.19360781331526911</v>
      </c>
      <c r="V5" s="185">
        <v>0.29154578594558395</v>
      </c>
      <c r="W5" s="185">
        <v>0.29975117056370038</v>
      </c>
      <c r="X5" s="185">
        <v>0</v>
      </c>
      <c r="Y5" s="185">
        <v>0.25939007936628161</v>
      </c>
      <c r="Z5" s="173"/>
      <c r="AA5" s="183">
        <v>-4463.7512318999998</v>
      </c>
      <c r="AB5" s="184">
        <v>-381810.9</v>
      </c>
      <c r="AC5" s="170">
        <v>-3.5861361941455039</v>
      </c>
      <c r="AD5" s="173"/>
      <c r="AE5" s="174">
        <v>668.77499999999998</v>
      </c>
      <c r="AF5" s="185">
        <v>0.25590046278643791</v>
      </c>
      <c r="AG5" s="173"/>
      <c r="AH5" s="174">
        <v>0.84999300000000011</v>
      </c>
      <c r="AI5" s="174">
        <v>0.99277930000000014</v>
      </c>
      <c r="AJ5" s="174">
        <v>1.2467780666666664</v>
      </c>
      <c r="AK5" s="173"/>
      <c r="AL5" s="186">
        <v>50.49153917393776</v>
      </c>
      <c r="AM5" s="187">
        <v>4454</v>
      </c>
      <c r="AN5" s="173"/>
      <c r="AO5" s="188">
        <v>44.574807999999997</v>
      </c>
      <c r="AP5" s="188">
        <v>48.398817000000001</v>
      </c>
      <c r="AQ5" s="188">
        <v>75.959999999999994</v>
      </c>
      <c r="AR5" s="188">
        <v>87.14</v>
      </c>
      <c r="AS5" s="188">
        <v>113.95</v>
      </c>
      <c r="AT5" s="188">
        <v>125.07</v>
      </c>
      <c r="AU5" s="188">
        <v>129.30799999999999</v>
      </c>
      <c r="AV5" s="188">
        <v>142.43</v>
      </c>
      <c r="AW5" s="188">
        <v>167.98</v>
      </c>
      <c r="AX5" s="188">
        <v>196.23000000000002</v>
      </c>
      <c r="AY5" s="173"/>
      <c r="AZ5" s="184">
        <v>66750.900000000009</v>
      </c>
      <c r="BA5" s="184">
        <v>56646.5</v>
      </c>
      <c r="BB5" s="184">
        <v>53493.1</v>
      </c>
      <c r="BC5" s="184">
        <v>68540.2</v>
      </c>
      <c r="BD5" s="184">
        <v>90524.7</v>
      </c>
      <c r="BE5" s="184">
        <v>96303.8</v>
      </c>
      <c r="BF5" s="184">
        <v>104654</v>
      </c>
      <c r="BG5" s="184">
        <v>117149</v>
      </c>
      <c r="BH5" s="184">
        <v>139479</v>
      </c>
      <c r="BI5" s="184">
        <v>163543</v>
      </c>
      <c r="BJ5" s="173"/>
      <c r="BK5" s="184">
        <v>214381.7</v>
      </c>
      <c r="BL5" s="184">
        <v>228823.2</v>
      </c>
      <c r="BM5" s="184">
        <v>246200.2</v>
      </c>
      <c r="BN5" s="184">
        <v>269274.59999999998</v>
      </c>
      <c r="BO5" s="184">
        <v>303810.8</v>
      </c>
      <c r="BP5" s="184">
        <v>309809.5</v>
      </c>
      <c r="BQ5" s="184">
        <v>370262.58173076925</v>
      </c>
      <c r="BR5" s="184">
        <v>441955.86324786319</v>
      </c>
      <c r="BS5" s="184">
        <v>529312.35416666674</v>
      </c>
      <c r="BT5" s="184">
        <v>622690.5</v>
      </c>
      <c r="BU5" s="173"/>
      <c r="BV5" s="173"/>
      <c r="BW5" s="173"/>
    </row>
    <row r="6" spans="1:75" x14ac:dyDescent="0.25">
      <c r="A6" s="147" t="s">
        <v>411</v>
      </c>
      <c r="B6" s="166" t="str">
        <f t="shared" ref="B6:B69" si="0">A6&amp;" IN Equity"</f>
        <v>BHE IN Equity</v>
      </c>
      <c r="C6" s="173"/>
      <c r="D6" s="183">
        <v>30818.948066373945</v>
      </c>
      <c r="E6" s="184">
        <v>2718872.3246772485</v>
      </c>
      <c r="F6" s="173"/>
      <c r="G6" s="183">
        <v>29716.286625324101</v>
      </c>
      <c r="H6" s="184">
        <v>2624190.6246772488</v>
      </c>
      <c r="I6" s="173"/>
      <c r="J6" s="170">
        <v>51.107401965650283</v>
      </c>
      <c r="K6" s="170">
        <v>46.325067854885567</v>
      </c>
      <c r="L6" s="170">
        <v>38.400729102495696</v>
      </c>
      <c r="M6" s="170">
        <v>34.683704749426596</v>
      </c>
      <c r="N6" s="173"/>
      <c r="O6" s="185">
        <v>13.612132262054354</v>
      </c>
      <c r="P6" s="185">
        <v>14.172300970826043</v>
      </c>
      <c r="Q6" s="173"/>
      <c r="R6" s="185">
        <v>0.29309103270601172</v>
      </c>
      <c r="S6" s="185">
        <v>0.26363675199287706</v>
      </c>
      <c r="T6" s="185">
        <v>0.30559384016024405</v>
      </c>
      <c r="U6" s="185">
        <v>0.31289340883076594</v>
      </c>
      <c r="V6" s="185">
        <v>0.340403618652523</v>
      </c>
      <c r="W6" s="185">
        <v>0.36017316409175976</v>
      </c>
      <c r="X6" s="185">
        <v>0.32236755812618834</v>
      </c>
      <c r="Y6" s="185">
        <v>0.29235858174291496</v>
      </c>
      <c r="Z6" s="173"/>
      <c r="AA6" s="183">
        <v>-1109.1380300999999</v>
      </c>
      <c r="AB6" s="184">
        <v>-94871.099999999991</v>
      </c>
      <c r="AC6" s="170">
        <v>-1.3882830677378284</v>
      </c>
      <c r="AD6" s="173"/>
      <c r="AE6" s="174">
        <v>7309.7788289999999</v>
      </c>
      <c r="AF6" s="185">
        <v>0.46877714184804931</v>
      </c>
      <c r="AG6" s="173"/>
      <c r="AH6" s="174">
        <v>9.8686892000000022</v>
      </c>
      <c r="AI6" s="174">
        <v>11.361790900000003</v>
      </c>
      <c r="AJ6" s="174">
        <v>12.729929933333338</v>
      </c>
      <c r="AK6" s="173"/>
      <c r="AL6" s="186">
        <v>4.2165084445662204</v>
      </c>
      <c r="AM6" s="187">
        <v>371.95001220703125</v>
      </c>
      <c r="AN6" s="173"/>
      <c r="AO6" s="188">
        <v>2.4966666666666666</v>
      </c>
      <c r="AP6" s="188">
        <v>2.8733333333333331</v>
      </c>
      <c r="AQ6" s="188">
        <v>3.2816666666666667</v>
      </c>
      <c r="AR6" s="188">
        <v>4.09</v>
      </c>
      <c r="AS6" s="188">
        <v>5.45</v>
      </c>
      <c r="AT6" s="188">
        <v>7.28</v>
      </c>
      <c r="AU6" s="188">
        <v>8.0291304347826102</v>
      </c>
      <c r="AV6" s="188">
        <v>9.6840909090909086</v>
      </c>
      <c r="AW6" s="188">
        <v>11.159375000000002</v>
      </c>
      <c r="AX6" s="188">
        <v>12.38</v>
      </c>
      <c r="AY6" s="173"/>
      <c r="AZ6" s="184">
        <v>27727.3</v>
      </c>
      <c r="BA6" s="184">
        <v>32105.100000000002</v>
      </c>
      <c r="BB6" s="184">
        <v>33408.800000000003</v>
      </c>
      <c r="BC6" s="184">
        <v>40858.799999999996</v>
      </c>
      <c r="BD6" s="184">
        <v>50464.1</v>
      </c>
      <c r="BE6" s="184">
        <v>68337</v>
      </c>
      <c r="BF6" s="184">
        <v>76292.100000000006</v>
      </c>
      <c r="BG6" s="184">
        <v>90461.25</v>
      </c>
      <c r="BH6" s="184">
        <v>104657.764705882</v>
      </c>
      <c r="BI6" s="184">
        <v>115862</v>
      </c>
      <c r="BJ6" s="173"/>
      <c r="BK6" s="184">
        <v>126365.8</v>
      </c>
      <c r="BL6" s="184">
        <v>138497.1</v>
      </c>
      <c r="BM6" s="184">
        <v>150847.4</v>
      </c>
      <c r="BN6" s="184">
        <v>174041.8</v>
      </c>
      <c r="BO6" s="184">
        <v>199054.9</v>
      </c>
      <c r="BP6" s="184">
        <v>230241</v>
      </c>
      <c r="BQ6" s="184">
        <v>276125.42857142858</v>
      </c>
      <c r="BR6" s="184">
        <v>325357.7</v>
      </c>
      <c r="BS6" s="184">
        <v>379114.0625</v>
      </c>
      <c r="BT6" s="184">
        <v>423792.5</v>
      </c>
      <c r="BU6" s="173"/>
      <c r="BV6" s="173"/>
      <c r="BW6" s="173"/>
    </row>
    <row r="7" spans="1:75" x14ac:dyDescent="0.25">
      <c r="A7" s="147" t="s">
        <v>19</v>
      </c>
      <c r="B7" s="166" t="str">
        <f t="shared" si="0"/>
        <v>BDL IN Equity</v>
      </c>
      <c r="C7" s="173"/>
      <c r="D7" s="183">
        <v>5916.3863742951062</v>
      </c>
      <c r="E7" s="184">
        <v>521948.35269927979</v>
      </c>
      <c r="F7" s="173"/>
      <c r="G7" s="183">
        <v>5428.079859592659</v>
      </c>
      <c r="H7" s="184">
        <v>480110.63469927979</v>
      </c>
      <c r="I7" s="173"/>
      <c r="J7" s="170">
        <v>95.104869458337234</v>
      </c>
      <c r="K7" s="170">
        <v>52.887211504793704</v>
      </c>
      <c r="L7" s="170">
        <v>101.6395195801053</v>
      </c>
      <c r="M7" s="170">
        <v>55.342063981895798</v>
      </c>
      <c r="N7" s="173"/>
      <c r="O7" s="185">
        <v>13.019574914695379</v>
      </c>
      <c r="P7" s="185">
        <v>13.892665682087049</v>
      </c>
      <c r="Q7" s="173"/>
      <c r="R7" s="185">
        <v>0.14356014782074192</v>
      </c>
      <c r="S7" s="185">
        <v>0.21418809142135192</v>
      </c>
      <c r="T7" s="185">
        <v>0.15068123302105599</v>
      </c>
      <c r="U7" s="185">
        <v>7.937623710171425E-2</v>
      </c>
      <c r="V7" s="185">
        <v>7.8055529362345791E-2</v>
      </c>
      <c r="W7" s="185">
        <v>0.10633234149907318</v>
      </c>
      <c r="X7" s="185">
        <v>6.0938308571755292E-2</v>
      </c>
      <c r="Y7" s="185">
        <v>0.14395137875202085</v>
      </c>
      <c r="Z7" s="173"/>
      <c r="AA7" s="183">
        <v>-489.124761138</v>
      </c>
      <c r="AB7" s="184">
        <v>-41837.718000000001</v>
      </c>
      <c r="AC7" s="170">
        <v>-8.857053459170757</v>
      </c>
      <c r="AD7" s="173"/>
      <c r="AE7" s="174">
        <v>366.5625</v>
      </c>
      <c r="AF7" s="185">
        <v>0.22279717647058825</v>
      </c>
      <c r="AG7" s="173"/>
      <c r="AH7" s="174">
        <v>0.86706740000000038</v>
      </c>
      <c r="AI7" s="174">
        <v>1.4526869999999996</v>
      </c>
      <c r="AJ7" s="174">
        <v>1.6481164000000001</v>
      </c>
      <c r="AK7" s="173"/>
      <c r="AL7" s="186">
        <v>16.141648824084768</v>
      </c>
      <c r="AM7" s="187">
        <v>1423.9000244140625</v>
      </c>
      <c r="AN7" s="173"/>
      <c r="AO7" s="188">
        <v>14.59</v>
      </c>
      <c r="AP7" s="188">
        <v>7.03</v>
      </c>
      <c r="AQ7" s="188">
        <v>6.3603199999999998</v>
      </c>
      <c r="AR7" s="188">
        <v>9.61</v>
      </c>
      <c r="AS7" s="188">
        <v>16.72</v>
      </c>
      <c r="AT7" s="188">
        <v>14.99</v>
      </c>
      <c r="AU7" s="188">
        <v>26.923333333333332</v>
      </c>
      <c r="AV7" s="188">
        <v>37.864444444444445</v>
      </c>
      <c r="AW7" s="188">
        <v>49.311666666666667</v>
      </c>
      <c r="AX7" s="188">
        <v>38.72</v>
      </c>
      <c r="AY7" s="173"/>
      <c r="AZ7" s="184">
        <v>7554.9780000000001</v>
      </c>
      <c r="BA7" s="184">
        <v>3447.1869999999999</v>
      </c>
      <c r="BB7" s="184">
        <v>7260.6679999999997</v>
      </c>
      <c r="BC7" s="184">
        <v>4081.9560000000001</v>
      </c>
      <c r="BD7" s="184">
        <v>5365.5029999999997</v>
      </c>
      <c r="BE7" s="184">
        <v>4723.6610000000001</v>
      </c>
      <c r="BF7" s="184">
        <v>9721.5</v>
      </c>
      <c r="BG7" s="184">
        <v>14428</v>
      </c>
      <c r="BH7" s="184">
        <v>18997.714285714297</v>
      </c>
      <c r="BI7" s="184">
        <v>18180</v>
      </c>
      <c r="BJ7" s="173"/>
      <c r="BK7" s="184">
        <v>31048.720000000001</v>
      </c>
      <c r="BL7" s="184">
        <v>19137.595000000001</v>
      </c>
      <c r="BM7" s="184">
        <v>28174.027999999998</v>
      </c>
      <c r="BN7" s="184">
        <v>24893.924999999999</v>
      </c>
      <c r="BO7" s="184">
        <v>23505.760999999999</v>
      </c>
      <c r="BP7" s="184">
        <v>33230.728999999999</v>
      </c>
      <c r="BQ7" s="184">
        <v>46253.599999999999</v>
      </c>
      <c r="BR7" s="184">
        <v>63741</v>
      </c>
      <c r="BS7" s="184">
        <v>83047.285714285725</v>
      </c>
      <c r="BT7" s="184">
        <v>89334</v>
      </c>
      <c r="BU7" s="173"/>
      <c r="BV7" s="173"/>
      <c r="BW7" s="173"/>
    </row>
    <row r="8" spans="1:75" x14ac:dyDescent="0.25">
      <c r="A8" s="147" t="s">
        <v>412</v>
      </c>
      <c r="B8" s="166" t="str">
        <f t="shared" si="0"/>
        <v>MAZDOCKS IN Equity</v>
      </c>
      <c r="C8" s="173"/>
      <c r="D8" s="183">
        <v>12272.297368491647</v>
      </c>
      <c r="E8" s="184">
        <v>1082671.92</v>
      </c>
      <c r="F8" s="173"/>
      <c r="G8" s="183">
        <v>10388.320523575432</v>
      </c>
      <c r="H8" s="184">
        <v>921379.11999999988</v>
      </c>
      <c r="I8" s="173"/>
      <c r="J8" s="170">
        <v>44.869093000205844</v>
      </c>
      <c r="K8" s="170">
        <v>35.374303358939592</v>
      </c>
      <c r="L8" s="170">
        <v>44.726490390916631</v>
      </c>
      <c r="M8" s="170">
        <v>39.718679455972492</v>
      </c>
      <c r="N8" s="173"/>
      <c r="O8" s="185">
        <v>13.635872582457168</v>
      </c>
      <c r="P8" s="185">
        <v>13.672724058152578</v>
      </c>
      <c r="Q8" s="173"/>
      <c r="R8" s="185">
        <v>0.34025205610804221</v>
      </c>
      <c r="S8" s="185">
        <v>0.31870597407225337</v>
      </c>
      <c r="T8" s="185">
        <v>0.34136689044834362</v>
      </c>
      <c r="U8" s="185">
        <v>0.45989298985846894</v>
      </c>
      <c r="V8" s="185">
        <v>0.33704182274607819</v>
      </c>
      <c r="W8" s="185">
        <v>0.28138209023677951</v>
      </c>
      <c r="X8" s="185">
        <v>0.29956226706507572</v>
      </c>
      <c r="Y8" s="185">
        <v>0.34027414526852995</v>
      </c>
      <c r="Z8" s="173"/>
      <c r="AA8" s="183">
        <v>-1885.6741248000005</v>
      </c>
      <c r="AB8" s="184">
        <v>-161292.80000000002</v>
      </c>
      <c r="AC8" s="170">
        <v>-7.8296335490259867</v>
      </c>
      <c r="AD8" s="173"/>
      <c r="AE8" s="174">
        <v>403.38</v>
      </c>
      <c r="AF8" s="185">
        <v>0.15508929793247062</v>
      </c>
      <c r="AG8" s="173"/>
      <c r="AH8" s="174">
        <v>1.2083873999999997</v>
      </c>
      <c r="AI8" s="174">
        <v>1.423215300000001</v>
      </c>
      <c r="AJ8" s="174">
        <v>1.6261805333333348</v>
      </c>
      <c r="AK8" s="173"/>
      <c r="AL8" s="186">
        <v>30.426423696194195</v>
      </c>
      <c r="AM8" s="187">
        <v>2684</v>
      </c>
      <c r="AN8" s="173"/>
      <c r="AO8" s="188">
        <v>8.4425264999999996</v>
      </c>
      <c r="AP8" s="188">
        <v>12.74</v>
      </c>
      <c r="AQ8" s="188">
        <v>15.1255145</v>
      </c>
      <c r="AR8" s="188">
        <v>27.741499999999998</v>
      </c>
      <c r="AS8" s="188">
        <v>48.02</v>
      </c>
      <c r="AT8" s="188">
        <v>59.83</v>
      </c>
      <c r="AU8" s="188">
        <v>75.874285714285733</v>
      </c>
      <c r="AV8" s="188">
        <v>84.88</v>
      </c>
      <c r="AW8" s="188">
        <v>93.660000000000011</v>
      </c>
      <c r="AX8" s="188" t="e">
        <v>#N/A</v>
      </c>
      <c r="AY8" s="173"/>
      <c r="AZ8" s="184">
        <v>2534.1999999999998</v>
      </c>
      <c r="BA8" s="184">
        <v>2353</v>
      </c>
      <c r="BB8" s="184">
        <v>4347</v>
      </c>
      <c r="BC8" s="184">
        <v>7978</v>
      </c>
      <c r="BD8" s="184">
        <v>14116.099999999999</v>
      </c>
      <c r="BE8" s="184">
        <v>20600.3</v>
      </c>
      <c r="BF8" s="184">
        <v>24895.8</v>
      </c>
      <c r="BG8" s="184">
        <v>31820.333333333303</v>
      </c>
      <c r="BH8" s="184">
        <v>31304.75</v>
      </c>
      <c r="BI8" s="184">
        <v>28029</v>
      </c>
      <c r="BJ8" s="173"/>
      <c r="BK8" s="184">
        <v>49048.4</v>
      </c>
      <c r="BL8" s="184">
        <v>40478.199999999997</v>
      </c>
      <c r="BM8" s="184">
        <v>57332.800000000003</v>
      </c>
      <c r="BN8" s="184">
        <v>78271.8</v>
      </c>
      <c r="BO8" s="184">
        <v>94665.8</v>
      </c>
      <c r="BP8" s="184">
        <v>114318.8</v>
      </c>
      <c r="BQ8" s="184">
        <v>134243.79999999999</v>
      </c>
      <c r="BR8" s="184">
        <v>158098.66666666666</v>
      </c>
      <c r="BS8" s="184">
        <v>159175.25</v>
      </c>
      <c r="BT8" s="184">
        <v>175340</v>
      </c>
      <c r="BU8" s="173"/>
      <c r="BV8" s="173"/>
      <c r="BW8" s="173"/>
    </row>
    <row r="9" spans="1:75" x14ac:dyDescent="0.25">
      <c r="A9" s="142" t="s">
        <v>22</v>
      </c>
      <c r="B9" s="166" t="str">
        <f t="shared" si="0"/>
        <v>GRSE IN Equity</v>
      </c>
      <c r="C9" s="173"/>
      <c r="D9" s="183">
        <v>3055.2981717580583</v>
      </c>
      <c r="E9" s="184">
        <v>269540.85600000003</v>
      </c>
      <c r="F9" s="173"/>
      <c r="G9" s="183">
        <v>2620.5600530306174</v>
      </c>
      <c r="H9" s="184">
        <v>232319.00400000004</v>
      </c>
      <c r="I9" s="173"/>
      <c r="J9" s="170">
        <v>51.393838916201133</v>
      </c>
      <c r="K9" s="170" t="e">
        <v>#N/A</v>
      </c>
      <c r="L9" s="170">
        <v>55.147647111465815</v>
      </c>
      <c r="M9" s="170" t="e">
        <v>#N/A</v>
      </c>
      <c r="N9" s="173"/>
      <c r="O9" s="185">
        <v>12.963291982772351</v>
      </c>
      <c r="P9" s="185">
        <v>13.104972960200467</v>
      </c>
      <c r="Q9" s="173"/>
      <c r="R9" s="185">
        <v>0.27951141221924591</v>
      </c>
      <c r="S9" s="185" t="e">
        <v>#N/A</v>
      </c>
      <c r="T9" s="185">
        <v>0.28435374472420849</v>
      </c>
      <c r="U9" s="185">
        <v>0.3163314538600685</v>
      </c>
      <c r="V9" s="185">
        <v>0.14727526085727571</v>
      </c>
      <c r="W9" s="185">
        <v>0.19634143250273733</v>
      </c>
      <c r="X9" s="185">
        <v>0.14388458482660141</v>
      </c>
      <c r="Y9" s="185">
        <v>0.2794440782303329</v>
      </c>
      <c r="Z9" s="173"/>
      <c r="AA9" s="183">
        <v>-435.16067173199997</v>
      </c>
      <c r="AB9" s="184">
        <v>-37221.851999999999</v>
      </c>
      <c r="AC9" s="170">
        <v>-8.8356850864047605</v>
      </c>
      <c r="AD9" s="173"/>
      <c r="AE9" s="174">
        <v>114.55200000000001</v>
      </c>
      <c r="AF9" s="185">
        <v>0.255</v>
      </c>
      <c r="AG9" s="173"/>
      <c r="AH9" s="174">
        <v>0.80167300000000041</v>
      </c>
      <c r="AI9" s="174">
        <v>0.82587010000000027</v>
      </c>
      <c r="AJ9" s="174">
        <v>0.83257160000000008</v>
      </c>
      <c r="AK9" s="173"/>
      <c r="AL9" s="186">
        <v>26.674133739621809</v>
      </c>
      <c r="AM9" s="187">
        <v>2353</v>
      </c>
      <c r="AN9" s="173"/>
      <c r="AO9" s="188">
        <v>14.245792</v>
      </c>
      <c r="AP9" s="188">
        <v>13.401223</v>
      </c>
      <c r="AQ9" s="188">
        <v>15.875999999999999</v>
      </c>
      <c r="AR9" s="188">
        <v>19.914000000000001</v>
      </c>
      <c r="AS9" s="188">
        <v>31.19</v>
      </c>
      <c r="AT9" s="188">
        <v>46.04</v>
      </c>
      <c r="AU9" s="188" t="e">
        <v>#N/A</v>
      </c>
      <c r="AV9" s="188" t="e">
        <v>#N/A</v>
      </c>
      <c r="AW9" s="188" t="e">
        <v>#N/A</v>
      </c>
      <c r="AX9" s="188" t="e">
        <v>#N/A</v>
      </c>
      <c r="AY9" s="173"/>
      <c r="AZ9" s="184">
        <v>404.03399999999999</v>
      </c>
      <c r="BA9" s="184">
        <v>720.59799999999996</v>
      </c>
      <c r="BB9" s="184">
        <v>1413.3330000000001</v>
      </c>
      <c r="BC9" s="184">
        <v>1490.2940000000001</v>
      </c>
      <c r="BD9" s="184">
        <v>2341.1480000000001</v>
      </c>
      <c r="BE9" s="184">
        <v>4212.6729999999998</v>
      </c>
      <c r="BF9" s="184">
        <v>6249.3333333333303</v>
      </c>
      <c r="BG9" s="184">
        <v>8312.6666666666697</v>
      </c>
      <c r="BH9" s="184">
        <v>9100.25</v>
      </c>
      <c r="BI9" s="184">
        <v>5848</v>
      </c>
      <c r="BJ9" s="173"/>
      <c r="BK9" s="184">
        <v>14332.953</v>
      </c>
      <c r="BL9" s="184">
        <v>11408.352999999999</v>
      </c>
      <c r="BM9" s="184">
        <v>17544.487000000001</v>
      </c>
      <c r="BN9" s="184">
        <v>25611.451000000001</v>
      </c>
      <c r="BO9" s="184">
        <v>35926.423000000003</v>
      </c>
      <c r="BP9" s="184">
        <v>50756.877</v>
      </c>
      <c r="BQ9" s="184" t="e">
        <v>#N/A</v>
      </c>
      <c r="BR9" s="184" t="e">
        <v>#N/A</v>
      </c>
      <c r="BS9" s="184" t="e">
        <v>#N/A</v>
      </c>
      <c r="BT9" s="184" t="e">
        <v>#N/A</v>
      </c>
      <c r="BU9" s="173"/>
      <c r="BV9" s="173"/>
      <c r="BW9" s="173"/>
    </row>
    <row r="10" spans="1:75" x14ac:dyDescent="0.25">
      <c r="A10" s="147" t="s">
        <v>413</v>
      </c>
      <c r="B10" s="166" t="str">
        <f t="shared" si="0"/>
        <v>COCHIN IN Equity</v>
      </c>
      <c r="C10" s="173"/>
      <c r="D10" s="183">
        <v>4859.28624314221</v>
      </c>
      <c r="E10" s="184">
        <v>428690.13101000001</v>
      </c>
      <c r="F10" s="173"/>
      <c r="G10" s="183">
        <v>4561.5788234661577</v>
      </c>
      <c r="H10" s="184">
        <v>403167.98001</v>
      </c>
      <c r="I10" s="173"/>
      <c r="J10" s="170">
        <v>51.824073823178487</v>
      </c>
      <c r="K10" s="170">
        <v>49.528875379939215</v>
      </c>
      <c r="L10" s="170">
        <v>45.926363440121371</v>
      </c>
      <c r="M10" s="170" t="e">
        <v>#N/A</v>
      </c>
      <c r="N10" s="173"/>
      <c r="O10" s="185">
        <v>7.6836373992086369</v>
      </c>
      <c r="P10" s="185">
        <v>7.7024173607895712</v>
      </c>
      <c r="Q10" s="173"/>
      <c r="R10" s="185">
        <v>0.15633265634134985</v>
      </c>
      <c r="S10" s="185">
        <v>0.14199999999999999</v>
      </c>
      <c r="T10" s="185">
        <v>0.15683579626406755</v>
      </c>
      <c r="U10" s="185">
        <v>0.14829363003071691</v>
      </c>
      <c r="V10" s="185">
        <v>0.12039218491591618</v>
      </c>
      <c r="W10" s="185">
        <v>0.13368314412657839</v>
      </c>
      <c r="X10" s="185">
        <v>0.11435578661535492</v>
      </c>
      <c r="Y10" s="185">
        <v>0.14245867256134581</v>
      </c>
      <c r="Z10" s="173"/>
      <c r="AA10" s="183">
        <v>-298.37946734100001</v>
      </c>
      <c r="AB10" s="184">
        <v>-25522.151000000002</v>
      </c>
      <c r="AC10" s="170">
        <v>-2.9073231028182938</v>
      </c>
      <c r="AD10" s="173"/>
      <c r="AE10" s="174">
        <v>263.08078</v>
      </c>
      <c r="AF10" s="185">
        <v>0.29039472210778761</v>
      </c>
      <c r="AG10" s="173"/>
      <c r="AH10" s="174">
        <v>0.99791899999999978</v>
      </c>
      <c r="AI10" s="174">
        <v>0.85803210000000019</v>
      </c>
      <c r="AJ10" s="174">
        <v>0.85978896666666726</v>
      </c>
      <c r="AK10" s="173"/>
      <c r="AL10" s="186">
        <v>18.472376085301207</v>
      </c>
      <c r="AM10" s="187">
        <v>1629.5</v>
      </c>
      <c r="AN10" s="173"/>
      <c r="AO10" s="188">
        <v>23.6815</v>
      </c>
      <c r="AP10" s="188">
        <v>23.135999999999999</v>
      </c>
      <c r="AQ10" s="188">
        <v>21.5105</v>
      </c>
      <c r="AR10" s="188">
        <v>9.9375</v>
      </c>
      <c r="AS10" s="188">
        <v>29.77</v>
      </c>
      <c r="AT10" s="188">
        <v>31.45</v>
      </c>
      <c r="AU10" s="188">
        <v>32.9</v>
      </c>
      <c r="AV10" s="188">
        <v>39.15</v>
      </c>
      <c r="AW10" s="188">
        <v>45.9</v>
      </c>
      <c r="AX10" s="188" t="e">
        <v>#N/A</v>
      </c>
      <c r="AY10" s="173"/>
      <c r="AZ10" s="184">
        <v>7115.2179999999998</v>
      </c>
      <c r="BA10" s="184">
        <v>7157.5910000000003</v>
      </c>
      <c r="BB10" s="184">
        <v>6226.5519999999997</v>
      </c>
      <c r="BC10" s="184">
        <v>2589.8589999999999</v>
      </c>
      <c r="BD10" s="184">
        <v>8685.76</v>
      </c>
      <c r="BE10" s="184">
        <v>8778.5740000000005</v>
      </c>
      <c r="BF10" s="184">
        <v>10230</v>
      </c>
      <c r="BG10" s="184">
        <v>12014.666666666701</v>
      </c>
      <c r="BH10" s="184">
        <v>13441</v>
      </c>
      <c r="BI10" s="184" t="e">
        <v>#N/A</v>
      </c>
      <c r="BJ10" s="173"/>
      <c r="BK10" s="184">
        <v>34224.938999999998</v>
      </c>
      <c r="BL10" s="184">
        <v>28188.97</v>
      </c>
      <c r="BM10" s="184">
        <v>31909.47</v>
      </c>
      <c r="BN10" s="184">
        <v>23645.547999999999</v>
      </c>
      <c r="BO10" s="184">
        <v>38304.542000000001</v>
      </c>
      <c r="BP10" s="184">
        <v>48199.588000000003</v>
      </c>
      <c r="BQ10" s="184">
        <v>51548</v>
      </c>
      <c r="BR10" s="184">
        <v>60972.5</v>
      </c>
      <c r="BS10" s="184">
        <v>62929</v>
      </c>
      <c r="BT10" s="184" t="e">
        <v>#N/A</v>
      </c>
      <c r="BU10" s="173"/>
      <c r="BV10" s="173"/>
      <c r="BW10" s="173"/>
    </row>
    <row r="11" spans="1:75" x14ac:dyDescent="0.25">
      <c r="A11" s="142" t="s">
        <v>43</v>
      </c>
      <c r="B11" s="166" t="str">
        <f t="shared" si="0"/>
        <v>BEML IN Equity</v>
      </c>
      <c r="C11" s="173"/>
      <c r="D11" s="183">
        <v>1910.0027369957495</v>
      </c>
      <c r="E11" s="184">
        <v>168501.97386657714</v>
      </c>
      <c r="F11" s="173"/>
      <c r="G11" s="183">
        <v>1936.3585167371648</v>
      </c>
      <c r="H11" s="184">
        <v>170733.74386657716</v>
      </c>
      <c r="I11" s="173"/>
      <c r="J11" s="170">
        <v>57.989037706602971</v>
      </c>
      <c r="K11" s="170" t="e">
        <v>#N/A</v>
      </c>
      <c r="L11" s="170">
        <v>33.762871674945636</v>
      </c>
      <c r="M11" s="170">
        <v>25.083970083505708</v>
      </c>
      <c r="N11" s="173"/>
      <c r="O11" s="185">
        <v>5.8358069026008028</v>
      </c>
      <c r="P11" s="185">
        <v>5.9114228002336882</v>
      </c>
      <c r="Q11" s="173"/>
      <c r="R11" s="185">
        <v>0.10461099912264818</v>
      </c>
      <c r="S11" s="185" t="e">
        <v>#N/A</v>
      </c>
      <c r="T11" s="185">
        <v>0.10670607281956532</v>
      </c>
      <c r="U11" s="185">
        <v>9.3857401776916052E-2</v>
      </c>
      <c r="V11" s="185">
        <v>0.1140429128412425</v>
      </c>
      <c r="W11" s="185">
        <v>0.13870090918898803</v>
      </c>
      <c r="X11" s="185">
        <v>0.11117401566190149</v>
      </c>
      <c r="Y11" s="185">
        <v>0.11338242066560643</v>
      </c>
      <c r="Z11" s="173"/>
      <c r="AA11" s="183">
        <v>26.149131099000005</v>
      </c>
      <c r="AB11" s="184">
        <v>2236.6890000000003</v>
      </c>
      <c r="AC11" s="170">
        <v>0.44230883698524531</v>
      </c>
      <c r="AD11" s="173"/>
      <c r="AE11" s="174">
        <v>41.644500000000001</v>
      </c>
      <c r="AF11" s="185">
        <v>0.45971259109846441</v>
      </c>
      <c r="AG11" s="173"/>
      <c r="AH11" s="174">
        <v>0.35287240000000047</v>
      </c>
      <c r="AI11" s="174">
        <v>0.25144220000000012</v>
      </c>
      <c r="AJ11" s="174">
        <v>0.29144416666666673</v>
      </c>
      <c r="AK11" s="173"/>
      <c r="AL11" s="186">
        <v>45.868626704126576</v>
      </c>
      <c r="AM11" s="187">
        <v>4046.199951171875</v>
      </c>
      <c r="AN11" s="173"/>
      <c r="AO11" s="188">
        <v>15.29</v>
      </c>
      <c r="AP11" s="188">
        <v>16.5</v>
      </c>
      <c r="AQ11" s="188">
        <v>30.88</v>
      </c>
      <c r="AR11" s="188">
        <v>37.909999999999997</v>
      </c>
      <c r="AS11" s="188">
        <v>67.66</v>
      </c>
      <c r="AT11" s="188">
        <v>70.239999999999995</v>
      </c>
      <c r="AU11" s="188" t="e">
        <v>#N/A</v>
      </c>
      <c r="AV11" s="188" t="e">
        <v>#N/A</v>
      </c>
      <c r="AW11" s="188" t="e">
        <v>#N/A</v>
      </c>
      <c r="AX11" s="188" t="e">
        <v>#N/A</v>
      </c>
      <c r="AY11" s="173"/>
      <c r="AZ11" s="184">
        <v>839.19500000000005</v>
      </c>
      <c r="BA11" s="184">
        <v>1779.231</v>
      </c>
      <c r="BB11" s="184">
        <v>3098.2750000000001</v>
      </c>
      <c r="BC11" s="184">
        <v>3644.462</v>
      </c>
      <c r="BD11" s="184">
        <v>4422.41</v>
      </c>
      <c r="BE11" s="184">
        <v>5056.8489999999993</v>
      </c>
      <c r="BF11" s="184">
        <v>6526.5</v>
      </c>
      <c r="BG11" s="184">
        <v>8732</v>
      </c>
      <c r="BH11" s="184">
        <v>10306</v>
      </c>
      <c r="BI11" s="184" t="e">
        <v>#N/A</v>
      </c>
      <c r="BJ11" s="173"/>
      <c r="BK11" s="184">
        <v>30254.35</v>
      </c>
      <c r="BL11" s="184">
        <v>35566.411999999997</v>
      </c>
      <c r="BM11" s="184">
        <v>41429.709000000003</v>
      </c>
      <c r="BN11" s="184">
        <v>38391.932000000001</v>
      </c>
      <c r="BO11" s="184">
        <v>40543.245000000003</v>
      </c>
      <c r="BP11" s="184">
        <v>40222.226999999999</v>
      </c>
      <c r="BQ11" s="184" t="e">
        <v>#N/A</v>
      </c>
      <c r="BR11" s="184" t="e">
        <v>#N/A</v>
      </c>
      <c r="BS11" s="184" t="e">
        <v>#N/A</v>
      </c>
      <c r="BT11" s="184" t="e">
        <v>#N/A</v>
      </c>
      <c r="BU11" s="173"/>
      <c r="BV11" s="173"/>
      <c r="BW11" s="173"/>
    </row>
    <row r="12" spans="1:75" x14ac:dyDescent="0.25">
      <c r="A12" s="142" t="s">
        <v>44</v>
      </c>
      <c r="B12" s="166" t="str">
        <f t="shared" si="0"/>
        <v>MIDHANI IN Equity</v>
      </c>
      <c r="C12" s="173"/>
      <c r="D12" s="183">
        <v>798.13080704371259</v>
      </c>
      <c r="E12" s="184">
        <v>70411.740143432617</v>
      </c>
      <c r="F12" s="173"/>
      <c r="G12" s="183">
        <v>833.16715220332276</v>
      </c>
      <c r="H12" s="184">
        <v>73399.163143432612</v>
      </c>
      <c r="I12" s="173"/>
      <c r="J12" s="170">
        <v>63.488176706674935</v>
      </c>
      <c r="K12" s="170" t="e">
        <v>#N/A</v>
      </c>
      <c r="L12" s="170">
        <v>33.662176098038131</v>
      </c>
      <c r="M12" s="170">
        <v>27.853858100953055</v>
      </c>
      <c r="N12" s="173"/>
      <c r="O12" s="185">
        <v>4.9762058391857105</v>
      </c>
      <c r="P12" s="185">
        <v>4.9862162000952619</v>
      </c>
      <c r="Q12" s="173"/>
      <c r="R12" s="185">
        <v>8.1076852257085788E-2</v>
      </c>
      <c r="S12" s="185" t="e">
        <v>#N/A</v>
      </c>
      <c r="T12" s="185">
        <v>8.1272214226674078E-2</v>
      </c>
      <c r="U12" s="185">
        <v>6.1232177305141813E-2</v>
      </c>
      <c r="V12" s="185">
        <v>6.0249179377980598E-2</v>
      </c>
      <c r="W12" s="185">
        <v>8.5237791983108296E-2</v>
      </c>
      <c r="X12" s="185">
        <v>6.1386743127517518E-2</v>
      </c>
      <c r="Y12" s="185">
        <v>7.4875993408589608E-2</v>
      </c>
      <c r="Z12" s="173"/>
      <c r="AA12" s="183">
        <v>34.925962292999998</v>
      </c>
      <c r="AB12" s="184">
        <v>2987.4229999999998</v>
      </c>
      <c r="AC12" s="170">
        <v>1.3700859083204309</v>
      </c>
      <c r="AD12" s="173"/>
      <c r="AE12" s="174">
        <v>187.34</v>
      </c>
      <c r="AF12" s="185">
        <v>0.247744491299242</v>
      </c>
      <c r="AG12" s="173"/>
      <c r="AH12" s="174">
        <v>0.39572059999999987</v>
      </c>
      <c r="AI12" s="174">
        <v>0.36249520000000002</v>
      </c>
      <c r="AJ12" s="174">
        <v>0.36911996666666669</v>
      </c>
      <c r="AK12" s="173"/>
      <c r="AL12" s="186">
        <v>4.2607196467670416</v>
      </c>
      <c r="AM12" s="187">
        <v>375.85000610351563</v>
      </c>
      <c r="AN12" s="173"/>
      <c r="AO12" s="188">
        <v>8.44</v>
      </c>
      <c r="AP12" s="188">
        <v>8.8800000000000008</v>
      </c>
      <c r="AQ12" s="188">
        <v>9.4280000000000008</v>
      </c>
      <c r="AR12" s="188">
        <v>8.343</v>
      </c>
      <c r="AS12" s="188">
        <v>4.9000000000000004</v>
      </c>
      <c r="AT12" s="188">
        <v>5.92</v>
      </c>
      <c r="AU12" s="188" t="e">
        <v>#N/A</v>
      </c>
      <c r="AV12" s="188" t="e">
        <v>#N/A</v>
      </c>
      <c r="AW12" s="188" t="e">
        <v>#N/A</v>
      </c>
      <c r="AX12" s="188" t="e">
        <v>#N/A</v>
      </c>
      <c r="AY12" s="173"/>
      <c r="AZ12" s="184">
        <v>1976.8030000000001</v>
      </c>
      <c r="BA12" s="184">
        <v>2454.134</v>
      </c>
      <c r="BB12" s="184">
        <v>2619.076</v>
      </c>
      <c r="BC12" s="184">
        <v>2575.0439999999999</v>
      </c>
      <c r="BD12" s="184">
        <v>1941.5139999999999</v>
      </c>
      <c r="BE12" s="184">
        <v>2180.4639999999999</v>
      </c>
      <c r="BF12" s="184">
        <v>2833</v>
      </c>
      <c r="BG12" s="184">
        <v>3550</v>
      </c>
      <c r="BH12" s="184">
        <v>4269</v>
      </c>
      <c r="BI12" s="184" t="e">
        <v>#N/A</v>
      </c>
      <c r="BJ12" s="173"/>
      <c r="BK12" s="184">
        <v>7128.7569999999996</v>
      </c>
      <c r="BL12" s="184">
        <v>8043.4949999999999</v>
      </c>
      <c r="BM12" s="184">
        <v>8369.7739999999994</v>
      </c>
      <c r="BN12" s="184">
        <v>8498.76</v>
      </c>
      <c r="BO12" s="184">
        <v>10311.877</v>
      </c>
      <c r="BP12" s="184">
        <v>10527.857</v>
      </c>
      <c r="BQ12" s="184" t="e">
        <v>#N/A</v>
      </c>
      <c r="BR12" s="184" t="e">
        <v>#N/A</v>
      </c>
      <c r="BS12" s="184" t="e">
        <v>#N/A</v>
      </c>
      <c r="BT12" s="184" t="e">
        <v>#N/A</v>
      </c>
      <c r="BU12" s="173"/>
      <c r="BV12" s="173"/>
      <c r="BW12" s="173"/>
    </row>
    <row r="13" spans="1:75" x14ac:dyDescent="0.25">
      <c r="A13" s="147" t="s">
        <v>26</v>
      </c>
      <c r="B13" s="166" t="str">
        <f t="shared" si="0"/>
        <v>DATAPATT IN Equity</v>
      </c>
      <c r="C13" s="173"/>
      <c r="D13" s="183">
        <v>1625.0560729394697</v>
      </c>
      <c r="E13" s="184">
        <v>143363.75054879222</v>
      </c>
      <c r="F13" s="173"/>
      <c r="G13" s="183">
        <v>1573.0477711959918</v>
      </c>
      <c r="H13" s="184">
        <v>138895.9505487922</v>
      </c>
      <c r="I13" s="173"/>
      <c r="J13" s="170">
        <v>70.053002580786838</v>
      </c>
      <c r="K13" s="170">
        <v>52.323515385556789</v>
      </c>
      <c r="L13" s="170">
        <v>50.507618381378983</v>
      </c>
      <c r="M13" s="170">
        <v>40.956299893662724</v>
      </c>
      <c r="N13" s="173"/>
      <c r="O13" s="185">
        <v>9.5054932668173233</v>
      </c>
      <c r="P13" s="185">
        <v>10.271964243149734</v>
      </c>
      <c r="Q13" s="173"/>
      <c r="R13" s="185">
        <v>0.14454655543120218</v>
      </c>
      <c r="S13" s="185">
        <v>0.16558134406273289</v>
      </c>
      <c r="T13" s="185">
        <v>0.16570544905795695</v>
      </c>
      <c r="U13" s="185">
        <v>0.17331524032275708</v>
      </c>
      <c r="V13" s="185">
        <v>0.13718400115896501</v>
      </c>
      <c r="W13" s="185">
        <v>0.18209399727291431</v>
      </c>
      <c r="X13" s="185">
        <v>0.14000134215176752</v>
      </c>
      <c r="Y13" s="185">
        <v>0.15639534074851544</v>
      </c>
      <c r="Z13" s="173"/>
      <c r="AA13" s="183">
        <v>-52.233049799999996</v>
      </c>
      <c r="AB13" s="184">
        <v>-4467.8</v>
      </c>
      <c r="AC13" s="170">
        <v>-1.6246545454545454</v>
      </c>
      <c r="AD13" s="173"/>
      <c r="AE13" s="174">
        <v>55.983968999999988</v>
      </c>
      <c r="AF13" s="185">
        <v>0.41830024591504045</v>
      </c>
      <c r="AG13" s="173"/>
      <c r="AH13" s="174">
        <v>0.1714911999999999</v>
      </c>
      <c r="AI13" s="174">
        <v>0.17231359999999996</v>
      </c>
      <c r="AJ13" s="174">
        <v>0.26210353333333303</v>
      </c>
      <c r="AK13" s="173"/>
      <c r="AL13" s="186">
        <v>29.029801522682305</v>
      </c>
      <c r="AM13" s="187">
        <v>2560.800048828125</v>
      </c>
      <c r="AN13" s="173"/>
      <c r="AO13" s="188">
        <v>123.09402900000001</v>
      </c>
      <c r="AP13" s="188">
        <v>326.41796900000003</v>
      </c>
      <c r="AQ13" s="188">
        <v>19.48</v>
      </c>
      <c r="AR13" s="188">
        <v>23.8</v>
      </c>
      <c r="AS13" s="188">
        <v>32.450000000000003</v>
      </c>
      <c r="AT13" s="188">
        <v>39.619999999999997</v>
      </c>
      <c r="AU13" s="188">
        <v>48.941666666666663</v>
      </c>
      <c r="AV13" s="188">
        <v>61.211666666666652</v>
      </c>
      <c r="AW13" s="188">
        <v>77.320000000000007</v>
      </c>
      <c r="AX13" s="188">
        <v>100.56</v>
      </c>
      <c r="AY13" s="173"/>
      <c r="AZ13" s="184">
        <v>431.55999999999995</v>
      </c>
      <c r="BA13" s="184">
        <v>919.88</v>
      </c>
      <c r="BB13" s="184">
        <v>1410.3999999999999</v>
      </c>
      <c r="BC13" s="184">
        <v>1745.8999999999999</v>
      </c>
      <c r="BD13" s="184">
        <v>2216.2000000000003</v>
      </c>
      <c r="BE13" s="184">
        <v>2750</v>
      </c>
      <c r="BF13" s="184">
        <v>3471.1666666666697</v>
      </c>
      <c r="BG13" s="184">
        <v>4367.75</v>
      </c>
      <c r="BH13" s="184">
        <v>5608.5714285714303</v>
      </c>
      <c r="BI13" s="184">
        <v>6718</v>
      </c>
      <c r="BJ13" s="173"/>
      <c r="BK13" s="184">
        <v>1560.98</v>
      </c>
      <c r="BL13" s="184">
        <v>2239.5</v>
      </c>
      <c r="BM13" s="184">
        <v>3108.5</v>
      </c>
      <c r="BN13" s="184">
        <v>4534.5</v>
      </c>
      <c r="BO13" s="184">
        <v>5198</v>
      </c>
      <c r="BP13" s="184">
        <v>7083.5</v>
      </c>
      <c r="BQ13" s="184">
        <v>8845.0833333333339</v>
      </c>
      <c r="BR13" s="184">
        <v>11103.583333333334</v>
      </c>
      <c r="BS13" s="184">
        <v>14264.285714285716</v>
      </c>
      <c r="BT13" s="184">
        <v>17181</v>
      </c>
      <c r="BU13" s="173"/>
      <c r="BV13" s="173"/>
      <c r="BW13" s="173"/>
    </row>
    <row r="14" spans="1:75" x14ac:dyDescent="0.25">
      <c r="A14" s="147" t="s">
        <v>28</v>
      </c>
      <c r="B14" s="166" t="str">
        <f t="shared" si="0"/>
        <v>PARAS IN Equity</v>
      </c>
      <c r="C14" s="173"/>
      <c r="D14" s="183">
        <v>588.73341464502835</v>
      </c>
      <c r="E14" s="184">
        <v>51938.534184999997</v>
      </c>
      <c r="F14" s="173"/>
      <c r="G14" s="183">
        <v>578.27832374126376</v>
      </c>
      <c r="H14" s="184">
        <v>51037.284184999997</v>
      </c>
      <c r="I14" s="173"/>
      <c r="J14" s="170">
        <v>81.829953927640986</v>
      </c>
      <c r="K14" s="170" t="e">
        <v>#N/A</v>
      </c>
      <c r="L14" s="170">
        <v>52.50565739984404</v>
      </c>
      <c r="M14" s="170" t="e">
        <v>#N/A</v>
      </c>
      <c r="N14" s="173"/>
      <c r="O14" s="185">
        <v>8.1161720753609554</v>
      </c>
      <c r="P14" s="185">
        <v>8.2833288095895394</v>
      </c>
      <c r="Q14" s="173"/>
      <c r="R14" s="185">
        <v>0.1170460196086332</v>
      </c>
      <c r="S14" s="185" t="e">
        <v>#N/A</v>
      </c>
      <c r="T14" s="185">
        <v>0.11929412852603066</v>
      </c>
      <c r="U14" s="185">
        <v>0.13163286618086034</v>
      </c>
      <c r="V14" s="185">
        <v>9.6592835191948043E-2</v>
      </c>
      <c r="W14" s="185">
        <v>0.13132268097267902</v>
      </c>
      <c r="X14" s="185">
        <v>8.9541676294423458E-2</v>
      </c>
      <c r="Y14" s="185">
        <v>0.11346680091422524</v>
      </c>
      <c r="Z14" s="173"/>
      <c r="AA14" s="183">
        <v>-10.148594679</v>
      </c>
      <c r="AB14" s="184">
        <v>-868.06899999999996</v>
      </c>
      <c r="AC14" s="170">
        <v>-0.89304386472078134</v>
      </c>
      <c r="AD14" s="173"/>
      <c r="AE14" s="174">
        <v>80.587329999999994</v>
      </c>
      <c r="AF14" s="185">
        <v>0.70233133421841876</v>
      </c>
      <c r="AG14" s="173"/>
      <c r="AH14" s="174">
        <v>0.39387060000000013</v>
      </c>
      <c r="AI14" s="174">
        <v>0.41716029999999998</v>
      </c>
      <c r="AJ14" s="174">
        <v>0.62681083333333387</v>
      </c>
      <c r="AK14" s="173"/>
      <c r="AL14" s="186">
        <v>7.3061960030540822</v>
      </c>
      <c r="AM14" s="187">
        <v>644.5</v>
      </c>
      <c r="AN14" s="173"/>
      <c r="AO14" s="188">
        <v>3.468928</v>
      </c>
      <c r="AP14" s="188">
        <v>2.7749999999999999</v>
      </c>
      <c r="AQ14" s="188">
        <v>3.4664999999999999</v>
      </c>
      <c r="AR14" s="188">
        <v>4.6245000000000003</v>
      </c>
      <c r="AS14" s="188">
        <v>4.1100000000000003</v>
      </c>
      <c r="AT14" s="188">
        <v>8.01</v>
      </c>
      <c r="AU14" s="188" t="e">
        <v>#N/A</v>
      </c>
      <c r="AV14" s="188" t="e">
        <v>#N/A</v>
      </c>
      <c r="AW14" s="188" t="e">
        <v>#N/A</v>
      </c>
      <c r="AX14" s="188" t="e">
        <v>#N/A</v>
      </c>
      <c r="AY14" s="173"/>
      <c r="AZ14" s="184">
        <v>392.7</v>
      </c>
      <c r="BA14" s="184">
        <v>433.97500000000002</v>
      </c>
      <c r="BB14" s="184">
        <v>518.59300000000007</v>
      </c>
      <c r="BC14" s="184">
        <v>567.41200000000003</v>
      </c>
      <c r="BD14" s="184">
        <v>510.54700000000003</v>
      </c>
      <c r="BE14" s="184">
        <v>972.03399999999999</v>
      </c>
      <c r="BF14" s="184">
        <v>1338</v>
      </c>
      <c r="BG14" s="184">
        <v>1812</v>
      </c>
      <c r="BH14" s="184" t="e">
        <v>#N/A</v>
      </c>
      <c r="BI14" s="184" t="e">
        <v>#N/A</v>
      </c>
      <c r="BJ14" s="173"/>
      <c r="BK14" s="184">
        <v>1470.43</v>
      </c>
      <c r="BL14" s="184">
        <v>1433.299</v>
      </c>
      <c r="BM14" s="184">
        <v>1825.624</v>
      </c>
      <c r="BN14" s="184">
        <v>2224.259</v>
      </c>
      <c r="BO14" s="184">
        <v>2534.982</v>
      </c>
      <c r="BP14" s="184">
        <v>3646.6120000000001</v>
      </c>
      <c r="BQ14" s="184" t="e">
        <v>#N/A</v>
      </c>
      <c r="BR14" s="184" t="e">
        <v>#N/A</v>
      </c>
      <c r="BS14" s="184" t="e">
        <v>#N/A</v>
      </c>
      <c r="BT14" s="184" t="e">
        <v>#N/A</v>
      </c>
      <c r="BU14" s="173"/>
      <c r="BV14" s="173"/>
      <c r="BW14" s="173"/>
    </row>
    <row r="15" spans="1:75" x14ac:dyDescent="0.25">
      <c r="A15" s="147" t="s">
        <v>30</v>
      </c>
      <c r="B15" s="166" t="str">
        <f t="shared" si="0"/>
        <v>ASTM IN Equity</v>
      </c>
      <c r="C15" s="173"/>
      <c r="D15" s="183">
        <v>1082.5699083160096</v>
      </c>
      <c r="E15" s="184">
        <v>95505.185865193358</v>
      </c>
      <c r="F15" s="173"/>
      <c r="G15" s="183">
        <v>1120.7544859957054</v>
      </c>
      <c r="H15" s="184">
        <v>98758.530865193359</v>
      </c>
      <c r="I15" s="173"/>
      <c r="J15" s="170">
        <v>62.207793717629087</v>
      </c>
      <c r="K15" s="170" t="e">
        <v>#N/A</v>
      </c>
      <c r="L15" s="170">
        <v>36.710588264775659</v>
      </c>
      <c r="M15" s="170">
        <v>30.720873328165059</v>
      </c>
      <c r="N15" s="173"/>
      <c r="O15" s="185">
        <v>8.6943613496442271</v>
      </c>
      <c r="P15" s="185">
        <v>8.7425320279864263</v>
      </c>
      <c r="Q15" s="173"/>
      <c r="R15" s="185">
        <v>0.14870125136796097</v>
      </c>
      <c r="S15" s="185" t="e">
        <v>#N/A</v>
      </c>
      <c r="T15" s="185">
        <v>0.14934458026509428</v>
      </c>
      <c r="U15" s="185">
        <v>0.17858639664929782</v>
      </c>
      <c r="V15" s="185">
        <v>0.12862438733414044</v>
      </c>
      <c r="W15" s="185">
        <v>0.17070929868901483</v>
      </c>
      <c r="X15" s="185">
        <v>0.11486996616567845</v>
      </c>
      <c r="Y15" s="185">
        <v>0.13889242192077414</v>
      </c>
      <c r="Z15" s="173"/>
      <c r="AA15" s="183">
        <v>38.034669339000011</v>
      </c>
      <c r="AB15" s="184">
        <v>3253.3290000000006</v>
      </c>
      <c r="AC15" s="170">
        <v>1.2093296686630548</v>
      </c>
      <c r="AD15" s="173"/>
      <c r="AE15" s="174">
        <v>94.945008000000001</v>
      </c>
      <c r="AF15" s="185">
        <v>0.73303421070858188</v>
      </c>
      <c r="AG15" s="173"/>
      <c r="AH15" s="174">
        <v>0.37097220000000025</v>
      </c>
      <c r="AI15" s="174">
        <v>0.51926680000000036</v>
      </c>
      <c r="AJ15" s="174">
        <v>0.38069669999999989</v>
      </c>
      <c r="AK15" s="173"/>
      <c r="AL15" s="186">
        <v>11.403107428775838</v>
      </c>
      <c r="AM15" s="187">
        <v>1005.9000244140625</v>
      </c>
      <c r="AN15" s="173"/>
      <c r="AO15" s="188">
        <v>5.085</v>
      </c>
      <c r="AP15" s="188">
        <v>3.33</v>
      </c>
      <c r="AQ15" s="188">
        <v>4.3719999999999999</v>
      </c>
      <c r="AR15" s="188">
        <v>8.06</v>
      </c>
      <c r="AS15" s="188">
        <v>12.86</v>
      </c>
      <c r="AT15" s="188">
        <v>16.170000000000002</v>
      </c>
      <c r="AU15" s="188" t="e">
        <v>#N/A</v>
      </c>
      <c r="AV15" s="188" t="e">
        <v>#N/A</v>
      </c>
      <c r="AW15" s="188" t="e">
        <v>#N/A</v>
      </c>
      <c r="AX15" s="188" t="e">
        <v>#N/A</v>
      </c>
      <c r="AY15" s="173"/>
      <c r="AZ15" s="184">
        <v>824.90700000000004</v>
      </c>
      <c r="BA15" s="184">
        <v>789.74</v>
      </c>
      <c r="BB15" s="184">
        <v>892.15599999999995</v>
      </c>
      <c r="BC15" s="184">
        <v>1476.2060000000001</v>
      </c>
      <c r="BD15" s="184">
        <v>1915.828</v>
      </c>
      <c r="BE15" s="184">
        <v>2690.192</v>
      </c>
      <c r="BF15" s="184">
        <v>3199</v>
      </c>
      <c r="BG15" s="184">
        <v>3933.75</v>
      </c>
      <c r="BH15" s="184">
        <v>4839</v>
      </c>
      <c r="BI15" s="184">
        <v>5676</v>
      </c>
      <c r="BJ15" s="173"/>
      <c r="BK15" s="184">
        <v>4672.2430000000004</v>
      </c>
      <c r="BL15" s="184">
        <v>6409.1220000000003</v>
      </c>
      <c r="BM15" s="184">
        <v>7504.6310000000003</v>
      </c>
      <c r="BN15" s="184">
        <v>8155.1570000000002</v>
      </c>
      <c r="BO15" s="184">
        <v>9088.2019999999993</v>
      </c>
      <c r="BP15" s="184">
        <v>10511.791999999999</v>
      </c>
      <c r="BQ15" s="184" t="e">
        <v>#N/A</v>
      </c>
      <c r="BR15" s="184" t="e">
        <v>#N/A</v>
      </c>
      <c r="BS15" s="184" t="e">
        <v>#N/A</v>
      </c>
      <c r="BT15" s="184" t="e">
        <v>#N/A</v>
      </c>
      <c r="BU15" s="173"/>
      <c r="BV15" s="173"/>
      <c r="BW15" s="173"/>
    </row>
    <row r="16" spans="1:75" x14ac:dyDescent="0.25">
      <c r="A16" s="147" t="s">
        <v>32</v>
      </c>
      <c r="B16" s="166" t="str">
        <f t="shared" si="0"/>
        <v>CTE IN Equity</v>
      </c>
      <c r="C16" s="173"/>
      <c r="D16" s="183">
        <v>466.66693381902996</v>
      </c>
      <c r="E16" s="184">
        <v>41169.731311722651</v>
      </c>
      <c r="F16" s="173"/>
      <c r="G16" s="183">
        <v>472.27090428052168</v>
      </c>
      <c r="H16" s="184">
        <v>41643.551311722651</v>
      </c>
      <c r="I16" s="173"/>
      <c r="J16" s="170">
        <v>1488.9893876745346</v>
      </c>
      <c r="K16" s="170">
        <v>67.534379947602531</v>
      </c>
      <c r="L16" s="170">
        <v>42.17196604628257</v>
      </c>
      <c r="M16" s="170">
        <v>22.441815125059183</v>
      </c>
      <c r="N16" s="173"/>
      <c r="O16" s="185">
        <v>10.159813058421063</v>
      </c>
      <c r="P16" s="185">
        <v>12.370800173595949</v>
      </c>
      <c r="Q16" s="173"/>
      <c r="R16" s="185">
        <v>8.072375286567679E-3</v>
      </c>
      <c r="S16" s="185">
        <v>0.13100000000000001</v>
      </c>
      <c r="T16" s="185">
        <v>1.0837357996853812E-2</v>
      </c>
      <c r="U16" s="185">
        <v>-2.0942271838304646E-2</v>
      </c>
      <c r="V16" s="185">
        <v>-1.407992237149772E-2</v>
      </c>
      <c r="W16" s="185">
        <v>0.1085914694164984</v>
      </c>
      <c r="X16" s="185">
        <v>1.0986008593147531E-2</v>
      </c>
      <c r="Y16" s="185">
        <v>-1.1108989969487859E-2</v>
      </c>
      <c r="Z16" s="173"/>
      <c r="AA16" s="183">
        <v>6.8205293999999981</v>
      </c>
      <c r="AB16" s="184">
        <v>583.39999999999986</v>
      </c>
      <c r="AC16" s="170">
        <v>0.59080275856481701</v>
      </c>
      <c r="AD16" s="173"/>
      <c r="AE16" s="174">
        <v>14.707151999999999</v>
      </c>
      <c r="AF16" s="185">
        <v>0.44249444079995903</v>
      </c>
      <c r="AG16" s="173"/>
      <c r="AH16" s="174">
        <v>5.5959400000000062E-2</v>
      </c>
      <c r="AI16" s="174">
        <v>4.0844600000000002E-2</v>
      </c>
      <c r="AJ16" s="174">
        <v>6.9635633333333363E-2</v>
      </c>
      <c r="AK16" s="173"/>
      <c r="AL16" s="186">
        <v>31.7334908116325</v>
      </c>
      <c r="AM16" s="187">
        <v>2799.300048828125</v>
      </c>
      <c r="AN16" s="173"/>
      <c r="AO16" s="188">
        <v>13.041</v>
      </c>
      <c r="AP16" s="188">
        <v>9.343</v>
      </c>
      <c r="AQ16" s="188">
        <v>-88.263000000000005</v>
      </c>
      <c r="AR16" s="188">
        <v>5.1950000000000003</v>
      </c>
      <c r="AS16" s="188">
        <v>-1.36</v>
      </c>
      <c r="AT16" s="188">
        <v>-1.2793129999999999</v>
      </c>
      <c r="AU16" s="188">
        <v>41.45</v>
      </c>
      <c r="AV16" s="188">
        <v>71.5</v>
      </c>
      <c r="AW16" s="188">
        <v>101.44999999999999</v>
      </c>
      <c r="AX16" s="188" t="e">
        <v>#N/A</v>
      </c>
      <c r="AY16" s="173"/>
      <c r="AZ16" s="184">
        <v>980.18000000000006</v>
      </c>
      <c r="BA16" s="184">
        <v>873.89</v>
      </c>
      <c r="BB16" s="184">
        <v>742.43000000000006</v>
      </c>
      <c r="BC16" s="184">
        <v>762.08999999999992</v>
      </c>
      <c r="BD16" s="184">
        <v>858.48</v>
      </c>
      <c r="BE16" s="184">
        <v>987.47</v>
      </c>
      <c r="BF16" s="184">
        <v>1478.5</v>
      </c>
      <c r="BG16" s="184">
        <v>2018</v>
      </c>
      <c r="BH16" s="184">
        <v>2624.5</v>
      </c>
      <c r="BI16" s="184" t="e">
        <v>#N/A</v>
      </c>
      <c r="BJ16" s="173"/>
      <c r="BK16" s="184">
        <v>8832.64</v>
      </c>
      <c r="BL16" s="184">
        <v>7668.12</v>
      </c>
      <c r="BM16" s="184">
        <v>7333.76</v>
      </c>
      <c r="BN16" s="184">
        <v>8841.9599999999991</v>
      </c>
      <c r="BO16" s="184">
        <v>10482.459999999999</v>
      </c>
      <c r="BP16" s="184">
        <v>11308.64</v>
      </c>
      <c r="BQ16" s="184">
        <v>13709</v>
      </c>
      <c r="BR16" s="184">
        <v>16397.5</v>
      </c>
      <c r="BS16" s="184">
        <v>19648</v>
      </c>
      <c r="BT16" s="184" t="e">
        <v>#N/A</v>
      </c>
      <c r="BU16" s="173"/>
      <c r="BV16" s="173"/>
      <c r="BW16" s="173"/>
    </row>
    <row r="17" spans="1:75" x14ac:dyDescent="0.25">
      <c r="A17" s="142" t="s">
        <v>34</v>
      </c>
      <c r="B17" s="166" t="str">
        <f t="shared" si="0"/>
        <v>DCXINDIA IN Equity</v>
      </c>
      <c r="C17" s="173"/>
      <c r="D17" s="183">
        <v>331.80781505471498</v>
      </c>
      <c r="E17" s="184">
        <v>29272.351655902399</v>
      </c>
      <c r="F17" s="173"/>
      <c r="G17" s="183">
        <v>214.5375593075814</v>
      </c>
      <c r="H17" s="184">
        <v>19237.611655902401</v>
      </c>
      <c r="I17" s="173"/>
      <c r="J17" s="170">
        <v>75.300856101137171</v>
      </c>
      <c r="K17" s="170" t="e">
        <v>#N/A</v>
      </c>
      <c r="L17" s="170">
        <v>417.12080780360793</v>
      </c>
      <c r="M17" s="170">
        <v>34.265315730298916</v>
      </c>
      <c r="N17" s="173"/>
      <c r="O17" s="185">
        <v>2.1286089857092216</v>
      </c>
      <c r="P17" s="185">
        <v>2.6659342143125344</v>
      </c>
      <c r="Q17" s="173"/>
      <c r="R17" s="185">
        <v>3.108234951732651E-2</v>
      </c>
      <c r="S17" s="185" t="e">
        <v>#N/A</v>
      </c>
      <c r="T17" s="185">
        <v>3.4956077862604337E-2</v>
      </c>
      <c r="U17" s="185">
        <v>4.0054217543119774E-2</v>
      </c>
      <c r="V17" s="185">
        <v>-4.26179766157772E-3</v>
      </c>
      <c r="W17" s="185">
        <v>-6.2504906053534844E-3</v>
      </c>
      <c r="X17" s="185">
        <v>-3.7402233762442436E-3</v>
      </c>
      <c r="Y17" s="185">
        <v>3.2118283533986762E-2</v>
      </c>
      <c r="Z17" s="173"/>
      <c r="AA17" s="183">
        <v>-117.31614534000001</v>
      </c>
      <c r="AB17" s="184">
        <v>-10034.74</v>
      </c>
      <c r="AC17" s="170">
        <v>-217.57892454466605</v>
      </c>
      <c r="AD17" s="173"/>
      <c r="AE17" s="174">
        <v>111.386427</v>
      </c>
      <c r="AF17" s="185">
        <v>0.41001625808501785</v>
      </c>
      <c r="AG17" s="173"/>
      <c r="AH17" s="174">
        <v>0.42404300000000006</v>
      </c>
      <c r="AI17" s="174">
        <v>0.58573059999999999</v>
      </c>
      <c r="AJ17" s="174">
        <v>1.2339145000000007</v>
      </c>
      <c r="AK17" s="173"/>
      <c r="AL17" s="186">
        <v>2.9791593800087663</v>
      </c>
      <c r="AM17" s="187">
        <v>262.79998779296875</v>
      </c>
      <c r="AN17" s="173"/>
      <c r="AO17" s="188">
        <v>27.84</v>
      </c>
      <c r="AP17" s="188">
        <v>84.451429000000005</v>
      </c>
      <c r="AQ17" s="188">
        <v>9.19</v>
      </c>
      <c r="AR17" s="188">
        <v>7.4109999999999996</v>
      </c>
      <c r="AS17" s="188">
        <v>7.61</v>
      </c>
      <c r="AT17" s="188">
        <v>3.49</v>
      </c>
      <c r="AU17" s="188" t="e">
        <v>#N/A</v>
      </c>
      <c r="AV17" s="188" t="e">
        <v>#N/A</v>
      </c>
      <c r="AW17" s="188" t="e">
        <v>#N/A</v>
      </c>
      <c r="AX17" s="188" t="e">
        <v>#N/A</v>
      </c>
      <c r="AY17" s="173"/>
      <c r="AZ17" s="184">
        <v>74.61</v>
      </c>
      <c r="BA17" s="184">
        <v>101.58</v>
      </c>
      <c r="BB17" s="184">
        <v>670.28</v>
      </c>
      <c r="BC17" s="184">
        <v>838.14</v>
      </c>
      <c r="BD17" s="184">
        <v>798.92</v>
      </c>
      <c r="BE17" s="184">
        <v>46.120000000000005</v>
      </c>
      <c r="BF17" s="184">
        <v>368</v>
      </c>
      <c r="BG17" s="184">
        <v>636.5</v>
      </c>
      <c r="BH17" s="184">
        <v>806.5</v>
      </c>
      <c r="BI17" s="184" t="e">
        <v>#N/A</v>
      </c>
      <c r="BJ17" s="173"/>
      <c r="BK17" s="184">
        <v>4492.62</v>
      </c>
      <c r="BL17" s="184">
        <v>6411.63</v>
      </c>
      <c r="BM17" s="184">
        <v>11022.73</v>
      </c>
      <c r="BN17" s="184">
        <v>12536.34</v>
      </c>
      <c r="BO17" s="184">
        <v>14235.83</v>
      </c>
      <c r="BP17" s="184">
        <v>10836.71</v>
      </c>
      <c r="BQ17" s="184" t="e">
        <v>#N/A</v>
      </c>
      <c r="BR17" s="184" t="e">
        <v>#N/A</v>
      </c>
      <c r="BS17" s="184" t="e">
        <v>#N/A</v>
      </c>
      <c r="BT17" s="184" t="e">
        <v>#N/A</v>
      </c>
      <c r="BU17" s="173"/>
      <c r="BV17" s="173"/>
      <c r="BW17" s="173"/>
    </row>
    <row r="18" spans="1:75" x14ac:dyDescent="0.25">
      <c r="A18" s="142" t="s">
        <v>36</v>
      </c>
      <c r="B18" s="166" t="str">
        <f t="shared" si="0"/>
        <v>AVTS IN Equity</v>
      </c>
      <c r="C18" s="173"/>
      <c r="D18" s="183">
        <v>520.26301481663381</v>
      </c>
      <c r="E18" s="184">
        <v>45898.020577849129</v>
      </c>
      <c r="F18" s="173"/>
      <c r="G18" s="183">
        <v>522.50500474452838</v>
      </c>
      <c r="H18" s="184">
        <v>46083.636577849131</v>
      </c>
      <c r="I18" s="173"/>
      <c r="J18" s="170">
        <v>79.246274343491905</v>
      </c>
      <c r="K18" s="170" t="e">
        <v>#N/A</v>
      </c>
      <c r="L18" s="170">
        <v>49.819447486520879</v>
      </c>
      <c r="M18" s="170" t="e">
        <v>#N/A</v>
      </c>
      <c r="N18" s="173"/>
      <c r="O18" s="185">
        <v>18.80203958875579</v>
      </c>
      <c r="P18" s="185">
        <v>18.80203958875579</v>
      </c>
      <c r="Q18" s="173"/>
      <c r="R18" s="185">
        <v>0.28126290905992396</v>
      </c>
      <c r="S18" s="185" t="e">
        <v>#N/A</v>
      </c>
      <c r="T18" s="185">
        <v>0.28126290905992396</v>
      </c>
      <c r="U18" s="185">
        <v>0.2721091296051808</v>
      </c>
      <c r="V18" s="185">
        <v>0.25281196492898828</v>
      </c>
      <c r="W18" s="185">
        <v>0.35580742489370676</v>
      </c>
      <c r="X18" s="185">
        <v>0.21642444797486143</v>
      </c>
      <c r="Y18" s="185">
        <v>0.2565617705692983</v>
      </c>
      <c r="Z18" s="173"/>
      <c r="AA18" s="183">
        <v>2.1700366560000006</v>
      </c>
      <c r="AB18" s="184">
        <v>185.61600000000004</v>
      </c>
      <c r="AC18" s="170">
        <v>0.20066312581552914</v>
      </c>
      <c r="AD18" s="173"/>
      <c r="AE18" s="174">
        <v>264.96952000000005</v>
      </c>
      <c r="AF18" s="185">
        <v>0.54398703669765491</v>
      </c>
      <c r="AG18" s="173"/>
      <c r="AH18" s="174">
        <v>7.5022136000000001</v>
      </c>
      <c r="AI18" s="174">
        <v>4.7333439999999962</v>
      </c>
      <c r="AJ18" s="174">
        <v>2.487919666666667</v>
      </c>
      <c r="AK18" s="173"/>
      <c r="AL18" s="186">
        <v>1.9636606370329317</v>
      </c>
      <c r="AM18" s="187">
        <v>173.22000122070313</v>
      </c>
      <c r="AN18" s="173"/>
      <c r="AO18" s="188" t="e">
        <v>#N/A</v>
      </c>
      <c r="AP18" s="188" t="e">
        <v>#N/A</v>
      </c>
      <c r="AQ18" s="188">
        <v>0.70232121300000006</v>
      </c>
      <c r="AR18" s="188">
        <v>1.0485715900000001</v>
      </c>
      <c r="AS18" s="188">
        <v>2.0527927200000002</v>
      </c>
      <c r="AT18" s="188">
        <v>2.1858440999999997</v>
      </c>
      <c r="AU18" s="188" t="e">
        <v>#N/A</v>
      </c>
      <c r="AV18" s="188" t="e">
        <v>#N/A</v>
      </c>
      <c r="AW18" s="188" t="e">
        <v>#N/A</v>
      </c>
      <c r="AX18" s="188" t="e">
        <v>#N/A</v>
      </c>
      <c r="AY18" s="173"/>
      <c r="AZ18" s="184" t="e">
        <v>#N/A</v>
      </c>
      <c r="BA18" s="184" t="e">
        <v>#N/A</v>
      </c>
      <c r="BB18" s="184">
        <v>261.14699999999999</v>
      </c>
      <c r="BC18" s="184">
        <v>468.202</v>
      </c>
      <c r="BD18" s="184">
        <v>817.96600000000001</v>
      </c>
      <c r="BE18" s="184">
        <v>925.01299999999992</v>
      </c>
      <c r="BF18" s="184" t="e">
        <v>#N/A</v>
      </c>
      <c r="BG18" s="184" t="e">
        <v>#N/A</v>
      </c>
      <c r="BH18" s="184" t="e">
        <v>#N/A</v>
      </c>
      <c r="BI18" s="184" t="e">
        <v>#N/A</v>
      </c>
      <c r="BJ18" s="173"/>
      <c r="BK18" s="184" t="e">
        <v>#N/A</v>
      </c>
      <c r="BL18" s="184" t="e">
        <v>#N/A</v>
      </c>
      <c r="BM18" s="184">
        <v>1049.5350000000001</v>
      </c>
      <c r="BN18" s="184">
        <v>1544.511</v>
      </c>
      <c r="BO18" s="184">
        <v>2243.67</v>
      </c>
      <c r="BP18" s="184">
        <v>2491.2620000000002</v>
      </c>
      <c r="BQ18" s="184" t="e">
        <v>#N/A</v>
      </c>
      <c r="BR18" s="184" t="e">
        <v>#N/A</v>
      </c>
      <c r="BS18" s="184" t="e">
        <v>#N/A</v>
      </c>
      <c r="BT18" s="184" t="e">
        <v>#N/A</v>
      </c>
      <c r="BU18" s="173"/>
      <c r="BV18" s="173"/>
      <c r="BW18" s="173"/>
    </row>
    <row r="19" spans="1:75" x14ac:dyDescent="0.25">
      <c r="A19" s="142" t="s">
        <v>38</v>
      </c>
      <c r="B19" s="166" t="str">
        <f t="shared" si="0"/>
        <v>APOLLO IN Equity</v>
      </c>
      <c r="C19" s="173"/>
      <c r="D19" s="183">
        <v>1032.8751056583603</v>
      </c>
      <c r="E19" s="184">
        <v>91121.070504241085</v>
      </c>
      <c r="F19" s="173"/>
      <c r="G19" s="183">
        <v>1064.9968373881734</v>
      </c>
      <c r="H19" s="184">
        <v>93856.412504241089</v>
      </c>
      <c r="I19" s="173"/>
      <c r="J19" s="170">
        <v>146.88172699302754</v>
      </c>
      <c r="K19" s="170" t="e">
        <v>#N/A</v>
      </c>
      <c r="L19" s="170">
        <v>72.638828589681026</v>
      </c>
      <c r="M19" s="170">
        <v>2.4982136136232294</v>
      </c>
      <c r="N19" s="173"/>
      <c r="O19" s="185">
        <v>13.796746556343978</v>
      </c>
      <c r="P19" s="185">
        <v>13.911566152096027</v>
      </c>
      <c r="Q19" s="173"/>
      <c r="R19" s="185">
        <v>0.10022236073797995</v>
      </c>
      <c r="S19" s="185" t="e">
        <v>#N/A</v>
      </c>
      <c r="T19" s="185">
        <v>0.100836911877955</v>
      </c>
      <c r="U19" s="185">
        <v>0.12635030966125801</v>
      </c>
      <c r="V19" s="185">
        <v>8.766508200886175E-2</v>
      </c>
      <c r="W19" s="185">
        <v>0.12840199297039093</v>
      </c>
      <c r="X19" s="185">
        <v>8.4466406078016684E-2</v>
      </c>
      <c r="Y19" s="185">
        <v>9.5394713831295608E-2</v>
      </c>
      <c r="Z19" s="173"/>
      <c r="AA19" s="183">
        <v>31.901103099000007</v>
      </c>
      <c r="AB19" s="184">
        <v>2728.6890000000003</v>
      </c>
      <c r="AC19" s="170">
        <v>2.1118298394006025</v>
      </c>
      <c r="AD19" s="173"/>
      <c r="AE19" s="174">
        <v>333.53245399999997</v>
      </c>
      <c r="AF19" s="185">
        <v>0.49353353482057261</v>
      </c>
      <c r="AG19" s="173"/>
      <c r="AH19" s="174">
        <v>41.063755799999974</v>
      </c>
      <c r="AI19" s="174">
        <v>40.638011399999982</v>
      </c>
      <c r="AJ19" s="174">
        <v>21.042901366666666</v>
      </c>
      <c r="AK19" s="173"/>
      <c r="AL19" s="186">
        <v>3.0970563804830693</v>
      </c>
      <c r="AM19" s="187">
        <v>273.20001220703125</v>
      </c>
      <c r="AN19" s="173"/>
      <c r="AO19" s="188">
        <v>0.67500000000000004</v>
      </c>
      <c r="AP19" s="188">
        <v>0.49379999999999996</v>
      </c>
      <c r="AQ19" s="188">
        <v>0.70399999999999996</v>
      </c>
      <c r="AR19" s="188">
        <v>1.0109999999999999</v>
      </c>
      <c r="AS19" s="188">
        <v>1.1599999999999999</v>
      </c>
      <c r="AT19" s="188">
        <v>1.86</v>
      </c>
      <c r="AU19" s="188" t="e">
        <v>#N/A</v>
      </c>
      <c r="AV19" s="188" t="e">
        <v>#N/A</v>
      </c>
      <c r="AW19" s="188" t="e">
        <v>#N/A</v>
      </c>
      <c r="AX19" s="188" t="e">
        <v>#N/A</v>
      </c>
      <c r="AY19" s="173"/>
      <c r="AZ19" s="184">
        <v>486.65046500000005</v>
      </c>
      <c r="BA19" s="184">
        <v>385.25102700000002</v>
      </c>
      <c r="BB19" s="184">
        <v>456.464</v>
      </c>
      <c r="BC19" s="184">
        <v>640.91099999999994</v>
      </c>
      <c r="BD19" s="184">
        <v>838.65600000000006</v>
      </c>
      <c r="BE19" s="184">
        <v>1292.097</v>
      </c>
      <c r="BF19" s="184">
        <v>21111</v>
      </c>
      <c r="BG19" s="184">
        <v>2969</v>
      </c>
      <c r="BH19" s="184">
        <v>4191</v>
      </c>
      <c r="BI19" s="184" t="e">
        <v>#N/A</v>
      </c>
      <c r="BJ19" s="173"/>
      <c r="BK19" s="184">
        <v>2459.04126</v>
      </c>
      <c r="BL19" s="184">
        <v>2030.7208000000001</v>
      </c>
      <c r="BM19" s="184">
        <v>2431.9110000000001</v>
      </c>
      <c r="BN19" s="184">
        <v>2975.26</v>
      </c>
      <c r="BO19" s="184">
        <v>3716.3420000000001</v>
      </c>
      <c r="BP19" s="184">
        <v>5620.692</v>
      </c>
      <c r="BQ19" s="184" t="e">
        <v>#N/A</v>
      </c>
      <c r="BR19" s="184" t="e">
        <v>#N/A</v>
      </c>
      <c r="BS19" s="184" t="e">
        <v>#N/A</v>
      </c>
      <c r="BT19" s="184" t="e">
        <v>#N/A</v>
      </c>
      <c r="BU19" s="173"/>
      <c r="BV19" s="173"/>
      <c r="BW19" s="173"/>
    </row>
    <row r="20" spans="1:75" x14ac:dyDescent="0.25">
      <c r="A20" s="147" t="s">
        <v>414</v>
      </c>
      <c r="B20" s="166" t="str">
        <f t="shared" si="0"/>
        <v>ADE IN Equity</v>
      </c>
      <c r="C20" s="173"/>
      <c r="D20" s="183">
        <v>30242.348925608974</v>
      </c>
      <c r="E20" s="184">
        <v>2668004.2858693618</v>
      </c>
      <c r="F20" s="173"/>
      <c r="G20" s="183">
        <v>40623.182510603896</v>
      </c>
      <c r="H20" s="184">
        <v>3555580.2858693618</v>
      </c>
      <c r="I20" s="173"/>
      <c r="J20" s="170">
        <v>38.532574695762115</v>
      </c>
      <c r="K20" s="170">
        <v>51.232271667913338</v>
      </c>
      <c r="L20" s="170">
        <v>24.947886622953796</v>
      </c>
      <c r="M20" s="170">
        <v>19.575748107853972</v>
      </c>
      <c r="N20" s="173"/>
      <c r="O20" s="185">
        <v>5.3027107299808813</v>
      </c>
      <c r="P20" s="185">
        <v>12.843961931623641</v>
      </c>
      <c r="Q20" s="173"/>
      <c r="R20" s="185">
        <v>0.15387198531917307</v>
      </c>
      <c r="S20" s="185">
        <v>8.5999999999999993E-2</v>
      </c>
      <c r="T20" s="185">
        <v>0.35888454094349886</v>
      </c>
      <c r="U20" s="185">
        <v>0.14254630531346454</v>
      </c>
      <c r="V20" s="185">
        <v>5.9745812932420143E-2</v>
      </c>
      <c r="W20" s="185">
        <v>7.6913263093081816E-2</v>
      </c>
      <c r="X20" s="185">
        <v>4.9443830385793502E-2</v>
      </c>
      <c r="Y20" s="185">
        <v>9.1355938699060737E-2</v>
      </c>
      <c r="Z20" s="173"/>
      <c r="AA20" s="183">
        <v>9656.8969391999999</v>
      </c>
      <c r="AB20" s="184">
        <v>826011.2</v>
      </c>
      <c r="AC20" s="170">
        <v>5.7957441852143168</v>
      </c>
      <c r="AD20" s="173"/>
      <c r="AE20" s="174">
        <v>1154.1807289999999</v>
      </c>
      <c r="AF20" s="185">
        <v>0.25707892927399589</v>
      </c>
      <c r="AG20" s="173"/>
      <c r="AH20" s="174">
        <v>0.49013020000000007</v>
      </c>
      <c r="AI20" s="174">
        <v>0.64260869999999992</v>
      </c>
      <c r="AJ20" s="174">
        <v>0.88983603333333317</v>
      </c>
      <c r="AK20" s="173"/>
      <c r="AL20" s="186">
        <v>26.204815196517487</v>
      </c>
      <c r="AM20" s="187">
        <v>2311.60009765625</v>
      </c>
      <c r="AN20" s="173"/>
      <c r="AO20" s="188">
        <v>8.5417349999999992</v>
      </c>
      <c r="AP20" s="188">
        <v>8.39</v>
      </c>
      <c r="AQ20" s="188">
        <v>7.06</v>
      </c>
      <c r="AR20" s="188">
        <v>21.78</v>
      </c>
      <c r="AS20" s="188">
        <v>27.23</v>
      </c>
      <c r="AT20" s="188">
        <v>95.691648000000001</v>
      </c>
      <c r="AU20" s="188">
        <v>45.120000000000005</v>
      </c>
      <c r="AV20" s="188">
        <v>65.734999999999999</v>
      </c>
      <c r="AW20" s="188">
        <v>76.954999999999998</v>
      </c>
      <c r="AX20" s="188">
        <v>92.77</v>
      </c>
      <c r="AY20" s="173"/>
      <c r="AZ20" s="184">
        <v>34205.5</v>
      </c>
      <c r="BA20" s="184">
        <v>37638.5</v>
      </c>
      <c r="BB20" s="184">
        <v>35046.6</v>
      </c>
      <c r="BC20" s="184">
        <v>88176.9</v>
      </c>
      <c r="BD20" s="184">
        <v>113766</v>
      </c>
      <c r="BE20" s="184">
        <v>142520.29999999999</v>
      </c>
      <c r="BF20" s="184">
        <v>180189</v>
      </c>
      <c r="BG20" s="184">
        <v>245581</v>
      </c>
      <c r="BH20" s="184">
        <v>272945</v>
      </c>
      <c r="BI20" s="184" t="e">
        <v>#N/A</v>
      </c>
      <c r="BJ20" s="173"/>
      <c r="BK20" s="184">
        <v>432971.1</v>
      </c>
      <c r="BL20" s="184">
        <v>394429.5</v>
      </c>
      <c r="BM20" s="184">
        <v>693043.6</v>
      </c>
      <c r="BN20" s="184">
        <v>1273896.5</v>
      </c>
      <c r="BO20" s="184">
        <v>963161.5</v>
      </c>
      <c r="BP20" s="184">
        <v>977110.8</v>
      </c>
      <c r="BQ20" s="184">
        <v>1160826.5</v>
      </c>
      <c r="BR20" s="184">
        <v>1516401</v>
      </c>
      <c r="BS20" s="184">
        <v>1700142.5</v>
      </c>
      <c r="BT20" s="184">
        <v>1883598</v>
      </c>
      <c r="BU20" s="173"/>
      <c r="BV20" s="173"/>
      <c r="BW20" s="173"/>
    </row>
    <row r="21" spans="1:75" x14ac:dyDescent="0.25">
      <c r="A21" s="142" t="s">
        <v>110</v>
      </c>
      <c r="B21" s="166" t="str">
        <f t="shared" si="0"/>
        <v>NIBE IN Equity</v>
      </c>
      <c r="C21" s="173"/>
      <c r="D21" s="183">
        <v>196.54288971059259</v>
      </c>
      <c r="E21" s="184">
        <v>17339.17141803003</v>
      </c>
      <c r="F21" s="173"/>
      <c r="G21" s="183">
        <v>204.92795614008406</v>
      </c>
      <c r="H21" s="184">
        <v>18054.070418030031</v>
      </c>
      <c r="I21" s="173"/>
      <c r="J21" s="170">
        <v>66.287672386866063</v>
      </c>
      <c r="K21" s="170" t="e">
        <v>#N/A</v>
      </c>
      <c r="L21" s="170">
        <v>30.226489207189822</v>
      </c>
      <c r="M21" s="170" t="e">
        <v>#N/A</v>
      </c>
      <c r="N21" s="173"/>
      <c r="O21" s="185">
        <v>7.3687775759117962</v>
      </c>
      <c r="P21" s="185">
        <v>7.6769305658316869</v>
      </c>
      <c r="Q21" s="173"/>
      <c r="R21" s="185">
        <v>0.13130587334065008</v>
      </c>
      <c r="S21" s="185" t="e">
        <v>#N/A</v>
      </c>
      <c r="T21" s="185">
        <v>0.14262148958858858</v>
      </c>
      <c r="U21" s="185">
        <v>0.15098761368735153</v>
      </c>
      <c r="V21" s="185">
        <v>9.7938177319700698E-2</v>
      </c>
      <c r="W21" s="185">
        <v>0.14134644599933216</v>
      </c>
      <c r="X21" s="185">
        <v>8.2417857032826086E-2</v>
      </c>
      <c r="Y21" s="185">
        <v>0.112237781381492</v>
      </c>
      <c r="Z21" s="173"/>
      <c r="AA21" s="183">
        <v>6.8176183410000011</v>
      </c>
      <c r="AB21" s="184">
        <v>583.15100000000007</v>
      </c>
      <c r="AC21" s="170">
        <v>0.97632317807173385</v>
      </c>
      <c r="AD21" s="173"/>
      <c r="AE21" s="174">
        <v>14.501272999999999</v>
      </c>
      <c r="AF21" s="185">
        <v>0.41335943403037795</v>
      </c>
      <c r="AG21" s="173"/>
      <c r="AH21" s="174">
        <v>4.3217400000000003E-2</v>
      </c>
      <c r="AI21" s="174">
        <v>3.9368899999999991E-2</v>
      </c>
      <c r="AJ21" s="174">
        <v>9.1749833333333267E-2</v>
      </c>
      <c r="AK21" s="173"/>
      <c r="AL21" s="186">
        <v>13.554721806212436</v>
      </c>
      <c r="AM21" s="187">
        <v>1195.699951171875</v>
      </c>
      <c r="AN21" s="173"/>
      <c r="AO21" s="188">
        <v>-0.45950000000000002</v>
      </c>
      <c r="AP21" s="188">
        <v>0.12</v>
      </c>
      <c r="AQ21" s="188">
        <v>0.2</v>
      </c>
      <c r="AR21" s="188">
        <v>1.32</v>
      </c>
      <c r="AS21" s="188">
        <v>15.351727</v>
      </c>
      <c r="AT21" s="188">
        <v>19.46</v>
      </c>
      <c r="AU21" s="188" t="e">
        <v>#N/A</v>
      </c>
      <c r="AV21" s="188" t="e">
        <v>#N/A</v>
      </c>
      <c r="AW21" s="188" t="e">
        <v>#N/A</v>
      </c>
      <c r="AX21" s="188" t="e">
        <v>#N/A</v>
      </c>
      <c r="AY21" s="173"/>
      <c r="AZ21" s="184">
        <v>-7.233562</v>
      </c>
      <c r="BA21" s="184">
        <v>1.345</v>
      </c>
      <c r="BB21" s="184">
        <v>-4.9379500000000007</v>
      </c>
      <c r="BC21" s="184">
        <v>118.82299999999999</v>
      </c>
      <c r="BD21" s="184">
        <v>356.14699999999999</v>
      </c>
      <c r="BE21" s="184">
        <v>597.29300000000001</v>
      </c>
      <c r="BF21" s="184" t="e">
        <v>#N/A</v>
      </c>
      <c r="BG21" s="184" t="e">
        <v>#N/A</v>
      </c>
      <c r="BH21" s="184" t="e">
        <v>#N/A</v>
      </c>
      <c r="BI21" s="184" t="e">
        <v>#N/A</v>
      </c>
      <c r="BJ21" s="173"/>
      <c r="BK21" s="184">
        <v>14.425157</v>
      </c>
      <c r="BL21" s="184">
        <v>25.132000000000001</v>
      </c>
      <c r="BM21" s="184">
        <v>212.43677</v>
      </c>
      <c r="BN21" s="184">
        <v>1049.528</v>
      </c>
      <c r="BO21" s="184">
        <v>2818.3789999999999</v>
      </c>
      <c r="BP21" s="184">
        <v>5073.1509999999998</v>
      </c>
      <c r="BQ21" s="184" t="e">
        <v>#N/A</v>
      </c>
      <c r="BR21" s="184" t="e">
        <v>#N/A</v>
      </c>
      <c r="BS21" s="184" t="e">
        <v>#N/A</v>
      </c>
      <c r="BT21" s="184" t="e">
        <v>#N/A</v>
      </c>
      <c r="BU21" s="173"/>
      <c r="BV21" s="173"/>
      <c r="BW21" s="173"/>
    </row>
    <row r="22" spans="1:75" x14ac:dyDescent="0.25">
      <c r="A22" s="142" t="s">
        <v>111</v>
      </c>
      <c r="B22" s="166" t="str">
        <f t="shared" si="0"/>
        <v>ROSSTECH IN Equity</v>
      </c>
      <c r="C22" s="173"/>
      <c r="D22" s="183">
        <v>291.77967509082413</v>
      </c>
      <c r="E22" s="184">
        <v>25741.037033425902</v>
      </c>
      <c r="F22" s="173"/>
      <c r="G22" s="183" t="e">
        <v>#N/A</v>
      </c>
      <c r="H22" s="184" t="e">
        <v>#N/A</v>
      </c>
      <c r="I22" s="173"/>
      <c r="J22" s="170">
        <v>348.3928446867028</v>
      </c>
      <c r="K22" s="170" t="e">
        <v>#N/A</v>
      </c>
      <c r="L22" s="170" t="e">
        <v>#N/A</v>
      </c>
      <c r="M22" s="170" t="e">
        <v>#N/A</v>
      </c>
      <c r="N22" s="173"/>
      <c r="O22" s="185" t="e">
        <v>#N/A</v>
      </c>
      <c r="P22" s="185" t="e">
        <v>#N/A</v>
      </c>
      <c r="Q22" s="173"/>
      <c r="R22" s="185" t="e">
        <v>#N/A</v>
      </c>
      <c r="S22" s="185" t="e">
        <v>#N/A</v>
      </c>
      <c r="T22" s="185" t="e">
        <v>#N/A</v>
      </c>
      <c r="U22" s="185" t="e">
        <v>#N/A</v>
      </c>
      <c r="V22" s="185" t="e">
        <v>#N/A</v>
      </c>
      <c r="W22" s="185" t="e">
        <v>#N/A</v>
      </c>
      <c r="X22" s="185" t="e">
        <v>#N/A</v>
      </c>
      <c r="Y22" s="185" t="e">
        <v>#N/A</v>
      </c>
      <c r="Z22" s="173"/>
      <c r="AA22" s="183" t="e">
        <v>#N/A</v>
      </c>
      <c r="AB22" s="184" t="e">
        <v>#N/A</v>
      </c>
      <c r="AC22" s="170" t="e">
        <v>#N/A</v>
      </c>
      <c r="AD22" s="173"/>
      <c r="AE22" s="174">
        <v>37.696475</v>
      </c>
      <c r="AF22" s="185">
        <v>0.23310357268153059</v>
      </c>
      <c r="AG22" s="173"/>
      <c r="AH22" s="174">
        <v>0.32257439999999965</v>
      </c>
      <c r="AI22" s="174">
        <v>0.2338281999999999</v>
      </c>
      <c r="AJ22" s="174">
        <v>0.2809527666666668</v>
      </c>
      <c r="AK22" s="173"/>
      <c r="AL22" s="186">
        <v>7.7409398949752593</v>
      </c>
      <c r="AM22" s="187">
        <v>682.8499755859375</v>
      </c>
      <c r="AN22" s="173"/>
      <c r="AO22" s="188" t="e">
        <v>#N/A</v>
      </c>
      <c r="AP22" s="188" t="e">
        <v>#N/A</v>
      </c>
      <c r="AQ22" s="188" t="e">
        <v>#N/A</v>
      </c>
      <c r="AR22" s="188" t="e">
        <v>#N/A</v>
      </c>
      <c r="AS22" s="188" t="e">
        <v>#N/A</v>
      </c>
      <c r="AT22" s="188" t="e">
        <v>#N/A</v>
      </c>
      <c r="AU22" s="188" t="e">
        <v>#N/A</v>
      </c>
      <c r="AV22" s="188" t="e">
        <v>#N/A</v>
      </c>
      <c r="AW22" s="188" t="e">
        <v>#N/A</v>
      </c>
      <c r="AX22" s="188" t="e">
        <v>#N/A</v>
      </c>
      <c r="AY22" s="173"/>
      <c r="AZ22" s="184" t="e">
        <v>#N/A</v>
      </c>
      <c r="BA22" s="184" t="e">
        <v>#N/A</v>
      </c>
      <c r="BB22" s="184" t="e">
        <v>#N/A</v>
      </c>
      <c r="BC22" s="184" t="e">
        <v>#N/A</v>
      </c>
      <c r="BD22" s="184" t="e">
        <v>#N/A</v>
      </c>
      <c r="BE22" s="184" t="e">
        <v>#N/A</v>
      </c>
      <c r="BF22" s="184" t="e">
        <v>#N/A</v>
      </c>
      <c r="BG22" s="184" t="e">
        <v>#N/A</v>
      </c>
      <c r="BH22" s="184" t="e">
        <v>#N/A</v>
      </c>
      <c r="BI22" s="184" t="e">
        <v>#N/A</v>
      </c>
      <c r="BJ22" s="173"/>
      <c r="BK22" s="184" t="e">
        <v>#N/A</v>
      </c>
      <c r="BL22" s="184" t="e">
        <v>#N/A</v>
      </c>
      <c r="BM22" s="184" t="e">
        <v>#N/A</v>
      </c>
      <c r="BN22" s="184">
        <v>0</v>
      </c>
      <c r="BO22" s="184">
        <v>0</v>
      </c>
      <c r="BP22" s="184">
        <v>7593.8190000000004</v>
      </c>
      <c r="BQ22" s="184" t="e">
        <v>#N/A</v>
      </c>
      <c r="BR22" s="184" t="e">
        <v>#N/A</v>
      </c>
      <c r="BS22" s="184" t="e">
        <v>#N/A</v>
      </c>
      <c r="BT22" s="184" t="e">
        <v>#N/A</v>
      </c>
      <c r="BU22" s="173"/>
      <c r="BV22" s="173"/>
      <c r="BW22" s="173"/>
    </row>
    <row r="23" spans="1:75" x14ac:dyDescent="0.25">
      <c r="A23" s="147" t="s">
        <v>415</v>
      </c>
      <c r="B23" s="166" t="str">
        <f t="shared" si="0"/>
        <v>ZEN IN Equity</v>
      </c>
      <c r="C23" s="173"/>
      <c r="D23" s="183">
        <v>1471.6314259393589</v>
      </c>
      <c r="E23" s="184">
        <v>129828.50509675439</v>
      </c>
      <c r="F23" s="173"/>
      <c r="G23" s="183">
        <v>1370.4968526986927</v>
      </c>
      <c r="H23" s="184">
        <v>121160.4610967544</v>
      </c>
      <c r="I23" s="173"/>
      <c r="J23" s="170">
        <v>44.841120245678518</v>
      </c>
      <c r="K23" s="170">
        <v>46.301723536115368</v>
      </c>
      <c r="L23" s="170">
        <v>32.437146199721248</v>
      </c>
      <c r="M23" s="170">
        <v>36.494015702315075</v>
      </c>
      <c r="N23" s="173"/>
      <c r="O23" s="185">
        <v>7.6338639054348656</v>
      </c>
      <c r="P23" s="185">
        <v>8.0152511369375059</v>
      </c>
      <c r="Q23" s="173"/>
      <c r="R23" s="185">
        <v>0.26077327095081243</v>
      </c>
      <c r="S23" s="185">
        <v>0.13694756540793221</v>
      </c>
      <c r="T23" s="185">
        <v>0.27198029161656606</v>
      </c>
      <c r="U23" s="185">
        <v>0.3148580637296326</v>
      </c>
      <c r="V23" s="185">
        <v>0.23439093402977407</v>
      </c>
      <c r="W23" s="185">
        <v>0.31161738477881629</v>
      </c>
      <c r="X23" s="185">
        <v>0.14789000472576871</v>
      </c>
      <c r="Y23" s="185">
        <v>0.26879284588704466</v>
      </c>
      <c r="Z23" s="173"/>
      <c r="AA23" s="183">
        <v>-105.45546216599999</v>
      </c>
      <c r="AB23" s="184">
        <v>-9020.2260000000006</v>
      </c>
      <c r="AC23" s="170">
        <v>-2.4148999340871988</v>
      </c>
      <c r="AD23" s="173"/>
      <c r="AE23" s="174">
        <v>90.290356000000003</v>
      </c>
      <c r="AF23" s="185">
        <v>0.49834891558075151</v>
      </c>
      <c r="AG23" s="173"/>
      <c r="AH23" s="174">
        <v>0.34325700000000009</v>
      </c>
      <c r="AI23" s="174">
        <v>0.44473079999999959</v>
      </c>
      <c r="AJ23" s="174">
        <v>0.46133710000000006</v>
      </c>
      <c r="AK23" s="173"/>
      <c r="AL23" s="186">
        <v>16.300355952157318</v>
      </c>
      <c r="AM23" s="187">
        <v>1437.9000244140625</v>
      </c>
      <c r="AN23" s="173"/>
      <c r="AO23" s="188">
        <v>7.6159999999999997</v>
      </c>
      <c r="AP23" s="188">
        <v>0.39100000000000001</v>
      </c>
      <c r="AQ23" s="188">
        <v>0.27400000000000002</v>
      </c>
      <c r="AR23" s="188">
        <v>5.5510000000000002</v>
      </c>
      <c r="AS23" s="188">
        <v>15.45</v>
      </c>
      <c r="AT23" s="188">
        <v>32.07</v>
      </c>
      <c r="AU23" s="188">
        <v>31.054999999999996</v>
      </c>
      <c r="AV23" s="188">
        <v>49.498000000000005</v>
      </c>
      <c r="AW23" s="188">
        <v>68.067999999999998</v>
      </c>
      <c r="AX23" s="188" t="e">
        <v>#N/A</v>
      </c>
      <c r="AY23" s="173"/>
      <c r="AZ23" s="184">
        <v>626.13</v>
      </c>
      <c r="BA23" s="184">
        <v>73.831999999999994</v>
      </c>
      <c r="BB23" s="184">
        <v>45.685000000000002</v>
      </c>
      <c r="BC23" s="184">
        <v>726.11200000000008</v>
      </c>
      <c r="BD23" s="184">
        <v>1808.05</v>
      </c>
      <c r="BE23" s="184">
        <v>3735.2379999999998</v>
      </c>
      <c r="BF23" s="184">
        <v>3542</v>
      </c>
      <c r="BG23" s="184">
        <v>6064.8</v>
      </c>
      <c r="BH23" s="184">
        <v>8266.2000000000007</v>
      </c>
      <c r="BI23" s="184" t="e">
        <v>#N/A</v>
      </c>
      <c r="BJ23" s="173"/>
      <c r="BK23" s="184">
        <v>1492.8579999999999</v>
      </c>
      <c r="BL23" s="184">
        <v>546.39599999999996</v>
      </c>
      <c r="BM23" s="184">
        <v>697.524</v>
      </c>
      <c r="BN23" s="184">
        <v>2188.462</v>
      </c>
      <c r="BO23" s="184">
        <v>4398.5200000000004</v>
      </c>
      <c r="BP23" s="184">
        <v>9736.4159999999993</v>
      </c>
      <c r="BQ23" s="184">
        <v>10035</v>
      </c>
      <c r="BR23" s="184">
        <v>16909.599999999999</v>
      </c>
      <c r="BS23" s="184">
        <v>22574.2</v>
      </c>
      <c r="BT23" s="184" t="e">
        <v>#N/A</v>
      </c>
      <c r="BU23" s="173"/>
      <c r="BV23" s="173"/>
      <c r="BW23" s="173"/>
    </row>
    <row r="24" spans="1:75" x14ac:dyDescent="0.25">
      <c r="A24" s="142" t="s">
        <v>113</v>
      </c>
      <c r="B24" s="166" t="str">
        <f t="shared" si="0"/>
        <v>UNIMECH IN Equity</v>
      </c>
      <c r="C24" s="173"/>
      <c r="D24" s="183">
        <v>600.91514353116736</v>
      </c>
      <c r="E24" s="184">
        <v>53013.216080823113</v>
      </c>
      <c r="F24" s="173"/>
      <c r="G24" s="183">
        <v>554.60928672050943</v>
      </c>
      <c r="H24" s="184">
        <v>49045.295080823111</v>
      </c>
      <c r="I24" s="173"/>
      <c r="J24" s="170" t="e">
        <v>#N/A</v>
      </c>
      <c r="K24" s="170">
        <v>52.713022726374838</v>
      </c>
      <c r="L24" s="170" t="e">
        <v>#N/A</v>
      </c>
      <c r="M24" s="170" t="e">
        <v>#N/A</v>
      </c>
      <c r="N24" s="173"/>
      <c r="O24" s="185">
        <v>7.925346906240974</v>
      </c>
      <c r="P24" s="185">
        <v>7.9442554320774583</v>
      </c>
      <c r="Q24" s="173"/>
      <c r="R24" s="185" t="e">
        <v>#N/A</v>
      </c>
      <c r="S24" s="185">
        <v>0.11900000000000001</v>
      </c>
      <c r="T24" s="185" t="e">
        <v>#N/A</v>
      </c>
      <c r="U24" s="185">
        <v>0.21960921550350926</v>
      </c>
      <c r="V24" s="185" t="e">
        <v>#N/A</v>
      </c>
      <c r="W24" s="185" t="e">
        <v>#N/A</v>
      </c>
      <c r="X24" s="185" t="e">
        <v>#N/A</v>
      </c>
      <c r="Y24" s="185" t="e">
        <v>#N/A</v>
      </c>
      <c r="Z24" s="173"/>
      <c r="AA24" s="183">
        <v>-46.388964410999996</v>
      </c>
      <c r="AB24" s="184">
        <v>-3967.9209999999998</v>
      </c>
      <c r="AC24" s="170" t="e">
        <v>#N/A</v>
      </c>
      <c r="AD24" s="173"/>
      <c r="AE24" s="174">
        <v>50.856883000000003</v>
      </c>
      <c r="AF24" s="185">
        <v>0.172998412034021</v>
      </c>
      <c r="AG24" s="173"/>
      <c r="AH24" s="174">
        <v>2.5842000000000011E-2</v>
      </c>
      <c r="AI24" s="174">
        <v>3.2622999999999965E-2</v>
      </c>
      <c r="AJ24" s="174">
        <v>3.285023333333334E-2</v>
      </c>
      <c r="AK24" s="173"/>
      <c r="AL24" s="186">
        <v>11.816879584107838</v>
      </c>
      <c r="AM24" s="187">
        <v>1042.4000244140625</v>
      </c>
      <c r="AN24" s="173"/>
      <c r="AO24" s="188" t="e">
        <v>#N/A</v>
      </c>
      <c r="AP24" s="188" t="e">
        <v>#N/A</v>
      </c>
      <c r="AQ24" s="188" t="e">
        <v>#N/A</v>
      </c>
      <c r="AR24" s="188" t="e">
        <v>#N/A</v>
      </c>
      <c r="AS24" s="188" t="e">
        <v>#N/A</v>
      </c>
      <c r="AT24" s="188">
        <v>17.59</v>
      </c>
      <c r="AU24" s="188">
        <v>19.775000000000002</v>
      </c>
      <c r="AV24" s="188">
        <v>28.75</v>
      </c>
      <c r="AW24" s="188" t="e">
        <v>#N/A</v>
      </c>
      <c r="AX24" s="188" t="e">
        <v>#N/A</v>
      </c>
      <c r="AY24" s="173"/>
      <c r="AZ24" s="184" t="e">
        <v>#N/A</v>
      </c>
      <c r="BA24" s="184" t="e">
        <v>#N/A</v>
      </c>
      <c r="BB24" s="184">
        <v>78.91</v>
      </c>
      <c r="BC24" s="184">
        <v>345.63</v>
      </c>
      <c r="BD24" s="184">
        <v>791.86</v>
      </c>
      <c r="BE24" s="184">
        <v>920.61599999999999</v>
      </c>
      <c r="BF24" s="184">
        <v>1304</v>
      </c>
      <c r="BG24" s="184">
        <v>1930.5</v>
      </c>
      <c r="BH24" s="184" t="e">
        <v>#N/A</v>
      </c>
      <c r="BI24" s="184" t="e">
        <v>#N/A</v>
      </c>
      <c r="BJ24" s="173"/>
      <c r="BK24" s="184" t="e">
        <v>#N/A</v>
      </c>
      <c r="BL24" s="184" t="e">
        <v>#N/A</v>
      </c>
      <c r="BM24" s="184">
        <v>363.49</v>
      </c>
      <c r="BN24" s="184">
        <v>941.66</v>
      </c>
      <c r="BO24" s="184">
        <v>2087.75</v>
      </c>
      <c r="BP24" s="184">
        <v>2429.2579999999998</v>
      </c>
      <c r="BQ24" s="184">
        <v>3764</v>
      </c>
      <c r="BR24" s="184">
        <v>5291.75</v>
      </c>
      <c r="BS24" s="184" t="e">
        <v>#N/A</v>
      </c>
      <c r="BT24" s="184" t="e">
        <v>#N/A</v>
      </c>
      <c r="BU24" s="173"/>
      <c r="BV24" s="173"/>
      <c r="BW24" s="173"/>
    </row>
    <row r="25" spans="1:75" x14ac:dyDescent="0.25">
      <c r="A25" s="142" t="s">
        <v>114</v>
      </c>
      <c r="B25" s="166" t="str">
        <f t="shared" si="0"/>
        <v>MTARTECH IN Equity</v>
      </c>
      <c r="C25" s="173"/>
      <c r="D25" s="183">
        <v>492.52553093276794</v>
      </c>
      <c r="E25" s="184">
        <v>43450.997495633426</v>
      </c>
      <c r="F25" s="173"/>
      <c r="G25" s="183">
        <v>511.33829600282138</v>
      </c>
      <c r="H25" s="184">
        <v>45054.337495633423</v>
      </c>
      <c r="I25" s="173"/>
      <c r="J25" s="170">
        <v>83.633755639754</v>
      </c>
      <c r="K25" s="170">
        <v>46.082076583347614</v>
      </c>
      <c r="L25" s="170">
        <v>37.28614255559976</v>
      </c>
      <c r="M25" s="170">
        <v>28.862356027044388</v>
      </c>
      <c r="N25" s="173"/>
      <c r="O25" s="185">
        <v>5.961026822719897</v>
      </c>
      <c r="P25" s="185">
        <v>5.9818878233357689</v>
      </c>
      <c r="Q25" s="173"/>
      <c r="R25" s="185">
        <v>7.3942677733752335E-2</v>
      </c>
      <c r="S25" s="185">
        <v>0.12046007278605511</v>
      </c>
      <c r="T25" s="185">
        <v>7.5446369980655875E-2</v>
      </c>
      <c r="U25" s="185">
        <v>8.2754675674488798E-2</v>
      </c>
      <c r="V25" s="185">
        <v>7.2069290691364807E-2</v>
      </c>
      <c r="W25" s="185">
        <v>9.7528676891882299E-2</v>
      </c>
      <c r="X25" s="185">
        <v>7.2129216518290601E-2</v>
      </c>
      <c r="Y25" s="185">
        <v>7.4054576520365845E-2</v>
      </c>
      <c r="Z25" s="173"/>
      <c r="AA25" s="183">
        <v>18.74464794</v>
      </c>
      <c r="AB25" s="184">
        <v>1603.34</v>
      </c>
      <c r="AC25" s="170">
        <v>1.3268947481669064</v>
      </c>
      <c r="AD25" s="173"/>
      <c r="AE25" s="174">
        <v>30.759591</v>
      </c>
      <c r="AF25" s="185">
        <v>0.68551337369862952</v>
      </c>
      <c r="AG25" s="173"/>
      <c r="AH25" s="174">
        <v>6.1480799999999933E-2</v>
      </c>
      <c r="AI25" s="174">
        <v>6.252089999999999E-2</v>
      </c>
      <c r="AJ25" s="174">
        <v>0.12737230000000005</v>
      </c>
      <c r="AK25" s="173"/>
      <c r="AL25" s="186">
        <v>16.013548945756821</v>
      </c>
      <c r="AM25" s="187">
        <v>1412.5999755859375</v>
      </c>
      <c r="AN25" s="173"/>
      <c r="AO25" s="188" t="e">
        <v>#N/A</v>
      </c>
      <c r="AP25" s="188" t="e">
        <v>#N/A</v>
      </c>
      <c r="AQ25" s="188">
        <v>19.79</v>
      </c>
      <c r="AR25" s="188">
        <v>33.619999999999997</v>
      </c>
      <c r="AS25" s="188">
        <v>18.239999999999998</v>
      </c>
      <c r="AT25" s="188">
        <v>17.190000000000001</v>
      </c>
      <c r="AU25" s="188">
        <v>30.653999999999996</v>
      </c>
      <c r="AV25" s="188">
        <v>48.432000000000002</v>
      </c>
      <c r="AW25" s="188">
        <v>59.36</v>
      </c>
      <c r="AX25" s="188">
        <v>95.24</v>
      </c>
      <c r="AY25" s="173"/>
      <c r="AZ25" s="184">
        <v>579.58000000000004</v>
      </c>
      <c r="BA25" s="184">
        <v>830.75</v>
      </c>
      <c r="BB25" s="184">
        <v>944.26</v>
      </c>
      <c r="BC25" s="184">
        <v>1539.7400000000002</v>
      </c>
      <c r="BD25" s="184">
        <v>1127.02</v>
      </c>
      <c r="BE25" s="184">
        <v>1208.3400000000001</v>
      </c>
      <c r="BF25" s="184">
        <v>1712</v>
      </c>
      <c r="BG25" s="184">
        <v>2517.1999999999998</v>
      </c>
      <c r="BH25" s="184">
        <v>3028.5</v>
      </c>
      <c r="BI25" s="184">
        <v>4273</v>
      </c>
      <c r="BJ25" s="173"/>
      <c r="BK25" s="184">
        <v>2137.66</v>
      </c>
      <c r="BL25" s="184">
        <v>2464.3200000000002</v>
      </c>
      <c r="BM25" s="184">
        <v>3159.28</v>
      </c>
      <c r="BN25" s="184">
        <v>5630.24</v>
      </c>
      <c r="BO25" s="184">
        <v>5725.98</v>
      </c>
      <c r="BP25" s="184">
        <v>6646.46</v>
      </c>
      <c r="BQ25" s="184">
        <v>8516.5</v>
      </c>
      <c r="BR25" s="184">
        <v>11055.8</v>
      </c>
      <c r="BS25" s="184">
        <v>13643.5</v>
      </c>
      <c r="BT25" s="184">
        <v>18185</v>
      </c>
      <c r="BU25" s="173"/>
      <c r="BV25" s="173"/>
      <c r="BW25" s="173"/>
    </row>
    <row r="26" spans="1:75" x14ac:dyDescent="0.25">
      <c r="A26" s="147" t="s">
        <v>416</v>
      </c>
      <c r="B26" s="166" t="str">
        <f t="shared" si="0"/>
        <v>IDEAFORG IN Equity</v>
      </c>
      <c r="C26" s="173"/>
      <c r="D26" s="183">
        <v>242.21249236942225</v>
      </c>
      <c r="E26" s="184">
        <v>21368.18040563977</v>
      </c>
      <c r="F26" s="173"/>
      <c r="G26" s="183">
        <v>222.00489483469693</v>
      </c>
      <c r="H26" s="184">
        <v>19636.84040563977</v>
      </c>
      <c r="I26" s="173"/>
      <c r="J26" s="170" t="e">
        <v>#N/A</v>
      </c>
      <c r="K26" s="170">
        <v>77.257814407348633</v>
      </c>
      <c r="L26" s="170" t="e">
        <v>#N/A</v>
      </c>
      <c r="M26" s="170" t="e">
        <v>#N/A</v>
      </c>
      <c r="N26" s="173"/>
      <c r="O26" s="185">
        <v>3.4995398486600608</v>
      </c>
      <c r="P26" s="185">
        <v>4.6206646025589597</v>
      </c>
      <c r="Q26" s="173"/>
      <c r="R26" s="185">
        <v>-0.10656266717299484</v>
      </c>
      <c r="S26" s="185">
        <v>4.4000000000000004E-2</v>
      </c>
      <c r="T26" s="185">
        <v>-0.12030676505814628</v>
      </c>
      <c r="U26" s="185" t="e">
        <v>#N/A</v>
      </c>
      <c r="V26" s="185">
        <v>-0.1131374879582057</v>
      </c>
      <c r="W26" s="185">
        <v>-0.12663181750815136</v>
      </c>
      <c r="X26" s="185">
        <v>-0.12717015999610953</v>
      </c>
      <c r="Y26" s="185">
        <v>-9.4034070816538265E-2</v>
      </c>
      <c r="Z26" s="173"/>
      <c r="AA26" s="183">
        <v>-20.241095940000001</v>
      </c>
      <c r="AB26" s="184">
        <v>-1731.3400000000001</v>
      </c>
      <c r="AC26" s="170" t="e">
        <v>#N/A</v>
      </c>
      <c r="AD26" s="173"/>
      <c r="AE26" s="174">
        <v>43.216057999999997</v>
      </c>
      <c r="AF26" s="185">
        <v>0.48826297391585327</v>
      </c>
      <c r="AG26" s="173"/>
      <c r="AH26" s="174">
        <v>0.49109300000000022</v>
      </c>
      <c r="AI26" s="174">
        <v>0.66583459999999994</v>
      </c>
      <c r="AJ26" s="174">
        <v>0.61717763333333309</v>
      </c>
      <c r="AK26" s="173"/>
      <c r="AL26" s="186">
        <v>5.6051958152010153</v>
      </c>
      <c r="AM26" s="187">
        <v>494.45001220703125</v>
      </c>
      <c r="AN26" s="173"/>
      <c r="AO26" s="188">
        <v>-1527</v>
      </c>
      <c r="AP26" s="188">
        <v>-5.03</v>
      </c>
      <c r="AQ26" s="188">
        <v>13.13</v>
      </c>
      <c r="AR26" s="188">
        <v>8.1199999999999992</v>
      </c>
      <c r="AS26" s="188">
        <v>10.77</v>
      </c>
      <c r="AT26" s="188">
        <v>-14.41</v>
      </c>
      <c r="AU26" s="188">
        <v>6.4</v>
      </c>
      <c r="AV26" s="188">
        <v>14.2</v>
      </c>
      <c r="AW26" s="188">
        <v>17.2</v>
      </c>
      <c r="AX26" s="188" t="e">
        <v>#N/A</v>
      </c>
      <c r="AY26" s="173"/>
      <c r="AZ26" s="184">
        <v>-132.40671599999999</v>
      </c>
      <c r="BA26" s="184">
        <v>-108.68</v>
      </c>
      <c r="BB26" s="184">
        <v>731.22</v>
      </c>
      <c r="BC26" s="184">
        <v>470.93</v>
      </c>
      <c r="BD26" s="184">
        <v>854.31</v>
      </c>
      <c r="BE26" s="184">
        <v>-526.9</v>
      </c>
      <c r="BF26" s="184">
        <v>471</v>
      </c>
      <c r="BG26" s="184">
        <v>923</v>
      </c>
      <c r="BH26" s="184">
        <v>1129</v>
      </c>
      <c r="BI26" s="184" t="e">
        <v>#N/A</v>
      </c>
      <c r="BJ26" s="173"/>
      <c r="BK26" s="184">
        <v>140.95000200000001</v>
      </c>
      <c r="BL26" s="184">
        <v>347.18</v>
      </c>
      <c r="BM26" s="184">
        <v>1594.28</v>
      </c>
      <c r="BN26" s="184">
        <v>1685.76</v>
      </c>
      <c r="BO26" s="184">
        <v>3013.73</v>
      </c>
      <c r="BP26" s="184">
        <v>1611.48</v>
      </c>
      <c r="BQ26" s="184">
        <v>2791</v>
      </c>
      <c r="BR26" s="184">
        <v>4498</v>
      </c>
      <c r="BS26" s="184">
        <v>5250</v>
      </c>
      <c r="BT26" s="184" t="e">
        <v>#N/A</v>
      </c>
      <c r="BU26" s="173"/>
      <c r="BV26" s="173"/>
      <c r="BW26" s="173"/>
    </row>
    <row r="27" spans="1:75" x14ac:dyDescent="0.25">
      <c r="A27" s="142" t="s">
        <v>157</v>
      </c>
      <c r="B27" s="166" t="str">
        <f t="shared" si="0"/>
        <v>AZAD IN Equity</v>
      </c>
      <c r="C27" s="173"/>
      <c r="D27" s="183">
        <v>1207.730602855735</v>
      </c>
      <c r="E27" s="184">
        <v>106546.96275480543</v>
      </c>
      <c r="F27" s="173"/>
      <c r="G27" s="183">
        <v>1157.1088904202654</v>
      </c>
      <c r="H27" s="184">
        <v>102202.70275480542</v>
      </c>
      <c r="I27" s="173"/>
      <c r="J27" s="170">
        <v>112.53752038391031</v>
      </c>
      <c r="K27" s="170">
        <v>84.316867912851365</v>
      </c>
      <c r="L27" s="170">
        <v>63.358338812344883</v>
      </c>
      <c r="M27" s="170">
        <v>44.445028309968599</v>
      </c>
      <c r="N27" s="173"/>
      <c r="O27" s="185">
        <v>7.6444057393728908</v>
      </c>
      <c r="P27" s="185">
        <v>7.6444057393728908</v>
      </c>
      <c r="Q27" s="173"/>
      <c r="R27" s="185">
        <v>8.5654041757792246E-2</v>
      </c>
      <c r="S27" s="185">
        <v>8.0666666666666664E-2</v>
      </c>
      <c r="T27" s="185">
        <v>8.5654041757792246E-2</v>
      </c>
      <c r="U27" s="185">
        <v>9.3680135246129032E-2</v>
      </c>
      <c r="V27" s="185">
        <v>7.8938091475596966E-2</v>
      </c>
      <c r="W27" s="185">
        <v>0.10890481774775776</v>
      </c>
      <c r="X27" s="185">
        <v>5.9640853242991169E-2</v>
      </c>
      <c r="Y27" s="185">
        <v>8.4396109756752796E-2</v>
      </c>
      <c r="Z27" s="173"/>
      <c r="AA27" s="183">
        <v>-50.699424420000007</v>
      </c>
      <c r="AB27" s="184">
        <v>-4336.6200000000008</v>
      </c>
      <c r="AC27" s="170">
        <v>-2.6883930840808636</v>
      </c>
      <c r="AD27" s="173"/>
      <c r="AE27" s="174">
        <v>64.581743000000003</v>
      </c>
      <c r="AF27" s="185">
        <v>0.4458200826199441</v>
      </c>
      <c r="AG27" s="173"/>
      <c r="AH27" s="174">
        <v>8.8558399999999884E-2</v>
      </c>
      <c r="AI27" s="174">
        <v>0.10529180000000006</v>
      </c>
      <c r="AJ27" s="174">
        <v>0.19299346666666656</v>
      </c>
      <c r="AK27" s="173"/>
      <c r="AL27" s="186">
        <v>18.702501974532936</v>
      </c>
      <c r="AM27" s="187">
        <v>1649.800048828125</v>
      </c>
      <c r="AN27" s="173"/>
      <c r="AO27" s="188" t="e">
        <v>#N/A</v>
      </c>
      <c r="AP27" s="188">
        <v>88.51</v>
      </c>
      <c r="AQ27" s="188">
        <v>6.49</v>
      </c>
      <c r="AR27" s="188" t="e">
        <v>#N/A</v>
      </c>
      <c r="AS27" s="188">
        <v>11.2</v>
      </c>
      <c r="AT27" s="188">
        <v>14.66</v>
      </c>
      <c r="AU27" s="188">
        <v>19.566666666666666</v>
      </c>
      <c r="AV27" s="188">
        <v>27.3</v>
      </c>
      <c r="AW27" s="188">
        <v>37.950000000000003</v>
      </c>
      <c r="AX27" s="188">
        <v>53.44</v>
      </c>
      <c r="AY27" s="173"/>
      <c r="AZ27" s="184" t="e">
        <v>#N/A</v>
      </c>
      <c r="BA27" s="184">
        <v>284.52300000000002</v>
      </c>
      <c r="BB27" s="184">
        <v>624.27</v>
      </c>
      <c r="BC27" s="184">
        <v>722.78000000000009</v>
      </c>
      <c r="BD27" s="184">
        <v>1165.8800000000001</v>
      </c>
      <c r="BE27" s="184">
        <v>1613.0900000000001</v>
      </c>
      <c r="BF27" s="184">
        <v>2149.25</v>
      </c>
      <c r="BG27" s="184">
        <v>2884</v>
      </c>
      <c r="BH27" s="184">
        <v>3853.6666666666697</v>
      </c>
      <c r="BI27" s="184">
        <v>5438</v>
      </c>
      <c r="BJ27" s="173"/>
      <c r="BK27" s="184" t="e">
        <v>#N/A</v>
      </c>
      <c r="BL27" s="184">
        <v>1163.4100000000001</v>
      </c>
      <c r="BM27" s="184">
        <v>1853.48</v>
      </c>
      <c r="BN27" s="184">
        <v>2416.15</v>
      </c>
      <c r="BO27" s="184">
        <v>3281.22</v>
      </c>
      <c r="BP27" s="184">
        <v>4437.9399999999996</v>
      </c>
      <c r="BQ27" s="184">
        <v>6073.5</v>
      </c>
      <c r="BR27" s="184">
        <v>8074.75</v>
      </c>
      <c r="BS27" s="184">
        <v>10637.333333333334</v>
      </c>
      <c r="BT27" s="184">
        <v>14003</v>
      </c>
      <c r="BU27" s="173"/>
      <c r="BV27" s="173"/>
      <c r="BW27" s="173"/>
    </row>
    <row r="28" spans="1:75" x14ac:dyDescent="0.25">
      <c r="A28" s="147" t="s">
        <v>417</v>
      </c>
      <c r="B28" s="166" t="str">
        <f t="shared" si="0"/>
        <v>JEL IN Equity</v>
      </c>
      <c r="C28" s="173"/>
      <c r="D28" s="183">
        <v>204.66335640524915</v>
      </c>
      <c r="E28" s="184">
        <v>18055.565504940951</v>
      </c>
      <c r="F28" s="173"/>
      <c r="G28" s="183">
        <v>190.82185679428437</v>
      </c>
      <c r="H28" s="184">
        <v>16869.199504940952</v>
      </c>
      <c r="I28" s="173"/>
      <c r="J28" s="170">
        <v>1058.2523098069098</v>
      </c>
      <c r="K28" s="170" t="e">
        <v>#N/A</v>
      </c>
      <c r="L28" s="170" t="e">
        <v>#N/A</v>
      </c>
      <c r="M28" s="170" t="e">
        <v>#N/A</v>
      </c>
      <c r="N28" s="173"/>
      <c r="O28" s="185">
        <v>3.9348755465052156</v>
      </c>
      <c r="P28" s="185">
        <v>4.2697426936379212</v>
      </c>
      <c r="Q28" s="173"/>
      <c r="R28" s="185">
        <v>4.479746840799291E-3</v>
      </c>
      <c r="S28" s="185" t="e">
        <v>#N/A</v>
      </c>
      <c r="T28" s="185">
        <v>2.5751279315056049E-2</v>
      </c>
      <c r="U28" s="185" t="e">
        <v>#N/A</v>
      </c>
      <c r="V28" s="185">
        <v>-3.5670361491809332E-3</v>
      </c>
      <c r="W28" s="185">
        <v>-1.3325713745907002E-2</v>
      </c>
      <c r="X28" s="185">
        <v>3.5499315333695409E-3</v>
      </c>
      <c r="Y28" s="185">
        <v>2.9675802642165641E-2</v>
      </c>
      <c r="Z28" s="173"/>
      <c r="AA28" s="183">
        <v>-16.766074790999998</v>
      </c>
      <c r="AB28" s="184">
        <v>-1434.1010000000001</v>
      </c>
      <c r="AC28" s="170" t="e">
        <v>#N/A</v>
      </c>
      <c r="AD28" s="173"/>
      <c r="AE28" s="174">
        <v>122.36913000000001</v>
      </c>
      <c r="AF28" s="185">
        <v>0.33243310629077777</v>
      </c>
      <c r="AG28" s="173"/>
      <c r="AH28" s="174">
        <v>7.2802600000000009E-2</v>
      </c>
      <c r="AI28" s="174">
        <v>7.1460699999999974E-2</v>
      </c>
      <c r="AJ28" s="174">
        <v>0.10203130000000005</v>
      </c>
      <c r="AK28" s="173"/>
      <c r="AL28" s="186">
        <v>1.6726598022457264</v>
      </c>
      <c r="AM28" s="187">
        <v>147.55000305175781</v>
      </c>
      <c r="AN28" s="173"/>
      <c r="AO28" s="188">
        <v>-8.1603675794999997E-2</v>
      </c>
      <c r="AP28" s="188">
        <v>1.7366908541999999</v>
      </c>
      <c r="AQ28" s="188">
        <v>1.0957808250000001</v>
      </c>
      <c r="AR28" s="188">
        <v>0.152333355</v>
      </c>
      <c r="AS28" s="188">
        <v>0.85510544999999993</v>
      </c>
      <c r="AT28" s="188">
        <v>0.79</v>
      </c>
      <c r="AU28" s="188" t="e">
        <v>#N/A</v>
      </c>
      <c r="AV28" s="188" t="e">
        <v>#N/A</v>
      </c>
      <c r="AW28" s="188" t="e">
        <v>#N/A</v>
      </c>
      <c r="AX28" s="188" t="e">
        <v>#N/A</v>
      </c>
      <c r="AY28" s="173"/>
      <c r="AZ28" s="184">
        <v>-54.94314</v>
      </c>
      <c r="BA28" s="184">
        <v>-49.238597000000006</v>
      </c>
      <c r="BB28" s="184">
        <v>-12.629</v>
      </c>
      <c r="BC28" s="184">
        <v>22.390999999999998</v>
      </c>
      <c r="BD28" s="184">
        <v>38.923000000000002</v>
      </c>
      <c r="BE28" s="184">
        <v>-4.6289999999999978</v>
      </c>
      <c r="BF28" s="184" t="e">
        <v>#N/A</v>
      </c>
      <c r="BG28" s="184" t="e">
        <v>#N/A</v>
      </c>
      <c r="BH28" s="184" t="e">
        <v>#N/A</v>
      </c>
      <c r="BI28" s="184" t="e">
        <v>#N/A</v>
      </c>
      <c r="BJ28" s="173"/>
      <c r="BK28" s="184">
        <v>3.08</v>
      </c>
      <c r="BL28" s="184">
        <v>3.08</v>
      </c>
      <c r="BM28" s="184">
        <v>107.015</v>
      </c>
      <c r="BN28" s="184">
        <v>469.553</v>
      </c>
      <c r="BO28" s="184">
        <v>526.61900000000003</v>
      </c>
      <c r="BP28" s="184">
        <v>806.39800000000002</v>
      </c>
      <c r="BQ28" s="184" t="e">
        <v>#N/A</v>
      </c>
      <c r="BR28" s="184" t="e">
        <v>#N/A</v>
      </c>
      <c r="BS28" s="184" t="e">
        <v>#N/A</v>
      </c>
      <c r="BT28" s="184" t="e">
        <v>#N/A</v>
      </c>
      <c r="BU28" s="173"/>
      <c r="BV28" s="173"/>
      <c r="BW28" s="173"/>
    </row>
    <row r="29" spans="1:75" x14ac:dyDescent="0.25">
      <c r="A29" s="142" t="s">
        <v>159</v>
      </c>
      <c r="B29" s="166" t="str">
        <f t="shared" si="0"/>
        <v>SIKA IN Equity</v>
      </c>
      <c r="C29" s="173"/>
      <c r="D29" s="183">
        <v>271.01642873313506</v>
      </c>
      <c r="E29" s="184">
        <v>23909.286781250001</v>
      </c>
      <c r="F29" s="173"/>
      <c r="G29" s="183">
        <v>267.68238383246751</v>
      </c>
      <c r="H29" s="184">
        <v>23620.331781249999</v>
      </c>
      <c r="I29" s="173"/>
      <c r="J29" s="170">
        <v>75.698080279232116</v>
      </c>
      <c r="K29" s="170" t="e">
        <v>#N/A</v>
      </c>
      <c r="L29" s="170">
        <v>67.147853349243533</v>
      </c>
      <c r="M29" s="170" t="e">
        <v>#N/A</v>
      </c>
      <c r="N29" s="173"/>
      <c r="O29" s="185">
        <v>17.806817657099959</v>
      </c>
      <c r="P29" s="185">
        <v>17.85443526436174</v>
      </c>
      <c r="Q29" s="173"/>
      <c r="R29" s="185">
        <v>0.26617056950886137</v>
      </c>
      <c r="S29" s="185" t="e">
        <v>#N/A</v>
      </c>
      <c r="T29" s="185">
        <v>0.26698555007412889</v>
      </c>
      <c r="U29" s="185">
        <v>0.3168687231415605</v>
      </c>
      <c r="V29" s="185">
        <v>0.22392108789120094</v>
      </c>
      <c r="W29" s="185">
        <v>0.28582944161592755</v>
      </c>
      <c r="X29" s="185">
        <v>0.1984655770649863</v>
      </c>
      <c r="Y29" s="185">
        <v>0.26720931080402766</v>
      </c>
      <c r="Z29" s="173"/>
      <c r="AA29" s="183">
        <v>-3.3715269399999999</v>
      </c>
      <c r="AB29" s="184">
        <v>-288.95499999999998</v>
      </c>
      <c r="AC29" s="170">
        <v>-0.82144095790951943</v>
      </c>
      <c r="AD29" s="173"/>
      <c r="AE29" s="174">
        <v>21.200875</v>
      </c>
      <c r="AF29" s="185">
        <v>0.22338007275643104</v>
      </c>
      <c r="AG29" s="173"/>
      <c r="AH29" s="174">
        <v>1.80214E-2</v>
      </c>
      <c r="AI29" s="174">
        <v>2.8924999999999992E-2</v>
      </c>
      <c r="AJ29" s="174">
        <v>4.4368866666666666E-2</v>
      </c>
      <c r="AK29" s="173"/>
      <c r="AL29" s="186">
        <v>12.784425977415426</v>
      </c>
      <c r="AM29" s="187">
        <v>1127.75</v>
      </c>
      <c r="AN29" s="173"/>
      <c r="AO29" s="188">
        <v>3.3024</v>
      </c>
      <c r="AP29" s="188">
        <v>5.5868000000000002</v>
      </c>
      <c r="AQ29" s="188">
        <v>7.6963999999999997</v>
      </c>
      <c r="AR29" s="188">
        <v>4.1457999999999995</v>
      </c>
      <c r="AS29" s="188">
        <v>9.1319999999999997</v>
      </c>
      <c r="AT29" s="188">
        <v>11.95</v>
      </c>
      <c r="AU29" s="188" t="e">
        <v>#N/A</v>
      </c>
      <c r="AV29" s="188" t="e">
        <v>#N/A</v>
      </c>
      <c r="AW29" s="188" t="e">
        <v>#N/A</v>
      </c>
      <c r="AX29" s="188" t="e">
        <v>#N/A</v>
      </c>
      <c r="AY29" s="173"/>
      <c r="AZ29" s="184">
        <v>93.406299000000004</v>
      </c>
      <c r="BA29" s="184">
        <v>145.43733400000002</v>
      </c>
      <c r="BB29" s="184">
        <v>199.08699999999999</v>
      </c>
      <c r="BC29" s="184">
        <v>101.80000000000001</v>
      </c>
      <c r="BD29" s="184">
        <v>199.02799999999999</v>
      </c>
      <c r="BE29" s="184">
        <v>294.73099999999999</v>
      </c>
      <c r="BF29" s="184" t="e">
        <v>#N/A</v>
      </c>
      <c r="BG29" s="184" t="e">
        <v>#N/A</v>
      </c>
      <c r="BH29" s="184" t="e">
        <v>#N/A</v>
      </c>
      <c r="BI29" s="184" t="e">
        <v>#N/A</v>
      </c>
      <c r="BJ29" s="173"/>
      <c r="BK29" s="184">
        <v>627.68036400000005</v>
      </c>
      <c r="BL29" s="184">
        <v>797.24095999999997</v>
      </c>
      <c r="BM29" s="184">
        <v>984.41300000000001</v>
      </c>
      <c r="BN29" s="184">
        <v>600.11599999999999</v>
      </c>
      <c r="BO29" s="184">
        <v>1060.338</v>
      </c>
      <c r="BP29" s="184">
        <v>1476.605</v>
      </c>
      <c r="BQ29" s="184" t="e">
        <v>#N/A</v>
      </c>
      <c r="BR29" s="184" t="e">
        <v>#N/A</v>
      </c>
      <c r="BS29" s="184" t="e">
        <v>#N/A</v>
      </c>
      <c r="BT29" s="184" t="e">
        <v>#N/A</v>
      </c>
      <c r="BU29" s="173"/>
      <c r="BV29" s="173"/>
      <c r="BW29" s="173"/>
    </row>
    <row r="30" spans="1:75" x14ac:dyDescent="0.25">
      <c r="A30" s="142" t="s">
        <v>418</v>
      </c>
      <c r="B30" s="166" t="str">
        <f t="shared" si="0"/>
        <v>CYIENTDL IN Equity</v>
      </c>
      <c r="C30" s="173"/>
      <c r="D30" s="183">
        <v>418.22910528004405</v>
      </c>
      <c r="E30" s="184">
        <v>36896.507215998172</v>
      </c>
      <c r="F30" s="173"/>
      <c r="G30" s="183">
        <v>419.86067259634098</v>
      </c>
      <c r="H30" s="184">
        <v>37031.117215998172</v>
      </c>
      <c r="I30" s="173"/>
      <c r="J30" s="170">
        <v>54.308513703231405</v>
      </c>
      <c r="K30" s="170">
        <v>39.674005282171393</v>
      </c>
      <c r="L30" s="170">
        <v>26.995726023880746</v>
      </c>
      <c r="M30" s="170" t="e">
        <v>#N/A</v>
      </c>
      <c r="N30" s="173"/>
      <c r="O30" s="185">
        <v>3.8833007592466919</v>
      </c>
      <c r="P30" s="185">
        <v>4.4531884299277635</v>
      </c>
      <c r="Q30" s="173"/>
      <c r="R30" s="185">
        <v>7.3265522787453602E-2</v>
      </c>
      <c r="S30" s="185">
        <v>9.7713335301036153E-2</v>
      </c>
      <c r="T30" s="185">
        <v>7.8626223987027302E-2</v>
      </c>
      <c r="U30" s="185">
        <v>9.7703794691369653E-2</v>
      </c>
      <c r="V30" s="185">
        <v>7.5515693161203309E-2</v>
      </c>
      <c r="W30" s="185">
        <v>8.7844944029858679E-2</v>
      </c>
      <c r="X30" s="185">
        <v>6.5164818550411507E-2</v>
      </c>
      <c r="Y30" s="185">
        <v>8.0994058017321124E-2</v>
      </c>
      <c r="Z30" s="173"/>
      <c r="AA30" s="183">
        <v>1.5737255100000014</v>
      </c>
      <c r="AB30" s="184">
        <v>134.61000000000013</v>
      </c>
      <c r="AC30" s="170">
        <v>9.8130841121495435E-2</v>
      </c>
      <c r="AD30" s="173"/>
      <c r="AE30" s="174">
        <v>79.364395999999999</v>
      </c>
      <c r="AF30" s="185">
        <v>0.47877758686653399</v>
      </c>
      <c r="AG30" s="173"/>
      <c r="AH30" s="174">
        <v>0.30019439999999997</v>
      </c>
      <c r="AI30" s="174">
        <v>0.20537849999999983</v>
      </c>
      <c r="AJ30" s="174">
        <v>0.14915509999999996</v>
      </c>
      <c r="AK30" s="173"/>
      <c r="AL30" s="186">
        <v>5.2702102051611508</v>
      </c>
      <c r="AM30" s="187">
        <v>464.89999389648438</v>
      </c>
      <c r="AN30" s="173"/>
      <c r="AO30" s="188" t="e">
        <v>#N/A</v>
      </c>
      <c r="AP30" s="188" t="e">
        <v>#N/A</v>
      </c>
      <c r="AQ30" s="188" t="e">
        <v>#N/A</v>
      </c>
      <c r="AR30" s="188">
        <v>7.75</v>
      </c>
      <c r="AS30" s="188">
        <v>8.42</v>
      </c>
      <c r="AT30" s="188">
        <v>8.56</v>
      </c>
      <c r="AU30" s="188">
        <v>11.718</v>
      </c>
      <c r="AV30" s="188">
        <v>17.048999999999999</v>
      </c>
      <c r="AW30" s="188">
        <v>22.201428571428576</v>
      </c>
      <c r="AX30" s="188">
        <v>32.49</v>
      </c>
      <c r="AY30" s="173"/>
      <c r="AZ30" s="184">
        <v>137.32</v>
      </c>
      <c r="BA30" s="184">
        <v>459.44</v>
      </c>
      <c r="BB30" s="184">
        <v>840.4</v>
      </c>
      <c r="BC30" s="184">
        <v>940.91</v>
      </c>
      <c r="BD30" s="184">
        <v>1110.1199999999999</v>
      </c>
      <c r="BE30" s="184">
        <v>1371.7399999999998</v>
      </c>
      <c r="BF30" s="184">
        <v>1759.3</v>
      </c>
      <c r="BG30" s="184">
        <v>2286.9</v>
      </c>
      <c r="BH30" s="184">
        <v>2865.75</v>
      </c>
      <c r="BI30" s="184">
        <v>3587.5</v>
      </c>
      <c r="BJ30" s="173"/>
      <c r="BK30" s="184">
        <v>4570.87</v>
      </c>
      <c r="BL30" s="184">
        <v>6279.56</v>
      </c>
      <c r="BM30" s="184">
        <v>7200.01</v>
      </c>
      <c r="BN30" s="184">
        <v>8383.44</v>
      </c>
      <c r="BO30" s="184">
        <v>11918.71</v>
      </c>
      <c r="BP30" s="184">
        <v>15196.26</v>
      </c>
      <c r="BQ30" s="184">
        <v>16685.8</v>
      </c>
      <c r="BR30" s="184">
        <v>20725.599999999999</v>
      </c>
      <c r="BS30" s="184">
        <v>25518.625</v>
      </c>
      <c r="BT30" s="184">
        <v>30685.666666666668</v>
      </c>
      <c r="BU30" s="173"/>
      <c r="BV30" s="173"/>
      <c r="BW30" s="173"/>
    </row>
    <row r="31" spans="1:75" x14ac:dyDescent="0.25">
      <c r="A31" s="142" t="s">
        <v>169</v>
      </c>
      <c r="B31" s="166" t="str">
        <f t="shared" si="0"/>
        <v>KAYNES IN Equity</v>
      </c>
      <c r="C31" s="173"/>
      <c r="D31" s="183">
        <v>5395.3211519199394</v>
      </c>
      <c r="E31" s="184">
        <v>475979.560727</v>
      </c>
      <c r="F31" s="173"/>
      <c r="G31" s="183">
        <v>5375.3916837269089</v>
      </c>
      <c r="H31" s="184">
        <v>474211.05072699999</v>
      </c>
      <c r="I31" s="173"/>
      <c r="J31" s="170">
        <v>155.07064521094324</v>
      </c>
      <c r="K31" s="170">
        <v>101.47135005746067</v>
      </c>
      <c r="L31" s="170">
        <v>115.4643791991215</v>
      </c>
      <c r="M31" s="170">
        <v>65.878187576656799</v>
      </c>
      <c r="N31" s="173"/>
      <c r="O31" s="185">
        <v>16.020661559153037</v>
      </c>
      <c r="P31" s="185">
        <v>17.486627101962956</v>
      </c>
      <c r="Q31" s="173"/>
      <c r="R31" s="185">
        <v>0.11016511834003516</v>
      </c>
      <c r="S31" s="185">
        <v>0.13096295848554532</v>
      </c>
      <c r="T31" s="185">
        <v>0.11674276571657734</v>
      </c>
      <c r="U31" s="185">
        <v>0.18584667553814424</v>
      </c>
      <c r="V31" s="185">
        <v>8.7824335478218829E-2</v>
      </c>
      <c r="W31" s="185">
        <v>0.11122685876420714</v>
      </c>
      <c r="X31" s="185">
        <v>6.4461847942147099E-2</v>
      </c>
      <c r="Y31" s="185">
        <v>0.11435707823999239</v>
      </c>
      <c r="Z31" s="173"/>
      <c r="AA31" s="183">
        <v>-21.140016929999994</v>
      </c>
      <c r="AB31" s="184">
        <v>-1808.2299999999996</v>
      </c>
      <c r="AC31" s="170">
        <v>-0.44028108176547776</v>
      </c>
      <c r="AD31" s="173"/>
      <c r="AE31" s="174">
        <v>67.034654000000003</v>
      </c>
      <c r="AF31" s="185">
        <v>0.43901314087486748</v>
      </c>
      <c r="AG31" s="173"/>
      <c r="AH31" s="174">
        <v>0.70287119999999981</v>
      </c>
      <c r="AI31" s="174">
        <v>0.66082620000000025</v>
      </c>
      <c r="AJ31" s="174">
        <v>0.71816329999999928</v>
      </c>
      <c r="AK31" s="173"/>
      <c r="AL31" s="186">
        <v>80.492854491366202</v>
      </c>
      <c r="AM31" s="187">
        <v>7100.5</v>
      </c>
      <c r="AN31" s="173"/>
      <c r="AO31" s="188">
        <v>16.59</v>
      </c>
      <c r="AP31" s="188">
        <v>2.15</v>
      </c>
      <c r="AQ31" s="188">
        <v>8.9499999999999993</v>
      </c>
      <c r="AR31" s="188">
        <v>16.373017999999998</v>
      </c>
      <c r="AS31" s="188">
        <v>30.24</v>
      </c>
      <c r="AT31" s="188">
        <v>45.4</v>
      </c>
      <c r="AU31" s="188">
        <v>69.975416666666661</v>
      </c>
      <c r="AV31" s="188">
        <v>102.73583333333333</v>
      </c>
      <c r="AW31" s="188">
        <v>143.63449999999997</v>
      </c>
      <c r="AX31" s="188">
        <v>206.94624999999996</v>
      </c>
      <c r="AY31" s="173"/>
      <c r="AZ31" s="184">
        <v>408.012359</v>
      </c>
      <c r="BA31" s="184">
        <v>408.90999999999997</v>
      </c>
      <c r="BB31" s="184">
        <v>936.71</v>
      </c>
      <c r="BC31" s="184">
        <v>1683.18</v>
      </c>
      <c r="BD31" s="184">
        <v>2541.6799999999998</v>
      </c>
      <c r="BE31" s="184">
        <v>4106.99</v>
      </c>
      <c r="BF31" s="184">
        <v>6843.5416666666697</v>
      </c>
      <c r="BG31" s="184">
        <v>10250.458333333299</v>
      </c>
      <c r="BH31" s="184">
        <v>14305.3</v>
      </c>
      <c r="BI31" s="184">
        <v>18829.333333333303</v>
      </c>
      <c r="BJ31" s="173"/>
      <c r="BK31" s="184">
        <v>3657.4572499999999</v>
      </c>
      <c r="BL31" s="184">
        <v>4206.2700000000004</v>
      </c>
      <c r="BM31" s="184">
        <v>7062.49</v>
      </c>
      <c r="BN31" s="184">
        <v>11261.14</v>
      </c>
      <c r="BO31" s="184">
        <v>18046.189999999999</v>
      </c>
      <c r="BP31" s="184">
        <v>27217.52</v>
      </c>
      <c r="BQ31" s="184">
        <v>42598.25</v>
      </c>
      <c r="BR31" s="184">
        <v>63317.458333333336</v>
      </c>
      <c r="BS31" s="184">
        <v>86408.75</v>
      </c>
      <c r="BT31" s="184">
        <v>110783.44444444444</v>
      </c>
      <c r="BU31" s="173"/>
      <c r="BV31" s="173"/>
      <c r="BW31" s="173"/>
    </row>
    <row r="32" spans="1:75" x14ac:dyDescent="0.25">
      <c r="A32" s="142" t="s">
        <v>170</v>
      </c>
      <c r="B32" s="166" t="str">
        <f t="shared" si="0"/>
        <v>SYRMA IN Equity</v>
      </c>
      <c r="C32" s="173"/>
      <c r="D32" s="183">
        <v>1874.0105699950129</v>
      </c>
      <c r="E32" s="184">
        <v>165326.716017</v>
      </c>
      <c r="F32" s="173"/>
      <c r="G32" s="183">
        <v>1920.1342433476807</v>
      </c>
      <c r="H32" s="184">
        <v>169249.776017</v>
      </c>
      <c r="I32" s="173"/>
      <c r="J32" s="170">
        <v>100.9965621193523</v>
      </c>
      <c r="K32" s="170">
        <v>64.985499936956245</v>
      </c>
      <c r="L32" s="170">
        <v>52.347774023407297</v>
      </c>
      <c r="M32" s="170">
        <v>36.364259976410054</v>
      </c>
      <c r="N32" s="173"/>
      <c r="O32" s="185">
        <v>8.7397494581602828</v>
      </c>
      <c r="P32" s="185">
        <v>10.893384815604625</v>
      </c>
      <c r="Q32" s="173"/>
      <c r="R32" s="185">
        <v>9.0267093165588716E-2</v>
      </c>
      <c r="S32" s="185">
        <v>0.1233617854028061</v>
      </c>
      <c r="T32" s="185">
        <v>0.12741283781604565</v>
      </c>
      <c r="U32" s="185">
        <v>0.16339369506267321</v>
      </c>
      <c r="V32" s="185">
        <v>8.0122842124310173E-2</v>
      </c>
      <c r="W32" s="185">
        <v>0.10195108258522703</v>
      </c>
      <c r="X32" s="185">
        <v>7.5400684655704389E-2</v>
      </c>
      <c r="Y32" s="185">
        <v>9.4363312630424828E-2</v>
      </c>
      <c r="Z32" s="173"/>
      <c r="AA32" s="183">
        <v>37.113196409999993</v>
      </c>
      <c r="AB32" s="184">
        <v>3174.51</v>
      </c>
      <c r="AC32" s="170">
        <v>0.9818537786328011</v>
      </c>
      <c r="AD32" s="173"/>
      <c r="AE32" s="174">
        <v>192.46416299999996</v>
      </c>
      <c r="AF32" s="185">
        <v>0.3954718105105105</v>
      </c>
      <c r="AG32" s="173"/>
      <c r="AH32" s="174">
        <v>3.3329575999999994</v>
      </c>
      <c r="AI32" s="174">
        <v>2.1516535000000019</v>
      </c>
      <c r="AJ32" s="174">
        <v>1.6141651000000008</v>
      </c>
      <c r="AK32" s="173"/>
      <c r="AL32" s="186">
        <v>9.7378159295941931</v>
      </c>
      <c r="AM32" s="187">
        <v>859</v>
      </c>
      <c r="AN32" s="173"/>
      <c r="AO32" s="188" t="e">
        <v>#N/A</v>
      </c>
      <c r="AP32" s="188">
        <v>3.7910840000000001</v>
      </c>
      <c r="AQ32" s="188">
        <v>5.25</v>
      </c>
      <c r="AR32" s="188">
        <v>7.39</v>
      </c>
      <c r="AS32" s="188">
        <v>6.13</v>
      </c>
      <c r="AT32" s="188">
        <v>9.6417599999999997</v>
      </c>
      <c r="AU32" s="188">
        <v>13.218333333333334</v>
      </c>
      <c r="AV32" s="188">
        <v>18.494583333333331</v>
      </c>
      <c r="AW32" s="188">
        <v>25.891764705882352</v>
      </c>
      <c r="AX32" s="188">
        <v>39.342500000000001</v>
      </c>
      <c r="AY32" s="173"/>
      <c r="AZ32" s="184" t="e">
        <v>#N/A</v>
      </c>
      <c r="BA32" s="184">
        <v>467.57</v>
      </c>
      <c r="BB32" s="184">
        <v>944.28</v>
      </c>
      <c r="BC32" s="184">
        <v>1949.68</v>
      </c>
      <c r="BD32" s="184">
        <v>2022.5500000000002</v>
      </c>
      <c r="BE32" s="184">
        <v>3233.18</v>
      </c>
      <c r="BF32" s="184">
        <v>4211.3846153846198</v>
      </c>
      <c r="BG32" s="184">
        <v>5584.4615384615399</v>
      </c>
      <c r="BH32" s="184">
        <v>7587.7647058823495</v>
      </c>
      <c r="BI32" s="184">
        <v>9930.5</v>
      </c>
      <c r="BJ32" s="173"/>
      <c r="BK32" s="184" t="e">
        <v>#N/A</v>
      </c>
      <c r="BL32" s="184">
        <v>4293.47</v>
      </c>
      <c r="BM32" s="184">
        <v>10132.799999999999</v>
      </c>
      <c r="BN32" s="184">
        <v>20098.240000000002</v>
      </c>
      <c r="BO32" s="184">
        <v>31302.65</v>
      </c>
      <c r="BP32" s="184">
        <v>37159.89</v>
      </c>
      <c r="BQ32" s="184">
        <v>48138.461538461539</v>
      </c>
      <c r="BR32" s="184">
        <v>62339.423076923078</v>
      </c>
      <c r="BS32" s="184">
        <v>79834.117647058825</v>
      </c>
      <c r="BT32" s="184">
        <v>96667.57142857142</v>
      </c>
      <c r="BU32" s="173"/>
      <c r="BV32" s="173"/>
      <c r="BW32" s="173"/>
    </row>
    <row r="33" spans="1:75" x14ac:dyDescent="0.25">
      <c r="A33" s="142" t="s">
        <v>419</v>
      </c>
      <c r="B33" s="166" t="str">
        <f t="shared" si="0"/>
        <v>SOIL IN Equity</v>
      </c>
      <c r="C33" s="173"/>
      <c r="D33" s="183">
        <v>14239.078660118814</v>
      </c>
      <c r="E33" s="184">
        <v>1256182.9435099999</v>
      </c>
      <c r="F33" s="173"/>
      <c r="G33" s="183">
        <v>14225.94083904601</v>
      </c>
      <c r="H33" s="184">
        <v>1254890.7435099999</v>
      </c>
      <c r="I33" s="173"/>
      <c r="J33" s="170">
        <v>102.09623981946336</v>
      </c>
      <c r="K33" s="170">
        <v>73.720545617309241</v>
      </c>
      <c r="L33" s="170">
        <v>64.013280392887026</v>
      </c>
      <c r="M33" s="170">
        <v>51.036986030505375</v>
      </c>
      <c r="N33" s="173"/>
      <c r="O33" s="185">
        <v>28.638521945631208</v>
      </c>
      <c r="P33" s="185">
        <v>29.889973886011102</v>
      </c>
      <c r="Q33" s="173"/>
      <c r="R33" s="185">
        <v>0.31991695203030707</v>
      </c>
      <c r="S33" s="185">
        <v>0.32180298155943615</v>
      </c>
      <c r="T33" s="185">
        <v>0.32536098837170202</v>
      </c>
      <c r="U33" s="185">
        <v>0.31166466915060537</v>
      </c>
      <c r="V33" s="185">
        <v>0.26466313798901209</v>
      </c>
      <c r="W33" s="185">
        <v>0.35730232586166549</v>
      </c>
      <c r="X33" s="185">
        <v>0.24447274497982049</v>
      </c>
      <c r="Y33" s="185">
        <v>0.27275398475469254</v>
      </c>
      <c r="Z33" s="173"/>
      <c r="AA33" s="183">
        <v>-32.676344999999998</v>
      </c>
      <c r="AB33" s="184">
        <v>-2795</v>
      </c>
      <c r="AC33" s="170">
        <v>-0.14257585341467893</v>
      </c>
      <c r="AD33" s="173"/>
      <c r="AE33" s="174">
        <v>90.490054999999998</v>
      </c>
      <c r="AF33" s="185">
        <v>0.26852435883700149</v>
      </c>
      <c r="AG33" s="173"/>
      <c r="AH33" s="174">
        <v>7.3244799999999999E-2</v>
      </c>
      <c r="AI33" s="174">
        <v>9.4448600000000021E-2</v>
      </c>
      <c r="AJ33" s="174">
        <v>0.12366320000000004</v>
      </c>
      <c r="AK33" s="173"/>
      <c r="AL33" s="186">
        <v>157.36945370736504</v>
      </c>
      <c r="AM33" s="187">
        <v>13882</v>
      </c>
      <c r="AN33" s="173"/>
      <c r="AO33" s="188">
        <v>29.550276</v>
      </c>
      <c r="AP33" s="188">
        <v>30.54</v>
      </c>
      <c r="AQ33" s="188">
        <v>48.760221000000001</v>
      </c>
      <c r="AR33" s="188">
        <v>83.68</v>
      </c>
      <c r="AS33" s="188">
        <v>92.38</v>
      </c>
      <c r="AT33" s="188">
        <v>133.65</v>
      </c>
      <c r="AU33" s="188">
        <v>188.30571428571429</v>
      </c>
      <c r="AV33" s="188">
        <v>246.73000000000002</v>
      </c>
      <c r="AW33" s="188">
        <v>294.21166666666664</v>
      </c>
      <c r="AX33" s="188">
        <v>334.25</v>
      </c>
      <c r="AY33" s="173"/>
      <c r="AZ33" s="184">
        <v>4343.2</v>
      </c>
      <c r="BA33" s="184">
        <v>5146</v>
      </c>
      <c r="BB33" s="184">
        <v>7472.6</v>
      </c>
      <c r="BC33" s="184">
        <v>12889.2</v>
      </c>
      <c r="BD33" s="184">
        <v>15370.699999999999</v>
      </c>
      <c r="BE33" s="184">
        <v>19603.599999999999</v>
      </c>
      <c r="BF33" s="184">
        <v>26476.142857142899</v>
      </c>
      <c r="BG33" s="184">
        <v>34502</v>
      </c>
      <c r="BH33" s="184">
        <v>42108</v>
      </c>
      <c r="BI33" s="184">
        <v>47960.666666666701</v>
      </c>
      <c r="BJ33" s="173"/>
      <c r="BK33" s="184">
        <v>21654.3</v>
      </c>
      <c r="BL33" s="184">
        <v>25156.3</v>
      </c>
      <c r="BM33" s="184">
        <v>39476.1</v>
      </c>
      <c r="BN33" s="184">
        <v>69225.3</v>
      </c>
      <c r="BO33" s="184">
        <v>60695.199999999997</v>
      </c>
      <c r="BP33" s="184">
        <v>75402.600000000006</v>
      </c>
      <c r="BQ33" s="184">
        <v>101378.57142857142</v>
      </c>
      <c r="BR33" s="184">
        <v>129788.42857142858</v>
      </c>
      <c r="BS33" s="184">
        <v>157175.66666666666</v>
      </c>
      <c r="BT33" s="184">
        <v>251200.66666666666</v>
      </c>
      <c r="BU33" s="173"/>
      <c r="BV33" s="173"/>
      <c r="BW33" s="173"/>
    </row>
    <row r="34" spans="1:75" x14ac:dyDescent="0.25">
      <c r="A34" s="147" t="s">
        <v>420</v>
      </c>
      <c r="B34" s="166" t="str">
        <f t="shared" si="0"/>
        <v>BHFC IN Equity</v>
      </c>
      <c r="C34" s="173"/>
      <c r="D34" s="183">
        <v>6403.9013284350467</v>
      </c>
      <c r="E34" s="184">
        <v>564957.31309022848</v>
      </c>
      <c r="F34" s="173"/>
      <c r="G34" s="183">
        <v>6877.163841499244</v>
      </c>
      <c r="H34" s="184">
        <v>605362.48309022852</v>
      </c>
      <c r="I34" s="173"/>
      <c r="J34" s="170">
        <v>61.851568747410411</v>
      </c>
      <c r="K34" s="170">
        <v>43.680382620941664</v>
      </c>
      <c r="L34" s="170">
        <v>22.312419141594173</v>
      </c>
      <c r="M34" s="170">
        <v>19.742006146750469</v>
      </c>
      <c r="N34" s="173"/>
      <c r="O34" s="185">
        <v>6.105446027239787</v>
      </c>
      <c r="P34" s="185">
        <v>6.3173971910196327</v>
      </c>
      <c r="Q34" s="173"/>
      <c r="R34" s="185">
        <v>0.10922385812832548</v>
      </c>
      <c r="S34" s="185">
        <v>0.13286002398235794</v>
      </c>
      <c r="T34" s="185">
        <v>0.11964892499696</v>
      </c>
      <c r="U34" s="185">
        <v>0.1339788791507118</v>
      </c>
      <c r="V34" s="185">
        <v>7.4802035368687972E-2</v>
      </c>
      <c r="W34" s="185">
        <v>0.11809285211796111</v>
      </c>
      <c r="X34" s="185">
        <v>6.8179441416098108E-2</v>
      </c>
      <c r="Y34" s="185">
        <v>7.4400607243082714E-2</v>
      </c>
      <c r="Z34" s="173"/>
      <c r="AA34" s="183">
        <v>476.20599569999996</v>
      </c>
      <c r="AB34" s="184">
        <v>40732.699999999997</v>
      </c>
      <c r="AC34" s="170">
        <v>1.5013237532153951</v>
      </c>
      <c r="AD34" s="173"/>
      <c r="AE34" s="174">
        <v>478.08863199999996</v>
      </c>
      <c r="AF34" s="185">
        <v>0.53465342593630216</v>
      </c>
      <c r="AG34" s="173"/>
      <c r="AH34" s="174">
        <v>1.2888542000000007</v>
      </c>
      <c r="AI34" s="174">
        <v>1.2702707000000009</v>
      </c>
      <c r="AJ34" s="174">
        <v>1.0808879666666669</v>
      </c>
      <c r="AK34" s="173"/>
      <c r="AL34" s="186">
        <v>13.396014678139888</v>
      </c>
      <c r="AM34" s="187">
        <v>1181.699951171875</v>
      </c>
      <c r="AN34" s="173"/>
      <c r="AO34" s="188">
        <v>9.19</v>
      </c>
      <c r="AP34" s="188">
        <v>3.843</v>
      </c>
      <c r="AQ34" s="188">
        <v>20.341999999999999</v>
      </c>
      <c r="AR34" s="188">
        <v>12.33</v>
      </c>
      <c r="AS34" s="188">
        <v>20.43</v>
      </c>
      <c r="AT34" s="188">
        <v>20.05</v>
      </c>
      <c r="AU34" s="188">
        <v>27.053333333333331</v>
      </c>
      <c r="AV34" s="188">
        <v>35.735384615384618</v>
      </c>
      <c r="AW34" s="188">
        <v>41.063499999999991</v>
      </c>
      <c r="AX34" s="188">
        <v>51.793333333333329</v>
      </c>
      <c r="AY34" s="173"/>
      <c r="AZ34" s="184">
        <v>11147.09</v>
      </c>
      <c r="BA34" s="184">
        <v>8633.5600000000013</v>
      </c>
      <c r="BB34" s="184">
        <v>19810.02</v>
      </c>
      <c r="BC34" s="184">
        <v>17764.400000000001</v>
      </c>
      <c r="BD34" s="184">
        <v>25660.85</v>
      </c>
      <c r="BE34" s="184">
        <v>27131.190000000002</v>
      </c>
      <c r="BF34" s="184">
        <v>28854.259259259299</v>
      </c>
      <c r="BG34" s="184">
        <v>34296.3461538462</v>
      </c>
      <c r="BH34" s="184">
        <v>37591.842105263197</v>
      </c>
      <c r="BI34" s="184">
        <v>45132.5</v>
      </c>
      <c r="BJ34" s="173"/>
      <c r="BK34" s="184">
        <v>80558.44</v>
      </c>
      <c r="BL34" s="184">
        <v>63362.61</v>
      </c>
      <c r="BM34" s="184">
        <v>104610.78</v>
      </c>
      <c r="BN34" s="184">
        <v>129102.59</v>
      </c>
      <c r="BO34" s="184">
        <v>156820.71</v>
      </c>
      <c r="BP34" s="184">
        <v>151228.03</v>
      </c>
      <c r="BQ34" s="184">
        <v>163924.17857142855</v>
      </c>
      <c r="BR34" s="184">
        <v>186400.74074074076</v>
      </c>
      <c r="BS34" s="184">
        <v>198159.75</v>
      </c>
      <c r="BT34" s="184">
        <v>216495</v>
      </c>
      <c r="BU34" s="173"/>
      <c r="BV34" s="173"/>
      <c r="BW34" s="173"/>
    </row>
    <row r="35" spans="1:75" x14ac:dyDescent="0.25">
      <c r="A35" s="142" t="s">
        <v>177</v>
      </c>
      <c r="B35" s="166" t="str">
        <f t="shared" si="0"/>
        <v>LT IN Equity</v>
      </c>
      <c r="C35" s="173"/>
      <c r="D35" s="183">
        <v>54960.723946886945</v>
      </c>
      <c r="E35" s="184">
        <v>4848679.1619749991</v>
      </c>
      <c r="F35" s="173"/>
      <c r="G35" s="183">
        <v>64769.011996162371</v>
      </c>
      <c r="H35" s="184">
        <v>5686989.5619749986</v>
      </c>
      <c r="I35" s="173"/>
      <c r="J35" s="170">
        <v>34.290718521003662</v>
      </c>
      <c r="K35" s="170">
        <v>26.752484784797932</v>
      </c>
      <c r="L35" s="170">
        <v>21.513317558542276</v>
      </c>
      <c r="M35" s="170">
        <v>18.715729293976398</v>
      </c>
      <c r="N35" s="173"/>
      <c r="O35" s="185">
        <v>4.9639266786799734</v>
      </c>
      <c r="P35" s="185">
        <v>6.7272420196481919</v>
      </c>
      <c r="Q35" s="173"/>
      <c r="R35" s="185">
        <v>0.15373859523503647</v>
      </c>
      <c r="S35" s="185">
        <v>0.17371945107393574</v>
      </c>
      <c r="T35" s="185">
        <v>0.22597853497641082</v>
      </c>
      <c r="U35" s="185">
        <v>0.32874051793693304</v>
      </c>
      <c r="V35" s="185">
        <v>7.0768419699622581E-2</v>
      </c>
      <c r="W35" s="185">
        <v>9.4155683589480871E-2</v>
      </c>
      <c r="X35" s="185">
        <v>6.6387767409193804E-2</v>
      </c>
      <c r="Y35" s="185">
        <v>8.6447810815789089E-2</v>
      </c>
      <c r="Z35" s="173"/>
      <c r="AA35" s="183">
        <v>7725.758853600003</v>
      </c>
      <c r="AB35" s="184">
        <v>660829.60000000021</v>
      </c>
      <c r="AC35" s="170">
        <v>2.4998528451575472</v>
      </c>
      <c r="AD35" s="173"/>
      <c r="AE35" s="174">
        <v>1375.5118189999998</v>
      </c>
      <c r="AF35" s="185">
        <v>0.68848049789094534</v>
      </c>
      <c r="AG35" s="173"/>
      <c r="AH35" s="174">
        <v>1.3192685999999993</v>
      </c>
      <c r="AI35" s="174">
        <v>1.4534829000000002</v>
      </c>
      <c r="AJ35" s="174">
        <v>1.7900692666666671</v>
      </c>
      <c r="AK35" s="173"/>
      <c r="AL35" s="186">
        <v>39.960187603980827</v>
      </c>
      <c r="AM35" s="187">
        <v>3525</v>
      </c>
      <c r="AN35" s="173"/>
      <c r="AO35" s="188">
        <v>63.38</v>
      </c>
      <c r="AP35" s="188">
        <v>49.146999999999998</v>
      </c>
      <c r="AQ35" s="188">
        <v>61.71</v>
      </c>
      <c r="AR35" s="188">
        <v>74.510000000000005</v>
      </c>
      <c r="AS35" s="188">
        <v>93.88</v>
      </c>
      <c r="AT35" s="188">
        <v>105.8</v>
      </c>
      <c r="AU35" s="188">
        <v>131.76346153846154</v>
      </c>
      <c r="AV35" s="188">
        <v>158.5803448275862</v>
      </c>
      <c r="AW35" s="188">
        <v>187.51285714285711</v>
      </c>
      <c r="AX35" s="188">
        <v>217.82</v>
      </c>
      <c r="AY35" s="173"/>
      <c r="AZ35" s="184">
        <v>163289.80000000002</v>
      </c>
      <c r="BA35" s="184">
        <v>232778.30000000002</v>
      </c>
      <c r="BB35" s="184">
        <v>235038.4</v>
      </c>
      <c r="BC35" s="184">
        <v>207532.79999999999</v>
      </c>
      <c r="BD35" s="184">
        <v>234936.5</v>
      </c>
      <c r="BE35" s="184">
        <v>264347.40000000002</v>
      </c>
      <c r="BF35" s="184">
        <v>313702.689655172</v>
      </c>
      <c r="BG35" s="184">
        <v>366380.5</v>
      </c>
      <c r="BH35" s="184">
        <v>417021.09523809497</v>
      </c>
      <c r="BI35" s="184">
        <v>471503.66666666698</v>
      </c>
      <c r="BJ35" s="173"/>
      <c r="BK35" s="184">
        <v>1443080.5</v>
      </c>
      <c r="BL35" s="184">
        <v>1344767.5</v>
      </c>
      <c r="BM35" s="184">
        <v>1556724.6</v>
      </c>
      <c r="BN35" s="184">
        <v>1816614.2</v>
      </c>
      <c r="BO35" s="184">
        <v>2191156.9</v>
      </c>
      <c r="BP35" s="184">
        <v>2542086.5</v>
      </c>
      <c r="BQ35" s="184">
        <v>2961667</v>
      </c>
      <c r="BR35" s="184">
        <v>3411268.3548387093</v>
      </c>
      <c r="BS35" s="184">
        <v>3881091.2173913042</v>
      </c>
      <c r="BT35" s="184">
        <v>4345642.333333334</v>
      </c>
      <c r="BU35" s="173"/>
      <c r="BV35" s="173"/>
      <c r="BW35" s="173"/>
    </row>
    <row r="36" spans="1:75" x14ac:dyDescent="0.25">
      <c r="A36" s="142" t="s">
        <v>179</v>
      </c>
      <c r="B36" s="166" t="str">
        <f t="shared" si="0"/>
        <v>BHEL IN Equity</v>
      </c>
      <c r="C36" s="173"/>
      <c r="D36" s="183">
        <v>8467.0760892776252</v>
      </c>
      <c r="E36" s="184">
        <v>746972.2457915796</v>
      </c>
      <c r="F36" s="173"/>
      <c r="G36" s="183">
        <v>8632.1771333982088</v>
      </c>
      <c r="H36" s="184">
        <v>760994.14579157962</v>
      </c>
      <c r="I36" s="173"/>
      <c r="J36" s="170">
        <v>143.78353665968098</v>
      </c>
      <c r="K36" s="170">
        <v>36.659641858010986</v>
      </c>
      <c r="L36" s="170">
        <v>61.292890919688745</v>
      </c>
      <c r="M36" s="170">
        <v>28.134000883010714</v>
      </c>
      <c r="N36" s="173"/>
      <c r="O36" s="185">
        <v>3.021468374088589</v>
      </c>
      <c r="P36" s="185">
        <v>3.0359591458988215</v>
      </c>
      <c r="Q36" s="173"/>
      <c r="R36" s="185">
        <v>2.1135424318679853E-2</v>
      </c>
      <c r="S36" s="185">
        <v>7.3533333333333339E-2</v>
      </c>
      <c r="T36" s="185">
        <v>2.1812572032760932E-2</v>
      </c>
      <c r="U36" s="185">
        <v>7.028018700966307E-2</v>
      </c>
      <c r="V36" s="185">
        <v>2.2674095164918563E-2</v>
      </c>
      <c r="W36" s="185">
        <v>3.166474125297486E-2</v>
      </c>
      <c r="X36" s="185">
        <v>2.6666526082219887E-2</v>
      </c>
      <c r="Y36" s="185">
        <v>3.1082854852917174E-2</v>
      </c>
      <c r="Z36" s="173"/>
      <c r="AA36" s="183">
        <v>163.93003289999996</v>
      </c>
      <c r="AB36" s="184">
        <v>14021.899999999994</v>
      </c>
      <c r="AC36" s="170">
        <v>1.1293684609003112</v>
      </c>
      <c r="AD36" s="173"/>
      <c r="AE36" s="174">
        <v>3482.0633549999998</v>
      </c>
      <c r="AF36" s="185">
        <v>0.29948109143465029</v>
      </c>
      <c r="AG36" s="173"/>
      <c r="AH36" s="174">
        <v>6.2874267999999942</v>
      </c>
      <c r="AI36" s="174">
        <v>5.8016663999999993</v>
      </c>
      <c r="AJ36" s="174">
        <v>7.1480650333333413</v>
      </c>
      <c r="AK36" s="173"/>
      <c r="AL36" s="186">
        <v>2.4318466994423567</v>
      </c>
      <c r="AM36" s="187">
        <v>214.52000427246094</v>
      </c>
      <c r="AN36" s="173"/>
      <c r="AO36" s="188">
        <v>-4.22</v>
      </c>
      <c r="AP36" s="188">
        <v>-7.7460000000000004</v>
      </c>
      <c r="AQ36" s="188">
        <v>1.2809410000000001</v>
      </c>
      <c r="AR36" s="188">
        <v>1.37</v>
      </c>
      <c r="AS36" s="188">
        <v>0.81</v>
      </c>
      <c r="AT36" s="188">
        <v>1.53</v>
      </c>
      <c r="AU36" s="188">
        <v>5.8516666666666666</v>
      </c>
      <c r="AV36" s="188">
        <v>9.75</v>
      </c>
      <c r="AW36" s="188">
        <v>13.426666666666668</v>
      </c>
      <c r="AX36" s="188" t="e">
        <v>#N/A</v>
      </c>
      <c r="AY36" s="173"/>
      <c r="AZ36" s="184">
        <v>-7114.8</v>
      </c>
      <c r="BA36" s="184">
        <v>-31412.9</v>
      </c>
      <c r="BB36" s="184">
        <v>7355.8</v>
      </c>
      <c r="BC36" s="184">
        <v>9527.2999999999993</v>
      </c>
      <c r="BD36" s="184">
        <v>6126</v>
      </c>
      <c r="BE36" s="184">
        <v>12415.7</v>
      </c>
      <c r="BF36" s="184">
        <v>26864.714285714297</v>
      </c>
      <c r="BG36" s="184">
        <v>46108</v>
      </c>
      <c r="BH36" s="184">
        <v>56625.636363636397</v>
      </c>
      <c r="BI36" s="184">
        <v>90236.5</v>
      </c>
      <c r="BJ36" s="173"/>
      <c r="BK36" s="184">
        <v>204945.9</v>
      </c>
      <c r="BL36" s="184">
        <v>162958</v>
      </c>
      <c r="BM36" s="184">
        <v>201533.8</v>
      </c>
      <c r="BN36" s="184">
        <v>221363</v>
      </c>
      <c r="BO36" s="184">
        <v>229205.2</v>
      </c>
      <c r="BP36" s="184">
        <v>273551.7</v>
      </c>
      <c r="BQ36" s="184">
        <v>374021.8666666667</v>
      </c>
      <c r="BR36" s="184">
        <v>471821.33333333331</v>
      </c>
      <c r="BS36" s="184">
        <v>568445.5</v>
      </c>
      <c r="BT36" s="184">
        <v>800255</v>
      </c>
      <c r="BU36" s="173"/>
      <c r="BV36" s="173"/>
      <c r="BW36" s="173"/>
    </row>
    <row r="37" spans="1:75" x14ac:dyDescent="0.25">
      <c r="A37" s="142" t="s">
        <v>421</v>
      </c>
      <c r="B37" s="166" t="str">
        <f t="shared" si="0"/>
        <v>AXET IN Equity</v>
      </c>
      <c r="C37" s="173"/>
      <c r="D37" s="183">
        <v>710.48763792726641</v>
      </c>
      <c r="E37" s="184">
        <v>62679.789447240357</v>
      </c>
      <c r="F37" s="173"/>
      <c r="G37" s="183">
        <v>724.97166340148885</v>
      </c>
      <c r="H37" s="184">
        <v>63910.288447240353</v>
      </c>
      <c r="I37" s="173"/>
      <c r="J37" s="170">
        <v>90.767195066881655</v>
      </c>
      <c r="K37" s="170">
        <v>83.327684995144779</v>
      </c>
      <c r="L37" s="170">
        <v>44.866673673287252</v>
      </c>
      <c r="M37" s="170" t="e">
        <v>#N/A</v>
      </c>
      <c r="N37" s="173"/>
      <c r="O37" s="185">
        <v>9.6570532002870557</v>
      </c>
      <c r="P37" s="185">
        <v>13.536240002410176</v>
      </c>
      <c r="Q37" s="173"/>
      <c r="R37" s="185">
        <v>0.11456781826450711</v>
      </c>
      <c r="S37" s="185">
        <v>0.10300000000000001</v>
      </c>
      <c r="T37" s="185">
        <v>0.17515258430629871</v>
      </c>
      <c r="U37" s="185">
        <v>0.17188451412046468</v>
      </c>
      <c r="V37" s="185">
        <v>0.10045077665802257</v>
      </c>
      <c r="W37" s="185">
        <v>0.11392923889613059</v>
      </c>
      <c r="X37" s="185">
        <v>8.8527348587793514E-2</v>
      </c>
      <c r="Y37" s="185">
        <v>0.10477799011922004</v>
      </c>
      <c r="Z37" s="173"/>
      <c r="AA37" s="183">
        <v>13.598690616000001</v>
      </c>
      <c r="AB37" s="184">
        <v>1163.1759999999999</v>
      </c>
      <c r="AC37" s="170">
        <v>0.81657960376257765</v>
      </c>
      <c r="AD37" s="173"/>
      <c r="AE37" s="174">
        <v>42.497653</v>
      </c>
      <c r="AF37" s="185">
        <v>0.40218244522821062</v>
      </c>
      <c r="AG37" s="173"/>
      <c r="AH37" s="174">
        <v>0.11532259999999987</v>
      </c>
      <c r="AI37" s="174">
        <v>9.7630899999999993E-2</v>
      </c>
      <c r="AJ37" s="174">
        <v>0.10436896666666669</v>
      </c>
      <c r="AK37" s="173"/>
      <c r="AL37" s="186">
        <v>16.719796219206195</v>
      </c>
      <c r="AM37" s="187">
        <v>1474.9000244140625</v>
      </c>
      <c r="AN37" s="173"/>
      <c r="AO37" s="188">
        <v>7.8730000000000002</v>
      </c>
      <c r="AP37" s="188">
        <v>1.8149999999999999</v>
      </c>
      <c r="AQ37" s="188">
        <v>5.5469999999999997</v>
      </c>
      <c r="AR37" s="188">
        <v>-13.826000000000001</v>
      </c>
      <c r="AS37" s="188">
        <v>7.74</v>
      </c>
      <c r="AT37" s="188">
        <v>17.22</v>
      </c>
      <c r="AU37" s="188">
        <v>17.7</v>
      </c>
      <c r="AV37" s="188">
        <v>24.9</v>
      </c>
      <c r="AW37" s="188">
        <v>39.9</v>
      </c>
      <c r="AX37" s="188" t="e">
        <v>#N/A</v>
      </c>
      <c r="AY37" s="173"/>
      <c r="AZ37" s="184">
        <v>837.66399999999999</v>
      </c>
      <c r="BA37" s="184">
        <v>640.00099999999998</v>
      </c>
      <c r="BB37" s="184">
        <v>706.36</v>
      </c>
      <c r="BC37" s="184">
        <v>1455.652</v>
      </c>
      <c r="BD37" s="184">
        <v>1332.4590000000001</v>
      </c>
      <c r="BE37" s="184">
        <v>1424.4490000000001</v>
      </c>
      <c r="BF37" s="184">
        <v>1628</v>
      </c>
      <c r="BG37" s="184">
        <v>2147</v>
      </c>
      <c r="BH37" s="184">
        <v>3033</v>
      </c>
      <c r="BI37" s="184" t="e">
        <v>#N/A</v>
      </c>
      <c r="BJ37" s="173"/>
      <c r="BK37" s="184">
        <v>6649.7830000000004</v>
      </c>
      <c r="BL37" s="184">
        <v>5173.8609999999999</v>
      </c>
      <c r="BM37" s="184">
        <v>6084.0770000000002</v>
      </c>
      <c r="BN37" s="184">
        <v>8136.0469999999996</v>
      </c>
      <c r="BO37" s="184">
        <v>9551.2049999999999</v>
      </c>
      <c r="BP37" s="184">
        <v>10307.236999999999</v>
      </c>
      <c r="BQ37" s="184">
        <v>11165</v>
      </c>
      <c r="BR37" s="184">
        <v>13695</v>
      </c>
      <c r="BS37" s="184">
        <v>17228</v>
      </c>
      <c r="BT37" s="184" t="e">
        <v>#N/A</v>
      </c>
      <c r="BU37" s="173"/>
      <c r="BV37" s="173"/>
      <c r="BW37" s="173"/>
    </row>
    <row r="38" spans="1:75" x14ac:dyDescent="0.25">
      <c r="A38" s="142" t="s">
        <v>422</v>
      </c>
      <c r="B38" s="166" t="str">
        <f t="shared" si="0"/>
        <v>TAA IN Equity</v>
      </c>
      <c r="C38" s="173"/>
      <c r="D38" s="183">
        <v>114.98549825242792</v>
      </c>
      <c r="E38" s="184">
        <v>10144.11290951416</v>
      </c>
      <c r="F38" s="173"/>
      <c r="G38" s="183">
        <v>112.76859531007389</v>
      </c>
      <c r="H38" s="184">
        <v>9953.1279095141599</v>
      </c>
      <c r="I38" s="173"/>
      <c r="J38" s="170">
        <v>56.46823779246499</v>
      </c>
      <c r="K38" s="170" t="e">
        <v>#N/A</v>
      </c>
      <c r="L38" s="170">
        <v>38.517253439396619</v>
      </c>
      <c r="M38" s="170" t="e">
        <v>#N/A</v>
      </c>
      <c r="N38" s="173"/>
      <c r="O38" s="185">
        <v>7.1268328237541771</v>
      </c>
      <c r="P38" s="185">
        <v>7.1268328237541771</v>
      </c>
      <c r="Q38" s="173"/>
      <c r="R38" s="185">
        <v>0.13172489335492046</v>
      </c>
      <c r="S38" s="185" t="e">
        <v>#N/A</v>
      </c>
      <c r="T38" s="185">
        <v>0.13254082781923132</v>
      </c>
      <c r="U38" s="185">
        <v>0.1548490137888274</v>
      </c>
      <c r="V38" s="185">
        <v>0.12261492298040996</v>
      </c>
      <c r="W38" s="185">
        <v>0.15815395666482127</v>
      </c>
      <c r="X38" s="185">
        <v>0.11200025432845362</v>
      </c>
      <c r="Y38" s="185">
        <v>0.13467772144571893</v>
      </c>
      <c r="Z38" s="173"/>
      <c r="AA38" s="183">
        <v>-2.2328056349999996</v>
      </c>
      <c r="AB38" s="184">
        <v>-190.98500000000001</v>
      </c>
      <c r="AC38" s="170">
        <v>-0.73908601547171715</v>
      </c>
      <c r="AD38" s="173"/>
      <c r="AE38" s="174">
        <v>25.500536</v>
      </c>
      <c r="AF38" s="185">
        <v>0.4403690181257367</v>
      </c>
      <c r="AG38" s="173"/>
      <c r="AH38" s="174">
        <v>1.9758800000000024E-2</v>
      </c>
      <c r="AI38" s="174">
        <v>2.5101899999999986E-2</v>
      </c>
      <c r="AJ38" s="174">
        <v>1.8826833333333327E-2</v>
      </c>
      <c r="AK38" s="173"/>
      <c r="AL38" s="186">
        <v>4.5095495435654787</v>
      </c>
      <c r="AM38" s="187">
        <v>397.79998779296875</v>
      </c>
      <c r="AN38" s="173"/>
      <c r="AO38" s="188">
        <v>2.34</v>
      </c>
      <c r="AP38" s="188">
        <v>2.4900000000000002</v>
      </c>
      <c r="AQ38" s="188">
        <v>4.1029999999999998</v>
      </c>
      <c r="AR38" s="188">
        <v>4.5419999999999998</v>
      </c>
      <c r="AS38" s="188">
        <v>4.45</v>
      </c>
      <c r="AT38" s="188">
        <v>7.09</v>
      </c>
      <c r="AU38" s="188" t="e">
        <v>#N/A</v>
      </c>
      <c r="AV38" s="188" t="e">
        <v>#N/A</v>
      </c>
      <c r="AW38" s="188" t="e">
        <v>#N/A</v>
      </c>
      <c r="AX38" s="188" t="e">
        <v>#N/A</v>
      </c>
      <c r="AY38" s="173"/>
      <c r="AZ38" s="184">
        <v>136.22200000000001</v>
      </c>
      <c r="BA38" s="184">
        <v>146.291</v>
      </c>
      <c r="BB38" s="184">
        <v>161.94499999999999</v>
      </c>
      <c r="BC38" s="184">
        <v>186.70000000000002</v>
      </c>
      <c r="BD38" s="184">
        <v>191.87899999999999</v>
      </c>
      <c r="BE38" s="184">
        <v>258.40699999999998</v>
      </c>
      <c r="BF38" s="184" t="e">
        <v>#N/A</v>
      </c>
      <c r="BG38" s="184" t="e">
        <v>#N/A</v>
      </c>
      <c r="BH38" s="184" t="e">
        <v>#N/A</v>
      </c>
      <c r="BI38" s="184" t="e">
        <v>#N/A</v>
      </c>
      <c r="BJ38" s="173"/>
      <c r="BK38" s="184">
        <v>322.48099999999999</v>
      </c>
      <c r="BL38" s="184">
        <v>345.20100000000002</v>
      </c>
      <c r="BM38" s="184">
        <v>311.97199999999998</v>
      </c>
      <c r="BN38" s="184">
        <v>318.57100000000003</v>
      </c>
      <c r="BO38" s="184">
        <v>303.52</v>
      </c>
      <c r="BP38" s="184">
        <v>406.16899999999998</v>
      </c>
      <c r="BQ38" s="184" t="e">
        <v>#N/A</v>
      </c>
      <c r="BR38" s="184" t="e">
        <v>#N/A</v>
      </c>
      <c r="BS38" s="184" t="e">
        <v>#N/A</v>
      </c>
      <c r="BT38" s="184" t="e">
        <v>#N/A</v>
      </c>
      <c r="BU38" s="173"/>
      <c r="BV38" s="173"/>
      <c r="BW38" s="173"/>
    </row>
    <row r="39" spans="1:75" x14ac:dyDescent="0.25">
      <c r="A39" s="142" t="s">
        <v>423</v>
      </c>
      <c r="B39" s="166" t="str">
        <f t="shared" si="0"/>
        <v>PRE IN Equity</v>
      </c>
      <c r="C39" s="173"/>
      <c r="D39" s="183">
        <v>326.60452368371006</v>
      </c>
      <c r="E39" s="184">
        <v>28813.313116514586</v>
      </c>
      <c r="F39" s="173"/>
      <c r="G39" s="183">
        <v>319.71608890040926</v>
      </c>
      <c r="H39" s="184">
        <v>28220.241116514586</v>
      </c>
      <c r="I39" s="173"/>
      <c r="J39" s="170">
        <v>100.36517082528675</v>
      </c>
      <c r="K39" s="170" t="e">
        <v>#N/A</v>
      </c>
      <c r="L39" s="170">
        <v>48.675813771782046</v>
      </c>
      <c r="M39" s="170" t="e">
        <v>#N/A</v>
      </c>
      <c r="N39" s="173"/>
      <c r="O39" s="185">
        <v>11.722040232210587</v>
      </c>
      <c r="P39" s="185">
        <v>12.022861592366569</v>
      </c>
      <c r="Q39" s="173"/>
      <c r="R39" s="185">
        <v>0.12316200495089344</v>
      </c>
      <c r="S39" s="185" t="e">
        <v>#N/A</v>
      </c>
      <c r="T39" s="185">
        <v>0.12671182821243912</v>
      </c>
      <c r="U39" s="185">
        <v>0.14389872401857551</v>
      </c>
      <c r="V39" s="185">
        <v>0.11635211198764195</v>
      </c>
      <c r="W39" s="185">
        <v>0.15306097594693555</v>
      </c>
      <c r="X39" s="185">
        <v>0.1250333042737557</v>
      </c>
      <c r="Y39" s="185">
        <v>0.12948953024707227</v>
      </c>
      <c r="Z39" s="173"/>
      <c r="AA39" s="183">
        <v>-7.0917956730000009</v>
      </c>
      <c r="AB39" s="184">
        <v>-606.60300000000007</v>
      </c>
      <c r="AC39" s="170">
        <v>-1.0463019978991273</v>
      </c>
      <c r="AD39" s="173"/>
      <c r="AE39" s="174">
        <v>53.761195000000001</v>
      </c>
      <c r="AF39" s="185">
        <v>0.56011794380686664</v>
      </c>
      <c r="AG39" s="173"/>
      <c r="AH39" s="174">
        <v>0.92653420000000031</v>
      </c>
      <c r="AI39" s="174">
        <v>0.67918520000000016</v>
      </c>
      <c r="AJ39" s="174">
        <v>0.91431099999999998</v>
      </c>
      <c r="AK39" s="173"/>
      <c r="AL39" s="186">
        <v>6.0756490877017821</v>
      </c>
      <c r="AM39" s="187">
        <v>535.95001220703125</v>
      </c>
      <c r="AN39" s="173"/>
      <c r="AO39" s="188">
        <v>-1.847</v>
      </c>
      <c r="AP39" s="188">
        <v>-2.0316939999999999</v>
      </c>
      <c r="AQ39" s="188">
        <v>0.98580000000000001</v>
      </c>
      <c r="AR39" s="188">
        <v>1.2848000000000002</v>
      </c>
      <c r="AS39" s="188">
        <v>5.274</v>
      </c>
      <c r="AT39" s="188">
        <v>5.34</v>
      </c>
      <c r="AU39" s="188" t="e">
        <v>#N/A</v>
      </c>
      <c r="AV39" s="188" t="e">
        <v>#N/A</v>
      </c>
      <c r="AW39" s="188" t="e">
        <v>#N/A</v>
      </c>
      <c r="AX39" s="188" t="e">
        <v>#N/A</v>
      </c>
      <c r="AY39" s="173"/>
      <c r="AZ39" s="184">
        <v>-54.56</v>
      </c>
      <c r="BA39" s="184">
        <v>63.210999999999999</v>
      </c>
      <c r="BB39" s="184">
        <v>209.31200000000001</v>
      </c>
      <c r="BC39" s="184">
        <v>259.20400000000001</v>
      </c>
      <c r="BD39" s="184">
        <v>584.89599999999996</v>
      </c>
      <c r="BE39" s="184">
        <v>579.75900000000001</v>
      </c>
      <c r="BF39" s="184" t="e">
        <v>#N/A</v>
      </c>
      <c r="BG39" s="184" t="e">
        <v>#N/A</v>
      </c>
      <c r="BH39" s="184" t="e">
        <v>#N/A</v>
      </c>
      <c r="BI39" s="184" t="e">
        <v>#N/A</v>
      </c>
      <c r="BJ39" s="173"/>
      <c r="BK39" s="184">
        <v>1645.2090000000001</v>
      </c>
      <c r="BL39" s="184">
        <v>1536.3440000000001</v>
      </c>
      <c r="BM39" s="184">
        <v>1991.277</v>
      </c>
      <c r="BN39" s="184">
        <v>2020.3009999999999</v>
      </c>
      <c r="BO39" s="184">
        <v>2717.1669999999999</v>
      </c>
      <c r="BP39" s="184">
        <v>4174.5230000000001</v>
      </c>
      <c r="BQ39" s="184" t="e">
        <v>#N/A</v>
      </c>
      <c r="BR39" s="184" t="e">
        <v>#N/A</v>
      </c>
      <c r="BS39" s="184" t="e">
        <v>#N/A</v>
      </c>
      <c r="BT39" s="184" t="e">
        <v>#N/A</v>
      </c>
      <c r="BU39" s="173"/>
      <c r="BV39" s="173"/>
      <c r="BW39" s="173"/>
    </row>
    <row r="40" spans="1:75" x14ac:dyDescent="0.25">
      <c r="A40" s="142" t="s">
        <v>257</v>
      </c>
      <c r="B40" s="166" t="str">
        <f t="shared" si="0"/>
        <v>HBLENGINE IN Equity</v>
      </c>
      <c r="C40" s="173"/>
      <c r="D40" s="183">
        <v>2666.6653204412873</v>
      </c>
      <c r="E40" s="184">
        <v>235255.35405392738</v>
      </c>
      <c r="F40" s="173"/>
      <c r="G40" s="183">
        <v>2649.5565942564972</v>
      </c>
      <c r="H40" s="184">
        <v>233760.39805392738</v>
      </c>
      <c r="I40" s="173"/>
      <c r="J40" s="170">
        <v>85.006385465544057</v>
      </c>
      <c r="K40" s="170">
        <v>42.223881204329913</v>
      </c>
      <c r="L40" s="170">
        <v>59.655703789602583</v>
      </c>
      <c r="M40" s="170">
        <v>21.052351265991955</v>
      </c>
      <c r="N40" s="173"/>
      <c r="O40" s="185">
        <v>15.866174428665802</v>
      </c>
      <c r="P40" s="185">
        <v>15.925756328031234</v>
      </c>
      <c r="Q40" s="173"/>
      <c r="R40" s="185">
        <v>0.20475076031445244</v>
      </c>
      <c r="S40" s="185">
        <v>0.27500000000000002</v>
      </c>
      <c r="T40" s="185">
        <v>0.20603258917740039</v>
      </c>
      <c r="U40" s="185">
        <v>0.24665172502175137</v>
      </c>
      <c r="V40" s="185">
        <v>0.18583706126431346</v>
      </c>
      <c r="W40" s="185">
        <v>0.24151653306858456</v>
      </c>
      <c r="X40" s="185">
        <v>0.21368488266154415</v>
      </c>
      <c r="Y40" s="185">
        <v>0.20111253277195357</v>
      </c>
      <c r="Z40" s="173"/>
      <c r="AA40" s="183">
        <v>-17.427890609999999</v>
      </c>
      <c r="AB40" s="184">
        <v>-1490.71</v>
      </c>
      <c r="AC40" s="170">
        <v>-0.38042951216947751</v>
      </c>
      <c r="AD40" s="173"/>
      <c r="AE40" s="174">
        <v>277.19494600000002</v>
      </c>
      <c r="AF40" s="185">
        <v>0.39930658764608201</v>
      </c>
      <c r="AG40" s="173"/>
      <c r="AH40" s="174">
        <v>1.8306634000000006</v>
      </c>
      <c r="AI40" s="174">
        <v>2.7642102999999989</v>
      </c>
      <c r="AJ40" s="174">
        <v>4.8580885333333406</v>
      </c>
      <c r="AK40" s="173"/>
      <c r="AL40" s="186">
        <v>9.6210529666081666</v>
      </c>
      <c r="AM40" s="187">
        <v>848.70001220703125</v>
      </c>
      <c r="AN40" s="173"/>
      <c r="AO40" s="188">
        <v>0.82199999999999995</v>
      </c>
      <c r="AP40" s="188">
        <v>0.44700000000000001</v>
      </c>
      <c r="AQ40" s="188">
        <v>3.3879999999999999</v>
      </c>
      <c r="AR40" s="188">
        <v>3.6070000000000002</v>
      </c>
      <c r="AS40" s="188">
        <v>10.07</v>
      </c>
      <c r="AT40" s="188">
        <v>10.025531000000001</v>
      </c>
      <c r="AU40" s="188">
        <v>20.100000000000001</v>
      </c>
      <c r="AV40" s="188">
        <v>24.9</v>
      </c>
      <c r="AW40" s="188">
        <v>28</v>
      </c>
      <c r="AX40" s="188" t="e">
        <v>#N/A</v>
      </c>
      <c r="AY40" s="173"/>
      <c r="AZ40" s="184">
        <v>783.6579999999999</v>
      </c>
      <c r="BA40" s="184">
        <v>649.13200000000018</v>
      </c>
      <c r="BB40" s="184">
        <v>1372.741</v>
      </c>
      <c r="BC40" s="184">
        <v>1488.546</v>
      </c>
      <c r="BD40" s="184">
        <v>4202.4080000000004</v>
      </c>
      <c r="BE40" s="184">
        <v>3918.4919999999997</v>
      </c>
      <c r="BF40" s="184">
        <v>7707</v>
      </c>
      <c r="BG40" s="184">
        <v>9557</v>
      </c>
      <c r="BH40" s="184">
        <v>10728</v>
      </c>
      <c r="BI40" s="184" t="e">
        <v>#N/A</v>
      </c>
      <c r="BJ40" s="173"/>
      <c r="BK40" s="184">
        <v>10917.813</v>
      </c>
      <c r="BL40" s="184">
        <v>9120.3860000000004</v>
      </c>
      <c r="BM40" s="184">
        <v>12362.102000000001</v>
      </c>
      <c r="BN40" s="184">
        <v>13686.784</v>
      </c>
      <c r="BO40" s="184">
        <v>22333.556</v>
      </c>
      <c r="BP40" s="184">
        <v>19672.014999999999</v>
      </c>
      <c r="BQ40" s="184">
        <v>31847</v>
      </c>
      <c r="BR40" s="184">
        <v>41373</v>
      </c>
      <c r="BS40" s="184">
        <v>44887</v>
      </c>
      <c r="BT40" s="184" t="e">
        <v>#N/A</v>
      </c>
      <c r="BU40" s="173"/>
      <c r="BV40" s="173"/>
      <c r="BW40" s="173"/>
    </row>
    <row r="41" spans="1:75" x14ac:dyDescent="0.25">
      <c r="A41" s="147" t="s">
        <v>440</v>
      </c>
      <c r="B41" s="166" t="str">
        <f t="shared" si="0"/>
        <v>4624679Z IN Equity</v>
      </c>
      <c r="C41" s="173"/>
      <c r="D41" s="183" t="e">
        <v>#N/A</v>
      </c>
      <c r="E41" s="184" t="e">
        <v>#N/A</v>
      </c>
      <c r="F41" s="173"/>
      <c r="G41" s="183" t="e">
        <v>#N/A</v>
      </c>
      <c r="H41" s="184" t="e">
        <v>#N/A</v>
      </c>
      <c r="I41" s="173"/>
      <c r="J41" s="170" t="e">
        <v>#N/A</v>
      </c>
      <c r="K41" s="170" t="e">
        <v>#N/A</v>
      </c>
      <c r="L41" s="170" t="e">
        <v>#N/A</v>
      </c>
      <c r="M41" s="170" t="e">
        <v>#N/A</v>
      </c>
      <c r="N41" s="173"/>
      <c r="O41" s="185" t="e">
        <v>#N/A</v>
      </c>
      <c r="P41" s="185" t="e">
        <v>#N/A</v>
      </c>
      <c r="Q41" s="173"/>
      <c r="R41" s="185">
        <v>6.4953226377656353E-2</v>
      </c>
      <c r="S41" s="185" t="e">
        <v>#N/A</v>
      </c>
      <c r="T41" s="185">
        <v>0.14935588797296276</v>
      </c>
      <c r="U41" s="185">
        <v>0.20937549082189333</v>
      </c>
      <c r="V41" s="185">
        <v>6.6944453995486125E-2</v>
      </c>
      <c r="W41" s="185">
        <v>6.7980301092547518E-2</v>
      </c>
      <c r="X41" s="185">
        <v>-4.3862327978509391E-2</v>
      </c>
      <c r="Y41" s="185">
        <v>8.3704767232935129E-2</v>
      </c>
      <c r="Z41" s="173"/>
      <c r="AA41" s="183">
        <v>426.32059320000008</v>
      </c>
      <c r="AB41" s="184">
        <v>35535.599999999999</v>
      </c>
      <c r="AC41" s="170">
        <v>5.0335136972718777</v>
      </c>
      <c r="AD41" s="173"/>
      <c r="AE41" s="174" t="e">
        <v>#N/A</v>
      </c>
      <c r="AF41" s="185" t="e">
        <v>#N/A</v>
      </c>
      <c r="AG41" s="173"/>
      <c r="AH41" s="174" t="e">
        <v>#N/A</v>
      </c>
      <c r="AI41" s="174" t="e">
        <v>#N/A</v>
      </c>
      <c r="AJ41" s="174" t="e">
        <v>#N/A</v>
      </c>
      <c r="AK41" s="173"/>
      <c r="AL41" s="186" t="e">
        <v>#N/A</v>
      </c>
      <c r="AM41" s="187" t="e">
        <v>#N/A</v>
      </c>
      <c r="AN41" s="173"/>
      <c r="AO41" s="188">
        <v>0.44</v>
      </c>
      <c r="AP41" s="188" t="e">
        <v>#N/A</v>
      </c>
      <c r="AQ41" s="188">
        <v>0.48</v>
      </c>
      <c r="AR41" s="188">
        <v>0.28000000000000003</v>
      </c>
      <c r="AS41" s="188">
        <v>0</v>
      </c>
      <c r="AT41" s="188" t="e">
        <v>#N/A</v>
      </c>
      <c r="AU41" s="188" t="e">
        <v>#N/A</v>
      </c>
      <c r="AV41" s="188" t="e">
        <v>#N/A</v>
      </c>
      <c r="AW41" s="188" t="e">
        <v>#N/A</v>
      </c>
      <c r="AX41" s="188" t="e">
        <v>#N/A</v>
      </c>
      <c r="AY41" s="173"/>
      <c r="AZ41" s="184">
        <v>1849.1</v>
      </c>
      <c r="BA41" s="184">
        <v>658.5</v>
      </c>
      <c r="BB41" s="184">
        <v>3035.6</v>
      </c>
      <c r="BC41" s="184">
        <v>3123.4</v>
      </c>
      <c r="BD41" s="184">
        <v>7059.7999999999993</v>
      </c>
      <c r="BE41" s="184" t="e">
        <v>#N/A</v>
      </c>
      <c r="BF41" s="184" t="e">
        <v>#N/A</v>
      </c>
      <c r="BG41" s="184" t="e">
        <v>#N/A</v>
      </c>
      <c r="BH41" s="184" t="e">
        <v>#N/A</v>
      </c>
      <c r="BI41" s="184" t="e">
        <v>#N/A</v>
      </c>
      <c r="BJ41" s="173"/>
      <c r="BK41" s="184">
        <v>12708</v>
      </c>
      <c r="BL41" s="184">
        <v>15731.3</v>
      </c>
      <c r="BM41" s="184">
        <v>29237.200000000001</v>
      </c>
      <c r="BN41" s="184">
        <v>34134.1</v>
      </c>
      <c r="BO41" s="184">
        <v>47230.400000000001</v>
      </c>
      <c r="BP41" s="184" t="e">
        <v>#N/A</v>
      </c>
      <c r="BQ41" s="184" t="e">
        <v>#N/A</v>
      </c>
      <c r="BR41" s="184" t="e">
        <v>#N/A</v>
      </c>
      <c r="BS41" s="184" t="e">
        <v>#N/A</v>
      </c>
      <c r="BT41" s="184" t="e">
        <v>#N/A</v>
      </c>
      <c r="BU41" s="173"/>
      <c r="BV41" s="173"/>
      <c r="BW41" s="173"/>
    </row>
    <row r="42" spans="1:75" x14ac:dyDescent="0.25">
      <c r="A42" s="147" t="s">
        <v>441</v>
      </c>
      <c r="B42" s="166" t="str">
        <f t="shared" si="0"/>
        <v>1254332D IN Equity</v>
      </c>
      <c r="C42" s="173"/>
      <c r="D42" s="183" t="e">
        <v>#N/A</v>
      </c>
      <c r="E42" s="184" t="e">
        <v>#N/A</v>
      </c>
      <c r="F42" s="173"/>
      <c r="G42" s="183" t="e">
        <v>#N/A</v>
      </c>
      <c r="H42" s="184" t="e">
        <v>#N/A</v>
      </c>
      <c r="I42" s="173"/>
      <c r="J42" s="170" t="e">
        <v>#N/A</v>
      </c>
      <c r="K42" s="170" t="e">
        <v>#N/A</v>
      </c>
      <c r="L42" s="170" t="e">
        <v>#N/A</v>
      </c>
      <c r="M42" s="170" t="e">
        <v>#N/A</v>
      </c>
      <c r="N42" s="173"/>
      <c r="O42" s="185" t="e">
        <v>#N/A</v>
      </c>
      <c r="P42" s="185" t="e">
        <v>#N/A</v>
      </c>
      <c r="Q42" s="173"/>
      <c r="R42" s="185" t="e">
        <v>#N/A</v>
      </c>
      <c r="S42" s="185" t="e">
        <v>#N/A</v>
      </c>
      <c r="T42" s="185" t="e">
        <v>#N/A</v>
      </c>
      <c r="U42" s="185" t="e">
        <v>#N/A</v>
      </c>
      <c r="V42" s="185" t="e">
        <v>#N/A</v>
      </c>
      <c r="W42" s="185" t="e">
        <v>#N/A</v>
      </c>
      <c r="X42" s="185" t="e">
        <v>#N/A</v>
      </c>
      <c r="Y42" s="185" t="e">
        <v>#N/A</v>
      </c>
      <c r="Z42" s="173"/>
      <c r="AA42" s="183" t="e">
        <v>#N/A</v>
      </c>
      <c r="AB42" s="184" t="e">
        <v>#N/A</v>
      </c>
      <c r="AC42" s="170" t="e">
        <v>#N/A</v>
      </c>
      <c r="AD42" s="173"/>
      <c r="AE42" s="174" t="e">
        <v>#N/A</v>
      </c>
      <c r="AF42" s="185" t="e">
        <v>#N/A</v>
      </c>
      <c r="AG42" s="173"/>
      <c r="AH42" s="174" t="e">
        <v>#N/A</v>
      </c>
      <c r="AI42" s="174" t="e">
        <v>#N/A</v>
      </c>
      <c r="AJ42" s="174" t="e">
        <v>#N/A</v>
      </c>
      <c r="AK42" s="173"/>
      <c r="AL42" s="186" t="e">
        <v>#N/A</v>
      </c>
      <c r="AM42" s="187" t="e">
        <v>#N/A</v>
      </c>
      <c r="AN42" s="173"/>
      <c r="AO42" s="188" t="e">
        <v>#N/A</v>
      </c>
      <c r="AP42" s="188" t="e">
        <v>#N/A</v>
      </c>
      <c r="AQ42" s="188" t="e">
        <v>#N/A</v>
      </c>
      <c r="AR42" s="188" t="e">
        <v>#N/A</v>
      </c>
      <c r="AS42" s="188" t="e">
        <v>#N/A</v>
      </c>
      <c r="AT42" s="188" t="e">
        <v>#N/A</v>
      </c>
      <c r="AU42" s="188" t="e">
        <v>#N/A</v>
      </c>
      <c r="AV42" s="188" t="e">
        <v>#N/A</v>
      </c>
      <c r="AW42" s="188" t="e">
        <v>#N/A</v>
      </c>
      <c r="AX42" s="188" t="e">
        <v>#N/A</v>
      </c>
      <c r="AY42" s="173"/>
      <c r="AZ42" s="184" t="e">
        <v>#N/A</v>
      </c>
      <c r="BA42" s="184" t="e">
        <v>#N/A</v>
      </c>
      <c r="BB42" s="184" t="e">
        <v>#N/A</v>
      </c>
      <c r="BC42" s="184" t="e">
        <v>#N/A</v>
      </c>
      <c r="BD42" s="184" t="e">
        <v>#N/A</v>
      </c>
      <c r="BE42" s="184" t="e">
        <v>#N/A</v>
      </c>
      <c r="BF42" s="184" t="e">
        <v>#N/A</v>
      </c>
      <c r="BG42" s="184" t="e">
        <v>#N/A</v>
      </c>
      <c r="BH42" s="184" t="e">
        <v>#N/A</v>
      </c>
      <c r="BI42" s="184" t="e">
        <v>#N/A</v>
      </c>
      <c r="BJ42" s="173"/>
      <c r="BK42" s="184" t="e">
        <v>#N/A</v>
      </c>
      <c r="BL42" s="184" t="e">
        <v>#N/A</v>
      </c>
      <c r="BM42" s="184" t="e">
        <v>#N/A</v>
      </c>
      <c r="BN42" s="184" t="e">
        <v>#N/A</v>
      </c>
      <c r="BO42" s="184" t="e">
        <v>#N/A</v>
      </c>
      <c r="BP42" s="184" t="e">
        <v>#N/A</v>
      </c>
      <c r="BQ42" s="184" t="e">
        <v>#N/A</v>
      </c>
      <c r="BR42" s="184" t="e">
        <v>#N/A</v>
      </c>
      <c r="BS42" s="184" t="e">
        <v>#N/A</v>
      </c>
      <c r="BT42" s="184" t="e">
        <v>#N/A</v>
      </c>
      <c r="BU42" s="173"/>
      <c r="BV42" s="173"/>
      <c r="BW42" s="173"/>
    </row>
    <row r="43" spans="1:75" x14ac:dyDescent="0.25">
      <c r="A43" s="142" t="s">
        <v>314</v>
      </c>
      <c r="B43" s="166" t="str">
        <f t="shared" si="0"/>
        <v>AIMTRON IN Equity</v>
      </c>
      <c r="C43" s="173"/>
      <c r="D43" s="183">
        <v>168.21237106050472</v>
      </c>
      <c r="E43" s="184">
        <v>14839.8303329422</v>
      </c>
      <c r="F43" s="173"/>
      <c r="G43" s="183">
        <v>170.62068322642443</v>
      </c>
      <c r="H43" s="184">
        <v>15035.695332942199</v>
      </c>
      <c r="I43" s="173"/>
      <c r="J43" s="170" t="e">
        <v>#N/A</v>
      </c>
      <c r="K43" s="170" t="e">
        <v>#N/A</v>
      </c>
      <c r="L43" s="170">
        <v>90.734990845104107</v>
      </c>
      <c r="M43" s="170" t="e">
        <v>#N/A</v>
      </c>
      <c r="N43" s="173"/>
      <c r="O43" s="185" t="e">
        <v>#N/A</v>
      </c>
      <c r="P43" s="185" t="e">
        <v>#N/A</v>
      </c>
      <c r="Q43" s="173"/>
      <c r="R43" s="185">
        <v>0.33442459087527893</v>
      </c>
      <c r="S43" s="185" t="e">
        <v>#N/A</v>
      </c>
      <c r="T43" s="185" t="e">
        <v>#N/A</v>
      </c>
      <c r="U43" s="185">
        <v>0.27597485878566508</v>
      </c>
      <c r="V43" s="185">
        <v>0.22418917467346661</v>
      </c>
      <c r="W43" s="185">
        <v>0.30485094320454148</v>
      </c>
      <c r="X43" s="185">
        <v>0.17917421561920815</v>
      </c>
      <c r="Y43" s="185">
        <v>0.23865576469671212</v>
      </c>
      <c r="Z43" s="173"/>
      <c r="AA43" s="183">
        <v>2.3850481049999996</v>
      </c>
      <c r="AB43" s="184">
        <v>195.86499999999998</v>
      </c>
      <c r="AC43" s="170">
        <v>1.1819745338241507</v>
      </c>
      <c r="AD43" s="173"/>
      <c r="AE43" s="174">
        <v>20.413824999999999</v>
      </c>
      <c r="AF43" s="185">
        <v>0.28916383872204254</v>
      </c>
      <c r="AG43" s="173"/>
      <c r="AH43" s="174">
        <v>6.9519999999999998E-2</v>
      </c>
      <c r="AI43" s="174">
        <v>5.5359999999999999E-2</v>
      </c>
      <c r="AJ43" s="174">
        <v>6.3199999999999951E-2</v>
      </c>
      <c r="AK43" s="173"/>
      <c r="AL43" s="186">
        <v>8.2408677635486871</v>
      </c>
      <c r="AM43" s="187">
        <v>726.95001220703125</v>
      </c>
      <c r="AN43" s="173"/>
      <c r="AO43" s="188" t="e">
        <v>#N/A</v>
      </c>
      <c r="AP43" s="188" t="e">
        <v>#N/A</v>
      </c>
      <c r="AQ43" s="188" t="e">
        <v>#N/A</v>
      </c>
      <c r="AR43" s="188" t="e">
        <v>#N/A</v>
      </c>
      <c r="AS43" s="188" t="e">
        <v>#N/A</v>
      </c>
      <c r="AT43" s="188" t="e">
        <v>#N/A</v>
      </c>
      <c r="AU43" s="188" t="e">
        <v>#N/A</v>
      </c>
      <c r="AV43" s="188" t="e">
        <v>#N/A</v>
      </c>
      <c r="AW43" s="188" t="e">
        <v>#N/A</v>
      </c>
      <c r="AX43" s="188" t="e">
        <v>#N/A</v>
      </c>
      <c r="AY43" s="173"/>
      <c r="AZ43" s="184" t="e">
        <v>#N/A</v>
      </c>
      <c r="BA43" s="184">
        <v>204.35499999999999</v>
      </c>
      <c r="BB43" s="184">
        <v>-6.020999999999999</v>
      </c>
      <c r="BC43" s="184">
        <v>165.70999999999998</v>
      </c>
      <c r="BD43" s="184" t="e">
        <v>#N/A</v>
      </c>
      <c r="BE43" s="184" t="e">
        <v>#N/A</v>
      </c>
      <c r="BF43" s="184" t="e">
        <v>#N/A</v>
      </c>
      <c r="BG43" s="184" t="e">
        <v>#N/A</v>
      </c>
      <c r="BH43" s="184" t="e">
        <v>#N/A</v>
      </c>
      <c r="BI43" s="184" t="e">
        <v>#N/A</v>
      </c>
      <c r="BJ43" s="173"/>
      <c r="BK43" s="184" t="e">
        <v>#N/A</v>
      </c>
      <c r="BL43" s="184">
        <v>527.79300000000001</v>
      </c>
      <c r="BM43" s="184">
        <v>263.19299999999998</v>
      </c>
      <c r="BN43" s="184">
        <v>715.83600000000001</v>
      </c>
      <c r="BO43" s="184" t="e">
        <v>#N/A</v>
      </c>
      <c r="BP43" s="184" t="e">
        <v>#N/A</v>
      </c>
      <c r="BQ43" s="184" t="e">
        <v>#N/A</v>
      </c>
      <c r="BR43" s="184" t="e">
        <v>#N/A</v>
      </c>
      <c r="BS43" s="184" t="e">
        <v>#N/A</v>
      </c>
      <c r="BT43" s="184" t="e">
        <v>#N/A</v>
      </c>
      <c r="BU43" s="173"/>
      <c r="BV43" s="173"/>
      <c r="BW43" s="173"/>
    </row>
    <row r="44" spans="1:75" x14ac:dyDescent="0.25">
      <c r="A44" s="147" t="s">
        <v>424</v>
      </c>
      <c r="B44" s="166" t="str">
        <f t="shared" si="0"/>
        <v>AL IN Equity</v>
      </c>
      <c r="C44" s="173"/>
      <c r="D44" s="183">
        <v>8991.2437056867493</v>
      </c>
      <c r="E44" s="184">
        <v>793214.73345460789</v>
      </c>
      <c r="F44" s="173"/>
      <c r="G44" s="183">
        <v>13861.148043392361</v>
      </c>
      <c r="H44" s="184">
        <v>1209659.9334546078</v>
      </c>
      <c r="I44" s="173"/>
      <c r="J44" s="170">
        <v>26.124336361106529</v>
      </c>
      <c r="K44" s="170" t="e">
        <v>#N/A</v>
      </c>
      <c r="L44" s="170">
        <v>13.137410697017273</v>
      </c>
      <c r="M44" s="170" t="e">
        <v>#N/A</v>
      </c>
      <c r="N44" s="173"/>
      <c r="O44" s="185">
        <v>6.4847032146968164</v>
      </c>
      <c r="P44" s="185">
        <v>8.379672102872064</v>
      </c>
      <c r="Q44" s="173"/>
      <c r="R44" s="185">
        <v>0.28648646612398998</v>
      </c>
      <c r="S44" s="185" t="e">
        <v>#N/A</v>
      </c>
      <c r="T44" s="185">
        <v>0.38989544808233634</v>
      </c>
      <c r="U44" s="185">
        <v>0.54831530159980835</v>
      </c>
      <c r="V44" s="185">
        <v>0.10857015753113275</v>
      </c>
      <c r="W44" s="185">
        <v>0.13301012320523098</v>
      </c>
      <c r="X44" s="185">
        <v>0.10133918508432944</v>
      </c>
      <c r="Y44" s="185">
        <v>0.10574654957062508</v>
      </c>
      <c r="Z44" s="173"/>
      <c r="AA44" s="183">
        <v>4446.2918925000004</v>
      </c>
      <c r="AB44" s="184">
        <v>380317.5</v>
      </c>
      <c r="AC44" s="170">
        <v>4.1304064510873992</v>
      </c>
      <c r="AD44" s="173"/>
      <c r="AE44" s="174">
        <v>5873.0545519999996</v>
      </c>
      <c r="AF44" s="185">
        <v>0.61139864379042808</v>
      </c>
      <c r="AG44" s="173"/>
      <c r="AH44" s="174">
        <v>21.726657200000027</v>
      </c>
      <c r="AI44" s="174">
        <v>16.269465700000008</v>
      </c>
      <c r="AJ44" s="174">
        <v>16.157115366666666</v>
      </c>
      <c r="AK44" s="173"/>
      <c r="AL44" s="186">
        <v>1.5310703092864109</v>
      </c>
      <c r="AM44" s="187">
        <v>135.05999755859375</v>
      </c>
      <c r="AN44" s="173"/>
      <c r="AO44" s="188">
        <v>0.57499999999999996</v>
      </c>
      <c r="AP44" s="188">
        <v>-0.28000000000000003</v>
      </c>
      <c r="AQ44" s="188">
        <v>-0.61</v>
      </c>
      <c r="AR44" s="188">
        <v>1.9978065</v>
      </c>
      <c r="AS44" s="188">
        <v>4.2300000000000004</v>
      </c>
      <c r="AT44" s="188">
        <v>5.3163739999999997</v>
      </c>
      <c r="AU44" s="188" t="e">
        <v>#N/A</v>
      </c>
      <c r="AV44" s="188" t="e">
        <v>#N/A</v>
      </c>
      <c r="AW44" s="188" t="e">
        <v>#N/A</v>
      </c>
      <c r="AX44" s="188" t="e">
        <v>#N/A</v>
      </c>
      <c r="AY44" s="173"/>
      <c r="AZ44" s="184">
        <v>32333.5</v>
      </c>
      <c r="BA44" s="184">
        <v>24624.400000000001</v>
      </c>
      <c r="BB44" s="184">
        <v>27652.400000000001</v>
      </c>
      <c r="BC44" s="184">
        <v>50929</v>
      </c>
      <c r="BD44" s="184">
        <v>79428.7</v>
      </c>
      <c r="BE44" s="184">
        <v>92077.5</v>
      </c>
      <c r="BF44" s="184" t="e">
        <v>#N/A</v>
      </c>
      <c r="BG44" s="184" t="e">
        <v>#N/A</v>
      </c>
      <c r="BH44" s="184" t="e">
        <v>#N/A</v>
      </c>
      <c r="BI44" s="184" t="e">
        <v>#N/A</v>
      </c>
      <c r="BJ44" s="173"/>
      <c r="BK44" s="184">
        <v>217481.2</v>
      </c>
      <c r="BL44" s="184">
        <v>193777.6</v>
      </c>
      <c r="BM44" s="184">
        <v>261102.6</v>
      </c>
      <c r="BN44" s="184">
        <v>414883</v>
      </c>
      <c r="BO44" s="184">
        <v>456045.6</v>
      </c>
      <c r="BP44" s="184">
        <v>483417.59999999998</v>
      </c>
      <c r="BQ44" s="184" t="e">
        <v>#N/A</v>
      </c>
      <c r="BR44" s="184" t="e">
        <v>#N/A</v>
      </c>
      <c r="BS44" s="184" t="e">
        <v>#N/A</v>
      </c>
      <c r="BT44" s="184" t="e">
        <v>#N/A</v>
      </c>
      <c r="BU44" s="173"/>
      <c r="BV44" s="173"/>
      <c r="BW44" s="173"/>
    </row>
    <row r="45" spans="1:75" x14ac:dyDescent="0.25">
      <c r="A45" s="147" t="s">
        <v>316</v>
      </c>
      <c r="B45" s="166" t="str">
        <f t="shared" si="0"/>
        <v>CFF IN Equity</v>
      </c>
      <c r="C45" s="173"/>
      <c r="D45" s="183">
        <v>153.08434234191571</v>
      </c>
      <c r="E45" s="184">
        <v>13505.223502062989</v>
      </c>
      <c r="F45" s="173"/>
      <c r="G45" s="183">
        <v>155.27031325838257</v>
      </c>
      <c r="H45" s="184">
        <v>13690.391502062988</v>
      </c>
      <c r="I45" s="173"/>
      <c r="J45" s="170">
        <v>52.563267299107146</v>
      </c>
      <c r="K45" s="170" t="e">
        <v>#N/A</v>
      </c>
      <c r="L45" s="170">
        <v>33.577924806394066</v>
      </c>
      <c r="M45" s="170" t="e">
        <v>#N/A</v>
      </c>
      <c r="N45" s="173"/>
      <c r="O45" s="185">
        <v>8.481776436151419</v>
      </c>
      <c r="P45" s="185">
        <v>9.024618478823756</v>
      </c>
      <c r="Q45" s="173"/>
      <c r="R45" s="185">
        <v>0.17423278416921989</v>
      </c>
      <c r="S45" s="185" t="e">
        <v>#N/A</v>
      </c>
      <c r="T45" s="185">
        <v>0.18608287458207515</v>
      </c>
      <c r="U45" s="185" t="e">
        <v>#N/A</v>
      </c>
      <c r="V45" s="185">
        <v>0.15785196473399246</v>
      </c>
      <c r="W45" s="185">
        <v>0.21802027336728955</v>
      </c>
      <c r="X45" s="185">
        <v>-2.1176619302348296E-3</v>
      </c>
      <c r="Y45" s="185" t="e">
        <v>#N/A</v>
      </c>
      <c r="Z45" s="173"/>
      <c r="AA45" s="183">
        <v>2.1647990880000001</v>
      </c>
      <c r="AB45" s="184">
        <v>185.16800000000001</v>
      </c>
      <c r="AC45" s="170">
        <v>0.45415481212596881</v>
      </c>
      <c r="AD45" s="173"/>
      <c r="AE45" s="174">
        <v>20.9741</v>
      </c>
      <c r="AF45" s="185">
        <v>0.28902312852518108</v>
      </c>
      <c r="AG45" s="173"/>
      <c r="AH45" s="174">
        <v>2.1520000000000001E-2</v>
      </c>
      <c r="AI45" s="174">
        <v>2.7539999999999999E-2</v>
      </c>
      <c r="AJ45" s="174">
        <v>3.2380000000000027E-2</v>
      </c>
      <c r="AK45" s="173"/>
      <c r="AL45" s="186">
        <v>7.2993945457570977</v>
      </c>
      <c r="AM45" s="187">
        <v>643.9000244140625</v>
      </c>
      <c r="AN45" s="173"/>
      <c r="AO45" s="188" t="e">
        <v>#N/A</v>
      </c>
      <c r="AP45" s="188" t="e">
        <v>#N/A</v>
      </c>
      <c r="AQ45" s="188" t="e">
        <v>#N/A</v>
      </c>
      <c r="AR45" s="188">
        <v>7.101</v>
      </c>
      <c r="AS45" s="188">
        <v>8.7746019999999998</v>
      </c>
      <c r="AT45" s="188">
        <v>12.25</v>
      </c>
      <c r="AU45" s="188" t="e">
        <v>#N/A</v>
      </c>
      <c r="AV45" s="188" t="e">
        <v>#N/A</v>
      </c>
      <c r="AW45" s="188" t="e">
        <v>#N/A</v>
      </c>
      <c r="AX45" s="188" t="e">
        <v>#N/A</v>
      </c>
      <c r="AY45" s="173"/>
      <c r="AZ45" s="184" t="e">
        <v>#N/A</v>
      </c>
      <c r="BA45" s="184" t="e">
        <v>#N/A</v>
      </c>
      <c r="BB45" s="184" t="e">
        <v>#N/A</v>
      </c>
      <c r="BC45" s="184" t="e">
        <v>#N/A</v>
      </c>
      <c r="BD45" s="184">
        <v>307.52479</v>
      </c>
      <c r="BE45" s="184">
        <v>407.72</v>
      </c>
      <c r="BF45" s="184" t="e">
        <v>#N/A</v>
      </c>
      <c r="BG45" s="184" t="e">
        <v>#N/A</v>
      </c>
      <c r="BH45" s="184" t="e">
        <v>#N/A</v>
      </c>
      <c r="BI45" s="184" t="e">
        <v>#N/A</v>
      </c>
      <c r="BJ45" s="173"/>
      <c r="BK45" s="184" t="e">
        <v>#N/A</v>
      </c>
      <c r="BL45" s="184" t="e">
        <v>#N/A</v>
      </c>
      <c r="BM45" s="184" t="e">
        <v>#N/A</v>
      </c>
      <c r="BN45" s="184">
        <v>706.66300000000001</v>
      </c>
      <c r="BO45" s="184">
        <v>1068.59059</v>
      </c>
      <c r="BP45" s="184">
        <v>1455.605</v>
      </c>
      <c r="BQ45" s="184" t="e">
        <v>#N/A</v>
      </c>
      <c r="BR45" s="184" t="e">
        <v>#N/A</v>
      </c>
      <c r="BS45" s="184" t="e">
        <v>#N/A</v>
      </c>
      <c r="BT45" s="184" t="e">
        <v>#N/A</v>
      </c>
      <c r="BU45" s="173"/>
      <c r="BV45" s="173"/>
      <c r="BW45" s="173"/>
    </row>
    <row r="46" spans="1:75" x14ac:dyDescent="0.25">
      <c r="A46" s="142" t="s">
        <v>317</v>
      </c>
      <c r="B46" s="166" t="str">
        <f t="shared" si="0"/>
        <v>DEEDEV IN Equity</v>
      </c>
      <c r="C46" s="173"/>
      <c r="D46" s="183">
        <v>212.82131095297152</v>
      </c>
      <c r="E46" s="184">
        <v>18775.26680032611</v>
      </c>
      <c r="F46" s="173"/>
      <c r="G46" s="183">
        <v>257.64284691918522</v>
      </c>
      <c r="H46" s="184">
        <v>22606.598800326112</v>
      </c>
      <c r="I46" s="173"/>
      <c r="J46" s="170">
        <v>40.462036837959772</v>
      </c>
      <c r="K46" s="170" t="e">
        <v>#N/A</v>
      </c>
      <c r="L46" s="170">
        <v>18.26601025209926</v>
      </c>
      <c r="M46" s="170" t="e">
        <v>#N/A</v>
      </c>
      <c r="N46" s="173"/>
      <c r="O46" s="185">
        <v>2.3427105382939479</v>
      </c>
      <c r="P46" s="185">
        <v>2.3587746835601431</v>
      </c>
      <c r="Q46" s="173"/>
      <c r="R46" s="185">
        <v>7.0016430583222586E-2</v>
      </c>
      <c r="S46" s="185" t="e">
        <v>#N/A</v>
      </c>
      <c r="T46" s="185">
        <v>7.0372704491525592E-2</v>
      </c>
      <c r="U46" s="185">
        <v>0.10740632915396786</v>
      </c>
      <c r="V46" s="185">
        <v>5.3746154113325922E-2</v>
      </c>
      <c r="W46" s="185">
        <v>6.8179475624355307E-2</v>
      </c>
      <c r="X46" s="185">
        <v>4.7420382818881321E-2</v>
      </c>
      <c r="Y46" s="185">
        <v>7.0102369401305792E-2</v>
      </c>
      <c r="Z46" s="173"/>
      <c r="AA46" s="183">
        <v>44.792102412000006</v>
      </c>
      <c r="AB46" s="184">
        <v>3831.3320000000008</v>
      </c>
      <c r="AC46" s="170">
        <v>3.0956956510497475</v>
      </c>
      <c r="AD46" s="173"/>
      <c r="AE46" s="174">
        <v>69.128373999999994</v>
      </c>
      <c r="AF46" s="185">
        <v>0.2978567527134372</v>
      </c>
      <c r="AG46" s="173"/>
      <c r="AH46" s="174">
        <v>0.21372580000000002</v>
      </c>
      <c r="AI46" s="174">
        <v>0.14841950000000009</v>
      </c>
      <c r="AJ46" s="174">
        <v>0.72596870000000047</v>
      </c>
      <c r="AK46" s="173"/>
      <c r="AL46" s="186">
        <v>3.0789183537982474</v>
      </c>
      <c r="AM46" s="187">
        <v>271.60000610351563</v>
      </c>
      <c r="AN46" s="173"/>
      <c r="AO46" s="188">
        <v>9.83</v>
      </c>
      <c r="AP46" s="188">
        <v>2.44</v>
      </c>
      <c r="AQ46" s="188">
        <v>1.53</v>
      </c>
      <c r="AR46" s="188">
        <v>12.228507</v>
      </c>
      <c r="AS46" s="188">
        <v>4.9239439999999997</v>
      </c>
      <c r="AT46" s="188">
        <v>6.65</v>
      </c>
      <c r="AU46" s="188" t="e">
        <v>#N/A</v>
      </c>
      <c r="AV46" s="188" t="e">
        <v>#N/A</v>
      </c>
      <c r="AW46" s="188" t="e">
        <v>#N/A</v>
      </c>
      <c r="AX46" s="188" t="e">
        <v>#N/A</v>
      </c>
      <c r="AY46" s="173"/>
      <c r="AZ46" s="184">
        <v>816.73599999999999</v>
      </c>
      <c r="BA46" s="184">
        <v>536.84</v>
      </c>
      <c r="BB46" s="184">
        <v>646.06999999999994</v>
      </c>
      <c r="BC46" s="184">
        <v>691.76</v>
      </c>
      <c r="BD46" s="184">
        <v>1025.0999999999999</v>
      </c>
      <c r="BE46" s="184">
        <v>1237.6320000000001</v>
      </c>
      <c r="BF46" s="184" t="e">
        <v>#N/A</v>
      </c>
      <c r="BG46" s="184" t="e">
        <v>#N/A</v>
      </c>
      <c r="BH46" s="184" t="e">
        <v>#N/A</v>
      </c>
      <c r="BI46" s="184" t="e">
        <v>#N/A</v>
      </c>
      <c r="BJ46" s="173"/>
      <c r="BK46" s="184">
        <v>7115.84</v>
      </c>
      <c r="BL46" s="184">
        <v>4952.17</v>
      </c>
      <c r="BM46" s="184">
        <v>4609.16</v>
      </c>
      <c r="BN46" s="184">
        <v>5954.95</v>
      </c>
      <c r="BO46" s="184">
        <v>7887.5919999999996</v>
      </c>
      <c r="BP46" s="184">
        <v>8273.6219999999994</v>
      </c>
      <c r="BQ46" s="184" t="e">
        <v>#N/A</v>
      </c>
      <c r="BR46" s="184" t="e">
        <v>#N/A</v>
      </c>
      <c r="BS46" s="184" t="e">
        <v>#N/A</v>
      </c>
      <c r="BT46" s="184" t="e">
        <v>#N/A</v>
      </c>
      <c r="BU46" s="173"/>
      <c r="BV46" s="173"/>
      <c r="BW46" s="173"/>
    </row>
    <row r="47" spans="1:75" x14ac:dyDescent="0.25">
      <c r="A47" s="147" t="s">
        <v>425</v>
      </c>
      <c r="B47" s="166" t="str">
        <f t="shared" si="0"/>
        <v>DRONACHR IN Equity</v>
      </c>
      <c r="C47" s="173"/>
      <c r="D47" s="183">
        <v>19.25977249684497</v>
      </c>
      <c r="E47" s="184">
        <v>1699.1125819244387</v>
      </c>
      <c r="F47" s="173"/>
      <c r="G47" s="183">
        <v>18.835043031585577</v>
      </c>
      <c r="H47" s="184">
        <v>1663.4875819244387</v>
      </c>
      <c r="I47" s="173"/>
      <c r="J47" s="170">
        <v>27.946848445880132</v>
      </c>
      <c r="K47" s="170" t="e">
        <v>#N/A</v>
      </c>
      <c r="L47" s="170">
        <v>16.138456885448008</v>
      </c>
      <c r="M47" s="170" t="e">
        <v>#N/A</v>
      </c>
      <c r="N47" s="173"/>
      <c r="O47" s="185">
        <v>2.3475117636181042</v>
      </c>
      <c r="P47" s="185">
        <v>2.6041476340831662</v>
      </c>
      <c r="Q47" s="173"/>
      <c r="R47" s="185">
        <v>8.7699078408151665E-2</v>
      </c>
      <c r="S47" s="185" t="e">
        <v>#N/A</v>
      </c>
      <c r="T47" s="185">
        <v>9.6382677180333498E-2</v>
      </c>
      <c r="U47" s="185">
        <v>0.20434167327832181</v>
      </c>
      <c r="V47" s="185">
        <v>6.6979259844978267E-2</v>
      </c>
      <c r="W47" s="185">
        <v>9.1837314701093409E-2</v>
      </c>
      <c r="X47" s="185">
        <v>9.2724296033527664E-2</v>
      </c>
      <c r="Y47" s="185">
        <v>8.7886128474451167E-2</v>
      </c>
      <c r="Z47" s="173"/>
      <c r="AA47" s="183">
        <v>-0.42739312499999998</v>
      </c>
      <c r="AB47" s="184">
        <v>-35.625</v>
      </c>
      <c r="AC47" s="170">
        <v>-0.34561876673522451</v>
      </c>
      <c r="AD47" s="173"/>
      <c r="AE47" s="174">
        <v>23.988600000000002</v>
      </c>
      <c r="AF47" s="185">
        <v>0.62180018842283413</v>
      </c>
      <c r="AG47" s="173"/>
      <c r="AH47" s="174">
        <v>5.8999999999999997E-2</v>
      </c>
      <c r="AI47" s="174">
        <v>5.2900000000000003E-2</v>
      </c>
      <c r="AJ47" s="174">
        <v>4.2033333333333339E-2</v>
      </c>
      <c r="AK47" s="173"/>
      <c r="AL47" s="186">
        <v>0.80294472657000016</v>
      </c>
      <c r="AM47" s="187">
        <v>70.830001831054688</v>
      </c>
      <c r="AN47" s="173"/>
      <c r="AO47" s="188" t="e">
        <v>#N/A</v>
      </c>
      <c r="AP47" s="188" t="e">
        <v>#N/A</v>
      </c>
      <c r="AQ47" s="188" t="e">
        <v>#N/A</v>
      </c>
      <c r="AR47" s="188">
        <v>1.77</v>
      </c>
      <c r="AS47" s="188">
        <v>1.77</v>
      </c>
      <c r="AT47" s="188" t="e">
        <v>#N/A</v>
      </c>
      <c r="AU47" s="188" t="e">
        <v>#N/A</v>
      </c>
      <c r="AV47" s="188" t="e">
        <v>#N/A</v>
      </c>
      <c r="AW47" s="188" t="e">
        <v>#N/A</v>
      </c>
      <c r="AX47" s="188" t="e">
        <v>#N/A</v>
      </c>
      <c r="AY47" s="173"/>
      <c r="AZ47" s="184">
        <v>-0.22900000000000001</v>
      </c>
      <c r="BA47" s="184">
        <v>-1.488</v>
      </c>
      <c r="BB47" s="184">
        <v>5.7509999999999994</v>
      </c>
      <c r="BC47" s="184">
        <v>50.402000000000001</v>
      </c>
      <c r="BD47" s="184">
        <v>103.07599999999999</v>
      </c>
      <c r="BE47" s="184" t="e">
        <v>#N/A</v>
      </c>
      <c r="BF47" s="184" t="e">
        <v>#N/A</v>
      </c>
      <c r="BG47" s="184" t="e">
        <v>#N/A</v>
      </c>
      <c r="BH47" s="184" t="e">
        <v>#N/A</v>
      </c>
      <c r="BI47" s="184" t="e">
        <v>#N/A</v>
      </c>
      <c r="BJ47" s="173"/>
      <c r="BK47" s="184">
        <v>0</v>
      </c>
      <c r="BL47" s="184">
        <v>0.1</v>
      </c>
      <c r="BM47" s="184">
        <v>35.872999999999998</v>
      </c>
      <c r="BN47" s="184">
        <v>185.69499999999999</v>
      </c>
      <c r="BO47" s="184">
        <v>352.52800000000002</v>
      </c>
      <c r="BP47" s="184" t="e">
        <v>#N/A</v>
      </c>
      <c r="BQ47" s="184" t="e">
        <v>#N/A</v>
      </c>
      <c r="BR47" s="184" t="e">
        <v>#N/A</v>
      </c>
      <c r="BS47" s="184" t="e">
        <v>#N/A</v>
      </c>
      <c r="BT47" s="184" t="e">
        <v>#N/A</v>
      </c>
      <c r="BU47" s="173"/>
      <c r="BV47" s="173"/>
      <c r="BW47" s="173"/>
    </row>
    <row r="48" spans="1:75" x14ac:dyDescent="0.25">
      <c r="A48" s="147" t="s">
        <v>426</v>
      </c>
      <c r="B48" s="166" t="str">
        <f t="shared" si="0"/>
        <v>DYTC IN Equity</v>
      </c>
      <c r="C48" s="173"/>
      <c r="D48" s="183">
        <v>516.05105553229726</v>
      </c>
      <c r="E48" s="184">
        <v>45526.438150499998</v>
      </c>
      <c r="F48" s="173"/>
      <c r="G48" s="183">
        <v>566.4966070829613</v>
      </c>
      <c r="H48" s="184">
        <v>49835.238150500001</v>
      </c>
      <c r="I48" s="173"/>
      <c r="J48" s="170">
        <v>105.75011831519167</v>
      </c>
      <c r="K48" s="170" t="e">
        <v>#N/A</v>
      </c>
      <c r="L48" s="170">
        <v>31.477537992988889</v>
      </c>
      <c r="M48" s="170">
        <v>25.393630820245725</v>
      </c>
      <c r="N48" s="173"/>
      <c r="O48" s="185">
        <v>6.3437999999999999</v>
      </c>
      <c r="P48" s="185">
        <v>7.8061302714846761</v>
      </c>
      <c r="Q48" s="173"/>
      <c r="R48" s="185">
        <v>6.2140856458086688E-2</v>
      </c>
      <c r="S48" s="185" t="e">
        <v>#N/A</v>
      </c>
      <c r="T48" s="185">
        <v>7.6007487726486064E-2</v>
      </c>
      <c r="U48" s="185">
        <v>0.10074271244670963</v>
      </c>
      <c r="V48" s="185">
        <v>5.594049607857552E-2</v>
      </c>
      <c r="W48" s="185">
        <v>7.162826995562957E-2</v>
      </c>
      <c r="X48" s="185">
        <v>6.6104928608836128E-2</v>
      </c>
      <c r="Y48" s="185">
        <v>7.138002248774121E-2</v>
      </c>
      <c r="Z48" s="173"/>
      <c r="AA48" s="183">
        <v>50.374180799999998</v>
      </c>
      <c r="AB48" s="184">
        <v>4308.8</v>
      </c>
      <c r="AC48" s="170">
        <v>2.7215765538150585</v>
      </c>
      <c r="AD48" s="173"/>
      <c r="AE48" s="174">
        <v>6.7914430000000001</v>
      </c>
      <c r="AF48" s="185">
        <v>0.48095743423010395</v>
      </c>
      <c r="AG48" s="173"/>
      <c r="AH48" s="174">
        <v>4.0479999999999986E-3</v>
      </c>
      <c r="AI48" s="174">
        <v>4.6144000000000029E-3</v>
      </c>
      <c r="AJ48" s="174">
        <v>6.6371666666666758E-3</v>
      </c>
      <c r="AK48" s="173"/>
      <c r="AL48" s="186">
        <v>75.992373788166091</v>
      </c>
      <c r="AM48" s="187">
        <v>6703.5</v>
      </c>
      <c r="AN48" s="173"/>
      <c r="AO48" s="188">
        <v>86.85</v>
      </c>
      <c r="AP48" s="188">
        <v>-34.5</v>
      </c>
      <c r="AQ48" s="188">
        <v>50.567999999999998</v>
      </c>
      <c r="AR48" s="188">
        <v>63.018999999999998</v>
      </c>
      <c r="AS48" s="188">
        <v>271.163476</v>
      </c>
      <c r="AT48" s="188">
        <v>63.39</v>
      </c>
      <c r="AU48" s="188" t="e">
        <v>#N/A</v>
      </c>
      <c r="AV48" s="188" t="e">
        <v>#N/A</v>
      </c>
      <c r="AW48" s="188" t="e">
        <v>#N/A</v>
      </c>
      <c r="AX48" s="188" t="e">
        <v>#N/A</v>
      </c>
      <c r="AY48" s="173"/>
      <c r="AZ48" s="184">
        <v>1996</v>
      </c>
      <c r="BA48" s="184">
        <v>1593.1</v>
      </c>
      <c r="BB48" s="184">
        <v>1692.3000000000002</v>
      </c>
      <c r="BC48" s="184">
        <v>1812.6000000000001</v>
      </c>
      <c r="BD48" s="184">
        <v>1594.1</v>
      </c>
      <c r="BE48" s="184">
        <v>1583.1999999999998</v>
      </c>
      <c r="BF48" s="184">
        <v>1872</v>
      </c>
      <c r="BG48" s="184">
        <v>2414.5</v>
      </c>
      <c r="BH48" s="184">
        <v>3486</v>
      </c>
      <c r="BI48" s="184">
        <v>3981</v>
      </c>
      <c r="BJ48" s="173"/>
      <c r="BK48" s="184">
        <v>13212.1</v>
      </c>
      <c r="BL48" s="184">
        <v>11182</v>
      </c>
      <c r="BM48" s="184">
        <v>12533.7</v>
      </c>
      <c r="BN48" s="184">
        <v>13157.7</v>
      </c>
      <c r="BO48" s="184">
        <v>14293.3</v>
      </c>
      <c r="BP48" s="184">
        <v>14038</v>
      </c>
      <c r="BQ48" s="184" t="e">
        <v>#N/A</v>
      </c>
      <c r="BR48" s="184" t="e">
        <v>#N/A</v>
      </c>
      <c r="BS48" s="184" t="e">
        <v>#N/A</v>
      </c>
      <c r="BT48" s="184" t="e">
        <v>#N/A</v>
      </c>
      <c r="BU48" s="173"/>
      <c r="BV48" s="173"/>
      <c r="BW48" s="173"/>
    </row>
    <row r="49" spans="1:75" x14ac:dyDescent="0.25">
      <c r="A49" s="147" t="s">
        <v>442</v>
      </c>
      <c r="B49" s="166" t="str">
        <f t="shared" si="0"/>
        <v>1436Z IN Equity</v>
      </c>
      <c r="C49" s="173"/>
      <c r="D49" s="183" t="e">
        <v>#N/A</v>
      </c>
      <c r="E49" s="184" t="e">
        <v>#N/A</v>
      </c>
      <c r="F49" s="173"/>
      <c r="G49" s="183" t="e">
        <v>#N/A</v>
      </c>
      <c r="H49" s="184" t="e">
        <v>#N/A</v>
      </c>
      <c r="I49" s="173"/>
      <c r="J49" s="170" t="e">
        <v>#N/A</v>
      </c>
      <c r="K49" s="170" t="e">
        <v>#N/A</v>
      </c>
      <c r="L49" s="170" t="e">
        <v>#N/A</v>
      </c>
      <c r="M49" s="170" t="e">
        <v>#N/A</v>
      </c>
      <c r="N49" s="173"/>
      <c r="O49" s="185" t="e">
        <v>#N/A</v>
      </c>
      <c r="P49" s="185" t="e">
        <v>#N/A</v>
      </c>
      <c r="Q49" s="173"/>
      <c r="R49" s="185">
        <v>7.7836313262182729E-3</v>
      </c>
      <c r="S49" s="185" t="e">
        <v>#N/A</v>
      </c>
      <c r="T49" s="185">
        <v>9.0093650870728369E-3</v>
      </c>
      <c r="U49" s="185">
        <v>4.0351727047567044E-2</v>
      </c>
      <c r="V49" s="185">
        <v>1.729198025991046E-2</v>
      </c>
      <c r="W49" s="185">
        <v>2.6184254495113128E-2</v>
      </c>
      <c r="X49" s="185">
        <v>1.5409464352013118E-2</v>
      </c>
      <c r="Y49" s="185">
        <v>1.5925402626294497E-2</v>
      </c>
      <c r="Z49" s="173"/>
      <c r="AA49" s="183">
        <v>262.84930800000001</v>
      </c>
      <c r="AB49" s="184">
        <v>19231</v>
      </c>
      <c r="AC49" s="170">
        <v>2.6364421534622928</v>
      </c>
      <c r="AD49" s="173"/>
      <c r="AE49" s="174" t="e">
        <v>#N/A</v>
      </c>
      <c r="AF49" s="185" t="e">
        <v>#N/A</v>
      </c>
      <c r="AG49" s="173"/>
      <c r="AH49" s="174" t="e">
        <v>#N/A</v>
      </c>
      <c r="AI49" s="174" t="e">
        <v>#N/A</v>
      </c>
      <c r="AJ49" s="174" t="e">
        <v>#N/A</v>
      </c>
      <c r="AK49" s="173"/>
      <c r="AL49" s="186" t="e">
        <v>#N/A</v>
      </c>
      <c r="AM49" s="187" t="e">
        <v>#N/A</v>
      </c>
      <c r="AN49" s="173"/>
      <c r="AO49" s="188">
        <v>2487</v>
      </c>
      <c r="AP49" s="188">
        <v>1023.428576</v>
      </c>
      <c r="AQ49" s="188" t="e">
        <v>#N/A</v>
      </c>
      <c r="AR49" s="188" t="e">
        <v>#N/A</v>
      </c>
      <c r="AS49" s="188" t="e">
        <v>#N/A</v>
      </c>
      <c r="AT49" s="188" t="e">
        <v>#N/A</v>
      </c>
      <c r="AU49" s="188" t="e">
        <v>#N/A</v>
      </c>
      <c r="AV49" s="188" t="e">
        <v>#N/A</v>
      </c>
      <c r="AW49" s="188" t="e">
        <v>#N/A</v>
      </c>
      <c r="AX49" s="188" t="e">
        <v>#N/A</v>
      </c>
      <c r="AY49" s="173"/>
      <c r="AZ49" s="184">
        <v>8964.1</v>
      </c>
      <c r="BA49" s="184">
        <v>7294.2999999999993</v>
      </c>
      <c r="BB49" s="184" t="e">
        <v>#N/A</v>
      </c>
      <c r="BC49" s="184" t="e">
        <v>#N/A</v>
      </c>
      <c r="BD49" s="184" t="e">
        <v>#N/A</v>
      </c>
      <c r="BE49" s="184" t="e">
        <v>#N/A</v>
      </c>
      <c r="BF49" s="184" t="e">
        <v>#N/A</v>
      </c>
      <c r="BG49" s="184" t="e">
        <v>#N/A</v>
      </c>
      <c r="BH49" s="184" t="e">
        <v>#N/A</v>
      </c>
      <c r="BI49" s="184" t="e">
        <v>#N/A</v>
      </c>
      <c r="BJ49" s="173"/>
      <c r="BK49" s="184">
        <v>112184.2</v>
      </c>
      <c r="BL49" s="184">
        <v>99515</v>
      </c>
      <c r="BM49" s="184" t="e">
        <v>#N/A</v>
      </c>
      <c r="BN49" s="184" t="e">
        <v>#N/A</v>
      </c>
      <c r="BO49" s="184" t="e">
        <v>#N/A</v>
      </c>
      <c r="BP49" s="184" t="e">
        <v>#N/A</v>
      </c>
      <c r="BQ49" s="184" t="e">
        <v>#N/A</v>
      </c>
      <c r="BR49" s="184" t="e">
        <v>#N/A</v>
      </c>
      <c r="BS49" s="184" t="e">
        <v>#N/A</v>
      </c>
      <c r="BT49" s="184" t="e">
        <v>#N/A</v>
      </c>
      <c r="BU49" s="173"/>
      <c r="BV49" s="173"/>
      <c r="BW49" s="173"/>
    </row>
    <row r="50" spans="1:75" x14ac:dyDescent="0.25">
      <c r="A50" s="142" t="s">
        <v>427</v>
      </c>
      <c r="B50" s="166" t="str">
        <f t="shared" si="0"/>
        <v>HMFC IN Equity</v>
      </c>
      <c r="C50" s="173"/>
      <c r="D50" s="183">
        <v>1145.6895770987799</v>
      </c>
      <c r="E50" s="184">
        <v>101073.65368656958</v>
      </c>
      <c r="F50" s="173"/>
      <c r="G50" s="183">
        <v>1251.9216400424878</v>
      </c>
      <c r="H50" s="184">
        <v>110146.75368656957</v>
      </c>
      <c r="I50" s="173"/>
      <c r="J50" s="170">
        <v>57.145325444184408</v>
      </c>
      <c r="K50" s="170" t="e">
        <v>#N/A</v>
      </c>
      <c r="L50" s="170">
        <v>24.53211734928831</v>
      </c>
      <c r="M50" s="170" t="e">
        <v>#N/A</v>
      </c>
      <c r="N50" s="173"/>
      <c r="O50" s="185">
        <v>2.4767854292690465</v>
      </c>
      <c r="P50" s="185">
        <v>2.9094158475262866</v>
      </c>
      <c r="Q50" s="173"/>
      <c r="R50" s="185">
        <v>4.4009414177771634E-2</v>
      </c>
      <c r="S50" s="185" t="e">
        <v>#N/A</v>
      </c>
      <c r="T50" s="185">
        <v>5.0914486277683552E-2</v>
      </c>
      <c r="U50" s="185">
        <v>0.10132699669777091</v>
      </c>
      <c r="V50" s="185">
        <v>5.3392336065751958E-2</v>
      </c>
      <c r="W50" s="185">
        <v>6.4562150091773809E-2</v>
      </c>
      <c r="X50" s="185">
        <v>5.2673029623883608E-2</v>
      </c>
      <c r="Y50" s="185">
        <v>6.136652547108129E-2</v>
      </c>
      <c r="Z50" s="173"/>
      <c r="AA50" s="183">
        <v>101.37733739999997</v>
      </c>
      <c r="AB50" s="184">
        <v>8671.3999999999978</v>
      </c>
      <c r="AC50" s="170">
        <v>1.9313125013920127</v>
      </c>
      <c r="AD50" s="173"/>
      <c r="AE50" s="174">
        <v>1442.672812</v>
      </c>
      <c r="AF50" s="185">
        <v>0.63442978157406349</v>
      </c>
      <c r="AG50" s="173"/>
      <c r="AH50" s="174">
        <v>11.289971199999993</v>
      </c>
      <c r="AI50" s="174">
        <v>11.812055799999998</v>
      </c>
      <c r="AJ50" s="174">
        <v>9.8931167999999996</v>
      </c>
      <c r="AK50" s="173"/>
      <c r="AL50" s="186">
        <v>0.79421578609243826</v>
      </c>
      <c r="AM50" s="187">
        <v>70.05999755859375</v>
      </c>
      <c r="AN50" s="173"/>
      <c r="AO50" s="188">
        <v>1.8480000000000001</v>
      </c>
      <c r="AP50" s="188">
        <v>1.883</v>
      </c>
      <c r="AQ50" s="188">
        <v>2.2770000000000001</v>
      </c>
      <c r="AR50" s="188">
        <v>2.3079999999999998</v>
      </c>
      <c r="AS50" s="188">
        <v>2.33</v>
      </c>
      <c r="AT50" s="188">
        <v>1.23</v>
      </c>
      <c r="AU50" s="188" t="e">
        <v>#N/A</v>
      </c>
      <c r="AV50" s="188" t="e">
        <v>#N/A</v>
      </c>
      <c r="AW50" s="188" t="e">
        <v>#N/A</v>
      </c>
      <c r="AX50" s="188" t="e">
        <v>#N/A</v>
      </c>
      <c r="AY50" s="173"/>
      <c r="AZ50" s="184">
        <v>4949.8</v>
      </c>
      <c r="BA50" s="184">
        <v>5495.8</v>
      </c>
      <c r="BB50" s="184">
        <v>6500.7</v>
      </c>
      <c r="BC50" s="184">
        <v>6187</v>
      </c>
      <c r="BD50" s="184">
        <v>5815.4000000000005</v>
      </c>
      <c r="BE50" s="184">
        <v>4489.8999999999996</v>
      </c>
      <c r="BF50" s="184">
        <v>5200</v>
      </c>
      <c r="BG50" s="184">
        <v>6690</v>
      </c>
      <c r="BH50" s="184" t="e">
        <v>#N/A</v>
      </c>
      <c r="BI50" s="184" t="e">
        <v>#N/A</v>
      </c>
      <c r="BJ50" s="173"/>
      <c r="BK50" s="184">
        <v>38348.699999999997</v>
      </c>
      <c r="BL50" s="184">
        <v>44229.599999999999</v>
      </c>
      <c r="BM50" s="184">
        <v>47271.1</v>
      </c>
      <c r="BN50" s="184">
        <v>47433.1</v>
      </c>
      <c r="BO50" s="184">
        <v>44650.5</v>
      </c>
      <c r="BP50" s="184">
        <v>40645.199999999997</v>
      </c>
      <c r="BQ50" s="184" t="e">
        <v>#N/A</v>
      </c>
      <c r="BR50" s="184" t="e">
        <v>#N/A</v>
      </c>
      <c r="BS50" s="184" t="e">
        <v>#N/A</v>
      </c>
      <c r="BT50" s="184" t="e">
        <v>#N/A</v>
      </c>
      <c r="BU50" s="173"/>
      <c r="BV50" s="173"/>
      <c r="BW50" s="173"/>
    </row>
    <row r="51" spans="1:75" x14ac:dyDescent="0.25">
      <c r="A51" s="142" t="s">
        <v>428</v>
      </c>
      <c r="B51" s="166" t="str">
        <f t="shared" si="0"/>
        <v>HIGH IN Equity</v>
      </c>
      <c r="C51" s="173"/>
      <c r="D51" s="183">
        <v>65.058880586878601</v>
      </c>
      <c r="E51" s="184">
        <v>5739.5466425781242</v>
      </c>
      <c r="F51" s="173"/>
      <c r="G51" s="183">
        <v>66.001895714226791</v>
      </c>
      <c r="H51" s="184">
        <v>5819.438642578124</v>
      </c>
      <c r="I51" s="173"/>
      <c r="J51" s="170">
        <v>35.54774494678324</v>
      </c>
      <c r="K51" s="170" t="e">
        <v>#N/A</v>
      </c>
      <c r="L51" s="170">
        <v>33.514389786789472</v>
      </c>
      <c r="M51" s="170" t="e">
        <v>#N/A</v>
      </c>
      <c r="N51" s="173"/>
      <c r="O51" s="185">
        <v>5.7625970307009284</v>
      </c>
      <c r="P51" s="185">
        <v>5.7822601986656688</v>
      </c>
      <c r="Q51" s="173"/>
      <c r="R51" s="185">
        <v>0.17240384820723087</v>
      </c>
      <c r="S51" s="185" t="e">
        <v>#N/A</v>
      </c>
      <c r="T51" s="185">
        <v>0.16414900286593392</v>
      </c>
      <c r="U51" s="185">
        <v>0.17478489484862017</v>
      </c>
      <c r="V51" s="185">
        <v>0.11613913069046367</v>
      </c>
      <c r="W51" s="185">
        <v>0.15670021013675317</v>
      </c>
      <c r="X51" s="185">
        <v>0.10644931615315813</v>
      </c>
      <c r="Y51" s="185">
        <v>0.16144859841555689</v>
      </c>
      <c r="Z51" s="173"/>
      <c r="AA51" s="183">
        <v>0.93401737200000001</v>
      </c>
      <c r="AB51" s="184">
        <v>79.891999999999996</v>
      </c>
      <c r="AC51" s="170">
        <v>0.46010135913384015</v>
      </c>
      <c r="AD51" s="173"/>
      <c r="AE51" s="174">
        <v>8.9638399999999994</v>
      </c>
      <c r="AF51" s="185">
        <v>0.57246180208482089</v>
      </c>
      <c r="AG51" s="173"/>
      <c r="AH51" s="174">
        <v>4.0625999999999995E-3</v>
      </c>
      <c r="AI51" s="174">
        <v>4.9494999999999947E-3</v>
      </c>
      <c r="AJ51" s="174">
        <v>7.1085666666666656E-3</v>
      </c>
      <c r="AK51" s="173"/>
      <c r="AL51" s="186">
        <v>7.2585837262506843</v>
      </c>
      <c r="AM51" s="187">
        <v>640.29998779296875</v>
      </c>
      <c r="AN51" s="173"/>
      <c r="AO51" s="188">
        <v>6.2493999999999996</v>
      </c>
      <c r="AP51" s="188">
        <v>20.447600000000001</v>
      </c>
      <c r="AQ51" s="188">
        <v>20.024000000000001</v>
      </c>
      <c r="AR51" s="188">
        <v>114.319</v>
      </c>
      <c r="AS51" s="188">
        <v>19.14</v>
      </c>
      <c r="AT51" s="188">
        <v>17.100000000000001</v>
      </c>
      <c r="AU51" s="188" t="e">
        <v>#N/A</v>
      </c>
      <c r="AV51" s="188" t="e">
        <v>#N/A</v>
      </c>
      <c r="AW51" s="188" t="e">
        <v>#N/A</v>
      </c>
      <c r="AX51" s="188" t="e">
        <v>#N/A</v>
      </c>
      <c r="AY51" s="173"/>
      <c r="AZ51" s="184">
        <v>154.66200000000001</v>
      </c>
      <c r="BA51" s="184">
        <v>301.18</v>
      </c>
      <c r="BB51" s="184">
        <v>294.75400000000002</v>
      </c>
      <c r="BC51" s="184">
        <v>310.90200000000004</v>
      </c>
      <c r="BD51" s="184">
        <v>225.53</v>
      </c>
      <c r="BE51" s="184">
        <v>173.64</v>
      </c>
      <c r="BF51" s="184" t="e">
        <v>#N/A</v>
      </c>
      <c r="BG51" s="184" t="e">
        <v>#N/A</v>
      </c>
      <c r="BH51" s="184" t="e">
        <v>#N/A</v>
      </c>
      <c r="BI51" s="184" t="e">
        <v>#N/A</v>
      </c>
      <c r="BJ51" s="173"/>
      <c r="BK51" s="184">
        <v>614.92200000000003</v>
      </c>
      <c r="BL51" s="184">
        <v>778.34699999999998</v>
      </c>
      <c r="BM51" s="184">
        <v>792.57399999999996</v>
      </c>
      <c r="BN51" s="184">
        <v>925.38</v>
      </c>
      <c r="BO51" s="184">
        <v>772.25099999999998</v>
      </c>
      <c r="BP51" s="184">
        <v>807.52200000000005</v>
      </c>
      <c r="BQ51" s="184" t="e">
        <v>#N/A</v>
      </c>
      <c r="BR51" s="184" t="e">
        <v>#N/A</v>
      </c>
      <c r="BS51" s="184" t="e">
        <v>#N/A</v>
      </c>
      <c r="BT51" s="184" t="e">
        <v>#N/A</v>
      </c>
      <c r="BU51" s="173"/>
      <c r="BV51" s="173"/>
      <c r="BW51" s="173"/>
    </row>
    <row r="52" spans="1:75" x14ac:dyDescent="0.25">
      <c r="A52" s="142" t="s">
        <v>429</v>
      </c>
      <c r="B52" s="166" t="str">
        <f t="shared" si="0"/>
        <v>KRISHNDF IN Equity</v>
      </c>
      <c r="C52" s="173"/>
      <c r="D52" s="183">
        <v>116.70861155872819</v>
      </c>
      <c r="E52" s="184">
        <v>10296.127347862061</v>
      </c>
      <c r="F52" s="173"/>
      <c r="G52" s="183" t="e">
        <v>#N/A</v>
      </c>
      <c r="H52" s="184" t="e">
        <v>#N/A</v>
      </c>
      <c r="I52" s="173"/>
      <c r="J52" s="170" t="e">
        <v>#N/A</v>
      </c>
      <c r="K52" s="170" t="e">
        <v>#N/A</v>
      </c>
      <c r="L52" s="170" t="e">
        <v>#N/A</v>
      </c>
      <c r="M52" s="170" t="e">
        <v>#N/A</v>
      </c>
      <c r="N52" s="173"/>
      <c r="O52" s="185" t="e">
        <v>#N/A</v>
      </c>
      <c r="P52" s="185" t="e">
        <v>#N/A</v>
      </c>
      <c r="Q52" s="173"/>
      <c r="R52" s="185" t="e">
        <v>#N/A</v>
      </c>
      <c r="S52" s="185" t="e">
        <v>#N/A</v>
      </c>
      <c r="T52" s="185" t="e">
        <v>#N/A</v>
      </c>
      <c r="U52" s="185" t="e">
        <v>#N/A</v>
      </c>
      <c r="V52" s="185" t="e">
        <v>#N/A</v>
      </c>
      <c r="W52" s="185" t="e">
        <v>#N/A</v>
      </c>
      <c r="X52" s="185" t="e">
        <v>#N/A</v>
      </c>
      <c r="Y52" s="185" t="e">
        <v>#N/A</v>
      </c>
      <c r="Z52" s="173"/>
      <c r="AA52" s="183" t="e">
        <v>#N/A</v>
      </c>
      <c r="AB52" s="184" t="e">
        <v>#N/A</v>
      </c>
      <c r="AC52" s="170" t="e">
        <v>#N/A</v>
      </c>
      <c r="AD52" s="173"/>
      <c r="AE52" s="174">
        <v>14.059025999999999</v>
      </c>
      <c r="AF52" s="185">
        <v>0.45033176551490839</v>
      </c>
      <c r="AG52" s="173"/>
      <c r="AH52" s="174">
        <v>2.7650000000000001E-2</v>
      </c>
      <c r="AI52" s="174">
        <v>2.6124999999999999E-2</v>
      </c>
      <c r="AJ52" s="174">
        <v>2.0850000000000007E-2</v>
      </c>
      <c r="AK52" s="173"/>
      <c r="AL52" s="186">
        <v>8.3020829549460533</v>
      </c>
      <c r="AM52" s="187">
        <v>732.3499755859375</v>
      </c>
      <c r="AN52" s="173"/>
      <c r="AO52" s="188" t="e">
        <v>#N/A</v>
      </c>
      <c r="AP52" s="188" t="e">
        <v>#N/A</v>
      </c>
      <c r="AQ52" s="188" t="e">
        <v>#N/A</v>
      </c>
      <c r="AR52" s="188" t="e">
        <v>#N/A</v>
      </c>
      <c r="AS52" s="188" t="e">
        <v>#N/A</v>
      </c>
      <c r="AT52" s="188" t="e">
        <v>#N/A</v>
      </c>
      <c r="AU52" s="188" t="e">
        <v>#N/A</v>
      </c>
      <c r="AV52" s="188" t="e">
        <v>#N/A</v>
      </c>
      <c r="AW52" s="188" t="e">
        <v>#N/A</v>
      </c>
      <c r="AX52" s="188" t="e">
        <v>#N/A</v>
      </c>
      <c r="AY52" s="173"/>
      <c r="AZ52" s="184" t="e">
        <v>#N/A</v>
      </c>
      <c r="BA52" s="184" t="e">
        <v>#N/A</v>
      </c>
      <c r="BB52" s="184" t="e">
        <v>#N/A</v>
      </c>
      <c r="BC52" s="184" t="e">
        <v>#N/A</v>
      </c>
      <c r="BD52" s="184" t="e">
        <v>#N/A</v>
      </c>
      <c r="BE52" s="184" t="e">
        <v>#N/A</v>
      </c>
      <c r="BF52" s="184" t="e">
        <v>#N/A</v>
      </c>
      <c r="BG52" s="184" t="e">
        <v>#N/A</v>
      </c>
      <c r="BH52" s="184" t="e">
        <v>#N/A</v>
      </c>
      <c r="BI52" s="184" t="e">
        <v>#N/A</v>
      </c>
      <c r="BJ52" s="173"/>
      <c r="BK52" s="184" t="e">
        <v>#N/A</v>
      </c>
      <c r="BL52" s="184" t="e">
        <v>#N/A</v>
      </c>
      <c r="BM52" s="184" t="e">
        <v>#N/A</v>
      </c>
      <c r="BN52" s="184" t="e">
        <v>#N/A</v>
      </c>
      <c r="BO52" s="184" t="e">
        <v>#N/A</v>
      </c>
      <c r="BP52" s="184" t="e">
        <v>#N/A</v>
      </c>
      <c r="BQ52" s="184" t="e">
        <v>#N/A</v>
      </c>
      <c r="BR52" s="184" t="e">
        <v>#N/A</v>
      </c>
      <c r="BS52" s="184" t="e">
        <v>#N/A</v>
      </c>
      <c r="BT52" s="184" t="e">
        <v>#N/A</v>
      </c>
      <c r="BU52" s="173"/>
      <c r="BV52" s="173"/>
      <c r="BW52" s="173"/>
    </row>
    <row r="53" spans="1:75" x14ac:dyDescent="0.25">
      <c r="A53" s="142" t="s">
        <v>322</v>
      </c>
      <c r="B53" s="166" t="str">
        <f t="shared" si="0"/>
        <v>MARINE IN Equity</v>
      </c>
      <c r="C53" s="173"/>
      <c r="D53" s="183">
        <v>285.92479593394324</v>
      </c>
      <c r="E53" s="184">
        <v>25224.514896794586</v>
      </c>
      <c r="F53" s="173"/>
      <c r="G53" s="183">
        <v>292.38966782316191</v>
      </c>
      <c r="H53" s="184">
        <v>25752.175896794586</v>
      </c>
      <c r="I53" s="173"/>
      <c r="J53" s="170">
        <v>136.94741956818169</v>
      </c>
      <c r="K53" s="170" t="e">
        <v>#N/A</v>
      </c>
      <c r="L53" s="170">
        <v>57.430361026466095</v>
      </c>
      <c r="M53" s="170" t="e">
        <v>#N/A</v>
      </c>
      <c r="N53" s="173"/>
      <c r="O53" s="185">
        <v>11.084985838834735</v>
      </c>
      <c r="P53" s="185">
        <v>12.478373917892082</v>
      </c>
      <c r="Q53" s="173"/>
      <c r="R53" s="185" t="e">
        <v>#N/A</v>
      </c>
      <c r="S53" s="185" t="e">
        <v>#N/A</v>
      </c>
      <c r="T53" s="185" t="e">
        <v>#N/A</v>
      </c>
      <c r="U53" s="185" t="e">
        <v>#N/A</v>
      </c>
      <c r="V53" s="185" t="e">
        <v>#N/A</v>
      </c>
      <c r="W53" s="185" t="e">
        <v>#N/A</v>
      </c>
      <c r="X53" s="185">
        <v>8.5428216561184003E-2</v>
      </c>
      <c r="Y53" s="185" t="e">
        <v>#N/A</v>
      </c>
      <c r="Z53" s="173"/>
      <c r="AA53" s="183">
        <v>5.6428948620000003</v>
      </c>
      <c r="AB53" s="184">
        <v>463.40600000000006</v>
      </c>
      <c r="AC53" s="170">
        <v>1.0334495224204796</v>
      </c>
      <c r="AD53" s="173"/>
      <c r="AE53" s="174">
        <v>137.94441</v>
      </c>
      <c r="AF53" s="185">
        <v>0.54034474466924753</v>
      </c>
      <c r="AG53" s="173"/>
      <c r="AH53" s="174">
        <v>0.17378019999999983</v>
      </c>
      <c r="AI53" s="174">
        <v>0.13548599999999997</v>
      </c>
      <c r="AJ53" s="174">
        <v>0.12613710000000006</v>
      </c>
      <c r="AK53" s="173"/>
      <c r="AL53" s="186">
        <v>2.0729418240152331</v>
      </c>
      <c r="AM53" s="187">
        <v>182.86000061035156</v>
      </c>
      <c r="AN53" s="173"/>
      <c r="AO53" s="188" t="e">
        <v>#N/A</v>
      </c>
      <c r="AP53" s="188" t="e">
        <v>#N/A</v>
      </c>
      <c r="AQ53" s="188" t="e">
        <v>#N/A</v>
      </c>
      <c r="AR53" s="188">
        <v>1.345</v>
      </c>
      <c r="AS53" s="188" t="e">
        <v>#N/A</v>
      </c>
      <c r="AT53" s="188" t="e">
        <v>#N/A</v>
      </c>
      <c r="AU53" s="188" t="e">
        <v>#N/A</v>
      </c>
      <c r="AV53" s="188" t="e">
        <v>#N/A</v>
      </c>
      <c r="AW53" s="188" t="e">
        <v>#N/A</v>
      </c>
      <c r="AX53" s="188" t="e">
        <v>#N/A</v>
      </c>
      <c r="AY53" s="173"/>
      <c r="AZ53" s="184" t="e">
        <v>#N/A</v>
      </c>
      <c r="BA53" s="184" t="e">
        <v>#N/A</v>
      </c>
      <c r="BB53" s="184" t="e">
        <v>#N/A</v>
      </c>
      <c r="BC53" s="184">
        <v>448.40700000000004</v>
      </c>
      <c r="BD53" s="184" t="e">
        <v>#N/A</v>
      </c>
      <c r="BE53" s="184" t="e">
        <v>#N/A</v>
      </c>
      <c r="BF53" s="184" t="e">
        <v>#N/A</v>
      </c>
      <c r="BG53" s="184" t="e">
        <v>#N/A</v>
      </c>
      <c r="BH53" s="184" t="e">
        <v>#N/A</v>
      </c>
      <c r="BI53" s="184" t="e">
        <v>#N/A</v>
      </c>
      <c r="BJ53" s="173"/>
      <c r="BK53" s="184" t="e">
        <v>#N/A</v>
      </c>
      <c r="BL53" s="184" t="e">
        <v>#N/A</v>
      </c>
      <c r="BM53" s="184" t="e">
        <v>#N/A</v>
      </c>
      <c r="BN53" s="184">
        <v>4428.5439999999999</v>
      </c>
      <c r="BO53" s="184" t="e">
        <v>#N/A</v>
      </c>
      <c r="BP53" s="184" t="e">
        <v>#N/A</v>
      </c>
      <c r="BQ53" s="184" t="e">
        <v>#N/A</v>
      </c>
      <c r="BR53" s="184" t="e">
        <v>#N/A</v>
      </c>
      <c r="BS53" s="184" t="e">
        <v>#N/A</v>
      </c>
      <c r="BT53" s="184" t="e">
        <v>#N/A</v>
      </c>
      <c r="BU53" s="173"/>
      <c r="BV53" s="173"/>
      <c r="BW53" s="173"/>
    </row>
    <row r="54" spans="1:75" x14ac:dyDescent="0.25">
      <c r="A54" s="142" t="s">
        <v>430</v>
      </c>
      <c r="B54" s="166" t="str">
        <f t="shared" si="0"/>
        <v>LOKM IN Equity</v>
      </c>
      <c r="C54" s="173"/>
      <c r="D54" s="183">
        <v>44.796257224937186</v>
      </c>
      <c r="E54" s="184">
        <v>3951.9617527404789</v>
      </c>
      <c r="F54" s="173"/>
      <c r="G54" s="183">
        <v>59.346828230541178</v>
      </c>
      <c r="H54" s="184">
        <v>5196.0277527404787</v>
      </c>
      <c r="I54" s="173"/>
      <c r="J54" s="170">
        <v>705.82144601004461</v>
      </c>
      <c r="K54" s="170" t="e">
        <v>#N/A</v>
      </c>
      <c r="L54" s="170">
        <v>18.252875278799163</v>
      </c>
      <c r="M54" s="170" t="e">
        <v>#N/A</v>
      </c>
      <c r="N54" s="173"/>
      <c r="O54" s="185">
        <v>1.7969230328038444</v>
      </c>
      <c r="P54" s="185">
        <v>1.8120069347433327</v>
      </c>
      <c r="Q54" s="173"/>
      <c r="R54" s="185">
        <v>2.6261492154697219E-3</v>
      </c>
      <c r="S54" s="185" t="e">
        <v>#N/A</v>
      </c>
      <c r="T54" s="185">
        <v>2.6445655606424801E-3</v>
      </c>
      <c r="U54" s="185">
        <v>3.5753624106730192E-2</v>
      </c>
      <c r="V54" s="185">
        <v>2.5731355150865685E-2</v>
      </c>
      <c r="W54" s="185">
        <v>4.2666690051761443E-2</v>
      </c>
      <c r="X54" s="185">
        <v>2.7839634474882954E-2</v>
      </c>
      <c r="Y54" s="185">
        <v>2.7208705068256504E-2</v>
      </c>
      <c r="Z54" s="173"/>
      <c r="AA54" s="183">
        <v>14.544375606000001</v>
      </c>
      <c r="AB54" s="184">
        <v>1244.066</v>
      </c>
      <c r="AC54" s="170">
        <v>4.3702194478499594</v>
      </c>
      <c r="AD54" s="173"/>
      <c r="AE54" s="174">
        <v>19.996770000000001</v>
      </c>
      <c r="AF54" s="185">
        <v>0.45728326521736157</v>
      </c>
      <c r="AG54" s="173"/>
      <c r="AH54" s="174">
        <v>5.6240799999999966E-2</v>
      </c>
      <c r="AI54" s="174">
        <v>9.1503000000000029E-2</v>
      </c>
      <c r="AJ54" s="174">
        <v>7.8075933333333306E-2</v>
      </c>
      <c r="AK54" s="173"/>
      <c r="AL54" s="186">
        <v>2.240377892565343</v>
      </c>
      <c r="AM54" s="187">
        <v>197.6300048828125</v>
      </c>
      <c r="AN54" s="173"/>
      <c r="AO54" s="188">
        <v>-2.62</v>
      </c>
      <c r="AP54" s="188">
        <v>2.214</v>
      </c>
      <c r="AQ54" s="188">
        <v>3.5459999999999998</v>
      </c>
      <c r="AR54" s="188">
        <v>5.4418139999999999</v>
      </c>
      <c r="AS54" s="188">
        <v>7.68</v>
      </c>
      <c r="AT54" s="188">
        <v>0.28000000000000003</v>
      </c>
      <c r="AU54" s="188" t="e">
        <v>#N/A</v>
      </c>
      <c r="AV54" s="188" t="e">
        <v>#N/A</v>
      </c>
      <c r="AW54" s="188" t="e">
        <v>#N/A</v>
      </c>
      <c r="AX54" s="188" t="e">
        <v>#N/A</v>
      </c>
      <c r="AY54" s="173"/>
      <c r="AZ54" s="184">
        <v>120.907</v>
      </c>
      <c r="BA54" s="184">
        <v>249.089</v>
      </c>
      <c r="BB54" s="184">
        <v>297.61</v>
      </c>
      <c r="BC54" s="184">
        <v>285.351</v>
      </c>
      <c r="BD54" s="184">
        <v>403.22500000000002</v>
      </c>
      <c r="BE54" s="184">
        <v>284.66899999999998</v>
      </c>
      <c r="BF54" s="184" t="e">
        <v>#N/A</v>
      </c>
      <c r="BG54" s="184" t="e">
        <v>#N/A</v>
      </c>
      <c r="BH54" s="184" t="e">
        <v>#N/A</v>
      </c>
      <c r="BI54" s="184" t="e">
        <v>#N/A</v>
      </c>
      <c r="BJ54" s="173"/>
      <c r="BK54" s="184">
        <v>1258.4069999999999</v>
      </c>
      <c r="BL54" s="184">
        <v>1502.145</v>
      </c>
      <c r="BM54" s="184">
        <v>2018.376</v>
      </c>
      <c r="BN54" s="184">
        <v>2403.0239999999999</v>
      </c>
      <c r="BO54" s="184">
        <v>2935.3989999999999</v>
      </c>
      <c r="BP54" s="184">
        <v>2283.2159999999999</v>
      </c>
      <c r="BQ54" s="184" t="e">
        <v>#N/A</v>
      </c>
      <c r="BR54" s="184" t="e">
        <v>#N/A</v>
      </c>
      <c r="BS54" s="184" t="e">
        <v>#N/A</v>
      </c>
      <c r="BT54" s="184" t="e">
        <v>#N/A</v>
      </c>
      <c r="BU54" s="173"/>
      <c r="BV54" s="173"/>
      <c r="BW54" s="173"/>
    </row>
    <row r="55" spans="1:75" x14ac:dyDescent="0.25">
      <c r="A55" s="142" t="s">
        <v>431</v>
      </c>
      <c r="B55" s="166" t="str">
        <f t="shared" si="0"/>
        <v>SWAN IN Equity</v>
      </c>
      <c r="C55" s="173"/>
      <c r="D55" s="183" t="e">
        <v>#N/A</v>
      </c>
      <c r="E55" s="184" t="e">
        <v>#N/A</v>
      </c>
      <c r="F55" s="173"/>
      <c r="G55" s="183" t="e">
        <v>#N/A</v>
      </c>
      <c r="H55" s="184" t="e">
        <v>#N/A</v>
      </c>
      <c r="I55" s="173"/>
      <c r="J55" s="170" t="e">
        <v>#N/A</v>
      </c>
      <c r="K55" s="170" t="e">
        <v>#N/A</v>
      </c>
      <c r="L55" s="170" t="e">
        <v>#N/A</v>
      </c>
      <c r="M55" s="170" t="e">
        <v>#N/A</v>
      </c>
      <c r="N55" s="173"/>
      <c r="O55" s="185" t="e">
        <v>#N/A</v>
      </c>
      <c r="P55" s="185" t="e">
        <v>#N/A</v>
      </c>
      <c r="Q55" s="173"/>
      <c r="R55" s="185">
        <v>-6.3398304646795481E-2</v>
      </c>
      <c r="S55" s="185" t="e">
        <v>#N/A</v>
      </c>
      <c r="T55" s="185">
        <v>0.11096521733196353</v>
      </c>
      <c r="U55" s="185">
        <v>9.1618477648138991E-2</v>
      </c>
      <c r="V55" s="185">
        <v>3.4277643324382601E-2</v>
      </c>
      <c r="W55" s="185">
        <v>-2.3250662041160476E-2</v>
      </c>
      <c r="X55" s="185">
        <v>3.5050888581917003E-2</v>
      </c>
      <c r="Y55" s="185">
        <v>8.3522960912493463E-2</v>
      </c>
      <c r="Z55" s="173"/>
      <c r="AA55" s="183">
        <v>85.145050287000018</v>
      </c>
      <c r="AB55" s="184">
        <v>7282.9570000000022</v>
      </c>
      <c r="AC55" s="170" t="e">
        <v>#N/A</v>
      </c>
      <c r="AD55" s="173"/>
      <c r="AE55" s="174" t="e">
        <v>#N/A</v>
      </c>
      <c r="AF55" s="185" t="e">
        <v>#N/A</v>
      </c>
      <c r="AG55" s="173"/>
      <c r="AH55" s="174">
        <v>0</v>
      </c>
      <c r="AI55" s="174">
        <v>0</v>
      </c>
      <c r="AJ55" s="174">
        <v>0</v>
      </c>
      <c r="AK55" s="173"/>
      <c r="AL55" s="186" t="e">
        <v>#N/A</v>
      </c>
      <c r="AM55" s="187" t="e">
        <v>#N/A</v>
      </c>
      <c r="AN55" s="173"/>
      <c r="AO55" s="188">
        <v>-0.2</v>
      </c>
      <c r="AP55" s="188">
        <v>-2.8090000000000002</v>
      </c>
      <c r="AQ55" s="188">
        <v>-16.46</v>
      </c>
      <c r="AR55" s="188">
        <v>-2.52</v>
      </c>
      <c r="AS55" s="188">
        <v>20.57</v>
      </c>
      <c r="AT55" s="188">
        <v>-13.775218000000001</v>
      </c>
      <c r="AU55" s="188" t="e">
        <v>#N/A</v>
      </c>
      <c r="AV55" s="188" t="e">
        <v>#N/A</v>
      </c>
      <c r="AW55" s="188" t="e">
        <v>#N/A</v>
      </c>
      <c r="AX55" s="188" t="e">
        <v>#N/A</v>
      </c>
      <c r="AY55" s="173"/>
      <c r="AZ55" s="184">
        <v>520.64200000000005</v>
      </c>
      <c r="BA55" s="184">
        <v>681.9849999999999</v>
      </c>
      <c r="BB55" s="184">
        <v>2532.6040000000003</v>
      </c>
      <c r="BC55" s="184">
        <v>4398.7209999999995</v>
      </c>
      <c r="BD55" s="184">
        <v>10776.765000000001</v>
      </c>
      <c r="BE55" s="184">
        <v>-1306.5629999999999</v>
      </c>
      <c r="BF55" s="184" t="e">
        <v>#N/A</v>
      </c>
      <c r="BG55" s="184" t="e">
        <v>#N/A</v>
      </c>
      <c r="BH55" s="184" t="e">
        <v>#N/A</v>
      </c>
      <c r="BI55" s="184" t="e">
        <v>#N/A</v>
      </c>
      <c r="BJ55" s="173"/>
      <c r="BK55" s="184">
        <v>3055.424</v>
      </c>
      <c r="BL55" s="184">
        <v>2840.864</v>
      </c>
      <c r="BM55" s="184">
        <v>4871.9960000000001</v>
      </c>
      <c r="BN55" s="184">
        <v>14381.437</v>
      </c>
      <c r="BO55" s="184">
        <v>50171.46</v>
      </c>
      <c r="BP55" s="184">
        <v>49378.686000000002</v>
      </c>
      <c r="BQ55" s="184" t="e">
        <v>#N/A</v>
      </c>
      <c r="BR55" s="184" t="e">
        <v>#N/A</v>
      </c>
      <c r="BS55" s="184" t="e">
        <v>#N/A</v>
      </c>
      <c r="BT55" s="184" t="e">
        <v>#N/A</v>
      </c>
      <c r="BU55" s="173"/>
      <c r="BV55" s="173"/>
      <c r="BW55" s="173"/>
    </row>
    <row r="56" spans="1:75" x14ac:dyDescent="0.25">
      <c r="A56" s="142" t="s">
        <v>432</v>
      </c>
      <c r="B56" s="166" t="str">
        <f t="shared" si="0"/>
        <v>WI IN Equity</v>
      </c>
      <c r="C56" s="173"/>
      <c r="D56" s="183">
        <v>152.71458899809457</v>
      </c>
      <c r="E56" s="184">
        <v>13472.603565415344</v>
      </c>
      <c r="F56" s="173"/>
      <c r="G56" s="183">
        <v>162.62395748903651</v>
      </c>
      <c r="H56" s="184">
        <v>14318.403565415345</v>
      </c>
      <c r="I56" s="173"/>
      <c r="J56" s="170" t="e">
        <v>#N/A</v>
      </c>
      <c r="K56" s="170" t="e">
        <v>#N/A</v>
      </c>
      <c r="L56" s="170" t="e">
        <v>#N/A</v>
      </c>
      <c r="M56" s="170" t="e">
        <v>#N/A</v>
      </c>
      <c r="N56" s="173"/>
      <c r="O56" s="185">
        <v>3.5955774148811792</v>
      </c>
      <c r="P56" s="185">
        <v>3.6010817365400989</v>
      </c>
      <c r="Q56" s="173"/>
      <c r="R56" s="185">
        <v>-0.28148349927132565</v>
      </c>
      <c r="S56" s="185" t="e">
        <v>#N/A</v>
      </c>
      <c r="T56" s="185">
        <v>-0.23474357749976124</v>
      </c>
      <c r="U56" s="185" t="e">
        <v>#N/A</v>
      </c>
      <c r="V56" s="185">
        <v>-0.15007518545746173</v>
      </c>
      <c r="W56" s="185">
        <v>-0.1368709483392368</v>
      </c>
      <c r="X56" s="185">
        <v>-0.15389292290588194</v>
      </c>
      <c r="Y56" s="185">
        <v>-0.10705071688422856</v>
      </c>
      <c r="Z56" s="173"/>
      <c r="AA56" s="183">
        <v>9.8882478000000003</v>
      </c>
      <c r="AB56" s="184">
        <v>845.8</v>
      </c>
      <c r="AC56" s="170" t="e">
        <v>#N/A</v>
      </c>
      <c r="AD56" s="173"/>
      <c r="AE56" s="174">
        <v>67.783276000000001</v>
      </c>
      <c r="AF56" s="185">
        <v>0.5758034179404371</v>
      </c>
      <c r="AG56" s="173"/>
      <c r="AH56" s="174">
        <v>0.15541960000000013</v>
      </c>
      <c r="AI56" s="174">
        <v>0.12126560000000007</v>
      </c>
      <c r="AJ56" s="174">
        <v>9.6861166666666637E-2</v>
      </c>
      <c r="AK56" s="173"/>
      <c r="AL56" s="186">
        <v>2.2531877074210955</v>
      </c>
      <c r="AM56" s="187">
        <v>198.75999450683594</v>
      </c>
      <c r="AN56" s="173"/>
      <c r="AO56" s="188">
        <v>-15.403</v>
      </c>
      <c r="AP56" s="188">
        <v>-15.042999999999999</v>
      </c>
      <c r="AQ56" s="188">
        <v>-5.5609999999999999</v>
      </c>
      <c r="AR56" s="188">
        <v>-11.791</v>
      </c>
      <c r="AS56" s="188">
        <v>-9.0399999999999991</v>
      </c>
      <c r="AT56" s="188">
        <v>-17.697752000000001</v>
      </c>
      <c r="AU56" s="188" t="e">
        <v>#N/A</v>
      </c>
      <c r="AV56" s="188" t="e">
        <v>#N/A</v>
      </c>
      <c r="AW56" s="188" t="e">
        <v>#N/A</v>
      </c>
      <c r="AX56" s="188" t="e">
        <v>#N/A</v>
      </c>
      <c r="AY56" s="173"/>
      <c r="AZ56" s="184">
        <v>336.8</v>
      </c>
      <c r="BA56" s="184">
        <v>204.10000000000002</v>
      </c>
      <c r="BB56" s="184">
        <v>227.7</v>
      </c>
      <c r="BC56" s="184">
        <v>-346.2</v>
      </c>
      <c r="BD56" s="184">
        <v>10.800000000000011</v>
      </c>
      <c r="BE56" s="184">
        <v>-712.80000000000007</v>
      </c>
      <c r="BF56" s="184" t="e">
        <v>#N/A</v>
      </c>
      <c r="BG56" s="184" t="e">
        <v>#N/A</v>
      </c>
      <c r="BH56" s="184" t="e">
        <v>#N/A</v>
      </c>
      <c r="BI56" s="184" t="e">
        <v>#N/A</v>
      </c>
      <c r="BJ56" s="173"/>
      <c r="BK56" s="184">
        <v>2980.5</v>
      </c>
      <c r="BL56" s="184">
        <v>3256.4</v>
      </c>
      <c r="BM56" s="184">
        <v>2991.9</v>
      </c>
      <c r="BN56" s="184">
        <v>3220.9</v>
      </c>
      <c r="BO56" s="184">
        <v>3023.5</v>
      </c>
      <c r="BP56" s="184">
        <v>2591.8000000000002</v>
      </c>
      <c r="BQ56" s="184" t="e">
        <v>#N/A</v>
      </c>
      <c r="BR56" s="184" t="e">
        <v>#N/A</v>
      </c>
      <c r="BS56" s="184" t="e">
        <v>#N/A</v>
      </c>
      <c r="BT56" s="184" t="e">
        <v>#N/A</v>
      </c>
      <c r="BU56" s="173"/>
      <c r="BV56" s="173"/>
      <c r="BW56" s="173"/>
    </row>
    <row r="57" spans="1:75" x14ac:dyDescent="0.25">
      <c r="A57" s="147" t="s">
        <v>443</v>
      </c>
      <c r="B57" s="166" t="str">
        <f t="shared" si="0"/>
        <v>1943634D IN Equity</v>
      </c>
      <c r="C57" s="173"/>
      <c r="D57" s="183" t="e">
        <v>#N/A</v>
      </c>
      <c r="E57" s="184" t="e">
        <v>#N/A</v>
      </c>
      <c r="F57" s="173"/>
      <c r="G57" s="183" t="e">
        <v>#N/A</v>
      </c>
      <c r="H57" s="184" t="e">
        <v>#N/A</v>
      </c>
      <c r="I57" s="173"/>
      <c r="J57" s="170" t="e">
        <v>#N/A</v>
      </c>
      <c r="K57" s="170" t="e">
        <v>#N/A</v>
      </c>
      <c r="L57" s="170" t="e">
        <v>#N/A</v>
      </c>
      <c r="M57" s="170" t="e">
        <v>#N/A</v>
      </c>
      <c r="N57" s="173"/>
      <c r="O57" s="185" t="e">
        <v>#N/A</v>
      </c>
      <c r="P57" s="185" t="e">
        <v>#N/A</v>
      </c>
      <c r="Q57" s="173"/>
      <c r="R57" s="185" t="e">
        <v>#N/A</v>
      </c>
      <c r="S57" s="185" t="e">
        <v>#N/A</v>
      </c>
      <c r="T57" s="185" t="e">
        <v>#N/A</v>
      </c>
      <c r="U57" s="185" t="e">
        <v>#N/A</v>
      </c>
      <c r="V57" s="185" t="e">
        <v>#N/A</v>
      </c>
      <c r="W57" s="185" t="e">
        <v>#N/A</v>
      </c>
      <c r="X57" s="185" t="e">
        <v>#N/A</v>
      </c>
      <c r="Y57" s="185" t="e">
        <v>#N/A</v>
      </c>
      <c r="Z57" s="173"/>
      <c r="AA57" s="183" t="e">
        <v>#N/A</v>
      </c>
      <c r="AB57" s="184" t="e">
        <v>#N/A</v>
      </c>
      <c r="AC57" s="170" t="e">
        <v>#N/A</v>
      </c>
      <c r="AD57" s="173"/>
      <c r="AE57" s="174" t="e">
        <v>#N/A</v>
      </c>
      <c r="AF57" s="185" t="e">
        <v>#N/A</v>
      </c>
      <c r="AG57" s="173"/>
      <c r="AH57" s="174" t="e">
        <v>#N/A</v>
      </c>
      <c r="AI57" s="174" t="e">
        <v>#N/A</v>
      </c>
      <c r="AJ57" s="174" t="e">
        <v>#N/A</v>
      </c>
      <c r="AK57" s="173"/>
      <c r="AL57" s="186" t="e">
        <v>#N/A</v>
      </c>
      <c r="AM57" s="187" t="e">
        <v>#N/A</v>
      </c>
      <c r="AN57" s="173"/>
      <c r="AO57" s="188" t="e">
        <v>#N/A</v>
      </c>
      <c r="AP57" s="188" t="e">
        <v>#N/A</v>
      </c>
      <c r="AQ57" s="188" t="e">
        <v>#N/A</v>
      </c>
      <c r="AR57" s="188" t="e">
        <v>#N/A</v>
      </c>
      <c r="AS57" s="188" t="e">
        <v>#N/A</v>
      </c>
      <c r="AT57" s="188" t="e">
        <v>#N/A</v>
      </c>
      <c r="AU57" s="188" t="e">
        <v>#N/A</v>
      </c>
      <c r="AV57" s="188" t="e">
        <v>#N/A</v>
      </c>
      <c r="AW57" s="188" t="e">
        <v>#N/A</v>
      </c>
      <c r="AX57" s="188" t="e">
        <v>#N/A</v>
      </c>
      <c r="AY57" s="173"/>
      <c r="AZ57" s="184" t="e">
        <v>#N/A</v>
      </c>
      <c r="BA57" s="184" t="e">
        <v>#N/A</v>
      </c>
      <c r="BB57" s="184" t="e">
        <v>#N/A</v>
      </c>
      <c r="BC57" s="184" t="e">
        <v>#N/A</v>
      </c>
      <c r="BD57" s="184" t="e">
        <v>#N/A</v>
      </c>
      <c r="BE57" s="184" t="e">
        <v>#N/A</v>
      </c>
      <c r="BF57" s="184" t="e">
        <v>#N/A</v>
      </c>
      <c r="BG57" s="184" t="e">
        <v>#N/A</v>
      </c>
      <c r="BH57" s="184" t="e">
        <v>#N/A</v>
      </c>
      <c r="BI57" s="184" t="e">
        <v>#N/A</v>
      </c>
      <c r="BJ57" s="173"/>
      <c r="BK57" s="184" t="e">
        <v>#N/A</v>
      </c>
      <c r="BL57" s="184" t="e">
        <v>#N/A</v>
      </c>
      <c r="BM57" s="184" t="e">
        <v>#N/A</v>
      </c>
      <c r="BN57" s="184" t="e">
        <v>#N/A</v>
      </c>
      <c r="BO57" s="184" t="e">
        <v>#N/A</v>
      </c>
      <c r="BP57" s="184" t="e">
        <v>#N/A</v>
      </c>
      <c r="BQ57" s="184" t="e">
        <v>#N/A</v>
      </c>
      <c r="BR57" s="184" t="e">
        <v>#N/A</v>
      </c>
      <c r="BS57" s="184" t="e">
        <v>#N/A</v>
      </c>
      <c r="BT57" s="184" t="e">
        <v>#N/A</v>
      </c>
      <c r="BU57" s="173"/>
      <c r="BV57" s="173"/>
      <c r="BW57" s="173"/>
    </row>
    <row r="58" spans="1:75" x14ac:dyDescent="0.25">
      <c r="A58" s="147" t="s">
        <v>444</v>
      </c>
      <c r="B58" s="166" t="str">
        <f t="shared" si="0"/>
        <v>2300472D IN Equity</v>
      </c>
      <c r="C58" s="173"/>
      <c r="D58" s="183" t="e">
        <v>#N/A</v>
      </c>
      <c r="E58" s="184" t="e">
        <v>#N/A</v>
      </c>
      <c r="F58" s="173"/>
      <c r="G58" s="183" t="e">
        <v>#N/A</v>
      </c>
      <c r="H58" s="184" t="e">
        <v>#N/A</v>
      </c>
      <c r="I58" s="173"/>
      <c r="J58" s="170" t="e">
        <v>#N/A</v>
      </c>
      <c r="K58" s="170" t="e">
        <v>#N/A</v>
      </c>
      <c r="L58" s="170" t="e">
        <v>#N/A</v>
      </c>
      <c r="M58" s="170" t="e">
        <v>#N/A</v>
      </c>
      <c r="N58" s="173"/>
      <c r="O58" s="185" t="e">
        <v>#N/A</v>
      </c>
      <c r="P58" s="185" t="e">
        <v>#N/A</v>
      </c>
      <c r="Q58" s="173"/>
      <c r="R58" s="185" t="e">
        <v>#N/A</v>
      </c>
      <c r="S58" s="185" t="e">
        <v>#N/A</v>
      </c>
      <c r="T58" s="185" t="e">
        <v>#N/A</v>
      </c>
      <c r="U58" s="185" t="e">
        <v>#N/A</v>
      </c>
      <c r="V58" s="185" t="e">
        <v>#N/A</v>
      </c>
      <c r="W58" s="185" t="e">
        <v>#N/A</v>
      </c>
      <c r="X58" s="185" t="e">
        <v>#N/A</v>
      </c>
      <c r="Y58" s="185" t="e">
        <v>#N/A</v>
      </c>
      <c r="Z58" s="173"/>
      <c r="AA58" s="183" t="e">
        <v>#N/A</v>
      </c>
      <c r="AB58" s="184" t="e">
        <v>#N/A</v>
      </c>
      <c r="AC58" s="170" t="e">
        <v>#N/A</v>
      </c>
      <c r="AD58" s="173"/>
      <c r="AE58" s="174" t="e">
        <v>#N/A</v>
      </c>
      <c r="AF58" s="185" t="e">
        <v>#N/A</v>
      </c>
      <c r="AG58" s="173"/>
      <c r="AH58" s="174" t="e">
        <v>#N/A</v>
      </c>
      <c r="AI58" s="174" t="e">
        <v>#N/A</v>
      </c>
      <c r="AJ58" s="174" t="e">
        <v>#N/A</v>
      </c>
      <c r="AK58" s="173"/>
      <c r="AL58" s="186" t="e">
        <v>#N/A</v>
      </c>
      <c r="AM58" s="187" t="e">
        <v>#N/A</v>
      </c>
      <c r="AN58" s="173"/>
      <c r="AO58" s="188" t="e">
        <v>#N/A</v>
      </c>
      <c r="AP58" s="188" t="e">
        <v>#N/A</v>
      </c>
      <c r="AQ58" s="188" t="e">
        <v>#N/A</v>
      </c>
      <c r="AR58" s="188" t="e">
        <v>#N/A</v>
      </c>
      <c r="AS58" s="188" t="e">
        <v>#N/A</v>
      </c>
      <c r="AT58" s="188" t="e">
        <v>#N/A</v>
      </c>
      <c r="AU58" s="188" t="e">
        <v>#N/A</v>
      </c>
      <c r="AV58" s="188" t="e">
        <v>#N/A</v>
      </c>
      <c r="AW58" s="188" t="e">
        <v>#N/A</v>
      </c>
      <c r="AX58" s="188" t="e">
        <v>#N/A</v>
      </c>
      <c r="AY58" s="173"/>
      <c r="AZ58" s="184" t="e">
        <v>#N/A</v>
      </c>
      <c r="BA58" s="184" t="e">
        <v>#N/A</v>
      </c>
      <c r="BB58" s="184" t="e">
        <v>#N/A</v>
      </c>
      <c r="BC58" s="184" t="e">
        <v>#N/A</v>
      </c>
      <c r="BD58" s="184" t="e">
        <v>#N/A</v>
      </c>
      <c r="BE58" s="184" t="e">
        <v>#N/A</v>
      </c>
      <c r="BF58" s="184" t="e">
        <v>#N/A</v>
      </c>
      <c r="BG58" s="184" t="e">
        <v>#N/A</v>
      </c>
      <c r="BH58" s="184" t="e">
        <v>#N/A</v>
      </c>
      <c r="BI58" s="184" t="e">
        <v>#N/A</v>
      </c>
      <c r="BJ58" s="173"/>
      <c r="BK58" s="184" t="e">
        <v>#N/A</v>
      </c>
      <c r="BL58" s="184" t="e">
        <v>#N/A</v>
      </c>
      <c r="BM58" s="184" t="e">
        <v>#N/A</v>
      </c>
      <c r="BN58" s="184" t="e">
        <v>#N/A</v>
      </c>
      <c r="BO58" s="184" t="e">
        <v>#N/A</v>
      </c>
      <c r="BP58" s="184" t="e">
        <v>#N/A</v>
      </c>
      <c r="BQ58" s="184" t="e">
        <v>#N/A</v>
      </c>
      <c r="BR58" s="184" t="e">
        <v>#N/A</v>
      </c>
      <c r="BS58" s="184" t="e">
        <v>#N/A</v>
      </c>
      <c r="BT58" s="184" t="e">
        <v>#N/A</v>
      </c>
      <c r="BU58" s="173"/>
      <c r="BV58" s="173"/>
      <c r="BW58" s="173"/>
    </row>
    <row r="59" spans="1:75" ht="14.4" x14ac:dyDescent="0.3">
      <c r="A59" s="164" t="s">
        <v>485</v>
      </c>
      <c r="B59" s="166" t="str">
        <f t="shared" si="0"/>
        <v>1637857D  IN Equity</v>
      </c>
      <c r="C59" s="173"/>
      <c r="D59" s="183" t="e">
        <v>#N/A</v>
      </c>
      <c r="E59" s="184" t="e">
        <v>#N/A</v>
      </c>
      <c r="F59" s="173"/>
      <c r="G59" s="183" t="e">
        <v>#N/A</v>
      </c>
      <c r="H59" s="184" t="e">
        <v>#N/A</v>
      </c>
      <c r="I59" s="173"/>
      <c r="J59" s="170" t="e">
        <v>#N/A</v>
      </c>
      <c r="K59" s="170" t="e">
        <v>#N/A</v>
      </c>
      <c r="L59" s="170" t="e">
        <v>#N/A</v>
      </c>
      <c r="M59" s="170" t="e">
        <v>#N/A</v>
      </c>
      <c r="N59" s="173"/>
      <c r="O59" s="185" t="e">
        <v>#N/A</v>
      </c>
      <c r="P59" s="185" t="e">
        <v>#N/A</v>
      </c>
      <c r="Q59" s="173"/>
      <c r="R59" s="185" t="e">
        <v>#N/A</v>
      </c>
      <c r="S59" s="185" t="e">
        <v>#N/A</v>
      </c>
      <c r="T59" s="185" t="e">
        <v>#N/A</v>
      </c>
      <c r="U59" s="185" t="e">
        <v>#N/A</v>
      </c>
      <c r="V59" s="185" t="e">
        <v>#N/A</v>
      </c>
      <c r="W59" s="185" t="e">
        <v>#N/A</v>
      </c>
      <c r="X59" s="185">
        <v>0.19674125934270978</v>
      </c>
      <c r="Y59" s="185" t="e">
        <v>#N/A</v>
      </c>
      <c r="Z59" s="173"/>
      <c r="AA59" s="183">
        <v>3.4671683240280009</v>
      </c>
      <c r="AB59" s="184">
        <v>263.20263600000004</v>
      </c>
      <c r="AC59" s="170">
        <v>1.6866368644591501</v>
      </c>
      <c r="AD59" s="173"/>
      <c r="AE59" s="174" t="e">
        <v>#N/A</v>
      </c>
      <c r="AF59" s="185" t="e">
        <v>#N/A</v>
      </c>
      <c r="AG59" s="173"/>
      <c r="AH59" s="174" t="e">
        <v>#N/A</v>
      </c>
      <c r="AI59" s="174" t="e">
        <v>#N/A</v>
      </c>
      <c r="AJ59" s="174" t="e">
        <v>#N/A</v>
      </c>
      <c r="AK59" s="173"/>
      <c r="AL59" s="186" t="e">
        <v>#N/A</v>
      </c>
      <c r="AM59" s="187" t="e">
        <v>#N/A</v>
      </c>
      <c r="AN59" s="173"/>
      <c r="AO59" s="188" t="e">
        <v>#N/A</v>
      </c>
      <c r="AP59" s="188" t="e">
        <v>#N/A</v>
      </c>
      <c r="AQ59" s="188">
        <v>289.75</v>
      </c>
      <c r="AR59" s="188" t="e">
        <v>#N/A</v>
      </c>
      <c r="AS59" s="188" t="e">
        <v>#N/A</v>
      </c>
      <c r="AT59" s="188" t="e">
        <v>#N/A</v>
      </c>
      <c r="AU59" s="188" t="e">
        <v>#N/A</v>
      </c>
      <c r="AV59" s="188" t="e">
        <v>#N/A</v>
      </c>
      <c r="AW59" s="188" t="e">
        <v>#N/A</v>
      </c>
      <c r="AX59" s="188" t="e">
        <v>#N/A</v>
      </c>
      <c r="AY59" s="173"/>
      <c r="AZ59" s="184" t="e">
        <v>#N/A</v>
      </c>
      <c r="BA59" s="184" t="e">
        <v>#N/A</v>
      </c>
      <c r="BB59" s="184">
        <v>156.051751</v>
      </c>
      <c r="BC59" s="184" t="e">
        <v>#N/A</v>
      </c>
      <c r="BD59" s="184" t="e">
        <v>#N/A</v>
      </c>
      <c r="BE59" s="184" t="e">
        <v>#N/A</v>
      </c>
      <c r="BF59" s="184" t="e">
        <v>#N/A</v>
      </c>
      <c r="BG59" s="184" t="e">
        <v>#N/A</v>
      </c>
      <c r="BH59" s="184" t="e">
        <v>#N/A</v>
      </c>
      <c r="BI59" s="184" t="e">
        <v>#N/A</v>
      </c>
      <c r="BJ59" s="173"/>
      <c r="BK59" s="184" t="e">
        <v>#N/A</v>
      </c>
      <c r="BL59" s="184" t="e">
        <v>#N/A</v>
      </c>
      <c r="BM59" s="184">
        <v>496.720686</v>
      </c>
      <c r="BN59" s="184" t="e">
        <v>#N/A</v>
      </c>
      <c r="BO59" s="184" t="e">
        <v>#N/A</v>
      </c>
      <c r="BP59" s="184" t="e">
        <v>#N/A</v>
      </c>
      <c r="BQ59" s="184" t="e">
        <v>#N/A</v>
      </c>
      <c r="BR59" s="184" t="e">
        <v>#N/A</v>
      </c>
      <c r="BS59" s="184" t="e">
        <v>#N/A</v>
      </c>
      <c r="BT59" s="184" t="e">
        <v>#N/A</v>
      </c>
      <c r="BU59" s="173"/>
      <c r="BV59" s="173"/>
      <c r="BW59" s="173"/>
    </row>
    <row r="60" spans="1:75" ht="14.4" x14ac:dyDescent="0.3">
      <c r="A60" s="164" t="s">
        <v>484</v>
      </c>
      <c r="B60" s="166" t="str">
        <f t="shared" si="0"/>
        <v>0824100D IN Equity</v>
      </c>
      <c r="C60" s="173"/>
      <c r="D60" s="183" t="e">
        <v>#N/A</v>
      </c>
      <c r="E60" s="184" t="e">
        <v>#N/A</v>
      </c>
      <c r="F60" s="173"/>
      <c r="G60" s="183" t="e">
        <v>#N/A</v>
      </c>
      <c r="H60" s="184" t="e">
        <v>#N/A</v>
      </c>
      <c r="I60" s="173"/>
      <c r="J60" s="170" t="e">
        <v>#N/A</v>
      </c>
      <c r="K60" s="170" t="e">
        <v>#N/A</v>
      </c>
      <c r="L60" s="170" t="e">
        <v>#N/A</v>
      </c>
      <c r="M60" s="170" t="e">
        <v>#N/A</v>
      </c>
      <c r="N60" s="173"/>
      <c r="O60" s="185" t="e">
        <v>#N/A</v>
      </c>
      <c r="P60" s="185" t="e">
        <v>#N/A</v>
      </c>
      <c r="Q60" s="173"/>
      <c r="R60" s="185" t="e">
        <v>#N/A</v>
      </c>
      <c r="S60" s="185" t="e">
        <v>#N/A</v>
      </c>
      <c r="T60" s="185" t="e">
        <v>#N/A</v>
      </c>
      <c r="U60" s="185" t="e">
        <v>#N/A</v>
      </c>
      <c r="V60" s="185" t="e">
        <v>#N/A</v>
      </c>
      <c r="W60" s="185" t="e">
        <v>#N/A</v>
      </c>
      <c r="X60" s="185" t="e">
        <v>#N/A</v>
      </c>
      <c r="Y60" s="185" t="e">
        <v>#N/A</v>
      </c>
      <c r="Z60" s="173"/>
      <c r="AA60" s="183" t="e">
        <v>#N/A</v>
      </c>
      <c r="AB60" s="184" t="e">
        <v>#N/A</v>
      </c>
      <c r="AC60" s="170" t="e">
        <v>#N/A</v>
      </c>
      <c r="AD60" s="173"/>
      <c r="AE60" s="174" t="e">
        <v>#N/A</v>
      </c>
      <c r="AF60" s="185" t="e">
        <v>#N/A</v>
      </c>
      <c r="AG60" s="173"/>
      <c r="AH60" s="174" t="e">
        <v>#N/A</v>
      </c>
      <c r="AI60" s="174" t="e">
        <v>#N/A</v>
      </c>
      <c r="AJ60" s="174" t="e">
        <v>#N/A</v>
      </c>
      <c r="AK60" s="173"/>
      <c r="AL60" s="186" t="e">
        <v>#N/A</v>
      </c>
      <c r="AM60" s="187" t="e">
        <v>#N/A</v>
      </c>
      <c r="AN60" s="173"/>
      <c r="AO60" s="188" t="e">
        <v>#N/A</v>
      </c>
      <c r="AP60" s="188" t="e">
        <v>#N/A</v>
      </c>
      <c r="AQ60" s="188" t="e">
        <v>#N/A</v>
      </c>
      <c r="AR60" s="188" t="e">
        <v>#N/A</v>
      </c>
      <c r="AS60" s="188" t="e">
        <v>#N/A</v>
      </c>
      <c r="AT60" s="188" t="e">
        <v>#N/A</v>
      </c>
      <c r="AU60" s="188" t="e">
        <v>#N/A</v>
      </c>
      <c r="AV60" s="188" t="e">
        <v>#N/A</v>
      </c>
      <c r="AW60" s="188" t="e">
        <v>#N/A</v>
      </c>
      <c r="AX60" s="188" t="e">
        <v>#N/A</v>
      </c>
      <c r="AY60" s="173"/>
      <c r="AZ60" s="184" t="e">
        <v>#N/A</v>
      </c>
      <c r="BA60" s="184" t="e">
        <v>#N/A</v>
      </c>
      <c r="BB60" s="184" t="e">
        <v>#N/A</v>
      </c>
      <c r="BC60" s="184" t="e">
        <v>#N/A</v>
      </c>
      <c r="BD60" s="184" t="e">
        <v>#N/A</v>
      </c>
      <c r="BE60" s="184" t="e">
        <v>#N/A</v>
      </c>
      <c r="BF60" s="184" t="e">
        <v>#N/A</v>
      </c>
      <c r="BG60" s="184" t="e">
        <v>#N/A</v>
      </c>
      <c r="BH60" s="184" t="e">
        <v>#N/A</v>
      </c>
      <c r="BI60" s="184" t="e">
        <v>#N/A</v>
      </c>
      <c r="BJ60" s="173"/>
      <c r="BK60" s="184" t="e">
        <v>#N/A</v>
      </c>
      <c r="BL60" s="184" t="e">
        <v>#N/A</v>
      </c>
      <c r="BM60" s="184" t="e">
        <v>#N/A</v>
      </c>
      <c r="BN60" s="184" t="e">
        <v>#N/A</v>
      </c>
      <c r="BO60" s="184" t="e">
        <v>#N/A</v>
      </c>
      <c r="BP60" s="184" t="e">
        <v>#N/A</v>
      </c>
      <c r="BQ60" s="184" t="e">
        <v>#N/A</v>
      </c>
      <c r="BR60" s="184" t="e">
        <v>#N/A</v>
      </c>
      <c r="BS60" s="184" t="e">
        <v>#N/A</v>
      </c>
      <c r="BT60" s="184" t="e">
        <v>#N/A</v>
      </c>
      <c r="BU60" s="173"/>
      <c r="BV60" s="173"/>
      <c r="BW60" s="173"/>
    </row>
    <row r="61" spans="1:75" x14ac:dyDescent="0.25">
      <c r="A61" s="147" t="s">
        <v>445</v>
      </c>
      <c r="B61" s="166" t="str">
        <f t="shared" si="0"/>
        <v>7559676Z IN Equity</v>
      </c>
      <c r="C61" s="173"/>
      <c r="D61" s="183" t="e">
        <v>#N/A</v>
      </c>
      <c r="E61" s="184" t="e">
        <v>#N/A</v>
      </c>
      <c r="F61" s="173"/>
      <c r="G61" s="183" t="e">
        <v>#N/A</v>
      </c>
      <c r="H61" s="184" t="e">
        <v>#N/A</v>
      </c>
      <c r="I61" s="173"/>
      <c r="J61" s="170" t="e">
        <v>#N/A</v>
      </c>
      <c r="K61" s="170" t="e">
        <v>#N/A</v>
      </c>
      <c r="L61" s="170" t="e">
        <v>#N/A</v>
      </c>
      <c r="M61" s="170" t="e">
        <v>#N/A</v>
      </c>
      <c r="N61" s="173"/>
      <c r="O61" s="185" t="e">
        <v>#N/A</v>
      </c>
      <c r="P61" s="185" t="e">
        <v>#N/A</v>
      </c>
      <c r="Q61" s="173"/>
      <c r="R61" s="185">
        <v>0.15660513258283093</v>
      </c>
      <c r="S61" s="185" t="e">
        <v>#N/A</v>
      </c>
      <c r="T61" s="185">
        <v>0.1567054615343548</v>
      </c>
      <c r="U61" s="185">
        <v>0.11049140189579788</v>
      </c>
      <c r="V61" s="185">
        <v>0.11561293758994477</v>
      </c>
      <c r="W61" s="185">
        <v>0.17474381998732305</v>
      </c>
      <c r="X61" s="185">
        <v>0.12763167789205801</v>
      </c>
      <c r="Y61" s="185">
        <v>0.15818477412077336</v>
      </c>
      <c r="Z61" s="173"/>
      <c r="AA61" s="183">
        <v>-77.647720500000005</v>
      </c>
      <c r="AB61" s="184">
        <v>-5036.5</v>
      </c>
      <c r="AC61" s="170">
        <v>-2.9754238790098664</v>
      </c>
      <c r="AD61" s="173"/>
      <c r="AE61" s="174" t="e">
        <v>#N/A</v>
      </c>
      <c r="AF61" s="185" t="e">
        <v>#N/A</v>
      </c>
      <c r="AG61" s="173"/>
      <c r="AH61" s="174" t="e">
        <v>#N/A</v>
      </c>
      <c r="AI61" s="174" t="e">
        <v>#N/A</v>
      </c>
      <c r="AJ61" s="174" t="e">
        <v>#N/A</v>
      </c>
      <c r="AK61" s="173"/>
      <c r="AL61" s="186" t="e">
        <v>#N/A</v>
      </c>
      <c r="AM61" s="187" t="e">
        <v>#N/A</v>
      </c>
      <c r="AN61" s="173"/>
      <c r="AO61" s="188" t="e">
        <v>#N/A</v>
      </c>
      <c r="AP61" s="188" t="e">
        <v>#N/A</v>
      </c>
      <c r="AQ61" s="188" t="e">
        <v>#N/A</v>
      </c>
      <c r="AR61" s="188" t="e">
        <v>#N/A</v>
      </c>
      <c r="AS61" s="188" t="e">
        <v>#N/A</v>
      </c>
      <c r="AT61" s="188" t="e">
        <v>#N/A</v>
      </c>
      <c r="AU61" s="188" t="e">
        <v>#N/A</v>
      </c>
      <c r="AV61" s="188" t="e">
        <v>#N/A</v>
      </c>
      <c r="AW61" s="188" t="e">
        <v>#N/A</v>
      </c>
      <c r="AX61" s="188" t="e">
        <v>#N/A</v>
      </c>
      <c r="AY61" s="173"/>
      <c r="AZ61" s="184" t="e">
        <v>#N/A</v>
      </c>
      <c r="BA61" s="184" t="e">
        <v>#N/A</v>
      </c>
      <c r="BB61" s="184" t="e">
        <v>#N/A</v>
      </c>
      <c r="BC61" s="184" t="e">
        <v>#N/A</v>
      </c>
      <c r="BD61" s="184" t="e">
        <v>#N/A</v>
      </c>
      <c r="BE61" s="184" t="e">
        <v>#N/A</v>
      </c>
      <c r="BF61" s="184" t="e">
        <v>#N/A</v>
      </c>
      <c r="BG61" s="184" t="e">
        <v>#N/A</v>
      </c>
      <c r="BH61" s="184" t="e">
        <v>#N/A</v>
      </c>
      <c r="BI61" s="184" t="e">
        <v>#N/A</v>
      </c>
      <c r="BJ61" s="173"/>
      <c r="BK61" s="184" t="e">
        <v>#N/A</v>
      </c>
      <c r="BL61" s="184" t="e">
        <v>#N/A</v>
      </c>
      <c r="BM61" s="184" t="e">
        <v>#N/A</v>
      </c>
      <c r="BN61" s="184" t="e">
        <v>#N/A</v>
      </c>
      <c r="BO61" s="184" t="e">
        <v>#N/A</v>
      </c>
      <c r="BP61" s="184" t="e">
        <v>#N/A</v>
      </c>
      <c r="BQ61" s="184" t="e">
        <v>#N/A</v>
      </c>
      <c r="BR61" s="184" t="e">
        <v>#N/A</v>
      </c>
      <c r="BS61" s="184" t="e">
        <v>#N/A</v>
      </c>
      <c r="BT61" s="184" t="e">
        <v>#N/A</v>
      </c>
      <c r="BU61" s="173"/>
      <c r="BV61" s="173"/>
      <c r="BW61" s="173"/>
    </row>
    <row r="62" spans="1:75" x14ac:dyDescent="0.25">
      <c r="A62" s="147" t="s">
        <v>446</v>
      </c>
      <c r="B62" s="166" t="str">
        <f t="shared" si="0"/>
        <v>6595300Z IN Equity</v>
      </c>
      <c r="C62" s="173"/>
      <c r="D62" s="183" t="e">
        <v>#N/A</v>
      </c>
      <c r="E62" s="184" t="e">
        <v>#N/A</v>
      </c>
      <c r="F62" s="173"/>
      <c r="G62" s="183" t="e">
        <v>#N/A</v>
      </c>
      <c r="H62" s="184" t="e">
        <v>#N/A</v>
      </c>
      <c r="I62" s="173"/>
      <c r="J62" s="170" t="e">
        <v>#N/A</v>
      </c>
      <c r="K62" s="170" t="e">
        <v>#N/A</v>
      </c>
      <c r="L62" s="170" t="e">
        <v>#N/A</v>
      </c>
      <c r="M62" s="170" t="e">
        <v>#N/A</v>
      </c>
      <c r="N62" s="173"/>
      <c r="O62" s="185" t="e">
        <v>#N/A</v>
      </c>
      <c r="P62" s="185" t="e">
        <v>#N/A</v>
      </c>
      <c r="Q62" s="173"/>
      <c r="R62" s="185" t="e">
        <v>#N/A</v>
      </c>
      <c r="S62" s="185" t="e">
        <v>#N/A</v>
      </c>
      <c r="T62" s="185" t="e">
        <v>#N/A</v>
      </c>
      <c r="U62" s="185" t="e">
        <v>#N/A</v>
      </c>
      <c r="V62" s="185" t="e">
        <v>#N/A</v>
      </c>
      <c r="W62" s="185" t="e">
        <v>#N/A</v>
      </c>
      <c r="X62" s="185" t="e">
        <v>#N/A</v>
      </c>
      <c r="Y62" s="185" t="e">
        <v>#N/A</v>
      </c>
      <c r="Z62" s="173"/>
      <c r="AA62" s="183">
        <v>50.052262529999993</v>
      </c>
      <c r="AB62" s="184">
        <v>3799.6099999999997</v>
      </c>
      <c r="AC62" s="170">
        <v>7.2956200665505637</v>
      </c>
      <c r="AD62" s="173"/>
      <c r="AE62" s="174" t="e">
        <v>#N/A</v>
      </c>
      <c r="AF62" s="185" t="e">
        <v>#N/A</v>
      </c>
      <c r="AG62" s="173"/>
      <c r="AH62" s="174" t="e">
        <v>#N/A</v>
      </c>
      <c r="AI62" s="174" t="e">
        <v>#N/A</v>
      </c>
      <c r="AJ62" s="174" t="e">
        <v>#N/A</v>
      </c>
      <c r="AK62" s="173"/>
      <c r="AL62" s="186" t="e">
        <v>#N/A</v>
      </c>
      <c r="AM62" s="187" t="e">
        <v>#N/A</v>
      </c>
      <c r="AN62" s="173"/>
      <c r="AO62" s="188">
        <v>43</v>
      </c>
      <c r="AP62" s="188" t="e">
        <v>#N/A</v>
      </c>
      <c r="AQ62" s="188">
        <v>168</v>
      </c>
      <c r="AR62" s="188" t="e">
        <v>#N/A</v>
      </c>
      <c r="AS62" s="188" t="e">
        <v>#N/A</v>
      </c>
      <c r="AT62" s="188" t="e">
        <v>#N/A</v>
      </c>
      <c r="AU62" s="188" t="e">
        <v>#N/A</v>
      </c>
      <c r="AV62" s="188" t="e">
        <v>#N/A</v>
      </c>
      <c r="AW62" s="188" t="e">
        <v>#N/A</v>
      </c>
      <c r="AX62" s="188" t="e">
        <v>#N/A</v>
      </c>
      <c r="AY62" s="173"/>
      <c r="AZ62" s="184">
        <v>173.95699999999999</v>
      </c>
      <c r="BA62" s="184" t="e">
        <v>#N/A</v>
      </c>
      <c r="BB62" s="184">
        <v>520.80700000000002</v>
      </c>
      <c r="BC62" s="184" t="e">
        <v>#N/A</v>
      </c>
      <c r="BD62" s="184" t="e">
        <v>#N/A</v>
      </c>
      <c r="BE62" s="184" t="e">
        <v>#N/A</v>
      </c>
      <c r="BF62" s="184" t="e">
        <v>#N/A</v>
      </c>
      <c r="BG62" s="184" t="e">
        <v>#N/A</v>
      </c>
      <c r="BH62" s="184" t="e">
        <v>#N/A</v>
      </c>
      <c r="BI62" s="184" t="e">
        <v>#N/A</v>
      </c>
      <c r="BJ62" s="173"/>
      <c r="BK62" s="184">
        <v>4896.1559999999999</v>
      </c>
      <c r="BL62" s="184" t="e">
        <v>#N/A</v>
      </c>
      <c r="BM62" s="184">
        <v>7129.1760000000004</v>
      </c>
      <c r="BN62" s="184" t="e">
        <v>#N/A</v>
      </c>
      <c r="BO62" s="184" t="e">
        <v>#N/A</v>
      </c>
      <c r="BP62" s="184" t="e">
        <v>#N/A</v>
      </c>
      <c r="BQ62" s="184" t="e">
        <v>#N/A</v>
      </c>
      <c r="BR62" s="184" t="e">
        <v>#N/A</v>
      </c>
      <c r="BS62" s="184" t="e">
        <v>#N/A</v>
      </c>
      <c r="BT62" s="184" t="e">
        <v>#N/A</v>
      </c>
      <c r="BU62" s="173"/>
      <c r="BV62" s="173"/>
      <c r="BW62" s="173"/>
    </row>
    <row r="63" spans="1:75" x14ac:dyDescent="0.25">
      <c r="A63" s="147" t="s">
        <v>447</v>
      </c>
      <c r="B63" s="166" t="str">
        <f t="shared" si="0"/>
        <v>1633945D IN Equity</v>
      </c>
      <c r="C63" s="173"/>
      <c r="D63" s="183" t="e">
        <v>#N/A</v>
      </c>
      <c r="E63" s="184" t="e">
        <v>#N/A</v>
      </c>
      <c r="F63" s="173"/>
      <c r="G63" s="183" t="e">
        <v>#N/A</v>
      </c>
      <c r="H63" s="184" t="e">
        <v>#N/A</v>
      </c>
      <c r="I63" s="173"/>
      <c r="J63" s="170" t="e">
        <v>#N/A</v>
      </c>
      <c r="K63" s="170" t="e">
        <v>#N/A</v>
      </c>
      <c r="L63" s="170" t="e">
        <v>#N/A</v>
      </c>
      <c r="M63" s="170" t="e">
        <v>#N/A</v>
      </c>
      <c r="N63" s="173"/>
      <c r="O63" s="185" t="e">
        <v>#N/A</v>
      </c>
      <c r="P63" s="185" t="e">
        <v>#N/A</v>
      </c>
      <c r="Q63" s="173"/>
      <c r="R63" s="185" t="e">
        <v>#N/A</v>
      </c>
      <c r="S63" s="185" t="e">
        <v>#N/A</v>
      </c>
      <c r="T63" s="185" t="e">
        <v>#N/A</v>
      </c>
      <c r="U63" s="185" t="e">
        <v>#N/A</v>
      </c>
      <c r="V63" s="185" t="e">
        <v>#N/A</v>
      </c>
      <c r="W63" s="185" t="e">
        <v>#N/A</v>
      </c>
      <c r="X63" s="185">
        <v>8.8886579123700848E-2</v>
      </c>
      <c r="Y63" s="185" t="e">
        <v>#N/A</v>
      </c>
      <c r="Z63" s="173"/>
      <c r="AA63" s="183">
        <v>2.9164102392869999</v>
      </c>
      <c r="AB63" s="184">
        <v>221.39301900000001</v>
      </c>
      <c r="AC63" s="170">
        <v>9.4508675990735291</v>
      </c>
      <c r="AD63" s="173"/>
      <c r="AE63" s="174" t="e">
        <v>#N/A</v>
      </c>
      <c r="AF63" s="185" t="e">
        <v>#N/A</v>
      </c>
      <c r="AG63" s="173"/>
      <c r="AH63" s="174" t="e">
        <v>#N/A</v>
      </c>
      <c r="AI63" s="174" t="e">
        <v>#N/A</v>
      </c>
      <c r="AJ63" s="174" t="e">
        <v>#N/A</v>
      </c>
      <c r="AK63" s="173"/>
      <c r="AL63" s="186" t="e">
        <v>#N/A</v>
      </c>
      <c r="AM63" s="187" t="e">
        <v>#N/A</v>
      </c>
      <c r="AN63" s="173"/>
      <c r="AO63" s="188" t="e">
        <v>#N/A</v>
      </c>
      <c r="AP63" s="188" t="e">
        <v>#N/A</v>
      </c>
      <c r="AQ63" s="188">
        <v>3.86</v>
      </c>
      <c r="AR63" s="188" t="e">
        <v>#N/A</v>
      </c>
      <c r="AS63" s="188" t="e">
        <v>#N/A</v>
      </c>
      <c r="AT63" s="188" t="e">
        <v>#N/A</v>
      </c>
      <c r="AU63" s="188" t="e">
        <v>#N/A</v>
      </c>
      <c r="AV63" s="188" t="e">
        <v>#N/A</v>
      </c>
      <c r="AW63" s="188" t="e">
        <v>#N/A</v>
      </c>
      <c r="AX63" s="188" t="e">
        <v>#N/A</v>
      </c>
      <c r="AY63" s="173"/>
      <c r="AZ63" s="184" t="e">
        <v>#N/A</v>
      </c>
      <c r="BA63" s="184" t="e">
        <v>#N/A</v>
      </c>
      <c r="BB63" s="184">
        <v>23.425681999999998</v>
      </c>
      <c r="BC63" s="184" t="e">
        <v>#N/A</v>
      </c>
      <c r="BD63" s="184" t="e">
        <v>#N/A</v>
      </c>
      <c r="BE63" s="184" t="e">
        <v>#N/A</v>
      </c>
      <c r="BF63" s="184" t="e">
        <v>#N/A</v>
      </c>
      <c r="BG63" s="184" t="e">
        <v>#N/A</v>
      </c>
      <c r="BH63" s="184" t="e">
        <v>#N/A</v>
      </c>
      <c r="BI63" s="184" t="e">
        <v>#N/A</v>
      </c>
      <c r="BJ63" s="173"/>
      <c r="BK63" s="184" t="e">
        <v>#N/A</v>
      </c>
      <c r="BL63" s="184" t="e">
        <v>#N/A</v>
      </c>
      <c r="BM63" s="184">
        <v>232.28940700000001</v>
      </c>
      <c r="BN63" s="184" t="e">
        <v>#N/A</v>
      </c>
      <c r="BO63" s="184" t="e">
        <v>#N/A</v>
      </c>
      <c r="BP63" s="184" t="e">
        <v>#N/A</v>
      </c>
      <c r="BQ63" s="184" t="e">
        <v>#N/A</v>
      </c>
      <c r="BR63" s="184" t="e">
        <v>#N/A</v>
      </c>
      <c r="BS63" s="184" t="e">
        <v>#N/A</v>
      </c>
      <c r="BT63" s="184" t="e">
        <v>#N/A</v>
      </c>
      <c r="BU63" s="173"/>
      <c r="BV63" s="173"/>
      <c r="BW63" s="173"/>
    </row>
    <row r="64" spans="1:75" x14ac:dyDescent="0.25">
      <c r="A64" s="147" t="s">
        <v>448</v>
      </c>
      <c r="B64" s="166" t="str">
        <f t="shared" si="0"/>
        <v>1943632D IN Equity</v>
      </c>
      <c r="C64" s="173"/>
      <c r="D64" s="183" t="e">
        <v>#N/A</v>
      </c>
      <c r="E64" s="184" t="e">
        <v>#N/A</v>
      </c>
      <c r="F64" s="173"/>
      <c r="G64" s="183" t="e">
        <v>#N/A</v>
      </c>
      <c r="H64" s="184" t="e">
        <v>#N/A</v>
      </c>
      <c r="I64" s="173"/>
      <c r="J64" s="170" t="e">
        <v>#N/A</v>
      </c>
      <c r="K64" s="170" t="e">
        <v>#N/A</v>
      </c>
      <c r="L64" s="170" t="e">
        <v>#N/A</v>
      </c>
      <c r="M64" s="170" t="e">
        <v>#N/A</v>
      </c>
      <c r="N64" s="173"/>
      <c r="O64" s="185" t="e">
        <v>#N/A</v>
      </c>
      <c r="P64" s="185" t="e">
        <v>#N/A</v>
      </c>
      <c r="Q64" s="173"/>
      <c r="R64" s="185" t="e">
        <v>#N/A</v>
      </c>
      <c r="S64" s="185" t="e">
        <v>#N/A</v>
      </c>
      <c r="T64" s="185" t="e">
        <v>#N/A</v>
      </c>
      <c r="U64" s="185" t="e">
        <v>#N/A</v>
      </c>
      <c r="V64" s="185" t="e">
        <v>#N/A</v>
      </c>
      <c r="W64" s="185" t="e">
        <v>#N/A</v>
      </c>
      <c r="X64" s="185" t="e">
        <v>#N/A</v>
      </c>
      <c r="Y64" s="185" t="e">
        <v>#N/A</v>
      </c>
      <c r="Z64" s="173"/>
      <c r="AA64" s="183" t="e">
        <v>#N/A</v>
      </c>
      <c r="AB64" s="184" t="e">
        <v>#N/A</v>
      </c>
      <c r="AC64" s="170" t="e">
        <v>#N/A</v>
      </c>
      <c r="AD64" s="173"/>
      <c r="AE64" s="174" t="e">
        <v>#N/A</v>
      </c>
      <c r="AF64" s="185" t="e">
        <v>#N/A</v>
      </c>
      <c r="AG64" s="173"/>
      <c r="AH64" s="174" t="e">
        <v>#N/A</v>
      </c>
      <c r="AI64" s="174" t="e">
        <v>#N/A</v>
      </c>
      <c r="AJ64" s="174" t="e">
        <v>#N/A</v>
      </c>
      <c r="AK64" s="173"/>
      <c r="AL64" s="186" t="e">
        <v>#N/A</v>
      </c>
      <c r="AM64" s="187" t="e">
        <v>#N/A</v>
      </c>
      <c r="AN64" s="173"/>
      <c r="AO64" s="188" t="e">
        <v>#N/A</v>
      </c>
      <c r="AP64" s="188" t="e">
        <v>#N/A</v>
      </c>
      <c r="AQ64" s="188" t="e">
        <v>#N/A</v>
      </c>
      <c r="AR64" s="188" t="e">
        <v>#N/A</v>
      </c>
      <c r="AS64" s="188" t="e">
        <v>#N/A</v>
      </c>
      <c r="AT64" s="188" t="e">
        <v>#N/A</v>
      </c>
      <c r="AU64" s="188" t="e">
        <v>#N/A</v>
      </c>
      <c r="AV64" s="188" t="e">
        <v>#N/A</v>
      </c>
      <c r="AW64" s="188" t="e">
        <v>#N/A</v>
      </c>
      <c r="AX64" s="188" t="e">
        <v>#N/A</v>
      </c>
      <c r="AY64" s="173"/>
      <c r="AZ64" s="184" t="e">
        <v>#N/A</v>
      </c>
      <c r="BA64" s="184" t="e">
        <v>#N/A</v>
      </c>
      <c r="BB64" s="184" t="e">
        <v>#N/A</v>
      </c>
      <c r="BC64" s="184" t="e">
        <v>#N/A</v>
      </c>
      <c r="BD64" s="184" t="e">
        <v>#N/A</v>
      </c>
      <c r="BE64" s="184" t="e">
        <v>#N/A</v>
      </c>
      <c r="BF64" s="184" t="e">
        <v>#N/A</v>
      </c>
      <c r="BG64" s="184" t="e">
        <v>#N/A</v>
      </c>
      <c r="BH64" s="184" t="e">
        <v>#N/A</v>
      </c>
      <c r="BI64" s="184" t="e">
        <v>#N/A</v>
      </c>
      <c r="BJ64" s="173"/>
      <c r="BK64" s="184" t="e">
        <v>#N/A</v>
      </c>
      <c r="BL64" s="184" t="e">
        <v>#N/A</v>
      </c>
      <c r="BM64" s="184" t="e">
        <v>#N/A</v>
      </c>
      <c r="BN64" s="184" t="e">
        <v>#N/A</v>
      </c>
      <c r="BO64" s="184" t="e">
        <v>#N/A</v>
      </c>
      <c r="BP64" s="184" t="e">
        <v>#N/A</v>
      </c>
      <c r="BQ64" s="184" t="e">
        <v>#N/A</v>
      </c>
      <c r="BR64" s="184" t="e">
        <v>#N/A</v>
      </c>
      <c r="BS64" s="184" t="e">
        <v>#N/A</v>
      </c>
      <c r="BT64" s="184" t="e">
        <v>#N/A</v>
      </c>
      <c r="BU64" s="173"/>
      <c r="BV64" s="173"/>
      <c r="BW64" s="173"/>
    </row>
    <row r="65" spans="1:75" x14ac:dyDescent="0.25">
      <c r="A65" s="147" t="s">
        <v>449</v>
      </c>
      <c r="B65" s="166" t="str">
        <f t="shared" si="0"/>
        <v>1315Z IN Equity</v>
      </c>
      <c r="C65" s="173"/>
      <c r="D65" s="183" t="e">
        <v>#N/A</v>
      </c>
      <c r="E65" s="184" t="e">
        <v>#N/A</v>
      </c>
      <c r="F65" s="173"/>
      <c r="G65" s="183" t="e">
        <v>#N/A</v>
      </c>
      <c r="H65" s="184" t="e">
        <v>#N/A</v>
      </c>
      <c r="I65" s="173"/>
      <c r="J65" s="170" t="e">
        <v>#N/A</v>
      </c>
      <c r="K65" s="170" t="e">
        <v>#N/A</v>
      </c>
      <c r="L65" s="170" t="e">
        <v>#N/A</v>
      </c>
      <c r="M65" s="170" t="e">
        <v>#N/A</v>
      </c>
      <c r="N65" s="173"/>
      <c r="O65" s="185" t="e">
        <v>#N/A</v>
      </c>
      <c r="P65" s="185" t="e">
        <v>#N/A</v>
      </c>
      <c r="Q65" s="173"/>
      <c r="R65" s="185" t="e">
        <v>#N/A</v>
      </c>
      <c r="S65" s="185" t="e">
        <v>#N/A</v>
      </c>
      <c r="T65" s="185" t="e">
        <v>#N/A</v>
      </c>
      <c r="U65" s="185" t="e">
        <v>#N/A</v>
      </c>
      <c r="V65" s="185" t="e">
        <v>#N/A</v>
      </c>
      <c r="W65" s="185" t="e">
        <v>#N/A</v>
      </c>
      <c r="X65" s="185">
        <v>1.0866249164873908E-2</v>
      </c>
      <c r="Y65" s="185" t="e">
        <v>#N/A</v>
      </c>
      <c r="Z65" s="173"/>
      <c r="AA65" s="183">
        <v>2.6602438440000005</v>
      </c>
      <c r="AB65" s="184">
        <v>194.63300000000004</v>
      </c>
      <c r="AC65" s="170">
        <v>0.35017775794693173</v>
      </c>
      <c r="AD65" s="173"/>
      <c r="AE65" s="174" t="e">
        <v>#N/A</v>
      </c>
      <c r="AF65" s="185" t="e">
        <v>#N/A</v>
      </c>
      <c r="AG65" s="173"/>
      <c r="AH65" s="174" t="e">
        <v>#N/A</v>
      </c>
      <c r="AI65" s="174" t="e">
        <v>#N/A</v>
      </c>
      <c r="AJ65" s="174" t="e">
        <v>#N/A</v>
      </c>
      <c r="AK65" s="173"/>
      <c r="AL65" s="186" t="e">
        <v>#N/A</v>
      </c>
      <c r="AM65" s="187" t="e">
        <v>#N/A</v>
      </c>
      <c r="AN65" s="173"/>
      <c r="AO65" s="188" t="e">
        <v>#N/A</v>
      </c>
      <c r="AP65" s="188">
        <v>612.89</v>
      </c>
      <c r="AQ65" s="188" t="e">
        <v>#N/A</v>
      </c>
      <c r="AR65" s="188" t="e">
        <v>#N/A</v>
      </c>
      <c r="AS65" s="188" t="e">
        <v>#N/A</v>
      </c>
      <c r="AT65" s="188" t="e">
        <v>#N/A</v>
      </c>
      <c r="AU65" s="188" t="e">
        <v>#N/A</v>
      </c>
      <c r="AV65" s="188" t="e">
        <v>#N/A</v>
      </c>
      <c r="AW65" s="188" t="e">
        <v>#N/A</v>
      </c>
      <c r="AX65" s="188" t="e">
        <v>#N/A</v>
      </c>
      <c r="AY65" s="173"/>
      <c r="AZ65" s="184" t="e">
        <v>#N/A</v>
      </c>
      <c r="BA65" s="184">
        <v>555.81200000000001</v>
      </c>
      <c r="BB65" s="184" t="e">
        <v>#N/A</v>
      </c>
      <c r="BC65" s="184" t="e">
        <v>#N/A</v>
      </c>
      <c r="BD65" s="184" t="e">
        <v>#N/A</v>
      </c>
      <c r="BE65" s="184" t="e">
        <v>#N/A</v>
      </c>
      <c r="BF65" s="184" t="e">
        <v>#N/A</v>
      </c>
      <c r="BG65" s="184" t="e">
        <v>#N/A</v>
      </c>
      <c r="BH65" s="184" t="e">
        <v>#N/A</v>
      </c>
      <c r="BI65" s="184" t="e">
        <v>#N/A</v>
      </c>
      <c r="BJ65" s="173"/>
      <c r="BK65" s="184" t="e">
        <v>#N/A</v>
      </c>
      <c r="BL65" s="184">
        <v>10202.159</v>
      </c>
      <c r="BM65" s="184" t="e">
        <v>#N/A</v>
      </c>
      <c r="BN65" s="184" t="e">
        <v>#N/A</v>
      </c>
      <c r="BO65" s="184" t="e">
        <v>#N/A</v>
      </c>
      <c r="BP65" s="184" t="e">
        <v>#N/A</v>
      </c>
      <c r="BQ65" s="184" t="e">
        <v>#N/A</v>
      </c>
      <c r="BR65" s="184" t="e">
        <v>#N/A</v>
      </c>
      <c r="BS65" s="184" t="e">
        <v>#N/A</v>
      </c>
      <c r="BT65" s="184" t="e">
        <v>#N/A</v>
      </c>
      <c r="BU65" s="173"/>
      <c r="BV65" s="173"/>
      <c r="BW65" s="173"/>
    </row>
    <row r="66" spans="1:75" x14ac:dyDescent="0.25">
      <c r="A66" s="147" t="s">
        <v>450</v>
      </c>
      <c r="B66" s="166" t="str">
        <f t="shared" si="0"/>
        <v>2250224D IN Equity</v>
      </c>
      <c r="C66" s="173"/>
      <c r="D66" s="183" t="e">
        <v>#N/A</v>
      </c>
      <c r="E66" s="184" t="e">
        <v>#N/A</v>
      </c>
      <c r="F66" s="173"/>
      <c r="G66" s="183" t="e">
        <v>#N/A</v>
      </c>
      <c r="H66" s="184" t="e">
        <v>#N/A</v>
      </c>
      <c r="I66" s="173"/>
      <c r="J66" s="170" t="e">
        <v>#N/A</v>
      </c>
      <c r="K66" s="170" t="e">
        <v>#N/A</v>
      </c>
      <c r="L66" s="170" t="e">
        <v>#N/A</v>
      </c>
      <c r="M66" s="170" t="e">
        <v>#N/A</v>
      </c>
      <c r="N66" s="173"/>
      <c r="O66" s="185" t="e">
        <v>#N/A</v>
      </c>
      <c r="P66" s="185" t="e">
        <v>#N/A</v>
      </c>
      <c r="Q66" s="173"/>
      <c r="R66" s="185" t="e">
        <v>#N/A</v>
      </c>
      <c r="S66" s="185" t="e">
        <v>#N/A</v>
      </c>
      <c r="T66" s="185" t="e">
        <v>#N/A</v>
      </c>
      <c r="U66" s="185" t="e">
        <v>#N/A</v>
      </c>
      <c r="V66" s="185" t="e">
        <v>#N/A</v>
      </c>
      <c r="W66" s="185" t="e">
        <v>#N/A</v>
      </c>
      <c r="X66" s="185" t="e">
        <v>#N/A</v>
      </c>
      <c r="Y66" s="185" t="e">
        <v>#N/A</v>
      </c>
      <c r="Z66" s="173"/>
      <c r="AA66" s="183" t="e">
        <v>#N/A</v>
      </c>
      <c r="AB66" s="184" t="e">
        <v>#N/A</v>
      </c>
      <c r="AC66" s="170" t="e">
        <v>#N/A</v>
      </c>
      <c r="AD66" s="173"/>
      <c r="AE66" s="174" t="e">
        <v>#N/A</v>
      </c>
      <c r="AF66" s="185" t="e">
        <v>#N/A</v>
      </c>
      <c r="AG66" s="173"/>
      <c r="AH66" s="174" t="e">
        <v>#N/A</v>
      </c>
      <c r="AI66" s="174" t="e">
        <v>#N/A</v>
      </c>
      <c r="AJ66" s="174" t="e">
        <v>#N/A</v>
      </c>
      <c r="AK66" s="173"/>
      <c r="AL66" s="186" t="e">
        <v>#N/A</v>
      </c>
      <c r="AM66" s="187" t="e">
        <v>#N/A</v>
      </c>
      <c r="AN66" s="173"/>
      <c r="AO66" s="188" t="e">
        <v>#N/A</v>
      </c>
      <c r="AP66" s="188" t="e">
        <v>#N/A</v>
      </c>
      <c r="AQ66" s="188" t="e">
        <v>#N/A</v>
      </c>
      <c r="AR66" s="188" t="e">
        <v>#N/A</v>
      </c>
      <c r="AS66" s="188" t="e">
        <v>#N/A</v>
      </c>
      <c r="AT66" s="188" t="e">
        <v>#N/A</v>
      </c>
      <c r="AU66" s="188" t="e">
        <v>#N/A</v>
      </c>
      <c r="AV66" s="188" t="e">
        <v>#N/A</v>
      </c>
      <c r="AW66" s="188" t="e">
        <v>#N/A</v>
      </c>
      <c r="AX66" s="188" t="e">
        <v>#N/A</v>
      </c>
      <c r="AY66" s="173"/>
      <c r="AZ66" s="184" t="e">
        <v>#N/A</v>
      </c>
      <c r="BA66" s="184" t="e">
        <v>#N/A</v>
      </c>
      <c r="BB66" s="184" t="e">
        <v>#N/A</v>
      </c>
      <c r="BC66" s="184" t="e">
        <v>#N/A</v>
      </c>
      <c r="BD66" s="184" t="e">
        <v>#N/A</v>
      </c>
      <c r="BE66" s="184" t="e">
        <v>#N/A</v>
      </c>
      <c r="BF66" s="184" t="e">
        <v>#N/A</v>
      </c>
      <c r="BG66" s="184" t="e">
        <v>#N/A</v>
      </c>
      <c r="BH66" s="184" t="e">
        <v>#N/A</v>
      </c>
      <c r="BI66" s="184" t="e">
        <v>#N/A</v>
      </c>
      <c r="BJ66" s="173"/>
      <c r="BK66" s="184" t="e">
        <v>#N/A</v>
      </c>
      <c r="BL66" s="184" t="e">
        <v>#N/A</v>
      </c>
      <c r="BM66" s="184" t="e">
        <v>#N/A</v>
      </c>
      <c r="BN66" s="184" t="e">
        <v>#N/A</v>
      </c>
      <c r="BO66" s="184" t="e">
        <v>#N/A</v>
      </c>
      <c r="BP66" s="184" t="e">
        <v>#N/A</v>
      </c>
      <c r="BQ66" s="184" t="e">
        <v>#N/A</v>
      </c>
      <c r="BR66" s="184" t="e">
        <v>#N/A</v>
      </c>
      <c r="BS66" s="184" t="e">
        <v>#N/A</v>
      </c>
      <c r="BT66" s="184" t="e">
        <v>#N/A</v>
      </c>
      <c r="BU66" s="173"/>
      <c r="BV66" s="173"/>
      <c r="BW66" s="173"/>
    </row>
    <row r="67" spans="1:75" ht="14.4" x14ac:dyDescent="0.3">
      <c r="A67" s="164" t="s">
        <v>488</v>
      </c>
      <c r="B67" s="166" t="str">
        <f t="shared" si="0"/>
        <v>1359165D IN Equity</v>
      </c>
      <c r="C67" s="173"/>
      <c r="D67" s="183" t="e">
        <v>#N/A</v>
      </c>
      <c r="E67" s="184" t="e">
        <v>#N/A</v>
      </c>
      <c r="F67" s="173"/>
      <c r="G67" s="183" t="e">
        <v>#N/A</v>
      </c>
      <c r="H67" s="184" t="e">
        <v>#N/A</v>
      </c>
      <c r="I67" s="173"/>
      <c r="J67" s="170" t="e">
        <v>#N/A</v>
      </c>
      <c r="K67" s="170" t="e">
        <v>#N/A</v>
      </c>
      <c r="L67" s="170" t="e">
        <v>#N/A</v>
      </c>
      <c r="M67" s="170" t="e">
        <v>#N/A</v>
      </c>
      <c r="N67" s="173"/>
      <c r="O67" s="185" t="e">
        <v>#N/A</v>
      </c>
      <c r="P67" s="185" t="e">
        <v>#N/A</v>
      </c>
      <c r="Q67" s="173"/>
      <c r="R67" s="185" t="e">
        <v>#N/A</v>
      </c>
      <c r="S67" s="185" t="e">
        <v>#N/A</v>
      </c>
      <c r="T67" s="185" t="e">
        <v>#N/A</v>
      </c>
      <c r="U67" s="185" t="e">
        <v>#N/A</v>
      </c>
      <c r="V67" s="185" t="e">
        <v>#N/A</v>
      </c>
      <c r="W67" s="185" t="e">
        <v>#N/A</v>
      </c>
      <c r="X67" s="185" t="e">
        <v>#N/A</v>
      </c>
      <c r="Y67" s="185" t="e">
        <v>#N/A</v>
      </c>
      <c r="Z67" s="173"/>
      <c r="AA67" s="183" t="e">
        <v>#N/A</v>
      </c>
      <c r="AB67" s="184" t="e">
        <v>#N/A</v>
      </c>
      <c r="AC67" s="170" t="e">
        <v>#N/A</v>
      </c>
      <c r="AD67" s="173"/>
      <c r="AE67" s="174" t="e">
        <v>#N/A</v>
      </c>
      <c r="AF67" s="185" t="e">
        <v>#N/A</v>
      </c>
      <c r="AG67" s="173"/>
      <c r="AH67" s="174" t="e">
        <v>#N/A</v>
      </c>
      <c r="AI67" s="174" t="e">
        <v>#N/A</v>
      </c>
      <c r="AJ67" s="174" t="e">
        <v>#N/A</v>
      </c>
      <c r="AK67" s="173"/>
      <c r="AL67" s="186" t="e">
        <v>#N/A</v>
      </c>
      <c r="AM67" s="187" t="e">
        <v>#N/A</v>
      </c>
      <c r="AN67" s="173"/>
      <c r="AO67" s="188" t="e">
        <v>#N/A</v>
      </c>
      <c r="AP67" s="188" t="e">
        <v>#N/A</v>
      </c>
      <c r="AQ67" s="188" t="e">
        <v>#N/A</v>
      </c>
      <c r="AR67" s="188" t="e">
        <v>#N/A</v>
      </c>
      <c r="AS67" s="188" t="e">
        <v>#N/A</v>
      </c>
      <c r="AT67" s="188" t="e">
        <v>#N/A</v>
      </c>
      <c r="AU67" s="188" t="e">
        <v>#N/A</v>
      </c>
      <c r="AV67" s="188" t="e">
        <v>#N/A</v>
      </c>
      <c r="AW67" s="188" t="e">
        <v>#N/A</v>
      </c>
      <c r="AX67" s="188" t="e">
        <v>#N/A</v>
      </c>
      <c r="AY67" s="173"/>
      <c r="AZ67" s="184" t="e">
        <v>#N/A</v>
      </c>
      <c r="BA67" s="184" t="e">
        <v>#N/A</v>
      </c>
      <c r="BB67" s="184" t="e">
        <v>#N/A</v>
      </c>
      <c r="BC67" s="184" t="e">
        <v>#N/A</v>
      </c>
      <c r="BD67" s="184" t="e">
        <v>#N/A</v>
      </c>
      <c r="BE67" s="184" t="e">
        <v>#N/A</v>
      </c>
      <c r="BF67" s="184" t="e">
        <v>#N/A</v>
      </c>
      <c r="BG67" s="184" t="e">
        <v>#N/A</v>
      </c>
      <c r="BH67" s="184" t="e">
        <v>#N/A</v>
      </c>
      <c r="BI67" s="184" t="e">
        <v>#N/A</v>
      </c>
      <c r="BJ67" s="173"/>
      <c r="BK67" s="184" t="e">
        <v>#N/A</v>
      </c>
      <c r="BL67" s="184" t="e">
        <v>#N/A</v>
      </c>
      <c r="BM67" s="184" t="e">
        <v>#N/A</v>
      </c>
      <c r="BN67" s="184" t="e">
        <v>#N/A</v>
      </c>
      <c r="BO67" s="184" t="e">
        <v>#N/A</v>
      </c>
      <c r="BP67" s="184" t="e">
        <v>#N/A</v>
      </c>
      <c r="BQ67" s="184" t="e">
        <v>#N/A</v>
      </c>
      <c r="BR67" s="184" t="e">
        <v>#N/A</v>
      </c>
      <c r="BS67" s="184" t="e">
        <v>#N/A</v>
      </c>
      <c r="BT67" s="184" t="e">
        <v>#N/A</v>
      </c>
      <c r="BU67" s="173"/>
      <c r="BV67" s="173"/>
      <c r="BW67" s="173"/>
    </row>
    <row r="68" spans="1:75" ht="14.4" x14ac:dyDescent="0.3">
      <c r="A68" s="164" t="s">
        <v>487</v>
      </c>
      <c r="B68" s="166" t="str">
        <f t="shared" si="0"/>
        <v>2582619D IN Equity</v>
      </c>
      <c r="C68" s="173"/>
      <c r="D68" s="183" t="e">
        <v>#N/A</v>
      </c>
      <c r="E68" s="184" t="e">
        <v>#N/A</v>
      </c>
      <c r="F68" s="173"/>
      <c r="G68" s="183" t="e">
        <v>#N/A</v>
      </c>
      <c r="H68" s="184" t="e">
        <v>#N/A</v>
      </c>
      <c r="I68" s="173"/>
      <c r="J68" s="170" t="e">
        <v>#N/A</v>
      </c>
      <c r="K68" s="170" t="e">
        <v>#N/A</v>
      </c>
      <c r="L68" s="170" t="e">
        <v>#N/A</v>
      </c>
      <c r="M68" s="170" t="e">
        <v>#N/A</v>
      </c>
      <c r="N68" s="173"/>
      <c r="O68" s="185" t="e">
        <v>#N/A</v>
      </c>
      <c r="P68" s="185" t="e">
        <v>#N/A</v>
      </c>
      <c r="Q68" s="173"/>
      <c r="R68" s="185" t="e">
        <v>#N/A</v>
      </c>
      <c r="S68" s="185" t="e">
        <v>#N/A</v>
      </c>
      <c r="T68" s="185" t="e">
        <v>#N/A</v>
      </c>
      <c r="U68" s="185" t="e">
        <v>#N/A</v>
      </c>
      <c r="V68" s="185" t="e">
        <v>#N/A</v>
      </c>
      <c r="W68" s="185" t="e">
        <v>#N/A</v>
      </c>
      <c r="X68" s="185" t="e">
        <v>#N/A</v>
      </c>
      <c r="Y68" s="185" t="e">
        <v>#N/A</v>
      </c>
      <c r="Z68" s="173"/>
      <c r="AA68" s="183" t="e">
        <v>#N/A</v>
      </c>
      <c r="AB68" s="184" t="e">
        <v>#N/A</v>
      </c>
      <c r="AC68" s="170" t="e">
        <v>#N/A</v>
      </c>
      <c r="AD68" s="173"/>
      <c r="AE68" s="174" t="e">
        <v>#N/A</v>
      </c>
      <c r="AF68" s="185" t="e">
        <v>#N/A</v>
      </c>
      <c r="AG68" s="173"/>
      <c r="AH68" s="174" t="e">
        <v>#N/A</v>
      </c>
      <c r="AI68" s="174" t="e">
        <v>#N/A</v>
      </c>
      <c r="AJ68" s="174" t="e">
        <v>#N/A</v>
      </c>
      <c r="AK68" s="173"/>
      <c r="AL68" s="186" t="e">
        <v>#N/A</v>
      </c>
      <c r="AM68" s="187" t="e">
        <v>#N/A</v>
      </c>
      <c r="AN68" s="173"/>
      <c r="AO68" s="188" t="e">
        <v>#N/A</v>
      </c>
      <c r="AP68" s="188" t="e">
        <v>#N/A</v>
      </c>
      <c r="AQ68" s="188" t="e">
        <v>#N/A</v>
      </c>
      <c r="AR68" s="188" t="e">
        <v>#N/A</v>
      </c>
      <c r="AS68" s="188" t="e">
        <v>#N/A</v>
      </c>
      <c r="AT68" s="188" t="e">
        <v>#N/A</v>
      </c>
      <c r="AU68" s="188" t="e">
        <v>#N/A</v>
      </c>
      <c r="AV68" s="188" t="e">
        <v>#N/A</v>
      </c>
      <c r="AW68" s="188" t="e">
        <v>#N/A</v>
      </c>
      <c r="AX68" s="188" t="e">
        <v>#N/A</v>
      </c>
      <c r="AY68" s="173"/>
      <c r="AZ68" s="184" t="e">
        <v>#N/A</v>
      </c>
      <c r="BA68" s="184" t="e">
        <v>#N/A</v>
      </c>
      <c r="BB68" s="184" t="e">
        <v>#N/A</v>
      </c>
      <c r="BC68" s="184" t="e">
        <v>#N/A</v>
      </c>
      <c r="BD68" s="184" t="e">
        <v>#N/A</v>
      </c>
      <c r="BE68" s="184" t="e">
        <v>#N/A</v>
      </c>
      <c r="BF68" s="184" t="e">
        <v>#N/A</v>
      </c>
      <c r="BG68" s="184" t="e">
        <v>#N/A</v>
      </c>
      <c r="BH68" s="184" t="e">
        <v>#N/A</v>
      </c>
      <c r="BI68" s="184" t="e">
        <v>#N/A</v>
      </c>
      <c r="BJ68" s="173"/>
      <c r="BK68" s="184" t="e">
        <v>#N/A</v>
      </c>
      <c r="BL68" s="184" t="e">
        <v>#N/A</v>
      </c>
      <c r="BM68" s="184" t="e">
        <v>#N/A</v>
      </c>
      <c r="BN68" s="184" t="e">
        <v>#N/A</v>
      </c>
      <c r="BO68" s="184" t="e">
        <v>#N/A</v>
      </c>
      <c r="BP68" s="184" t="e">
        <v>#N/A</v>
      </c>
      <c r="BQ68" s="184" t="e">
        <v>#N/A</v>
      </c>
      <c r="BR68" s="184" t="e">
        <v>#N/A</v>
      </c>
      <c r="BS68" s="184" t="e">
        <v>#N/A</v>
      </c>
      <c r="BT68" s="184" t="e">
        <v>#N/A</v>
      </c>
      <c r="BU68" s="173"/>
      <c r="BV68" s="173"/>
      <c r="BW68" s="173"/>
    </row>
    <row r="69" spans="1:75" x14ac:dyDescent="0.25">
      <c r="A69" s="147" t="s">
        <v>451</v>
      </c>
      <c r="B69" s="166" t="str">
        <f t="shared" si="0"/>
        <v>1943633D IN Equity</v>
      </c>
      <c r="C69" s="173"/>
      <c r="D69" s="183" t="e">
        <v>#N/A</v>
      </c>
      <c r="E69" s="184" t="e">
        <v>#N/A</v>
      </c>
      <c r="F69" s="173"/>
      <c r="G69" s="183" t="e">
        <v>#N/A</v>
      </c>
      <c r="H69" s="184" t="e">
        <v>#N/A</v>
      </c>
      <c r="I69" s="173"/>
      <c r="J69" s="170" t="e">
        <v>#N/A</v>
      </c>
      <c r="K69" s="170" t="e">
        <v>#N/A</v>
      </c>
      <c r="L69" s="170" t="e">
        <v>#N/A</v>
      </c>
      <c r="M69" s="170" t="e">
        <v>#N/A</v>
      </c>
      <c r="N69" s="173"/>
      <c r="O69" s="185" t="e">
        <v>#N/A</v>
      </c>
      <c r="P69" s="185" t="e">
        <v>#N/A</v>
      </c>
      <c r="Q69" s="173"/>
      <c r="R69" s="185" t="e">
        <v>#N/A</v>
      </c>
      <c r="S69" s="185" t="e">
        <v>#N/A</v>
      </c>
      <c r="T69" s="185" t="e">
        <v>#N/A</v>
      </c>
      <c r="U69" s="185" t="e">
        <v>#N/A</v>
      </c>
      <c r="V69" s="185" t="e">
        <v>#N/A</v>
      </c>
      <c r="W69" s="185" t="e">
        <v>#N/A</v>
      </c>
      <c r="X69" s="185" t="e">
        <v>#N/A</v>
      </c>
      <c r="Y69" s="185" t="e">
        <v>#N/A</v>
      </c>
      <c r="Z69" s="173"/>
      <c r="AA69" s="183" t="e">
        <v>#N/A</v>
      </c>
      <c r="AB69" s="184" t="e">
        <v>#N/A</v>
      </c>
      <c r="AC69" s="170" t="e">
        <v>#N/A</v>
      </c>
      <c r="AD69" s="173"/>
      <c r="AE69" s="174" t="e">
        <v>#N/A</v>
      </c>
      <c r="AF69" s="185" t="e">
        <v>#N/A</v>
      </c>
      <c r="AG69" s="173"/>
      <c r="AH69" s="174" t="e">
        <v>#N/A</v>
      </c>
      <c r="AI69" s="174" t="e">
        <v>#N/A</v>
      </c>
      <c r="AJ69" s="174" t="e">
        <v>#N/A</v>
      </c>
      <c r="AK69" s="173"/>
      <c r="AL69" s="186" t="e">
        <v>#N/A</v>
      </c>
      <c r="AM69" s="187" t="e">
        <v>#N/A</v>
      </c>
      <c r="AN69" s="173"/>
      <c r="AO69" s="188" t="e">
        <v>#N/A</v>
      </c>
      <c r="AP69" s="188" t="e">
        <v>#N/A</v>
      </c>
      <c r="AQ69" s="188" t="e">
        <v>#N/A</v>
      </c>
      <c r="AR69" s="188" t="e">
        <v>#N/A</v>
      </c>
      <c r="AS69" s="188" t="e">
        <v>#N/A</v>
      </c>
      <c r="AT69" s="188" t="e">
        <v>#N/A</v>
      </c>
      <c r="AU69" s="188" t="e">
        <v>#N/A</v>
      </c>
      <c r="AV69" s="188" t="e">
        <v>#N/A</v>
      </c>
      <c r="AW69" s="188" t="e">
        <v>#N/A</v>
      </c>
      <c r="AX69" s="188" t="e">
        <v>#N/A</v>
      </c>
      <c r="AY69" s="173"/>
      <c r="AZ69" s="184" t="e">
        <v>#N/A</v>
      </c>
      <c r="BA69" s="184" t="e">
        <v>#N/A</v>
      </c>
      <c r="BB69" s="184" t="e">
        <v>#N/A</v>
      </c>
      <c r="BC69" s="184" t="e">
        <v>#N/A</v>
      </c>
      <c r="BD69" s="184" t="e">
        <v>#N/A</v>
      </c>
      <c r="BE69" s="184" t="e">
        <v>#N/A</v>
      </c>
      <c r="BF69" s="184" t="e">
        <v>#N/A</v>
      </c>
      <c r="BG69" s="184" t="e">
        <v>#N/A</v>
      </c>
      <c r="BH69" s="184" t="e">
        <v>#N/A</v>
      </c>
      <c r="BI69" s="184" t="e">
        <v>#N/A</v>
      </c>
      <c r="BJ69" s="173"/>
      <c r="BK69" s="184" t="e">
        <v>#N/A</v>
      </c>
      <c r="BL69" s="184" t="e">
        <v>#N/A</v>
      </c>
      <c r="BM69" s="184" t="e">
        <v>#N/A</v>
      </c>
      <c r="BN69" s="184" t="e">
        <v>#N/A</v>
      </c>
      <c r="BO69" s="184" t="e">
        <v>#N/A</v>
      </c>
      <c r="BP69" s="184" t="e">
        <v>#N/A</v>
      </c>
      <c r="BQ69" s="184" t="e">
        <v>#N/A</v>
      </c>
      <c r="BR69" s="184" t="e">
        <v>#N/A</v>
      </c>
      <c r="BS69" s="184" t="e">
        <v>#N/A</v>
      </c>
      <c r="BT69" s="184" t="e">
        <v>#N/A</v>
      </c>
      <c r="BU69" s="173"/>
      <c r="BV69" s="173"/>
      <c r="BW69" s="173"/>
    </row>
    <row r="70" spans="1:75" x14ac:dyDescent="0.25">
      <c r="A70" s="147" t="s">
        <v>402</v>
      </c>
      <c r="B70" s="166" t="str">
        <f t="shared" ref="B70:B80" si="1">A70&amp;" IN Equity"</f>
        <v>SAIL IN Equity</v>
      </c>
      <c r="C70" s="173"/>
      <c r="D70" s="183">
        <v>6060.2533954517885</v>
      </c>
      <c r="E70" s="184">
        <v>534640.41673125897</v>
      </c>
      <c r="F70" s="173"/>
      <c r="G70" s="183">
        <v>10265.999354444397</v>
      </c>
      <c r="H70" s="184">
        <v>894310.91673125909</v>
      </c>
      <c r="I70" s="173"/>
      <c r="J70" s="170">
        <v>22.255567321544074</v>
      </c>
      <c r="K70" s="170">
        <v>13.668038955574088</v>
      </c>
      <c r="L70" s="170">
        <v>8.4002749967477541</v>
      </c>
      <c r="M70" s="170">
        <v>6.5459525504693152</v>
      </c>
      <c r="N70" s="173"/>
      <c r="O70" s="185">
        <v>0.90771742463185967</v>
      </c>
      <c r="P70" s="185">
        <v>0.93023210906018827</v>
      </c>
      <c r="Q70" s="173"/>
      <c r="R70" s="185">
        <v>4.1420474984102229E-2</v>
      </c>
      <c r="S70" s="185">
        <v>6.362542531766896E-2</v>
      </c>
      <c r="T70" s="185">
        <v>4.1944868729301185E-2</v>
      </c>
      <c r="U70" s="185">
        <v>5.9836463293675445E-2</v>
      </c>
      <c r="V70" s="185">
        <v>3.7523050364115754E-2</v>
      </c>
      <c r="W70" s="185">
        <v>4.9214513302862653E-2</v>
      </c>
      <c r="X70" s="185">
        <v>3.954718079275208E-2</v>
      </c>
      <c r="Y70" s="185">
        <v>4.6333903994610882E-2</v>
      </c>
      <c r="Z70" s="173"/>
      <c r="AA70" s="183">
        <v>4204.9089846000006</v>
      </c>
      <c r="AB70" s="184">
        <v>359670.60000000003</v>
      </c>
      <c r="AC70" s="170">
        <v>3.3783909954810216</v>
      </c>
      <c r="AD70" s="173"/>
      <c r="AE70" s="174">
        <v>4130.0921539999999</v>
      </c>
      <c r="AF70" s="185">
        <v>0.34996254541200733</v>
      </c>
      <c r="AG70" s="173"/>
      <c r="AH70" s="174">
        <v>15.838958600000009</v>
      </c>
      <c r="AI70" s="174">
        <v>10.829938999999998</v>
      </c>
      <c r="AJ70" s="174">
        <v>11.242592033333333</v>
      </c>
      <c r="AK70" s="173"/>
      <c r="AL70" s="186">
        <v>1.4674740889039726</v>
      </c>
      <c r="AM70" s="187">
        <v>129.44999694824219</v>
      </c>
      <c r="AN70" s="173"/>
      <c r="AO70" s="188">
        <v>5.13</v>
      </c>
      <c r="AP70" s="188">
        <v>9.9410000000000007</v>
      </c>
      <c r="AQ70" s="188">
        <v>28.783999999999999</v>
      </c>
      <c r="AR70" s="188">
        <v>4.7636969999999996</v>
      </c>
      <c r="AS70" s="188">
        <v>5.3887270000000003</v>
      </c>
      <c r="AT70" s="188">
        <v>5.74</v>
      </c>
      <c r="AU70" s="188">
        <v>9.4710000000000001</v>
      </c>
      <c r="AV70" s="188">
        <v>10.711</v>
      </c>
      <c r="AW70" s="188">
        <v>14.394285714285713</v>
      </c>
      <c r="AX70" s="188">
        <v>5.8049999999999997</v>
      </c>
      <c r="AY70" s="173"/>
      <c r="AZ70" s="184">
        <v>104609.1</v>
      </c>
      <c r="BA70" s="184">
        <v>128428.3</v>
      </c>
      <c r="BB70" s="184">
        <v>213415.2</v>
      </c>
      <c r="BC70" s="184">
        <v>80394.3</v>
      </c>
      <c r="BD70" s="184">
        <v>111493.1</v>
      </c>
      <c r="BE70" s="184">
        <v>106462.1</v>
      </c>
      <c r="BF70" s="184">
        <v>123563</v>
      </c>
      <c r="BG70" s="184">
        <v>134901.125</v>
      </c>
      <c r="BH70" s="184">
        <v>176377.60000000001</v>
      </c>
      <c r="BI70" s="184" t="e">
        <v>#N/A</v>
      </c>
      <c r="BJ70" s="173"/>
      <c r="BK70" s="184">
        <v>610513.19999999995</v>
      </c>
      <c r="BL70" s="184">
        <v>684764.3</v>
      </c>
      <c r="BM70" s="184">
        <v>1028329.2</v>
      </c>
      <c r="BN70" s="184">
        <v>1037879.5</v>
      </c>
      <c r="BO70" s="184">
        <v>1045677.4</v>
      </c>
      <c r="BP70" s="184">
        <v>1017402.6</v>
      </c>
      <c r="BQ70" s="184">
        <v>1082428.888888889</v>
      </c>
      <c r="BR70" s="184">
        <v>1150679.25</v>
      </c>
      <c r="BS70" s="184">
        <v>1193522.6000000001</v>
      </c>
      <c r="BT70" s="184" t="e">
        <v>#N/A</v>
      </c>
      <c r="BU70" s="173"/>
      <c r="BV70" s="173"/>
      <c r="BW70" s="173"/>
    </row>
    <row r="71" spans="1:75" x14ac:dyDescent="0.25">
      <c r="A71" s="142" t="s">
        <v>401</v>
      </c>
      <c r="B71" s="166" t="str">
        <f t="shared" si="1"/>
        <v>C2C IN Equity</v>
      </c>
      <c r="C71" s="173"/>
      <c r="D71" s="183">
        <v>144.49125778319899</v>
      </c>
      <c r="E71" s="184">
        <v>12747.134688</v>
      </c>
      <c r="F71" s="173"/>
      <c r="G71" s="183">
        <v>142.79708581925667</v>
      </c>
      <c r="H71" s="184">
        <v>12604.252688</v>
      </c>
      <c r="I71" s="173"/>
      <c r="J71" s="170" t="e">
        <v>#N/A</v>
      </c>
      <c r="K71" s="170" t="e">
        <v>#N/A</v>
      </c>
      <c r="L71" s="170">
        <v>68.780982952437085</v>
      </c>
      <c r="M71" s="170" t="e">
        <v>#N/A</v>
      </c>
      <c r="N71" s="173"/>
      <c r="O71" s="185" t="e">
        <v>#N/A</v>
      </c>
      <c r="P71" s="185" t="e">
        <v>#N/A</v>
      </c>
      <c r="Q71" s="173"/>
      <c r="R71" s="185">
        <v>0.3108914175594179</v>
      </c>
      <c r="S71" s="185" t="e">
        <v>#N/A</v>
      </c>
      <c r="T71" s="185" t="e">
        <v>#N/A</v>
      </c>
      <c r="U71" s="185">
        <v>0.35668300867491359</v>
      </c>
      <c r="V71" s="185">
        <v>0.28184300267247836</v>
      </c>
      <c r="W71" s="185">
        <v>0.38099735864529727</v>
      </c>
      <c r="X71" s="185">
        <v>0.16379897196534585</v>
      </c>
      <c r="Y71" s="185">
        <v>0.28440873262220417</v>
      </c>
      <c r="Z71" s="173"/>
      <c r="AA71" s="183">
        <v>-1.7141553540000001</v>
      </c>
      <c r="AB71" s="184">
        <v>-142.88200000000001</v>
      </c>
      <c r="AC71" s="170">
        <v>-0.77970226791522068</v>
      </c>
      <c r="AD71" s="173"/>
      <c r="AE71" s="174">
        <v>16.641168</v>
      </c>
      <c r="AF71" s="185">
        <v>0.84797587525106422</v>
      </c>
      <c r="AG71" s="173"/>
      <c r="AH71" s="174">
        <v>3.6360000000000003E-2</v>
      </c>
      <c r="AI71" s="174">
        <v>4.8120000000000003E-2</v>
      </c>
      <c r="AJ71" s="174">
        <v>5.2359999999999997E-2</v>
      </c>
      <c r="AK71" s="173"/>
      <c r="AL71" s="186">
        <v>8.6835471502551247</v>
      </c>
      <c r="AM71" s="187">
        <v>766</v>
      </c>
      <c r="AN71" s="173"/>
      <c r="AO71" s="188" t="e">
        <v>#N/A</v>
      </c>
      <c r="AP71" s="188" t="e">
        <v>#N/A</v>
      </c>
      <c r="AQ71" s="188" t="e">
        <v>#N/A</v>
      </c>
      <c r="AR71" s="188" t="e">
        <v>#N/A</v>
      </c>
      <c r="AS71" s="188" t="e">
        <v>#N/A</v>
      </c>
      <c r="AT71" s="188" t="e">
        <v>#N/A</v>
      </c>
      <c r="AU71" s="188" t="e">
        <v>#N/A</v>
      </c>
      <c r="AV71" s="188" t="e">
        <v>#N/A</v>
      </c>
      <c r="AW71" s="188" t="e">
        <v>#N/A</v>
      </c>
      <c r="AX71" s="188" t="e">
        <v>#N/A</v>
      </c>
      <c r="AY71" s="173"/>
      <c r="AZ71" s="184" t="e">
        <v>#N/A</v>
      </c>
      <c r="BA71" s="184" t="e">
        <v>#N/A</v>
      </c>
      <c r="BB71" s="184">
        <v>-20.84</v>
      </c>
      <c r="BC71" s="184">
        <v>38.433999999999997</v>
      </c>
      <c r="BD71" s="184">
        <v>183.25199999999998</v>
      </c>
      <c r="BE71" s="184" t="e">
        <v>#N/A</v>
      </c>
      <c r="BF71" s="184" t="e">
        <v>#N/A</v>
      </c>
      <c r="BG71" s="184" t="e">
        <v>#N/A</v>
      </c>
      <c r="BH71" s="184" t="e">
        <v>#N/A</v>
      </c>
      <c r="BI71" s="184" t="e">
        <v>#N/A</v>
      </c>
      <c r="BJ71" s="173"/>
      <c r="BK71" s="184" t="e">
        <v>#N/A</v>
      </c>
      <c r="BL71" s="184" t="e">
        <v>#N/A</v>
      </c>
      <c r="BM71" s="184">
        <v>3.4689999999999999</v>
      </c>
      <c r="BN71" s="184">
        <v>80.486999999999995</v>
      </c>
      <c r="BO71" s="184">
        <v>410.589</v>
      </c>
      <c r="BP71" s="184" t="e">
        <v>#N/A</v>
      </c>
      <c r="BQ71" s="184" t="e">
        <v>#N/A</v>
      </c>
      <c r="BR71" s="184" t="e">
        <v>#N/A</v>
      </c>
      <c r="BS71" s="184" t="e">
        <v>#N/A</v>
      </c>
      <c r="BT71" s="184" t="e">
        <v>#N/A</v>
      </c>
      <c r="BU71" s="173"/>
      <c r="BV71" s="173"/>
      <c r="BW71" s="173"/>
    </row>
    <row r="72" spans="1:75" x14ac:dyDescent="0.25">
      <c r="A72" s="142" t="s">
        <v>478</v>
      </c>
      <c r="B72" s="166" t="str">
        <f t="shared" si="1"/>
        <v>1313978D IN Equity</v>
      </c>
      <c r="C72" s="173"/>
      <c r="D72" s="183" t="e">
        <v>#N/A</v>
      </c>
      <c r="E72" s="184" t="e">
        <v>#N/A</v>
      </c>
      <c r="F72" s="173"/>
      <c r="G72" s="183" t="e">
        <v>#N/A</v>
      </c>
      <c r="H72" s="184" t="e">
        <v>#N/A</v>
      </c>
      <c r="I72" s="173"/>
      <c r="J72" s="170" t="e">
        <v>#N/A</v>
      </c>
      <c r="K72" s="170" t="e">
        <v>#N/A</v>
      </c>
      <c r="L72" s="170" t="e">
        <v>#N/A</v>
      </c>
      <c r="M72" s="170" t="e">
        <v>#N/A</v>
      </c>
      <c r="N72" s="173"/>
      <c r="O72" s="185" t="e">
        <v>#N/A</v>
      </c>
      <c r="P72" s="185" t="e">
        <v>#N/A</v>
      </c>
      <c r="Q72" s="173"/>
      <c r="R72" s="185" t="e">
        <v>#N/A</v>
      </c>
      <c r="S72" s="185" t="e">
        <v>#N/A</v>
      </c>
      <c r="T72" s="185" t="e">
        <v>#N/A</v>
      </c>
      <c r="U72" s="185" t="e">
        <v>#N/A</v>
      </c>
      <c r="V72" s="185" t="e">
        <v>#N/A</v>
      </c>
      <c r="W72" s="185" t="e">
        <v>#N/A</v>
      </c>
      <c r="X72" s="185" t="e">
        <v>#N/A</v>
      </c>
      <c r="Y72" s="185" t="e">
        <v>#N/A</v>
      </c>
      <c r="Z72" s="173"/>
      <c r="AA72" s="183" t="e">
        <v>#N/A</v>
      </c>
      <c r="AB72" s="184" t="e">
        <v>#N/A</v>
      </c>
      <c r="AC72" s="170" t="e">
        <v>#N/A</v>
      </c>
      <c r="AD72" s="173"/>
      <c r="AE72" s="174" t="e">
        <v>#N/A</v>
      </c>
      <c r="AF72" s="185" t="e">
        <v>#N/A</v>
      </c>
      <c r="AG72" s="173"/>
      <c r="AH72" s="174" t="e">
        <v>#N/A</v>
      </c>
      <c r="AI72" s="174" t="e">
        <v>#N/A</v>
      </c>
      <c r="AJ72" s="174" t="e">
        <v>#N/A</v>
      </c>
      <c r="AK72" s="173"/>
      <c r="AL72" s="186" t="e">
        <v>#N/A</v>
      </c>
      <c r="AM72" s="187" t="e">
        <v>#N/A</v>
      </c>
      <c r="AN72" s="173"/>
      <c r="AO72" s="188" t="e">
        <v>#N/A</v>
      </c>
      <c r="AP72" s="188" t="e">
        <v>#N/A</v>
      </c>
      <c r="AQ72" s="188" t="e">
        <v>#N/A</v>
      </c>
      <c r="AR72" s="188" t="e">
        <v>#N/A</v>
      </c>
      <c r="AS72" s="188" t="e">
        <v>#N/A</v>
      </c>
      <c r="AT72" s="188" t="e">
        <v>#N/A</v>
      </c>
      <c r="AU72" s="188" t="e">
        <v>#N/A</v>
      </c>
      <c r="AV72" s="188" t="e">
        <v>#N/A</v>
      </c>
      <c r="AW72" s="188" t="e">
        <v>#N/A</v>
      </c>
      <c r="AX72" s="188" t="e">
        <v>#N/A</v>
      </c>
      <c r="AY72" s="173"/>
      <c r="AZ72" s="184" t="e">
        <v>#N/A</v>
      </c>
      <c r="BA72" s="184" t="e">
        <v>#N/A</v>
      </c>
      <c r="BB72" s="184" t="e">
        <v>#N/A</v>
      </c>
      <c r="BC72" s="184" t="e">
        <v>#N/A</v>
      </c>
      <c r="BD72" s="184" t="e">
        <v>#N/A</v>
      </c>
      <c r="BE72" s="184" t="e">
        <v>#N/A</v>
      </c>
      <c r="BF72" s="184" t="e">
        <v>#N/A</v>
      </c>
      <c r="BG72" s="184" t="e">
        <v>#N/A</v>
      </c>
      <c r="BH72" s="184" t="e">
        <v>#N/A</v>
      </c>
      <c r="BI72" s="184" t="e">
        <v>#N/A</v>
      </c>
      <c r="BJ72" s="173"/>
      <c r="BK72" s="184" t="e">
        <v>#N/A</v>
      </c>
      <c r="BL72" s="184" t="e">
        <v>#N/A</v>
      </c>
      <c r="BM72" s="184" t="e">
        <v>#N/A</v>
      </c>
      <c r="BN72" s="184" t="e">
        <v>#N/A</v>
      </c>
      <c r="BO72" s="184" t="e">
        <v>#N/A</v>
      </c>
      <c r="BP72" s="184" t="e">
        <v>#N/A</v>
      </c>
      <c r="BQ72" s="184" t="e">
        <v>#N/A</v>
      </c>
      <c r="BR72" s="184" t="e">
        <v>#N/A</v>
      </c>
      <c r="BS72" s="184" t="e">
        <v>#N/A</v>
      </c>
      <c r="BT72" s="184" t="e">
        <v>#N/A</v>
      </c>
      <c r="BU72" s="173"/>
      <c r="BV72" s="173"/>
      <c r="BW72" s="173"/>
    </row>
    <row r="73" spans="1:75" x14ac:dyDescent="0.25">
      <c r="A73" s="142" t="s">
        <v>479</v>
      </c>
      <c r="B73" s="166" t="str">
        <f t="shared" si="1"/>
        <v>2339955Z IN Equity</v>
      </c>
      <c r="C73" s="173"/>
      <c r="D73" s="183" t="e">
        <v>#N/A</v>
      </c>
      <c r="E73" s="184" t="e">
        <v>#N/A</v>
      </c>
      <c r="F73" s="173"/>
      <c r="G73" s="183" t="e">
        <v>#N/A</v>
      </c>
      <c r="H73" s="184" t="e">
        <v>#N/A</v>
      </c>
      <c r="I73" s="173"/>
      <c r="J73" s="170" t="e">
        <v>#N/A</v>
      </c>
      <c r="K73" s="170" t="e">
        <v>#N/A</v>
      </c>
      <c r="L73" s="170" t="e">
        <v>#N/A</v>
      </c>
      <c r="M73" s="170" t="e">
        <v>#N/A</v>
      </c>
      <c r="N73" s="173"/>
      <c r="O73" s="185" t="e">
        <v>#N/A</v>
      </c>
      <c r="P73" s="185" t="e">
        <v>#N/A</v>
      </c>
      <c r="Q73" s="173"/>
      <c r="R73" s="185" t="e">
        <v>#N/A</v>
      </c>
      <c r="S73" s="185" t="e">
        <v>#N/A</v>
      </c>
      <c r="T73" s="185" t="e">
        <v>#N/A</v>
      </c>
      <c r="U73" s="185" t="e">
        <v>#N/A</v>
      </c>
      <c r="V73" s="185" t="e">
        <v>#N/A</v>
      </c>
      <c r="W73" s="185" t="e">
        <v>#N/A</v>
      </c>
      <c r="X73" s="185" t="e">
        <v>#N/A</v>
      </c>
      <c r="Y73" s="185" t="e">
        <v>#N/A</v>
      </c>
      <c r="Z73" s="173"/>
      <c r="AA73" s="183" t="e">
        <v>#N/A</v>
      </c>
      <c r="AB73" s="184" t="e">
        <v>#N/A</v>
      </c>
      <c r="AC73" s="170" t="e">
        <v>#N/A</v>
      </c>
      <c r="AD73" s="173"/>
      <c r="AE73" s="174" t="e">
        <v>#N/A</v>
      </c>
      <c r="AF73" s="185" t="e">
        <v>#N/A</v>
      </c>
      <c r="AG73" s="173"/>
      <c r="AH73" s="174" t="e">
        <v>#N/A</v>
      </c>
      <c r="AI73" s="174" t="e">
        <v>#N/A</v>
      </c>
      <c r="AJ73" s="174" t="e">
        <v>#N/A</v>
      </c>
      <c r="AK73" s="173"/>
      <c r="AL73" s="186" t="e">
        <v>#N/A</v>
      </c>
      <c r="AM73" s="187" t="e">
        <v>#N/A</v>
      </c>
      <c r="AN73" s="173"/>
      <c r="AO73" s="188" t="e">
        <v>#N/A</v>
      </c>
      <c r="AP73" s="188" t="e">
        <v>#N/A</v>
      </c>
      <c r="AQ73" s="188" t="e">
        <v>#N/A</v>
      </c>
      <c r="AR73" s="188" t="e">
        <v>#N/A</v>
      </c>
      <c r="AS73" s="188" t="e">
        <v>#N/A</v>
      </c>
      <c r="AT73" s="188" t="e">
        <v>#N/A</v>
      </c>
      <c r="AU73" s="188" t="e">
        <v>#N/A</v>
      </c>
      <c r="AV73" s="188" t="e">
        <v>#N/A</v>
      </c>
      <c r="AW73" s="188" t="e">
        <v>#N/A</v>
      </c>
      <c r="AX73" s="188" t="e">
        <v>#N/A</v>
      </c>
      <c r="AY73" s="173"/>
      <c r="AZ73" s="184" t="e">
        <v>#N/A</v>
      </c>
      <c r="BA73" s="184" t="e">
        <v>#N/A</v>
      </c>
      <c r="BB73" s="184" t="e">
        <v>#N/A</v>
      </c>
      <c r="BC73" s="184" t="e">
        <v>#N/A</v>
      </c>
      <c r="BD73" s="184" t="e">
        <v>#N/A</v>
      </c>
      <c r="BE73" s="184" t="e">
        <v>#N/A</v>
      </c>
      <c r="BF73" s="184" t="e">
        <v>#N/A</v>
      </c>
      <c r="BG73" s="184" t="e">
        <v>#N/A</v>
      </c>
      <c r="BH73" s="184" t="e">
        <v>#N/A</v>
      </c>
      <c r="BI73" s="184" t="e">
        <v>#N/A</v>
      </c>
      <c r="BJ73" s="173"/>
      <c r="BK73" s="184" t="e">
        <v>#N/A</v>
      </c>
      <c r="BL73" s="184" t="e">
        <v>#N/A</v>
      </c>
      <c r="BM73" s="184" t="e">
        <v>#N/A</v>
      </c>
      <c r="BN73" s="184" t="e">
        <v>#N/A</v>
      </c>
      <c r="BO73" s="184" t="e">
        <v>#N/A</v>
      </c>
      <c r="BP73" s="184" t="e">
        <v>#N/A</v>
      </c>
      <c r="BQ73" s="184" t="e">
        <v>#N/A</v>
      </c>
      <c r="BR73" s="184" t="e">
        <v>#N/A</v>
      </c>
      <c r="BS73" s="184" t="e">
        <v>#N/A</v>
      </c>
      <c r="BT73" s="184" t="e">
        <v>#N/A</v>
      </c>
      <c r="BU73" s="173"/>
      <c r="BV73" s="173"/>
      <c r="BW73" s="173"/>
    </row>
    <row r="74" spans="1:75" x14ac:dyDescent="0.25">
      <c r="A74" s="142" t="s">
        <v>480</v>
      </c>
      <c r="B74" s="166" t="str">
        <f t="shared" si="1"/>
        <v>1471388D IN Equity</v>
      </c>
      <c r="C74" s="173"/>
      <c r="D74" s="183" t="e">
        <v>#N/A</v>
      </c>
      <c r="E74" s="184" t="e">
        <v>#N/A</v>
      </c>
      <c r="F74" s="173"/>
      <c r="G74" s="183" t="e">
        <v>#N/A</v>
      </c>
      <c r="H74" s="184" t="e">
        <v>#N/A</v>
      </c>
      <c r="I74" s="173"/>
      <c r="J74" s="170" t="e">
        <v>#N/A</v>
      </c>
      <c r="K74" s="170" t="e">
        <v>#N/A</v>
      </c>
      <c r="L74" s="170" t="e">
        <v>#N/A</v>
      </c>
      <c r="M74" s="170" t="e">
        <v>#N/A</v>
      </c>
      <c r="N74" s="173"/>
      <c r="O74" s="185" t="e">
        <v>#N/A</v>
      </c>
      <c r="P74" s="185" t="e">
        <v>#N/A</v>
      </c>
      <c r="Q74" s="173"/>
      <c r="R74" s="185" t="e">
        <v>#N/A</v>
      </c>
      <c r="S74" s="185" t="e">
        <v>#N/A</v>
      </c>
      <c r="T74" s="185" t="e">
        <v>#N/A</v>
      </c>
      <c r="U74" s="185" t="e">
        <v>#N/A</v>
      </c>
      <c r="V74" s="185" t="e">
        <v>#N/A</v>
      </c>
      <c r="W74" s="185" t="e">
        <v>#N/A</v>
      </c>
      <c r="X74" s="185">
        <v>0.15007349236147255</v>
      </c>
      <c r="Y74" s="185" t="e">
        <v>#N/A</v>
      </c>
      <c r="Z74" s="173"/>
      <c r="AA74" s="183">
        <v>14.321710655999999</v>
      </c>
      <c r="AB74" s="184">
        <v>1176.1279999999999</v>
      </c>
      <c r="AC74" s="170">
        <v>1.1774974295105207</v>
      </c>
      <c r="AD74" s="173"/>
      <c r="AE74" s="174" t="e">
        <v>#N/A</v>
      </c>
      <c r="AF74" s="185" t="e">
        <v>#N/A</v>
      </c>
      <c r="AG74" s="173"/>
      <c r="AH74" s="174" t="e">
        <v>#N/A</v>
      </c>
      <c r="AI74" s="174" t="e">
        <v>#N/A</v>
      </c>
      <c r="AJ74" s="174" t="e">
        <v>#N/A</v>
      </c>
      <c r="AK74" s="173"/>
      <c r="AL74" s="186" t="e">
        <v>#N/A</v>
      </c>
      <c r="AM74" s="187" t="e">
        <v>#N/A</v>
      </c>
      <c r="AN74" s="173"/>
      <c r="AO74" s="188">
        <v>16.309999999999999</v>
      </c>
      <c r="AP74" s="188">
        <v>102.81</v>
      </c>
      <c r="AQ74" s="188" t="e">
        <v>#N/A</v>
      </c>
      <c r="AR74" s="188">
        <v>133.68</v>
      </c>
      <c r="AS74" s="188" t="e">
        <v>#N/A</v>
      </c>
      <c r="AT74" s="188" t="e">
        <v>#N/A</v>
      </c>
      <c r="AU74" s="188" t="e">
        <v>#N/A</v>
      </c>
      <c r="AV74" s="188" t="e">
        <v>#N/A</v>
      </c>
      <c r="AW74" s="188" t="e">
        <v>#N/A</v>
      </c>
      <c r="AX74" s="188" t="e">
        <v>#N/A</v>
      </c>
      <c r="AY74" s="173"/>
      <c r="AZ74" s="184">
        <v>281.84855600000009</v>
      </c>
      <c r="BA74" s="184">
        <v>821.00467800000001</v>
      </c>
      <c r="BB74" s="184" t="e">
        <v>#N/A</v>
      </c>
      <c r="BC74" s="184">
        <v>998.83699999999999</v>
      </c>
      <c r="BD74" s="184" t="e">
        <v>#N/A</v>
      </c>
      <c r="BE74" s="184" t="e">
        <v>#N/A</v>
      </c>
      <c r="BF74" s="184" t="e">
        <v>#N/A</v>
      </c>
      <c r="BG74" s="184" t="e">
        <v>#N/A</v>
      </c>
      <c r="BH74" s="184" t="e">
        <v>#N/A</v>
      </c>
      <c r="BI74" s="184" t="e">
        <v>#N/A</v>
      </c>
      <c r="BJ74" s="173"/>
      <c r="BK74" s="184">
        <v>2378.7317979999998</v>
      </c>
      <c r="BL74" s="184">
        <v>3532.2325080000001</v>
      </c>
      <c r="BM74" s="184" t="e">
        <v>#N/A</v>
      </c>
      <c r="BN74" s="184">
        <v>4825.107</v>
      </c>
      <c r="BO74" s="184" t="e">
        <v>#N/A</v>
      </c>
      <c r="BP74" s="184" t="e">
        <v>#N/A</v>
      </c>
      <c r="BQ74" s="184" t="e">
        <v>#N/A</v>
      </c>
      <c r="BR74" s="184" t="e">
        <v>#N/A</v>
      </c>
      <c r="BS74" s="184" t="e">
        <v>#N/A</v>
      </c>
      <c r="BT74" s="184" t="e">
        <v>#N/A</v>
      </c>
      <c r="BU74" s="173"/>
      <c r="BV74" s="173"/>
      <c r="BW74" s="173"/>
    </row>
    <row r="75" spans="1:75" ht="14.4" x14ac:dyDescent="0.3">
      <c r="A75" s="164" t="s">
        <v>486</v>
      </c>
      <c r="B75" s="166" t="str">
        <f t="shared" si="1"/>
        <v>6594164Z IN Equity</v>
      </c>
      <c r="C75" s="173"/>
      <c r="D75" s="183" t="e">
        <v>#N/A</v>
      </c>
      <c r="E75" s="184" t="e">
        <v>#N/A</v>
      </c>
      <c r="F75" s="173"/>
      <c r="G75" s="183" t="e">
        <v>#N/A</v>
      </c>
      <c r="H75" s="184" t="e">
        <v>#N/A</v>
      </c>
      <c r="I75" s="173"/>
      <c r="J75" s="170" t="e">
        <v>#N/A</v>
      </c>
      <c r="K75" s="170" t="e">
        <v>#N/A</v>
      </c>
      <c r="L75" s="170" t="e">
        <v>#N/A</v>
      </c>
      <c r="M75" s="170" t="e">
        <v>#N/A</v>
      </c>
      <c r="N75" s="173"/>
      <c r="O75" s="185" t="e">
        <v>#N/A</v>
      </c>
      <c r="P75" s="185" t="e">
        <v>#N/A</v>
      </c>
      <c r="Q75" s="173"/>
      <c r="R75" s="185" t="e">
        <v>#N/A</v>
      </c>
      <c r="S75" s="185" t="e">
        <v>#N/A</v>
      </c>
      <c r="T75" s="185" t="e">
        <v>#N/A</v>
      </c>
      <c r="U75" s="185" t="e">
        <v>#N/A</v>
      </c>
      <c r="V75" s="185" t="e">
        <v>#N/A</v>
      </c>
      <c r="W75" s="185" t="e">
        <v>#N/A</v>
      </c>
      <c r="X75" s="185" t="e">
        <v>#N/A</v>
      </c>
      <c r="Y75" s="185" t="e">
        <v>#N/A</v>
      </c>
      <c r="Z75" s="173"/>
      <c r="AA75" s="183" t="e">
        <v>#N/A</v>
      </c>
      <c r="AB75" s="184" t="e">
        <v>#N/A</v>
      </c>
      <c r="AC75" s="170" t="e">
        <v>#N/A</v>
      </c>
      <c r="AD75" s="173"/>
      <c r="AE75" s="174" t="e">
        <v>#N/A</v>
      </c>
      <c r="AF75" s="185" t="e">
        <v>#N/A</v>
      </c>
      <c r="AG75" s="173"/>
      <c r="AH75" s="174" t="e">
        <v>#N/A</v>
      </c>
      <c r="AI75" s="174" t="e">
        <v>#N/A</v>
      </c>
      <c r="AJ75" s="174" t="e">
        <v>#N/A</v>
      </c>
      <c r="AK75" s="173"/>
      <c r="AL75" s="186" t="e">
        <v>#N/A</v>
      </c>
      <c r="AM75" s="187" t="e">
        <v>#N/A</v>
      </c>
      <c r="AN75" s="173"/>
      <c r="AO75" s="188" t="e">
        <v>#N/A</v>
      </c>
      <c r="AP75" s="188" t="e">
        <v>#N/A</v>
      </c>
      <c r="AQ75" s="188" t="e">
        <v>#N/A</v>
      </c>
      <c r="AR75" s="188" t="e">
        <v>#N/A</v>
      </c>
      <c r="AS75" s="188" t="e">
        <v>#N/A</v>
      </c>
      <c r="AT75" s="188" t="e">
        <v>#N/A</v>
      </c>
      <c r="AU75" s="188" t="e">
        <v>#N/A</v>
      </c>
      <c r="AV75" s="188" t="e">
        <v>#N/A</v>
      </c>
      <c r="AW75" s="188" t="e">
        <v>#N/A</v>
      </c>
      <c r="AX75" s="188" t="e">
        <v>#N/A</v>
      </c>
      <c r="AY75" s="173"/>
      <c r="AZ75" s="184" t="e">
        <v>#N/A</v>
      </c>
      <c r="BA75" s="184" t="e">
        <v>#N/A</v>
      </c>
      <c r="BB75" s="184" t="e">
        <v>#N/A</v>
      </c>
      <c r="BC75" s="184" t="e">
        <v>#N/A</v>
      </c>
      <c r="BD75" s="184" t="e">
        <v>#N/A</v>
      </c>
      <c r="BE75" s="184" t="e">
        <v>#N/A</v>
      </c>
      <c r="BF75" s="184" t="e">
        <v>#N/A</v>
      </c>
      <c r="BG75" s="184" t="e">
        <v>#N/A</v>
      </c>
      <c r="BH75" s="184" t="e">
        <v>#N/A</v>
      </c>
      <c r="BI75" s="184" t="e">
        <v>#N/A</v>
      </c>
      <c r="BJ75" s="173"/>
      <c r="BK75" s="184" t="e">
        <v>#N/A</v>
      </c>
      <c r="BL75" s="184" t="e">
        <v>#N/A</v>
      </c>
      <c r="BM75" s="184" t="e">
        <v>#N/A</v>
      </c>
      <c r="BN75" s="184" t="e">
        <v>#N/A</v>
      </c>
      <c r="BO75" s="184" t="e">
        <v>#N/A</v>
      </c>
      <c r="BP75" s="184" t="e">
        <v>#N/A</v>
      </c>
      <c r="BQ75" s="184" t="e">
        <v>#N/A</v>
      </c>
      <c r="BR75" s="184" t="e">
        <v>#N/A</v>
      </c>
      <c r="BS75" s="184" t="e">
        <v>#N/A</v>
      </c>
      <c r="BT75" s="184" t="e">
        <v>#N/A</v>
      </c>
      <c r="BU75" s="173"/>
      <c r="BV75" s="173"/>
      <c r="BW75" s="173"/>
    </row>
    <row r="76" spans="1:75" x14ac:dyDescent="0.25">
      <c r="A76" s="142" t="s">
        <v>481</v>
      </c>
      <c r="B76" s="166" t="str">
        <f t="shared" si="1"/>
        <v>1537114D IN Equity</v>
      </c>
      <c r="C76" s="173"/>
      <c r="D76" s="183" t="e">
        <v>#N/A</v>
      </c>
      <c r="E76" s="184" t="e">
        <v>#N/A</v>
      </c>
      <c r="F76" s="173"/>
      <c r="G76" s="183" t="e">
        <v>#N/A</v>
      </c>
      <c r="H76" s="184" t="e">
        <v>#N/A</v>
      </c>
      <c r="I76" s="173"/>
      <c r="J76" s="170" t="e">
        <v>#N/A</v>
      </c>
      <c r="K76" s="170" t="e">
        <v>#N/A</v>
      </c>
      <c r="L76" s="170" t="e">
        <v>#N/A</v>
      </c>
      <c r="M76" s="170" t="e">
        <v>#N/A</v>
      </c>
      <c r="N76" s="173"/>
      <c r="O76" s="185" t="e">
        <v>#N/A</v>
      </c>
      <c r="P76" s="185" t="e">
        <v>#N/A</v>
      </c>
      <c r="Q76" s="173"/>
      <c r="R76" s="185" t="e">
        <v>#N/A</v>
      </c>
      <c r="S76" s="185" t="e">
        <v>#N/A</v>
      </c>
      <c r="T76" s="185" t="e">
        <v>#N/A</v>
      </c>
      <c r="U76" s="185" t="e">
        <v>#N/A</v>
      </c>
      <c r="V76" s="185" t="e">
        <v>#N/A</v>
      </c>
      <c r="W76" s="185" t="e">
        <v>#N/A</v>
      </c>
      <c r="X76" s="185" t="e">
        <v>#N/A</v>
      </c>
      <c r="Y76" s="185" t="e">
        <v>#N/A</v>
      </c>
      <c r="Z76" s="173"/>
      <c r="AA76" s="183" t="e">
        <v>#N/A</v>
      </c>
      <c r="AB76" s="184" t="e">
        <v>#N/A</v>
      </c>
      <c r="AC76" s="170" t="e">
        <v>#N/A</v>
      </c>
      <c r="AD76" s="173"/>
      <c r="AE76" s="174" t="e">
        <v>#N/A</v>
      </c>
      <c r="AF76" s="185" t="e">
        <v>#N/A</v>
      </c>
      <c r="AG76" s="173"/>
      <c r="AH76" s="174" t="e">
        <v>#N/A</v>
      </c>
      <c r="AI76" s="174" t="e">
        <v>#N/A</v>
      </c>
      <c r="AJ76" s="174" t="e">
        <v>#N/A</v>
      </c>
      <c r="AK76" s="173"/>
      <c r="AL76" s="186" t="e">
        <v>#N/A</v>
      </c>
      <c r="AM76" s="187" t="e">
        <v>#N/A</v>
      </c>
      <c r="AN76" s="173"/>
      <c r="AO76" s="188" t="e">
        <v>#N/A</v>
      </c>
      <c r="AP76" s="188" t="e">
        <v>#N/A</v>
      </c>
      <c r="AQ76" s="188" t="e">
        <v>#N/A</v>
      </c>
      <c r="AR76" s="188" t="e">
        <v>#N/A</v>
      </c>
      <c r="AS76" s="188" t="e">
        <v>#N/A</v>
      </c>
      <c r="AT76" s="188" t="e">
        <v>#N/A</v>
      </c>
      <c r="AU76" s="188" t="e">
        <v>#N/A</v>
      </c>
      <c r="AV76" s="188" t="e">
        <v>#N/A</v>
      </c>
      <c r="AW76" s="188" t="e">
        <v>#N/A</v>
      </c>
      <c r="AX76" s="188" t="e">
        <v>#N/A</v>
      </c>
      <c r="AY76" s="173"/>
      <c r="AZ76" s="184" t="e">
        <v>#N/A</v>
      </c>
      <c r="BA76" s="184" t="e">
        <v>#N/A</v>
      </c>
      <c r="BB76" s="184" t="e">
        <v>#N/A</v>
      </c>
      <c r="BC76" s="184" t="e">
        <v>#N/A</v>
      </c>
      <c r="BD76" s="184" t="e">
        <v>#N/A</v>
      </c>
      <c r="BE76" s="184" t="e">
        <v>#N/A</v>
      </c>
      <c r="BF76" s="184" t="e">
        <v>#N/A</v>
      </c>
      <c r="BG76" s="184" t="e">
        <v>#N/A</v>
      </c>
      <c r="BH76" s="184" t="e">
        <v>#N/A</v>
      </c>
      <c r="BI76" s="184" t="e">
        <v>#N/A</v>
      </c>
      <c r="BJ76" s="173"/>
      <c r="BK76" s="184" t="e">
        <v>#N/A</v>
      </c>
      <c r="BL76" s="184" t="e">
        <v>#N/A</v>
      </c>
      <c r="BM76" s="184" t="e">
        <v>#N/A</v>
      </c>
      <c r="BN76" s="184" t="e">
        <v>#N/A</v>
      </c>
      <c r="BO76" s="184" t="e">
        <v>#N/A</v>
      </c>
      <c r="BP76" s="184" t="e">
        <v>#N/A</v>
      </c>
      <c r="BQ76" s="184" t="e">
        <v>#N/A</v>
      </c>
      <c r="BR76" s="184" t="e">
        <v>#N/A</v>
      </c>
      <c r="BS76" s="184" t="e">
        <v>#N/A</v>
      </c>
      <c r="BT76" s="184" t="e">
        <v>#N/A</v>
      </c>
      <c r="BU76" s="173"/>
      <c r="BV76" s="173"/>
      <c r="BW76" s="173"/>
    </row>
    <row r="77" spans="1:75" x14ac:dyDescent="0.25">
      <c r="A77" s="142" t="s">
        <v>482</v>
      </c>
      <c r="B77" s="166" t="str">
        <f t="shared" si="1"/>
        <v>0496525D IN Equity</v>
      </c>
      <c r="C77" s="173"/>
      <c r="D77" s="183" t="e">
        <v>#N/A</v>
      </c>
      <c r="E77" s="184" t="e">
        <v>#N/A</v>
      </c>
      <c r="F77" s="173"/>
      <c r="G77" s="183" t="e">
        <v>#N/A</v>
      </c>
      <c r="H77" s="184" t="e">
        <v>#N/A</v>
      </c>
      <c r="I77" s="173"/>
      <c r="J77" s="170" t="e">
        <v>#N/A</v>
      </c>
      <c r="K77" s="170" t="e">
        <v>#N/A</v>
      </c>
      <c r="L77" s="170" t="e">
        <v>#N/A</v>
      </c>
      <c r="M77" s="170" t="e">
        <v>#N/A</v>
      </c>
      <c r="N77" s="173"/>
      <c r="O77" s="185" t="e">
        <v>#N/A</v>
      </c>
      <c r="P77" s="185" t="e">
        <v>#N/A</v>
      </c>
      <c r="Q77" s="173"/>
      <c r="R77" s="185" t="e">
        <v>#N/A</v>
      </c>
      <c r="S77" s="185" t="e">
        <v>#N/A</v>
      </c>
      <c r="T77" s="185" t="e">
        <v>#N/A</v>
      </c>
      <c r="U77" s="185" t="e">
        <v>#N/A</v>
      </c>
      <c r="V77" s="185" t="e">
        <v>#N/A</v>
      </c>
      <c r="W77" s="185" t="e">
        <v>#N/A</v>
      </c>
      <c r="X77" s="185">
        <v>4.3137366432909247E-2</v>
      </c>
      <c r="Y77" s="185" t="e">
        <v>#N/A</v>
      </c>
      <c r="Z77" s="173"/>
      <c r="AA77" s="183">
        <v>11.403813791999999</v>
      </c>
      <c r="AB77" s="184">
        <v>834.34400000000005</v>
      </c>
      <c r="AC77" s="170">
        <v>3.0037765737223912</v>
      </c>
      <c r="AD77" s="173"/>
      <c r="AE77" s="174" t="e">
        <v>#N/A</v>
      </c>
      <c r="AF77" s="185" t="e">
        <v>#N/A</v>
      </c>
      <c r="AG77" s="173"/>
      <c r="AH77" s="174" t="e">
        <v>#N/A</v>
      </c>
      <c r="AI77" s="174" t="e">
        <v>#N/A</v>
      </c>
      <c r="AJ77" s="174" t="e">
        <v>#N/A</v>
      </c>
      <c r="AK77" s="173"/>
      <c r="AL77" s="186" t="e">
        <v>#N/A</v>
      </c>
      <c r="AM77" s="187" t="e">
        <v>#N/A</v>
      </c>
      <c r="AN77" s="173"/>
      <c r="AO77" s="188" t="e">
        <v>#N/A</v>
      </c>
      <c r="AP77" s="188">
        <v>3.68</v>
      </c>
      <c r="AQ77" s="188" t="e">
        <v>#N/A</v>
      </c>
      <c r="AR77" s="188" t="e">
        <v>#N/A</v>
      </c>
      <c r="AS77" s="188" t="e">
        <v>#N/A</v>
      </c>
      <c r="AT77" s="188" t="e">
        <v>#N/A</v>
      </c>
      <c r="AU77" s="188" t="e">
        <v>#N/A</v>
      </c>
      <c r="AV77" s="188" t="e">
        <v>#N/A</v>
      </c>
      <c r="AW77" s="188" t="e">
        <v>#N/A</v>
      </c>
      <c r="AX77" s="188" t="e">
        <v>#N/A</v>
      </c>
      <c r="AY77" s="173"/>
      <c r="AZ77" s="184" t="e">
        <v>#N/A</v>
      </c>
      <c r="BA77" s="184">
        <v>277.76499999999999</v>
      </c>
      <c r="BB77" s="184" t="e">
        <v>#N/A</v>
      </c>
      <c r="BC77" s="184" t="e">
        <v>#N/A</v>
      </c>
      <c r="BD77" s="184" t="e">
        <v>#N/A</v>
      </c>
      <c r="BE77" s="184" t="e">
        <v>#N/A</v>
      </c>
      <c r="BF77" s="184" t="e">
        <v>#N/A</v>
      </c>
      <c r="BG77" s="184" t="e">
        <v>#N/A</v>
      </c>
      <c r="BH77" s="184" t="e">
        <v>#N/A</v>
      </c>
      <c r="BI77" s="184" t="e">
        <v>#N/A</v>
      </c>
      <c r="BJ77" s="173"/>
      <c r="BK77" s="184" t="e">
        <v>#N/A</v>
      </c>
      <c r="BL77" s="184">
        <v>1242.3610000000001</v>
      </c>
      <c r="BM77" s="184" t="e">
        <v>#N/A</v>
      </c>
      <c r="BN77" s="184" t="e">
        <v>#N/A</v>
      </c>
      <c r="BO77" s="184" t="e">
        <v>#N/A</v>
      </c>
      <c r="BP77" s="184" t="e">
        <v>#N/A</v>
      </c>
      <c r="BQ77" s="184" t="e">
        <v>#N/A</v>
      </c>
      <c r="BR77" s="184" t="e">
        <v>#N/A</v>
      </c>
      <c r="BS77" s="184" t="e">
        <v>#N/A</v>
      </c>
      <c r="BT77" s="184" t="e">
        <v>#N/A</v>
      </c>
      <c r="BU77" s="173"/>
      <c r="BV77" s="173"/>
      <c r="BW77" s="173"/>
    </row>
    <row r="78" spans="1:75" x14ac:dyDescent="0.25">
      <c r="A78" s="142" t="s">
        <v>483</v>
      </c>
      <c r="B78" s="166" t="str">
        <f t="shared" si="1"/>
        <v>1606516D IN Equity</v>
      </c>
      <c r="C78" s="173"/>
      <c r="D78" s="183" t="e">
        <v>#N/A</v>
      </c>
      <c r="E78" s="184" t="e">
        <v>#N/A</v>
      </c>
      <c r="F78" s="173"/>
      <c r="G78" s="183" t="e">
        <v>#N/A</v>
      </c>
      <c r="H78" s="184" t="e">
        <v>#N/A</v>
      </c>
      <c r="I78" s="173"/>
      <c r="J78" s="170" t="e">
        <v>#N/A</v>
      </c>
      <c r="K78" s="170" t="e">
        <v>#N/A</v>
      </c>
      <c r="L78" s="170" t="e">
        <v>#N/A</v>
      </c>
      <c r="M78" s="170" t="e">
        <v>#N/A</v>
      </c>
      <c r="N78" s="173"/>
      <c r="O78" s="185" t="e">
        <v>#N/A</v>
      </c>
      <c r="P78" s="185" t="e">
        <v>#N/A</v>
      </c>
      <c r="Q78" s="173"/>
      <c r="R78" s="185" t="e">
        <v>#N/A</v>
      </c>
      <c r="S78" s="185" t="e">
        <v>#N/A</v>
      </c>
      <c r="T78" s="185" t="e">
        <v>#N/A</v>
      </c>
      <c r="U78" s="185" t="e">
        <v>#N/A</v>
      </c>
      <c r="V78" s="185" t="e">
        <v>#N/A</v>
      </c>
      <c r="W78" s="185" t="e">
        <v>#N/A</v>
      </c>
      <c r="X78" s="185" t="e">
        <v>#N/A</v>
      </c>
      <c r="Y78" s="185" t="e">
        <v>#N/A</v>
      </c>
      <c r="Z78" s="173"/>
      <c r="AA78" s="183" t="e">
        <v>#N/A</v>
      </c>
      <c r="AB78" s="184" t="e">
        <v>#N/A</v>
      </c>
      <c r="AC78" s="170" t="e">
        <v>#N/A</v>
      </c>
      <c r="AD78" s="173"/>
      <c r="AE78" s="174" t="e">
        <v>#N/A</v>
      </c>
      <c r="AF78" s="185" t="e">
        <v>#N/A</v>
      </c>
      <c r="AG78" s="173"/>
      <c r="AH78" s="174" t="e">
        <v>#N/A</v>
      </c>
      <c r="AI78" s="174" t="e">
        <v>#N/A</v>
      </c>
      <c r="AJ78" s="174" t="e">
        <v>#N/A</v>
      </c>
      <c r="AK78" s="173"/>
      <c r="AL78" s="186" t="e">
        <v>#N/A</v>
      </c>
      <c r="AM78" s="187" t="e">
        <v>#N/A</v>
      </c>
      <c r="AN78" s="173"/>
      <c r="AO78" s="188" t="e">
        <v>#N/A</v>
      </c>
      <c r="AP78" s="188" t="e">
        <v>#N/A</v>
      </c>
      <c r="AQ78" s="188" t="e">
        <v>#N/A</v>
      </c>
      <c r="AR78" s="188" t="e">
        <v>#N/A</v>
      </c>
      <c r="AS78" s="188" t="e">
        <v>#N/A</v>
      </c>
      <c r="AT78" s="188" t="e">
        <v>#N/A</v>
      </c>
      <c r="AU78" s="188" t="e">
        <v>#N/A</v>
      </c>
      <c r="AV78" s="188" t="e">
        <v>#N/A</v>
      </c>
      <c r="AW78" s="188" t="e">
        <v>#N/A</v>
      </c>
      <c r="AX78" s="188" t="e">
        <v>#N/A</v>
      </c>
      <c r="AY78" s="173"/>
      <c r="AZ78" s="184" t="e">
        <v>#N/A</v>
      </c>
      <c r="BA78" s="184" t="e">
        <v>#N/A</v>
      </c>
      <c r="BB78" s="184" t="e">
        <v>#N/A</v>
      </c>
      <c r="BC78" s="184" t="e">
        <v>#N/A</v>
      </c>
      <c r="BD78" s="184" t="e">
        <v>#N/A</v>
      </c>
      <c r="BE78" s="184" t="e">
        <v>#N/A</v>
      </c>
      <c r="BF78" s="184" t="e">
        <v>#N/A</v>
      </c>
      <c r="BG78" s="184" t="e">
        <v>#N/A</v>
      </c>
      <c r="BH78" s="184" t="e">
        <v>#N/A</v>
      </c>
      <c r="BI78" s="184" t="e">
        <v>#N/A</v>
      </c>
      <c r="BJ78" s="173"/>
      <c r="BK78" s="184" t="e">
        <v>#N/A</v>
      </c>
      <c r="BL78" s="184" t="e">
        <v>#N/A</v>
      </c>
      <c r="BM78" s="184" t="e">
        <v>#N/A</v>
      </c>
      <c r="BN78" s="184" t="e">
        <v>#N/A</v>
      </c>
      <c r="BO78" s="184" t="e">
        <v>#N/A</v>
      </c>
      <c r="BP78" s="184" t="e">
        <v>#N/A</v>
      </c>
      <c r="BQ78" s="184" t="e">
        <v>#N/A</v>
      </c>
      <c r="BR78" s="184" t="e">
        <v>#N/A</v>
      </c>
      <c r="BS78" s="184" t="e">
        <v>#N/A</v>
      </c>
      <c r="BT78" s="184" t="e">
        <v>#N/A</v>
      </c>
      <c r="BU78" s="173"/>
      <c r="BV78" s="173"/>
      <c r="BW78" s="173"/>
    </row>
    <row r="79" spans="1:75" x14ac:dyDescent="0.25">
      <c r="A79" s="142" t="s">
        <v>489</v>
      </c>
      <c r="B79" s="166" t="str">
        <f t="shared" si="1"/>
        <v>KAVDEFEN IN Equity</v>
      </c>
      <c r="C79" s="173"/>
      <c r="D79" s="183">
        <v>35.083090619551875</v>
      </c>
      <c r="E79" s="184">
        <v>3095.0584018705749</v>
      </c>
      <c r="F79" s="173"/>
      <c r="G79" s="183">
        <v>35.622782539468623</v>
      </c>
      <c r="H79" s="184">
        <v>3140.806401870575</v>
      </c>
      <c r="I79" s="173"/>
      <c r="J79" s="170">
        <v>57.717949304825218</v>
      </c>
      <c r="K79" s="170" t="e">
        <v>#N/A</v>
      </c>
      <c r="L79" s="170">
        <v>79.391481556850806</v>
      </c>
      <c r="M79" s="170" t="e">
        <v>#N/A</v>
      </c>
      <c r="N79" s="173"/>
      <c r="O79" s="185">
        <v>2.0866571570660746</v>
      </c>
      <c r="P79" s="185">
        <v>2.0875803024525887</v>
      </c>
      <c r="Q79" s="173"/>
      <c r="R79" s="185">
        <v>9.5717304605243997E-2</v>
      </c>
      <c r="S79" s="185" t="e">
        <v>#N/A</v>
      </c>
      <c r="T79" s="185">
        <v>9.5891651369212572E-2</v>
      </c>
      <c r="U79" s="185">
        <v>3.4126214877783956</v>
      </c>
      <c r="V79" s="185">
        <v>4.9807293210791581E-2</v>
      </c>
      <c r="W79" s="185">
        <v>4.9807293210791581E-2</v>
      </c>
      <c r="X79" s="185">
        <v>-2.6025632303165343E-2</v>
      </c>
      <c r="Y79" s="185">
        <v>8.4194247396380428E-2</v>
      </c>
      <c r="Z79" s="173"/>
      <c r="AA79" s="183">
        <v>0.53483986799999994</v>
      </c>
      <c r="AB79" s="184">
        <v>45.74799999999999</v>
      </c>
      <c r="AC79" s="170">
        <v>1.1563913955663403</v>
      </c>
      <c r="AD79" s="173"/>
      <c r="AE79" s="174">
        <v>34.37426</v>
      </c>
      <c r="AF79" s="185">
        <v>0.44678105070480068</v>
      </c>
      <c r="AG79" s="173"/>
      <c r="AH79" s="174">
        <v>0.16587480000000013</v>
      </c>
      <c r="AI79" s="174">
        <v>0.12863459999999993</v>
      </c>
      <c r="AJ79" s="174">
        <v>8.2531199999999971E-2</v>
      </c>
      <c r="AK79" s="173"/>
      <c r="AL79" s="186">
        <v>1.0207135683537809</v>
      </c>
      <c r="AM79" s="187">
        <v>90.040000915527344</v>
      </c>
      <c r="AN79" s="173"/>
      <c r="AO79" s="188">
        <v>-8.7799999999999994</v>
      </c>
      <c r="AP79" s="188">
        <v>-8.1649999999999991</v>
      </c>
      <c r="AQ79" s="188">
        <v>-8.99</v>
      </c>
      <c r="AR79" s="188">
        <v>15.647</v>
      </c>
      <c r="AS79" s="188">
        <v>-0.66</v>
      </c>
      <c r="AT79" s="188">
        <v>1.56</v>
      </c>
      <c r="AU79" s="188" t="e">
        <v>#N/A</v>
      </c>
      <c r="AV79" s="188" t="e">
        <v>#N/A</v>
      </c>
      <c r="AW79" s="188" t="e">
        <v>#N/A</v>
      </c>
      <c r="AX79" s="188" t="e">
        <v>#N/A</v>
      </c>
      <c r="AY79" s="173"/>
      <c r="AZ79" s="184">
        <v>-5.5687709999999981</v>
      </c>
      <c r="BA79" s="184">
        <v>-17.127210999999999</v>
      </c>
      <c r="BB79" s="184">
        <v>-12.101000000000001</v>
      </c>
      <c r="BC79" s="184">
        <v>-2081.8629999999998</v>
      </c>
      <c r="BD79" s="184">
        <v>-11.397</v>
      </c>
      <c r="BE79" s="184">
        <v>39.561</v>
      </c>
      <c r="BF79" s="184" t="e">
        <v>#N/A</v>
      </c>
      <c r="BG79" s="184" t="e">
        <v>#N/A</v>
      </c>
      <c r="BH79" s="184" t="e">
        <v>#N/A</v>
      </c>
      <c r="BI79" s="184" t="e">
        <v>#N/A</v>
      </c>
      <c r="BJ79" s="173"/>
      <c r="BK79" s="184">
        <v>45.495719000000001</v>
      </c>
      <c r="BL79" s="184">
        <v>41.407865999999999</v>
      </c>
      <c r="BM79" s="184">
        <v>56.082000000000001</v>
      </c>
      <c r="BN79" s="184">
        <v>28.242000000000001</v>
      </c>
      <c r="BO79" s="184">
        <v>15.856999999999999</v>
      </c>
      <c r="BP79" s="184">
        <v>171.2</v>
      </c>
      <c r="BQ79" s="184" t="e">
        <v>#N/A</v>
      </c>
      <c r="BR79" s="184" t="e">
        <v>#N/A</v>
      </c>
      <c r="BS79" s="184" t="e">
        <v>#N/A</v>
      </c>
      <c r="BT79" s="184" t="e">
        <v>#N/A</v>
      </c>
      <c r="BU79" s="173"/>
      <c r="BV79" s="173"/>
      <c r="BW79" s="173"/>
    </row>
    <row r="80" spans="1:75" x14ac:dyDescent="0.25">
      <c r="A80" s="142" t="s">
        <v>477</v>
      </c>
      <c r="B80" s="166" t="str">
        <f t="shared" si="1"/>
        <v>TECHERA IN Equity</v>
      </c>
      <c r="C80" s="173"/>
      <c r="D80" s="183">
        <v>34.176393023534757</v>
      </c>
      <c r="E80" s="184">
        <v>3015.0688124999997</v>
      </c>
      <c r="F80" s="173"/>
      <c r="G80" s="183">
        <v>35.631065100610805</v>
      </c>
      <c r="H80" s="184">
        <v>3135.9278124999996</v>
      </c>
      <c r="I80" s="173"/>
      <c r="J80" s="170" t="e">
        <v>#N/A</v>
      </c>
      <c r="K80" s="170" t="e">
        <v>#N/A</v>
      </c>
      <c r="L80" s="170">
        <v>35.913053281035268</v>
      </c>
      <c r="M80" s="170" t="e">
        <v>#N/A</v>
      </c>
      <c r="N80" s="173"/>
      <c r="O80" s="185" t="e">
        <v>#N/A</v>
      </c>
      <c r="P80" s="185" t="e">
        <v>#N/A</v>
      </c>
      <c r="Q80" s="173"/>
      <c r="R80" s="185">
        <v>0.35743933352110169</v>
      </c>
      <c r="S80" s="185" t="e">
        <v>#N/A</v>
      </c>
      <c r="T80" s="185">
        <v>0.36104799374108609</v>
      </c>
      <c r="U80" s="185">
        <v>0.32582531711118562</v>
      </c>
      <c r="V80" s="185">
        <v>0.21097482046751082</v>
      </c>
      <c r="W80" s="185">
        <v>0.24404394784778899</v>
      </c>
      <c r="X80" s="185">
        <v>0.19175112598125155</v>
      </c>
      <c r="Y80" s="185">
        <v>0.21285138476668394</v>
      </c>
      <c r="Z80" s="173"/>
      <c r="AA80" s="183" t="e">
        <v>#N/A</v>
      </c>
      <c r="AB80" s="184" t="e">
        <v>#N/A</v>
      </c>
      <c r="AC80" s="170" t="e">
        <v>#N/A</v>
      </c>
      <c r="AD80" s="173"/>
      <c r="AE80" s="174">
        <v>16.520924999999998</v>
      </c>
      <c r="AF80" s="185">
        <v>0.5775294058898035</v>
      </c>
      <c r="AG80" s="173"/>
      <c r="AH80" s="174">
        <v>3.8080000000000003E-2</v>
      </c>
      <c r="AI80" s="174">
        <v>3.4000000000000002E-2</v>
      </c>
      <c r="AJ80" s="174">
        <v>2.3680000000000003E-2</v>
      </c>
      <c r="AK80" s="173"/>
      <c r="AL80" s="186">
        <v>2.0688607766600002</v>
      </c>
      <c r="AM80" s="187">
        <v>182.5</v>
      </c>
      <c r="AN80" s="173"/>
      <c r="AO80" s="188" t="e">
        <v>#N/A</v>
      </c>
      <c r="AP80" s="188" t="e">
        <v>#N/A</v>
      </c>
      <c r="AQ80" s="188" t="e">
        <v>#N/A</v>
      </c>
      <c r="AR80" s="188" t="e">
        <v>#N/A</v>
      </c>
      <c r="AS80" s="188" t="e">
        <v>#N/A</v>
      </c>
      <c r="AT80" s="188" t="e">
        <v>#N/A</v>
      </c>
      <c r="AU80" s="188" t="e">
        <v>#N/A</v>
      </c>
      <c r="AV80" s="188" t="e">
        <v>#N/A</v>
      </c>
      <c r="AW80" s="188" t="e">
        <v>#N/A</v>
      </c>
      <c r="AX80" s="188" t="e">
        <v>#N/A</v>
      </c>
      <c r="AY80" s="173"/>
      <c r="AZ80" s="184" t="e">
        <v>#N/A</v>
      </c>
      <c r="BA80" s="184" t="e">
        <v>#N/A</v>
      </c>
      <c r="BB80" s="184">
        <v>-37.567</v>
      </c>
      <c r="BC80" s="184">
        <v>40.905000000000001</v>
      </c>
      <c r="BD80" s="184">
        <v>87.32</v>
      </c>
      <c r="BE80" s="184" t="e">
        <v>#N/A</v>
      </c>
      <c r="BF80" s="184" t="e">
        <v>#N/A</v>
      </c>
      <c r="BG80" s="184" t="e">
        <v>#N/A</v>
      </c>
      <c r="BH80" s="184" t="e">
        <v>#N/A</v>
      </c>
      <c r="BI80" s="184" t="e">
        <v>#N/A</v>
      </c>
      <c r="BJ80" s="173"/>
      <c r="BK80" s="184" t="e">
        <v>#N/A</v>
      </c>
      <c r="BL80" s="184" t="e">
        <v>#N/A</v>
      </c>
      <c r="BM80" s="184">
        <v>71.78</v>
      </c>
      <c r="BN80" s="184">
        <v>264.34399999999999</v>
      </c>
      <c r="BO80" s="184">
        <v>387.488</v>
      </c>
      <c r="BP80" s="184" t="e">
        <v>#N/A</v>
      </c>
      <c r="BQ80" s="184" t="e">
        <v>#N/A</v>
      </c>
      <c r="BR80" s="184" t="e">
        <v>#N/A</v>
      </c>
      <c r="BS80" s="184" t="e">
        <v>#N/A</v>
      </c>
      <c r="BT80" s="184" t="e">
        <v>#N/A</v>
      </c>
      <c r="BU80" s="173"/>
      <c r="BV80" s="173"/>
      <c r="BW80" s="173"/>
    </row>
    <row r="81" spans="1:75" x14ac:dyDescent="0.25">
      <c r="A81" s="172" t="s">
        <v>277</v>
      </c>
      <c r="B81" s="172" t="s">
        <v>277</v>
      </c>
      <c r="C81" s="172" t="s">
        <v>277</v>
      </c>
      <c r="D81" s="172" t="s">
        <v>277</v>
      </c>
      <c r="E81" s="172" t="s">
        <v>277</v>
      </c>
      <c r="F81" s="172" t="s">
        <v>277</v>
      </c>
      <c r="G81" s="172" t="s">
        <v>277</v>
      </c>
      <c r="H81" s="172" t="s">
        <v>277</v>
      </c>
      <c r="I81" s="172" t="s">
        <v>277</v>
      </c>
      <c r="J81" s="172" t="s">
        <v>277</v>
      </c>
      <c r="K81" s="172"/>
      <c r="L81" s="172"/>
      <c r="M81" s="172"/>
      <c r="N81" s="172" t="s">
        <v>277</v>
      </c>
      <c r="O81" s="172" t="s">
        <v>277</v>
      </c>
      <c r="P81" s="172"/>
      <c r="Q81" s="172"/>
      <c r="R81" s="172" t="s">
        <v>277</v>
      </c>
      <c r="S81" s="172" t="s">
        <v>277</v>
      </c>
      <c r="T81" s="172" t="s">
        <v>277</v>
      </c>
      <c r="U81" s="172" t="s">
        <v>277</v>
      </c>
      <c r="V81" s="172" t="s">
        <v>277</v>
      </c>
      <c r="W81" s="172" t="s">
        <v>277</v>
      </c>
      <c r="X81" s="172" t="s">
        <v>277</v>
      </c>
      <c r="Y81" s="172" t="s">
        <v>277</v>
      </c>
      <c r="Z81" s="172" t="s">
        <v>277</v>
      </c>
      <c r="AA81" s="172" t="s">
        <v>277</v>
      </c>
      <c r="AB81" s="172" t="s">
        <v>277</v>
      </c>
      <c r="AC81" s="172" t="s">
        <v>277</v>
      </c>
      <c r="AD81" s="172" t="s">
        <v>277</v>
      </c>
      <c r="AE81" s="172" t="s">
        <v>277</v>
      </c>
      <c r="AF81" s="172" t="s">
        <v>277</v>
      </c>
      <c r="AG81" s="172" t="s">
        <v>277</v>
      </c>
      <c r="AH81" s="172" t="s">
        <v>277</v>
      </c>
      <c r="AI81" s="172" t="s">
        <v>277</v>
      </c>
      <c r="AJ81" s="172" t="s">
        <v>277</v>
      </c>
      <c r="AK81" s="172"/>
      <c r="AL81" s="172" t="s">
        <v>277</v>
      </c>
      <c r="AM81" s="172" t="s">
        <v>277</v>
      </c>
      <c r="AN81" s="172" t="s">
        <v>277</v>
      </c>
      <c r="AO81" s="172" t="s">
        <v>277</v>
      </c>
      <c r="AP81" s="172" t="s">
        <v>277</v>
      </c>
      <c r="AQ81" s="172" t="s">
        <v>277</v>
      </c>
      <c r="AR81" s="172" t="s">
        <v>277</v>
      </c>
      <c r="AS81" s="172" t="s">
        <v>277</v>
      </c>
      <c r="AT81" s="172" t="s">
        <v>277</v>
      </c>
      <c r="AU81" s="172" t="s">
        <v>277</v>
      </c>
      <c r="AV81" s="172" t="s">
        <v>277</v>
      </c>
      <c r="AW81" s="172" t="s">
        <v>277</v>
      </c>
      <c r="AX81" s="172" t="s">
        <v>277</v>
      </c>
      <c r="AY81" s="172" t="s">
        <v>277</v>
      </c>
      <c r="AZ81" s="172" t="s">
        <v>277</v>
      </c>
      <c r="BA81" s="172" t="s">
        <v>277</v>
      </c>
      <c r="BB81" s="172" t="s">
        <v>277</v>
      </c>
      <c r="BC81" s="172" t="s">
        <v>277</v>
      </c>
      <c r="BD81" s="172" t="s">
        <v>277</v>
      </c>
      <c r="BE81" s="172" t="s">
        <v>277</v>
      </c>
      <c r="BF81" s="172" t="s">
        <v>277</v>
      </c>
      <c r="BG81" s="172" t="s">
        <v>277</v>
      </c>
      <c r="BH81" s="172" t="s">
        <v>277</v>
      </c>
      <c r="BI81" s="172" t="s">
        <v>277</v>
      </c>
      <c r="BJ81" s="172"/>
      <c r="BK81" s="172" t="s">
        <v>277</v>
      </c>
      <c r="BL81" s="172" t="s">
        <v>277</v>
      </c>
      <c r="BM81" s="172" t="s">
        <v>277</v>
      </c>
      <c r="BN81" s="172" t="s">
        <v>277</v>
      </c>
      <c r="BO81" s="172" t="s">
        <v>277</v>
      </c>
      <c r="BP81" s="172" t="s">
        <v>277</v>
      </c>
      <c r="BQ81" s="172" t="s">
        <v>277</v>
      </c>
      <c r="BR81" s="172" t="s">
        <v>277</v>
      </c>
      <c r="BS81" s="172" t="s">
        <v>277</v>
      </c>
      <c r="BT81" s="172" t="s">
        <v>277</v>
      </c>
      <c r="BU81" s="172" t="s">
        <v>277</v>
      </c>
      <c r="BV81" s="172" t="s">
        <v>277</v>
      </c>
      <c r="BW81" s="172" t="s">
        <v>277</v>
      </c>
    </row>
    <row r="82" spans="1:75" x14ac:dyDescent="0.25">
      <c r="A82" s="172" t="s">
        <v>277</v>
      </c>
      <c r="B82" s="172" t="s">
        <v>277</v>
      </c>
      <c r="C82" s="172" t="s">
        <v>277</v>
      </c>
      <c r="D82" s="172" t="s">
        <v>277</v>
      </c>
      <c r="E82" s="172" t="s">
        <v>277</v>
      </c>
      <c r="F82" s="172" t="s">
        <v>277</v>
      </c>
      <c r="G82" s="172" t="s">
        <v>277</v>
      </c>
      <c r="H82" s="172" t="s">
        <v>277</v>
      </c>
      <c r="I82" s="172" t="s">
        <v>277</v>
      </c>
      <c r="J82" s="172" t="s">
        <v>277</v>
      </c>
      <c r="K82" s="172"/>
      <c r="L82" s="172"/>
      <c r="M82" s="172"/>
      <c r="N82" s="172" t="s">
        <v>277</v>
      </c>
      <c r="O82" s="172" t="s">
        <v>277</v>
      </c>
      <c r="P82" s="172"/>
      <c r="Q82" s="172"/>
      <c r="R82" s="172" t="s">
        <v>277</v>
      </c>
      <c r="S82" s="172" t="s">
        <v>277</v>
      </c>
      <c r="T82" s="172" t="s">
        <v>277</v>
      </c>
      <c r="U82" s="172" t="s">
        <v>277</v>
      </c>
      <c r="V82" s="172" t="s">
        <v>277</v>
      </c>
      <c r="W82" s="172" t="s">
        <v>277</v>
      </c>
      <c r="X82" s="172" t="s">
        <v>277</v>
      </c>
      <c r="Y82" s="172" t="s">
        <v>277</v>
      </c>
      <c r="Z82" s="172" t="s">
        <v>277</v>
      </c>
      <c r="AA82" s="172" t="s">
        <v>277</v>
      </c>
      <c r="AB82" s="172" t="s">
        <v>277</v>
      </c>
      <c r="AC82" s="172" t="s">
        <v>277</v>
      </c>
      <c r="AD82" s="172" t="s">
        <v>277</v>
      </c>
      <c r="AE82" s="172" t="s">
        <v>277</v>
      </c>
      <c r="AF82" s="172" t="s">
        <v>277</v>
      </c>
      <c r="AG82" s="172" t="s">
        <v>277</v>
      </c>
      <c r="AH82" s="172" t="s">
        <v>277</v>
      </c>
      <c r="AI82" s="172" t="s">
        <v>277</v>
      </c>
      <c r="AJ82" s="172" t="s">
        <v>277</v>
      </c>
      <c r="AK82" s="172"/>
      <c r="AL82" s="172" t="s">
        <v>277</v>
      </c>
      <c r="AM82" s="172" t="s">
        <v>277</v>
      </c>
      <c r="AN82" s="172" t="s">
        <v>277</v>
      </c>
      <c r="AO82" s="172" t="s">
        <v>277</v>
      </c>
      <c r="AP82" s="172" t="s">
        <v>277</v>
      </c>
      <c r="AQ82" s="172" t="s">
        <v>277</v>
      </c>
      <c r="AR82" s="172" t="s">
        <v>277</v>
      </c>
      <c r="AS82" s="172" t="s">
        <v>277</v>
      </c>
      <c r="AT82" s="172" t="s">
        <v>277</v>
      </c>
      <c r="AU82" s="172" t="s">
        <v>277</v>
      </c>
      <c r="AV82" s="172" t="s">
        <v>277</v>
      </c>
      <c r="AW82" s="172" t="s">
        <v>277</v>
      </c>
      <c r="AX82" s="172" t="s">
        <v>277</v>
      </c>
      <c r="AY82" s="172" t="s">
        <v>277</v>
      </c>
      <c r="AZ82" s="172" t="s">
        <v>277</v>
      </c>
      <c r="BA82" s="172" t="s">
        <v>277</v>
      </c>
      <c r="BB82" s="172" t="s">
        <v>277</v>
      </c>
      <c r="BC82" s="172" t="s">
        <v>277</v>
      </c>
      <c r="BD82" s="172" t="s">
        <v>277</v>
      </c>
      <c r="BE82" s="172" t="s">
        <v>277</v>
      </c>
      <c r="BF82" s="172" t="s">
        <v>277</v>
      </c>
      <c r="BG82" s="172" t="s">
        <v>277</v>
      </c>
      <c r="BH82" s="172" t="s">
        <v>277</v>
      </c>
      <c r="BI82" s="172" t="s">
        <v>277</v>
      </c>
      <c r="BJ82" s="172"/>
      <c r="BK82" s="172" t="s">
        <v>277</v>
      </c>
      <c r="BL82" s="172" t="s">
        <v>277</v>
      </c>
      <c r="BM82" s="172" t="s">
        <v>277</v>
      </c>
      <c r="BN82" s="172" t="s">
        <v>277</v>
      </c>
      <c r="BO82" s="172" t="s">
        <v>277</v>
      </c>
      <c r="BP82" s="172" t="s">
        <v>277</v>
      </c>
      <c r="BQ82" s="172" t="s">
        <v>277</v>
      </c>
      <c r="BR82" s="172" t="s">
        <v>277</v>
      </c>
      <c r="BS82" s="172" t="s">
        <v>277</v>
      </c>
      <c r="BT82" s="172" t="s">
        <v>277</v>
      </c>
      <c r="BU82" s="172" t="s">
        <v>277</v>
      </c>
      <c r="BV82" s="172" t="s">
        <v>277</v>
      </c>
      <c r="BW82" s="172" t="s">
        <v>277</v>
      </c>
    </row>
    <row r="83" spans="1:75" x14ac:dyDescent="0.25">
      <c r="A83" s="172" t="s">
        <v>277</v>
      </c>
      <c r="B83" s="172" t="s">
        <v>277</v>
      </c>
      <c r="C83" s="172" t="s">
        <v>277</v>
      </c>
      <c r="D83" s="172" t="s">
        <v>277</v>
      </c>
      <c r="E83" s="172" t="s">
        <v>277</v>
      </c>
      <c r="F83" s="172" t="s">
        <v>277</v>
      </c>
      <c r="G83" s="172" t="s">
        <v>277</v>
      </c>
      <c r="H83" s="172" t="s">
        <v>277</v>
      </c>
      <c r="I83" s="172" t="s">
        <v>277</v>
      </c>
      <c r="J83" s="172" t="s">
        <v>277</v>
      </c>
      <c r="K83" s="172"/>
      <c r="L83" s="172"/>
      <c r="M83" s="172"/>
      <c r="N83" s="172" t="s">
        <v>277</v>
      </c>
      <c r="O83" s="172" t="s">
        <v>277</v>
      </c>
      <c r="P83" s="172"/>
      <c r="Q83" s="172"/>
      <c r="R83" s="172" t="s">
        <v>277</v>
      </c>
      <c r="S83" s="172" t="s">
        <v>277</v>
      </c>
      <c r="T83" s="172" t="s">
        <v>277</v>
      </c>
      <c r="U83" s="172" t="s">
        <v>277</v>
      </c>
      <c r="V83" s="172" t="s">
        <v>277</v>
      </c>
      <c r="W83" s="172" t="s">
        <v>277</v>
      </c>
      <c r="X83" s="172" t="s">
        <v>277</v>
      </c>
      <c r="Y83" s="172" t="s">
        <v>277</v>
      </c>
      <c r="Z83" s="172" t="s">
        <v>277</v>
      </c>
      <c r="AA83" s="172" t="s">
        <v>277</v>
      </c>
      <c r="AB83" s="172" t="s">
        <v>277</v>
      </c>
      <c r="AC83" s="172" t="s">
        <v>277</v>
      </c>
      <c r="AD83" s="172" t="s">
        <v>277</v>
      </c>
      <c r="AE83" s="172" t="s">
        <v>277</v>
      </c>
      <c r="AF83" s="172" t="s">
        <v>277</v>
      </c>
      <c r="AG83" s="172" t="s">
        <v>277</v>
      </c>
      <c r="AH83" s="172" t="s">
        <v>277</v>
      </c>
      <c r="AI83" s="172" t="s">
        <v>277</v>
      </c>
      <c r="AJ83" s="172" t="s">
        <v>277</v>
      </c>
      <c r="AK83" s="172"/>
      <c r="AL83" s="172" t="s">
        <v>277</v>
      </c>
      <c r="AM83" s="172" t="s">
        <v>277</v>
      </c>
      <c r="AN83" s="172" t="s">
        <v>277</v>
      </c>
      <c r="AO83" s="172" t="s">
        <v>277</v>
      </c>
      <c r="AP83" s="172" t="s">
        <v>277</v>
      </c>
      <c r="AQ83" s="172" t="s">
        <v>277</v>
      </c>
      <c r="AR83" s="172" t="s">
        <v>277</v>
      </c>
      <c r="AS83" s="172" t="s">
        <v>277</v>
      </c>
      <c r="AT83" s="172" t="s">
        <v>277</v>
      </c>
      <c r="AU83" s="172" t="s">
        <v>277</v>
      </c>
      <c r="AV83" s="172" t="s">
        <v>277</v>
      </c>
      <c r="AW83" s="172" t="s">
        <v>277</v>
      </c>
      <c r="AX83" s="172" t="s">
        <v>277</v>
      </c>
      <c r="AY83" s="172" t="s">
        <v>277</v>
      </c>
      <c r="AZ83" s="172" t="s">
        <v>277</v>
      </c>
      <c r="BA83" s="172" t="s">
        <v>277</v>
      </c>
      <c r="BB83" s="172" t="s">
        <v>277</v>
      </c>
      <c r="BC83" s="172" t="s">
        <v>277</v>
      </c>
      <c r="BD83" s="172" t="s">
        <v>277</v>
      </c>
      <c r="BE83" s="172" t="s">
        <v>277</v>
      </c>
      <c r="BF83" s="172" t="s">
        <v>277</v>
      </c>
      <c r="BG83" s="172" t="s">
        <v>277</v>
      </c>
      <c r="BH83" s="172" t="s">
        <v>277</v>
      </c>
      <c r="BI83" s="172" t="s">
        <v>277</v>
      </c>
      <c r="BJ83" s="172"/>
      <c r="BK83" s="172" t="s">
        <v>277</v>
      </c>
      <c r="BL83" s="172" t="s">
        <v>277</v>
      </c>
      <c r="BM83" s="172" t="s">
        <v>277</v>
      </c>
      <c r="BN83" s="172" t="s">
        <v>277</v>
      </c>
      <c r="BO83" s="172" t="s">
        <v>277</v>
      </c>
      <c r="BP83" s="172" t="s">
        <v>277</v>
      </c>
      <c r="BQ83" s="172" t="s">
        <v>277</v>
      </c>
      <c r="BR83" s="172" t="s">
        <v>277</v>
      </c>
      <c r="BS83" s="172" t="s">
        <v>277</v>
      </c>
      <c r="BT83" s="172" t="s">
        <v>277</v>
      </c>
      <c r="BU83" s="172" t="s">
        <v>277</v>
      </c>
      <c r="BV83" s="172" t="s">
        <v>277</v>
      </c>
      <c r="BW83" s="172" t="s">
        <v>277</v>
      </c>
    </row>
    <row r="84" spans="1:75" x14ac:dyDescent="0.25">
      <c r="A84" s="172" t="s">
        <v>277</v>
      </c>
      <c r="B84" s="172" t="s">
        <v>277</v>
      </c>
      <c r="C84" s="172" t="s">
        <v>277</v>
      </c>
      <c r="D84" s="172" t="s">
        <v>277</v>
      </c>
      <c r="E84" s="172" t="s">
        <v>277</v>
      </c>
      <c r="F84" s="172" t="s">
        <v>277</v>
      </c>
      <c r="G84" s="172" t="s">
        <v>277</v>
      </c>
      <c r="H84" s="172" t="s">
        <v>277</v>
      </c>
      <c r="I84" s="172" t="s">
        <v>277</v>
      </c>
      <c r="J84" s="172" t="s">
        <v>277</v>
      </c>
      <c r="K84" s="172"/>
      <c r="L84" s="172"/>
      <c r="M84" s="172"/>
      <c r="N84" s="172" t="s">
        <v>277</v>
      </c>
      <c r="O84" s="172" t="s">
        <v>277</v>
      </c>
      <c r="P84" s="172"/>
      <c r="Q84" s="172"/>
      <c r="R84" s="172" t="s">
        <v>277</v>
      </c>
      <c r="S84" s="172" t="s">
        <v>277</v>
      </c>
      <c r="T84" s="172" t="s">
        <v>277</v>
      </c>
      <c r="U84" s="172" t="s">
        <v>277</v>
      </c>
      <c r="V84" s="172" t="s">
        <v>277</v>
      </c>
      <c r="W84" s="172" t="s">
        <v>277</v>
      </c>
      <c r="X84" s="172" t="s">
        <v>277</v>
      </c>
      <c r="Y84" s="172" t="s">
        <v>277</v>
      </c>
      <c r="Z84" s="172" t="s">
        <v>277</v>
      </c>
      <c r="AA84" s="172" t="s">
        <v>277</v>
      </c>
      <c r="AB84" s="172" t="s">
        <v>277</v>
      </c>
      <c r="AC84" s="172" t="s">
        <v>277</v>
      </c>
      <c r="AD84" s="172" t="s">
        <v>277</v>
      </c>
      <c r="AE84" s="172" t="s">
        <v>277</v>
      </c>
      <c r="AF84" s="172" t="s">
        <v>277</v>
      </c>
      <c r="AG84" s="172" t="s">
        <v>277</v>
      </c>
      <c r="AH84" s="172" t="s">
        <v>277</v>
      </c>
      <c r="AI84" s="172" t="s">
        <v>277</v>
      </c>
      <c r="AJ84" s="172" t="s">
        <v>277</v>
      </c>
      <c r="AK84" s="172"/>
      <c r="AL84" s="172" t="s">
        <v>277</v>
      </c>
      <c r="AM84" s="172" t="s">
        <v>277</v>
      </c>
      <c r="AN84" s="172" t="s">
        <v>277</v>
      </c>
      <c r="AO84" s="172" t="s">
        <v>277</v>
      </c>
      <c r="AP84" s="172" t="s">
        <v>277</v>
      </c>
      <c r="AQ84" s="172" t="s">
        <v>277</v>
      </c>
      <c r="AR84" s="172" t="s">
        <v>277</v>
      </c>
      <c r="AS84" s="172" t="s">
        <v>277</v>
      </c>
      <c r="AT84" s="172" t="s">
        <v>277</v>
      </c>
      <c r="AU84" s="172" t="s">
        <v>277</v>
      </c>
      <c r="AV84" s="172" t="s">
        <v>277</v>
      </c>
      <c r="AW84" s="172" t="s">
        <v>277</v>
      </c>
      <c r="AX84" s="172" t="s">
        <v>277</v>
      </c>
      <c r="AY84" s="172" t="s">
        <v>277</v>
      </c>
      <c r="AZ84" s="172" t="s">
        <v>277</v>
      </c>
      <c r="BA84" s="172" t="s">
        <v>277</v>
      </c>
      <c r="BB84" s="172" t="s">
        <v>277</v>
      </c>
      <c r="BC84" s="172" t="s">
        <v>277</v>
      </c>
      <c r="BD84" s="172" t="s">
        <v>277</v>
      </c>
      <c r="BE84" s="172" t="s">
        <v>277</v>
      </c>
      <c r="BF84" s="172" t="s">
        <v>277</v>
      </c>
      <c r="BG84" s="172" t="s">
        <v>277</v>
      </c>
      <c r="BH84" s="172" t="s">
        <v>277</v>
      </c>
      <c r="BI84" s="172" t="s">
        <v>277</v>
      </c>
      <c r="BJ84" s="172"/>
      <c r="BK84" s="172" t="s">
        <v>277</v>
      </c>
      <c r="BL84" s="172" t="s">
        <v>277</v>
      </c>
      <c r="BM84" s="172" t="s">
        <v>277</v>
      </c>
      <c r="BN84" s="172" t="s">
        <v>277</v>
      </c>
      <c r="BO84" s="172" t="s">
        <v>277</v>
      </c>
      <c r="BP84" s="172" t="s">
        <v>277</v>
      </c>
      <c r="BQ84" s="172" t="s">
        <v>277</v>
      </c>
      <c r="BR84" s="172" t="s">
        <v>277</v>
      </c>
      <c r="BS84" s="172" t="s">
        <v>277</v>
      </c>
      <c r="BT84" s="172" t="s">
        <v>277</v>
      </c>
      <c r="BU84" s="172" t="s">
        <v>277</v>
      </c>
      <c r="BV84" s="172" t="s">
        <v>277</v>
      </c>
      <c r="BW84" s="172" t="s">
        <v>277</v>
      </c>
    </row>
    <row r="85" spans="1:75" x14ac:dyDescent="0.25">
      <c r="A85" s="172" t="s">
        <v>277</v>
      </c>
      <c r="B85" s="172" t="s">
        <v>277</v>
      </c>
      <c r="C85" s="172" t="s">
        <v>277</v>
      </c>
      <c r="D85" s="172" t="s">
        <v>277</v>
      </c>
      <c r="E85" s="172" t="s">
        <v>277</v>
      </c>
      <c r="F85" s="172" t="s">
        <v>277</v>
      </c>
      <c r="G85" s="172" t="s">
        <v>277</v>
      </c>
      <c r="H85" s="172" t="s">
        <v>277</v>
      </c>
      <c r="I85" s="172" t="s">
        <v>277</v>
      </c>
      <c r="J85" s="172" t="s">
        <v>277</v>
      </c>
      <c r="K85" s="172"/>
      <c r="L85" s="172"/>
      <c r="M85" s="172"/>
      <c r="N85" s="172" t="s">
        <v>277</v>
      </c>
      <c r="O85" s="172" t="s">
        <v>277</v>
      </c>
      <c r="P85" s="172"/>
      <c r="Q85" s="172"/>
      <c r="R85" s="172" t="s">
        <v>277</v>
      </c>
      <c r="S85" s="172" t="s">
        <v>277</v>
      </c>
      <c r="T85" s="172" t="s">
        <v>277</v>
      </c>
      <c r="U85" s="172" t="s">
        <v>277</v>
      </c>
      <c r="V85" s="172" t="s">
        <v>277</v>
      </c>
      <c r="W85" s="172" t="s">
        <v>277</v>
      </c>
      <c r="X85" s="172" t="s">
        <v>277</v>
      </c>
      <c r="Y85" s="172" t="s">
        <v>277</v>
      </c>
      <c r="Z85" s="172" t="s">
        <v>277</v>
      </c>
      <c r="AA85" s="172" t="s">
        <v>277</v>
      </c>
      <c r="AB85" s="172" t="s">
        <v>277</v>
      </c>
      <c r="AC85" s="172" t="s">
        <v>277</v>
      </c>
      <c r="AD85" s="172" t="s">
        <v>277</v>
      </c>
      <c r="AE85" s="172" t="s">
        <v>277</v>
      </c>
      <c r="AF85" s="172" t="s">
        <v>277</v>
      </c>
      <c r="AG85" s="172" t="s">
        <v>277</v>
      </c>
      <c r="AH85" s="172" t="s">
        <v>277</v>
      </c>
      <c r="AI85" s="172" t="s">
        <v>277</v>
      </c>
      <c r="AJ85" s="172" t="s">
        <v>277</v>
      </c>
      <c r="AK85" s="172"/>
      <c r="AL85" s="172" t="s">
        <v>277</v>
      </c>
      <c r="AM85" s="172" t="s">
        <v>277</v>
      </c>
      <c r="AN85" s="172" t="s">
        <v>277</v>
      </c>
      <c r="AO85" s="172" t="s">
        <v>277</v>
      </c>
      <c r="AP85" s="172" t="s">
        <v>277</v>
      </c>
      <c r="AQ85" s="172" t="s">
        <v>277</v>
      </c>
      <c r="AR85" s="172" t="s">
        <v>277</v>
      </c>
      <c r="AS85" s="172" t="s">
        <v>277</v>
      </c>
      <c r="AT85" s="172" t="s">
        <v>277</v>
      </c>
      <c r="AU85" s="172" t="s">
        <v>277</v>
      </c>
      <c r="AV85" s="172" t="s">
        <v>277</v>
      </c>
      <c r="AW85" s="172" t="s">
        <v>277</v>
      </c>
      <c r="AX85" s="172" t="s">
        <v>277</v>
      </c>
      <c r="AY85" s="172" t="s">
        <v>277</v>
      </c>
      <c r="AZ85" s="172" t="s">
        <v>277</v>
      </c>
      <c r="BA85" s="172" t="s">
        <v>277</v>
      </c>
      <c r="BB85" s="172" t="s">
        <v>277</v>
      </c>
      <c r="BC85" s="172" t="s">
        <v>277</v>
      </c>
      <c r="BD85" s="172" t="s">
        <v>277</v>
      </c>
      <c r="BE85" s="172" t="s">
        <v>277</v>
      </c>
      <c r="BF85" s="172" t="s">
        <v>277</v>
      </c>
      <c r="BG85" s="172" t="s">
        <v>277</v>
      </c>
      <c r="BH85" s="172" t="s">
        <v>277</v>
      </c>
      <c r="BI85" s="172" t="s">
        <v>277</v>
      </c>
      <c r="BJ85" s="172"/>
      <c r="BK85" s="172" t="s">
        <v>277</v>
      </c>
      <c r="BL85" s="172" t="s">
        <v>277</v>
      </c>
      <c r="BM85" s="172" t="s">
        <v>277</v>
      </c>
      <c r="BN85" s="172" t="s">
        <v>277</v>
      </c>
      <c r="BO85" s="172" t="s">
        <v>277</v>
      </c>
      <c r="BP85" s="172" t="s">
        <v>277</v>
      </c>
      <c r="BQ85" s="172" t="s">
        <v>277</v>
      </c>
      <c r="BR85" s="172" t="s">
        <v>277</v>
      </c>
      <c r="BS85" s="172" t="s">
        <v>277</v>
      </c>
      <c r="BT85" s="172" t="s">
        <v>277</v>
      </c>
      <c r="BU85" s="172" t="s">
        <v>277</v>
      </c>
      <c r="BV85" s="172" t="s">
        <v>277</v>
      </c>
      <c r="BW85" s="172" t="s">
        <v>277</v>
      </c>
    </row>
    <row r="86" spans="1:75" x14ac:dyDescent="0.25">
      <c r="A86" s="172" t="s">
        <v>277</v>
      </c>
      <c r="B86" s="172" t="s">
        <v>277</v>
      </c>
      <c r="C86" s="172" t="s">
        <v>277</v>
      </c>
      <c r="D86" s="172" t="s">
        <v>277</v>
      </c>
      <c r="E86" s="172" t="s">
        <v>277</v>
      </c>
      <c r="F86" s="172" t="s">
        <v>277</v>
      </c>
      <c r="G86" s="172" t="s">
        <v>277</v>
      </c>
      <c r="H86" s="172" t="s">
        <v>277</v>
      </c>
      <c r="I86" s="172" t="s">
        <v>277</v>
      </c>
      <c r="J86" s="172" t="s">
        <v>277</v>
      </c>
      <c r="K86" s="172"/>
      <c r="L86" s="172"/>
      <c r="M86" s="172"/>
      <c r="N86" s="172" t="s">
        <v>277</v>
      </c>
      <c r="O86" s="172" t="s">
        <v>277</v>
      </c>
      <c r="P86" s="172"/>
      <c r="Q86" s="172"/>
      <c r="R86" s="172" t="s">
        <v>277</v>
      </c>
      <c r="S86" s="172" t="s">
        <v>277</v>
      </c>
      <c r="T86" s="172" t="s">
        <v>277</v>
      </c>
      <c r="U86" s="172" t="s">
        <v>277</v>
      </c>
      <c r="V86" s="172" t="s">
        <v>277</v>
      </c>
      <c r="W86" s="172" t="s">
        <v>277</v>
      </c>
      <c r="X86" s="172" t="s">
        <v>277</v>
      </c>
      <c r="Y86" s="172" t="s">
        <v>277</v>
      </c>
      <c r="Z86" s="172" t="s">
        <v>277</v>
      </c>
      <c r="AA86" s="172" t="s">
        <v>277</v>
      </c>
      <c r="AB86" s="172" t="s">
        <v>277</v>
      </c>
      <c r="AC86" s="172" t="s">
        <v>277</v>
      </c>
      <c r="AD86" s="172" t="s">
        <v>277</v>
      </c>
      <c r="AE86" s="172" t="s">
        <v>277</v>
      </c>
      <c r="AF86" s="172" t="s">
        <v>277</v>
      </c>
      <c r="AG86" s="172" t="s">
        <v>277</v>
      </c>
      <c r="AH86" s="172" t="s">
        <v>277</v>
      </c>
      <c r="AI86" s="172" t="s">
        <v>277</v>
      </c>
      <c r="AJ86" s="172" t="s">
        <v>277</v>
      </c>
      <c r="AK86" s="172"/>
      <c r="AL86" s="172" t="s">
        <v>277</v>
      </c>
      <c r="AM86" s="172" t="s">
        <v>277</v>
      </c>
      <c r="AN86" s="172" t="s">
        <v>277</v>
      </c>
      <c r="AO86" s="172" t="s">
        <v>277</v>
      </c>
      <c r="AP86" s="172" t="s">
        <v>277</v>
      </c>
      <c r="AQ86" s="172" t="s">
        <v>277</v>
      </c>
      <c r="AR86" s="172" t="s">
        <v>277</v>
      </c>
      <c r="AS86" s="172" t="s">
        <v>277</v>
      </c>
      <c r="AT86" s="172" t="s">
        <v>277</v>
      </c>
      <c r="AU86" s="172" t="s">
        <v>277</v>
      </c>
      <c r="AV86" s="172" t="s">
        <v>277</v>
      </c>
      <c r="AW86" s="172" t="s">
        <v>277</v>
      </c>
      <c r="AX86" s="172" t="s">
        <v>277</v>
      </c>
      <c r="AY86" s="172" t="s">
        <v>277</v>
      </c>
      <c r="AZ86" s="172" t="s">
        <v>277</v>
      </c>
      <c r="BA86" s="172" t="s">
        <v>277</v>
      </c>
      <c r="BB86" s="172" t="s">
        <v>277</v>
      </c>
      <c r="BC86" s="172" t="s">
        <v>277</v>
      </c>
      <c r="BD86" s="172" t="s">
        <v>277</v>
      </c>
      <c r="BE86" s="172" t="s">
        <v>277</v>
      </c>
      <c r="BF86" s="172" t="s">
        <v>277</v>
      </c>
      <c r="BG86" s="172" t="s">
        <v>277</v>
      </c>
      <c r="BH86" s="172" t="s">
        <v>277</v>
      </c>
      <c r="BI86" s="172" t="s">
        <v>277</v>
      </c>
      <c r="BJ86" s="172"/>
      <c r="BK86" s="172" t="s">
        <v>277</v>
      </c>
      <c r="BL86" s="172" t="s">
        <v>277</v>
      </c>
      <c r="BM86" s="172" t="s">
        <v>277</v>
      </c>
      <c r="BN86" s="172" t="s">
        <v>277</v>
      </c>
      <c r="BO86" s="172" t="s">
        <v>277</v>
      </c>
      <c r="BP86" s="172" t="s">
        <v>277</v>
      </c>
      <c r="BQ86" s="172" t="s">
        <v>277</v>
      </c>
      <c r="BR86" s="172" t="s">
        <v>277</v>
      </c>
      <c r="BS86" s="172" t="s">
        <v>277</v>
      </c>
      <c r="BT86" s="172" t="s">
        <v>277</v>
      </c>
      <c r="BU86" s="172" t="s">
        <v>277</v>
      </c>
      <c r="BV86" s="172" t="s">
        <v>277</v>
      </c>
      <c r="BW86" s="172" t="s">
        <v>277</v>
      </c>
    </row>
    <row r="87" spans="1:75" x14ac:dyDescent="0.25">
      <c r="A87" s="172" t="s">
        <v>277</v>
      </c>
      <c r="B87" s="172" t="s">
        <v>277</v>
      </c>
      <c r="C87" s="172" t="s">
        <v>277</v>
      </c>
      <c r="D87" s="172" t="s">
        <v>277</v>
      </c>
      <c r="E87" s="172" t="s">
        <v>277</v>
      </c>
      <c r="F87" s="172" t="s">
        <v>277</v>
      </c>
      <c r="G87" s="172" t="s">
        <v>277</v>
      </c>
      <c r="H87" s="172" t="s">
        <v>277</v>
      </c>
      <c r="I87" s="172" t="s">
        <v>277</v>
      </c>
      <c r="J87" s="172" t="s">
        <v>277</v>
      </c>
      <c r="K87" s="172"/>
      <c r="L87" s="172"/>
      <c r="M87" s="172"/>
      <c r="N87" s="172" t="s">
        <v>277</v>
      </c>
      <c r="O87" s="172" t="s">
        <v>277</v>
      </c>
      <c r="P87" s="172"/>
      <c r="Q87" s="172"/>
      <c r="R87" s="172" t="s">
        <v>277</v>
      </c>
      <c r="S87" s="172" t="s">
        <v>277</v>
      </c>
      <c r="T87" s="172" t="s">
        <v>277</v>
      </c>
      <c r="U87" s="172" t="s">
        <v>277</v>
      </c>
      <c r="V87" s="172" t="s">
        <v>277</v>
      </c>
      <c r="W87" s="172" t="s">
        <v>277</v>
      </c>
      <c r="X87" s="172" t="s">
        <v>277</v>
      </c>
      <c r="Y87" s="172" t="s">
        <v>277</v>
      </c>
      <c r="Z87" s="172" t="s">
        <v>277</v>
      </c>
      <c r="AA87" s="172" t="s">
        <v>277</v>
      </c>
      <c r="AB87" s="172" t="s">
        <v>277</v>
      </c>
      <c r="AC87" s="172" t="s">
        <v>277</v>
      </c>
      <c r="AD87" s="172" t="s">
        <v>277</v>
      </c>
      <c r="AE87" s="172" t="s">
        <v>277</v>
      </c>
      <c r="AF87" s="172" t="s">
        <v>277</v>
      </c>
      <c r="AG87" s="172" t="s">
        <v>277</v>
      </c>
      <c r="AH87" s="172" t="s">
        <v>277</v>
      </c>
      <c r="AI87" s="172" t="s">
        <v>277</v>
      </c>
      <c r="AJ87" s="172" t="s">
        <v>277</v>
      </c>
      <c r="AK87" s="172"/>
      <c r="AL87" s="172" t="s">
        <v>277</v>
      </c>
      <c r="AM87" s="172" t="s">
        <v>277</v>
      </c>
      <c r="AN87" s="172" t="s">
        <v>277</v>
      </c>
      <c r="AO87" s="172" t="s">
        <v>277</v>
      </c>
      <c r="AP87" s="172" t="s">
        <v>277</v>
      </c>
      <c r="AQ87" s="172" t="s">
        <v>277</v>
      </c>
      <c r="AR87" s="172" t="s">
        <v>277</v>
      </c>
      <c r="AS87" s="172" t="s">
        <v>277</v>
      </c>
      <c r="AT87" s="172" t="s">
        <v>277</v>
      </c>
      <c r="AU87" s="172" t="s">
        <v>277</v>
      </c>
      <c r="AV87" s="172" t="s">
        <v>277</v>
      </c>
      <c r="AW87" s="172" t="s">
        <v>277</v>
      </c>
      <c r="AX87" s="172" t="s">
        <v>277</v>
      </c>
      <c r="AY87" s="172" t="s">
        <v>277</v>
      </c>
      <c r="AZ87" s="172" t="s">
        <v>277</v>
      </c>
      <c r="BA87" s="172" t="s">
        <v>277</v>
      </c>
      <c r="BB87" s="172" t="s">
        <v>277</v>
      </c>
      <c r="BC87" s="172" t="s">
        <v>277</v>
      </c>
      <c r="BD87" s="172" t="s">
        <v>277</v>
      </c>
      <c r="BE87" s="172" t="s">
        <v>277</v>
      </c>
      <c r="BF87" s="172" t="s">
        <v>277</v>
      </c>
      <c r="BG87" s="172" t="s">
        <v>277</v>
      </c>
      <c r="BH87" s="172" t="s">
        <v>277</v>
      </c>
      <c r="BI87" s="172" t="s">
        <v>277</v>
      </c>
      <c r="BJ87" s="172"/>
      <c r="BK87" s="172" t="s">
        <v>277</v>
      </c>
      <c r="BL87" s="172" t="s">
        <v>277</v>
      </c>
      <c r="BM87" s="172" t="s">
        <v>277</v>
      </c>
      <c r="BN87" s="172" t="s">
        <v>277</v>
      </c>
      <c r="BO87" s="172" t="s">
        <v>277</v>
      </c>
      <c r="BP87" s="172" t="s">
        <v>277</v>
      </c>
      <c r="BQ87" s="172" t="s">
        <v>277</v>
      </c>
      <c r="BR87" s="172" t="s">
        <v>277</v>
      </c>
      <c r="BS87" s="172" t="s">
        <v>277</v>
      </c>
      <c r="BT87" s="172" t="s">
        <v>277</v>
      </c>
      <c r="BU87" s="172" t="s">
        <v>277</v>
      </c>
      <c r="BV87" s="172" t="s">
        <v>277</v>
      </c>
      <c r="BW87" s="172" t="s">
        <v>277</v>
      </c>
    </row>
    <row r="88" spans="1:75" x14ac:dyDescent="0.25">
      <c r="A88" s="172" t="s">
        <v>277</v>
      </c>
      <c r="B88" s="172" t="s">
        <v>277</v>
      </c>
      <c r="C88" s="172" t="s">
        <v>277</v>
      </c>
      <c r="D88" s="172" t="s">
        <v>277</v>
      </c>
      <c r="E88" s="172" t="s">
        <v>277</v>
      </c>
      <c r="F88" s="172" t="s">
        <v>277</v>
      </c>
      <c r="G88" s="172" t="s">
        <v>277</v>
      </c>
      <c r="H88" s="172" t="s">
        <v>277</v>
      </c>
      <c r="I88" s="172" t="s">
        <v>277</v>
      </c>
      <c r="J88" s="172" t="s">
        <v>277</v>
      </c>
      <c r="K88" s="172"/>
      <c r="L88" s="172"/>
      <c r="M88" s="172"/>
      <c r="N88" s="172" t="s">
        <v>277</v>
      </c>
      <c r="O88" s="172" t="s">
        <v>277</v>
      </c>
      <c r="P88" s="172"/>
      <c r="Q88" s="172"/>
      <c r="R88" s="172" t="s">
        <v>277</v>
      </c>
      <c r="S88" s="172" t="s">
        <v>277</v>
      </c>
      <c r="T88" s="172" t="s">
        <v>277</v>
      </c>
      <c r="U88" s="172" t="s">
        <v>277</v>
      </c>
      <c r="V88" s="172" t="s">
        <v>277</v>
      </c>
      <c r="W88" s="172" t="s">
        <v>277</v>
      </c>
      <c r="X88" s="172" t="s">
        <v>277</v>
      </c>
      <c r="Y88" s="172" t="s">
        <v>277</v>
      </c>
      <c r="Z88" s="172" t="s">
        <v>277</v>
      </c>
      <c r="AA88" s="172" t="s">
        <v>277</v>
      </c>
      <c r="AB88" s="172" t="s">
        <v>277</v>
      </c>
      <c r="AC88" s="172" t="s">
        <v>277</v>
      </c>
      <c r="AD88" s="172" t="s">
        <v>277</v>
      </c>
      <c r="AE88" s="172" t="s">
        <v>277</v>
      </c>
      <c r="AF88" s="172" t="s">
        <v>277</v>
      </c>
      <c r="AG88" s="172" t="s">
        <v>277</v>
      </c>
      <c r="AH88" s="172" t="s">
        <v>277</v>
      </c>
      <c r="AI88" s="172" t="s">
        <v>277</v>
      </c>
      <c r="AJ88" s="172" t="s">
        <v>277</v>
      </c>
      <c r="AK88" s="172"/>
      <c r="AL88" s="172" t="s">
        <v>277</v>
      </c>
      <c r="AM88" s="172" t="s">
        <v>277</v>
      </c>
      <c r="AN88" s="172" t="s">
        <v>277</v>
      </c>
      <c r="AO88" s="172" t="s">
        <v>277</v>
      </c>
      <c r="AP88" s="172" t="s">
        <v>277</v>
      </c>
      <c r="AQ88" s="172" t="s">
        <v>277</v>
      </c>
      <c r="AR88" s="172" t="s">
        <v>277</v>
      </c>
      <c r="AS88" s="172" t="s">
        <v>277</v>
      </c>
      <c r="AT88" s="172" t="s">
        <v>277</v>
      </c>
      <c r="AU88" s="172" t="s">
        <v>277</v>
      </c>
      <c r="AV88" s="172" t="s">
        <v>277</v>
      </c>
      <c r="AW88" s="172" t="s">
        <v>277</v>
      </c>
      <c r="AX88" s="172" t="s">
        <v>277</v>
      </c>
      <c r="AY88" s="172" t="s">
        <v>277</v>
      </c>
      <c r="AZ88" s="172" t="s">
        <v>277</v>
      </c>
      <c r="BA88" s="172" t="s">
        <v>277</v>
      </c>
      <c r="BB88" s="172" t="s">
        <v>277</v>
      </c>
      <c r="BC88" s="172" t="s">
        <v>277</v>
      </c>
      <c r="BD88" s="172" t="s">
        <v>277</v>
      </c>
      <c r="BE88" s="172" t="s">
        <v>277</v>
      </c>
      <c r="BF88" s="172" t="s">
        <v>277</v>
      </c>
      <c r="BG88" s="172" t="s">
        <v>277</v>
      </c>
      <c r="BH88" s="172" t="s">
        <v>277</v>
      </c>
      <c r="BI88" s="172" t="s">
        <v>277</v>
      </c>
      <c r="BJ88" s="172"/>
      <c r="BK88" s="172" t="s">
        <v>277</v>
      </c>
      <c r="BL88" s="172" t="s">
        <v>277</v>
      </c>
      <c r="BM88" s="172" t="s">
        <v>277</v>
      </c>
      <c r="BN88" s="172" t="s">
        <v>277</v>
      </c>
      <c r="BO88" s="172" t="s">
        <v>277</v>
      </c>
      <c r="BP88" s="172" t="s">
        <v>277</v>
      </c>
      <c r="BQ88" s="172" t="s">
        <v>277</v>
      </c>
      <c r="BR88" s="172" t="s">
        <v>277</v>
      </c>
      <c r="BS88" s="172" t="s">
        <v>277</v>
      </c>
      <c r="BT88" s="172" t="s">
        <v>277</v>
      </c>
      <c r="BU88" s="172" t="s">
        <v>277</v>
      </c>
      <c r="BV88" s="172" t="s">
        <v>277</v>
      </c>
      <c r="BW88" s="172" t="s">
        <v>277</v>
      </c>
    </row>
    <row r="89" spans="1:75" x14ac:dyDescent="0.25">
      <c r="A89" s="172" t="s">
        <v>277</v>
      </c>
      <c r="B89" s="172" t="s">
        <v>277</v>
      </c>
      <c r="C89" s="172" t="s">
        <v>277</v>
      </c>
      <c r="D89" s="172" t="s">
        <v>277</v>
      </c>
      <c r="E89" s="172" t="s">
        <v>277</v>
      </c>
      <c r="F89" s="172" t="s">
        <v>277</v>
      </c>
      <c r="G89" s="172" t="s">
        <v>277</v>
      </c>
      <c r="H89" s="172" t="s">
        <v>277</v>
      </c>
      <c r="I89" s="172" t="s">
        <v>277</v>
      </c>
      <c r="J89" s="172" t="s">
        <v>277</v>
      </c>
      <c r="K89" s="172"/>
      <c r="L89" s="172"/>
      <c r="M89" s="172"/>
      <c r="N89" s="172" t="s">
        <v>277</v>
      </c>
      <c r="O89" s="172" t="s">
        <v>277</v>
      </c>
      <c r="P89" s="172"/>
      <c r="Q89" s="172"/>
      <c r="R89" s="172" t="s">
        <v>277</v>
      </c>
      <c r="S89" s="172" t="s">
        <v>277</v>
      </c>
      <c r="T89" s="172" t="s">
        <v>277</v>
      </c>
      <c r="U89" s="172" t="s">
        <v>277</v>
      </c>
      <c r="V89" s="172" t="s">
        <v>277</v>
      </c>
      <c r="W89" s="172" t="s">
        <v>277</v>
      </c>
      <c r="X89" s="172" t="s">
        <v>277</v>
      </c>
      <c r="Y89" s="172" t="s">
        <v>277</v>
      </c>
      <c r="Z89" s="172" t="s">
        <v>277</v>
      </c>
      <c r="AA89" s="172" t="s">
        <v>277</v>
      </c>
      <c r="AB89" s="172" t="s">
        <v>277</v>
      </c>
      <c r="AC89" s="172" t="s">
        <v>277</v>
      </c>
      <c r="AD89" s="172" t="s">
        <v>277</v>
      </c>
      <c r="AE89" s="172" t="s">
        <v>277</v>
      </c>
      <c r="AF89" s="172" t="s">
        <v>277</v>
      </c>
      <c r="AG89" s="172" t="s">
        <v>277</v>
      </c>
      <c r="AH89" s="172" t="s">
        <v>277</v>
      </c>
      <c r="AI89" s="172" t="s">
        <v>277</v>
      </c>
      <c r="AJ89" s="172" t="s">
        <v>277</v>
      </c>
      <c r="AK89" s="172"/>
      <c r="AL89" s="172" t="s">
        <v>277</v>
      </c>
      <c r="AM89" s="172" t="s">
        <v>277</v>
      </c>
      <c r="AN89" s="172" t="s">
        <v>277</v>
      </c>
      <c r="AO89" s="172" t="s">
        <v>277</v>
      </c>
      <c r="AP89" s="172" t="s">
        <v>277</v>
      </c>
      <c r="AQ89" s="172" t="s">
        <v>277</v>
      </c>
      <c r="AR89" s="172" t="s">
        <v>277</v>
      </c>
      <c r="AS89" s="172" t="s">
        <v>277</v>
      </c>
      <c r="AT89" s="172" t="s">
        <v>277</v>
      </c>
      <c r="AU89" s="172" t="s">
        <v>277</v>
      </c>
      <c r="AV89" s="172" t="s">
        <v>277</v>
      </c>
      <c r="AW89" s="172" t="s">
        <v>277</v>
      </c>
      <c r="AX89" s="172" t="s">
        <v>277</v>
      </c>
      <c r="AY89" s="172" t="s">
        <v>277</v>
      </c>
      <c r="AZ89" s="172" t="s">
        <v>277</v>
      </c>
      <c r="BA89" s="172" t="s">
        <v>277</v>
      </c>
      <c r="BB89" s="172" t="s">
        <v>277</v>
      </c>
      <c r="BC89" s="172" t="s">
        <v>277</v>
      </c>
      <c r="BD89" s="172" t="s">
        <v>277</v>
      </c>
      <c r="BE89" s="172" t="s">
        <v>277</v>
      </c>
      <c r="BF89" s="172" t="s">
        <v>277</v>
      </c>
      <c r="BG89" s="172" t="s">
        <v>277</v>
      </c>
      <c r="BH89" s="172" t="s">
        <v>277</v>
      </c>
      <c r="BI89" s="172" t="s">
        <v>277</v>
      </c>
      <c r="BJ89" s="172"/>
      <c r="BK89" s="172" t="s">
        <v>277</v>
      </c>
      <c r="BL89" s="172" t="s">
        <v>277</v>
      </c>
      <c r="BM89" s="172" t="s">
        <v>277</v>
      </c>
      <c r="BN89" s="172" t="s">
        <v>277</v>
      </c>
      <c r="BO89" s="172" t="s">
        <v>277</v>
      </c>
      <c r="BP89" s="172" t="s">
        <v>277</v>
      </c>
      <c r="BQ89" s="172" t="s">
        <v>277</v>
      </c>
      <c r="BR89" s="172" t="s">
        <v>277</v>
      </c>
      <c r="BS89" s="172" t="s">
        <v>277</v>
      </c>
      <c r="BT89" s="172" t="s">
        <v>277</v>
      </c>
      <c r="BU89" s="172" t="s">
        <v>277</v>
      </c>
      <c r="BV89" s="172" t="s">
        <v>277</v>
      </c>
      <c r="BW89" s="172" t="s">
        <v>277</v>
      </c>
    </row>
    <row r="90" spans="1:75" x14ac:dyDescent="0.25">
      <c r="A90" s="172" t="s">
        <v>277</v>
      </c>
      <c r="B90" s="172" t="s">
        <v>277</v>
      </c>
      <c r="C90" s="172" t="s">
        <v>277</v>
      </c>
      <c r="D90" s="172" t="s">
        <v>277</v>
      </c>
      <c r="E90" s="172" t="s">
        <v>277</v>
      </c>
      <c r="F90" s="172" t="s">
        <v>277</v>
      </c>
      <c r="G90" s="172" t="s">
        <v>277</v>
      </c>
      <c r="H90" s="172" t="s">
        <v>277</v>
      </c>
      <c r="I90" s="172" t="s">
        <v>277</v>
      </c>
      <c r="J90" s="172" t="s">
        <v>277</v>
      </c>
      <c r="K90" s="172"/>
      <c r="L90" s="172"/>
      <c r="M90" s="172"/>
      <c r="N90" s="172" t="s">
        <v>277</v>
      </c>
      <c r="O90" s="172" t="s">
        <v>277</v>
      </c>
      <c r="P90" s="172"/>
      <c r="Q90" s="172"/>
      <c r="R90" s="172" t="s">
        <v>277</v>
      </c>
      <c r="S90" s="172" t="s">
        <v>277</v>
      </c>
      <c r="T90" s="172" t="s">
        <v>277</v>
      </c>
      <c r="U90" s="172" t="s">
        <v>277</v>
      </c>
      <c r="V90" s="172" t="s">
        <v>277</v>
      </c>
      <c r="W90" s="172" t="s">
        <v>277</v>
      </c>
      <c r="X90" s="172" t="s">
        <v>277</v>
      </c>
      <c r="Y90" s="172" t="s">
        <v>277</v>
      </c>
      <c r="Z90" s="172" t="s">
        <v>277</v>
      </c>
      <c r="AA90" s="172" t="s">
        <v>277</v>
      </c>
      <c r="AB90" s="172" t="s">
        <v>277</v>
      </c>
      <c r="AC90" s="172" t="s">
        <v>277</v>
      </c>
      <c r="AD90" s="172" t="s">
        <v>277</v>
      </c>
      <c r="AE90" s="172" t="s">
        <v>277</v>
      </c>
      <c r="AF90" s="172" t="s">
        <v>277</v>
      </c>
      <c r="AG90" s="172" t="s">
        <v>277</v>
      </c>
      <c r="AH90" s="172" t="s">
        <v>277</v>
      </c>
      <c r="AI90" s="172" t="s">
        <v>277</v>
      </c>
      <c r="AJ90" s="172" t="s">
        <v>277</v>
      </c>
      <c r="AK90" s="172"/>
      <c r="AL90" s="172" t="s">
        <v>277</v>
      </c>
      <c r="AM90" s="172" t="s">
        <v>277</v>
      </c>
      <c r="AN90" s="172" t="s">
        <v>277</v>
      </c>
      <c r="AO90" s="172" t="s">
        <v>277</v>
      </c>
      <c r="AP90" s="172" t="s">
        <v>277</v>
      </c>
      <c r="AQ90" s="172" t="s">
        <v>277</v>
      </c>
      <c r="AR90" s="172" t="s">
        <v>277</v>
      </c>
      <c r="AS90" s="172" t="s">
        <v>277</v>
      </c>
      <c r="AT90" s="172" t="s">
        <v>277</v>
      </c>
      <c r="AU90" s="172" t="s">
        <v>277</v>
      </c>
      <c r="AV90" s="172" t="s">
        <v>277</v>
      </c>
      <c r="AW90" s="172" t="s">
        <v>277</v>
      </c>
      <c r="AX90" s="172" t="s">
        <v>277</v>
      </c>
      <c r="AY90" s="172" t="s">
        <v>277</v>
      </c>
      <c r="AZ90" s="172" t="s">
        <v>277</v>
      </c>
      <c r="BA90" s="172" t="s">
        <v>277</v>
      </c>
      <c r="BB90" s="172" t="s">
        <v>277</v>
      </c>
      <c r="BC90" s="172" t="s">
        <v>277</v>
      </c>
      <c r="BD90" s="172" t="s">
        <v>277</v>
      </c>
      <c r="BE90" s="172" t="s">
        <v>277</v>
      </c>
      <c r="BF90" s="172" t="s">
        <v>277</v>
      </c>
      <c r="BG90" s="172" t="s">
        <v>277</v>
      </c>
      <c r="BH90" s="172" t="s">
        <v>277</v>
      </c>
      <c r="BI90" s="172" t="s">
        <v>277</v>
      </c>
      <c r="BJ90" s="172"/>
      <c r="BK90" s="172" t="s">
        <v>277</v>
      </c>
      <c r="BL90" s="172" t="s">
        <v>277</v>
      </c>
      <c r="BM90" s="172" t="s">
        <v>277</v>
      </c>
      <c r="BN90" s="172" t="s">
        <v>277</v>
      </c>
      <c r="BO90" s="172" t="s">
        <v>277</v>
      </c>
      <c r="BP90" s="172" t="s">
        <v>277</v>
      </c>
      <c r="BQ90" s="172" t="s">
        <v>277</v>
      </c>
      <c r="BR90" s="172" t="s">
        <v>277</v>
      </c>
      <c r="BS90" s="172" t="s">
        <v>277</v>
      </c>
      <c r="BT90" s="172" t="s">
        <v>277</v>
      </c>
      <c r="BU90" s="172" t="s">
        <v>277</v>
      </c>
      <c r="BV90" s="172" t="s">
        <v>277</v>
      </c>
      <c r="BW90" s="172" t="s">
        <v>277</v>
      </c>
    </row>
    <row r="91" spans="1:75" x14ac:dyDescent="0.25">
      <c r="A91" s="172" t="s">
        <v>277</v>
      </c>
      <c r="B91" s="172" t="s">
        <v>277</v>
      </c>
      <c r="C91" s="172" t="s">
        <v>277</v>
      </c>
      <c r="D91" s="172" t="s">
        <v>277</v>
      </c>
      <c r="E91" s="172" t="s">
        <v>277</v>
      </c>
      <c r="F91" s="172" t="s">
        <v>277</v>
      </c>
      <c r="G91" s="172" t="s">
        <v>277</v>
      </c>
      <c r="H91" s="172" t="s">
        <v>277</v>
      </c>
      <c r="I91" s="172" t="s">
        <v>277</v>
      </c>
      <c r="J91" s="172" t="s">
        <v>277</v>
      </c>
      <c r="K91" s="172"/>
      <c r="L91" s="172"/>
      <c r="M91" s="172"/>
      <c r="N91" s="172" t="s">
        <v>277</v>
      </c>
      <c r="O91" s="172" t="s">
        <v>277</v>
      </c>
      <c r="P91" s="172"/>
      <c r="Q91" s="172"/>
      <c r="R91" s="172" t="s">
        <v>277</v>
      </c>
      <c r="S91" s="172" t="s">
        <v>277</v>
      </c>
      <c r="T91" s="172" t="s">
        <v>277</v>
      </c>
      <c r="U91" s="172" t="s">
        <v>277</v>
      </c>
      <c r="V91" s="172" t="s">
        <v>277</v>
      </c>
      <c r="W91" s="172" t="s">
        <v>277</v>
      </c>
      <c r="X91" s="172" t="s">
        <v>277</v>
      </c>
      <c r="Y91" s="172" t="s">
        <v>277</v>
      </c>
      <c r="Z91" s="172" t="s">
        <v>277</v>
      </c>
      <c r="AA91" s="172" t="s">
        <v>277</v>
      </c>
      <c r="AB91" s="172" t="s">
        <v>277</v>
      </c>
      <c r="AC91" s="172" t="s">
        <v>277</v>
      </c>
      <c r="AD91" s="172" t="s">
        <v>277</v>
      </c>
      <c r="AE91" s="172" t="s">
        <v>277</v>
      </c>
      <c r="AF91" s="172" t="s">
        <v>277</v>
      </c>
      <c r="AG91" s="172" t="s">
        <v>277</v>
      </c>
      <c r="AH91" s="172" t="s">
        <v>277</v>
      </c>
      <c r="AI91" s="172" t="s">
        <v>277</v>
      </c>
      <c r="AJ91" s="172" t="s">
        <v>277</v>
      </c>
      <c r="AK91" s="172"/>
      <c r="AL91" s="172" t="s">
        <v>277</v>
      </c>
      <c r="AM91" s="172" t="s">
        <v>277</v>
      </c>
      <c r="AN91" s="172" t="s">
        <v>277</v>
      </c>
      <c r="AO91" s="172" t="s">
        <v>277</v>
      </c>
      <c r="AP91" s="172" t="s">
        <v>277</v>
      </c>
      <c r="AQ91" s="172" t="s">
        <v>277</v>
      </c>
      <c r="AR91" s="172" t="s">
        <v>277</v>
      </c>
      <c r="AS91" s="172" t="s">
        <v>277</v>
      </c>
      <c r="AT91" s="172" t="s">
        <v>277</v>
      </c>
      <c r="AU91" s="172" t="s">
        <v>277</v>
      </c>
      <c r="AV91" s="172" t="s">
        <v>277</v>
      </c>
      <c r="AW91" s="172" t="s">
        <v>277</v>
      </c>
      <c r="AX91" s="172" t="s">
        <v>277</v>
      </c>
      <c r="AY91" s="172" t="s">
        <v>277</v>
      </c>
      <c r="AZ91" s="172" t="s">
        <v>277</v>
      </c>
      <c r="BA91" s="172" t="s">
        <v>277</v>
      </c>
      <c r="BB91" s="172" t="s">
        <v>277</v>
      </c>
      <c r="BC91" s="172" t="s">
        <v>277</v>
      </c>
      <c r="BD91" s="172" t="s">
        <v>277</v>
      </c>
      <c r="BE91" s="172" t="s">
        <v>277</v>
      </c>
      <c r="BF91" s="172" t="s">
        <v>277</v>
      </c>
      <c r="BG91" s="172" t="s">
        <v>277</v>
      </c>
      <c r="BH91" s="172" t="s">
        <v>277</v>
      </c>
      <c r="BI91" s="172" t="s">
        <v>277</v>
      </c>
      <c r="BJ91" s="172"/>
      <c r="BK91" s="172" t="s">
        <v>277</v>
      </c>
      <c r="BL91" s="172" t="s">
        <v>277</v>
      </c>
      <c r="BM91" s="172" t="s">
        <v>277</v>
      </c>
      <c r="BN91" s="172" t="s">
        <v>277</v>
      </c>
      <c r="BO91" s="172" t="s">
        <v>277</v>
      </c>
      <c r="BP91" s="172" t="s">
        <v>277</v>
      </c>
      <c r="BQ91" s="172" t="s">
        <v>277</v>
      </c>
      <c r="BR91" s="172" t="s">
        <v>277</v>
      </c>
      <c r="BS91" s="172" t="s">
        <v>277</v>
      </c>
      <c r="BT91" s="172" t="s">
        <v>277</v>
      </c>
      <c r="BU91" s="172" t="s">
        <v>277</v>
      </c>
      <c r="BV91" s="172" t="s">
        <v>277</v>
      </c>
      <c r="BW91" s="172" t="s">
        <v>277</v>
      </c>
    </row>
    <row r="92" spans="1:75" x14ac:dyDescent="0.25">
      <c r="A92" s="172" t="s">
        <v>277</v>
      </c>
      <c r="B92" s="172" t="s">
        <v>277</v>
      </c>
      <c r="C92" s="172" t="s">
        <v>277</v>
      </c>
      <c r="D92" s="172" t="s">
        <v>277</v>
      </c>
      <c r="E92" s="172" t="s">
        <v>277</v>
      </c>
      <c r="F92" s="172" t="s">
        <v>277</v>
      </c>
      <c r="G92" s="172" t="s">
        <v>277</v>
      </c>
      <c r="H92" s="172" t="s">
        <v>277</v>
      </c>
      <c r="I92" s="172" t="s">
        <v>277</v>
      </c>
      <c r="J92" s="172" t="s">
        <v>277</v>
      </c>
      <c r="K92" s="172"/>
      <c r="L92" s="172"/>
      <c r="M92" s="172"/>
      <c r="N92" s="172" t="s">
        <v>277</v>
      </c>
      <c r="O92" s="172" t="s">
        <v>277</v>
      </c>
      <c r="P92" s="172"/>
      <c r="Q92" s="172"/>
      <c r="R92" s="172" t="s">
        <v>277</v>
      </c>
      <c r="S92" s="172" t="s">
        <v>277</v>
      </c>
      <c r="T92" s="172" t="s">
        <v>277</v>
      </c>
      <c r="U92" s="172" t="s">
        <v>277</v>
      </c>
      <c r="V92" s="172" t="s">
        <v>277</v>
      </c>
      <c r="W92" s="172" t="s">
        <v>277</v>
      </c>
      <c r="X92" s="172" t="s">
        <v>277</v>
      </c>
      <c r="Y92" s="172" t="s">
        <v>277</v>
      </c>
      <c r="Z92" s="172" t="s">
        <v>277</v>
      </c>
      <c r="AA92" s="172" t="s">
        <v>277</v>
      </c>
      <c r="AB92" s="172" t="s">
        <v>277</v>
      </c>
      <c r="AC92" s="172" t="s">
        <v>277</v>
      </c>
      <c r="AD92" s="172" t="s">
        <v>277</v>
      </c>
      <c r="AE92" s="172" t="s">
        <v>277</v>
      </c>
      <c r="AF92" s="172" t="s">
        <v>277</v>
      </c>
      <c r="AG92" s="172" t="s">
        <v>277</v>
      </c>
      <c r="AH92" s="172" t="s">
        <v>277</v>
      </c>
      <c r="AI92" s="172" t="s">
        <v>277</v>
      </c>
      <c r="AJ92" s="172" t="s">
        <v>277</v>
      </c>
      <c r="AK92" s="172"/>
      <c r="AL92" s="172" t="s">
        <v>277</v>
      </c>
      <c r="AM92" s="172" t="s">
        <v>277</v>
      </c>
      <c r="AN92" s="172" t="s">
        <v>277</v>
      </c>
      <c r="AO92" s="172" t="s">
        <v>277</v>
      </c>
      <c r="AP92" s="172" t="s">
        <v>277</v>
      </c>
      <c r="AQ92" s="172" t="s">
        <v>277</v>
      </c>
      <c r="AR92" s="172" t="s">
        <v>277</v>
      </c>
      <c r="AS92" s="172" t="s">
        <v>277</v>
      </c>
      <c r="AT92" s="172" t="s">
        <v>277</v>
      </c>
      <c r="AU92" s="172" t="s">
        <v>277</v>
      </c>
      <c r="AV92" s="172" t="s">
        <v>277</v>
      </c>
      <c r="AW92" s="172" t="s">
        <v>277</v>
      </c>
      <c r="AX92" s="172" t="s">
        <v>277</v>
      </c>
      <c r="AY92" s="172" t="s">
        <v>277</v>
      </c>
      <c r="AZ92" s="172" t="s">
        <v>277</v>
      </c>
      <c r="BA92" s="172" t="s">
        <v>277</v>
      </c>
      <c r="BB92" s="172" t="s">
        <v>277</v>
      </c>
      <c r="BC92" s="172" t="s">
        <v>277</v>
      </c>
      <c r="BD92" s="172" t="s">
        <v>277</v>
      </c>
      <c r="BE92" s="172" t="s">
        <v>277</v>
      </c>
      <c r="BF92" s="172" t="s">
        <v>277</v>
      </c>
      <c r="BG92" s="172" t="s">
        <v>277</v>
      </c>
      <c r="BH92" s="172" t="s">
        <v>277</v>
      </c>
      <c r="BI92" s="172" t="s">
        <v>277</v>
      </c>
      <c r="BJ92" s="172"/>
      <c r="BK92" s="172" t="s">
        <v>277</v>
      </c>
      <c r="BL92" s="172" t="s">
        <v>277</v>
      </c>
      <c r="BM92" s="172" t="s">
        <v>277</v>
      </c>
      <c r="BN92" s="172" t="s">
        <v>277</v>
      </c>
      <c r="BO92" s="172" t="s">
        <v>277</v>
      </c>
      <c r="BP92" s="172" t="s">
        <v>277</v>
      </c>
      <c r="BQ92" s="172" t="s">
        <v>277</v>
      </c>
      <c r="BR92" s="172" t="s">
        <v>277</v>
      </c>
      <c r="BS92" s="172" t="s">
        <v>277</v>
      </c>
      <c r="BT92" s="172" t="s">
        <v>277</v>
      </c>
      <c r="BU92" s="172" t="s">
        <v>277</v>
      </c>
      <c r="BV92" s="172" t="s">
        <v>277</v>
      </c>
      <c r="BW92" s="172" t="s">
        <v>277</v>
      </c>
    </row>
    <row r="93" spans="1:75" x14ac:dyDescent="0.25">
      <c r="A93" s="172" t="s">
        <v>277</v>
      </c>
      <c r="B93" s="172" t="s">
        <v>277</v>
      </c>
      <c r="C93" s="172" t="s">
        <v>277</v>
      </c>
      <c r="D93" s="172" t="s">
        <v>277</v>
      </c>
      <c r="E93" s="172" t="s">
        <v>277</v>
      </c>
      <c r="F93" s="172" t="s">
        <v>277</v>
      </c>
      <c r="G93" s="172" t="s">
        <v>277</v>
      </c>
      <c r="H93" s="172" t="s">
        <v>277</v>
      </c>
      <c r="I93" s="172" t="s">
        <v>277</v>
      </c>
      <c r="J93" s="172" t="s">
        <v>277</v>
      </c>
      <c r="K93" s="172"/>
      <c r="L93" s="172"/>
      <c r="M93" s="172"/>
      <c r="N93" s="172" t="s">
        <v>277</v>
      </c>
      <c r="O93" s="172" t="s">
        <v>277</v>
      </c>
      <c r="P93" s="172"/>
      <c r="Q93" s="172"/>
      <c r="R93" s="172" t="s">
        <v>277</v>
      </c>
      <c r="S93" s="172" t="s">
        <v>277</v>
      </c>
      <c r="T93" s="172" t="s">
        <v>277</v>
      </c>
      <c r="U93" s="172" t="s">
        <v>277</v>
      </c>
      <c r="V93" s="172" t="s">
        <v>277</v>
      </c>
      <c r="W93" s="172" t="s">
        <v>277</v>
      </c>
      <c r="X93" s="172" t="s">
        <v>277</v>
      </c>
      <c r="Y93" s="172" t="s">
        <v>277</v>
      </c>
      <c r="Z93" s="172" t="s">
        <v>277</v>
      </c>
      <c r="AA93" s="172" t="s">
        <v>277</v>
      </c>
      <c r="AB93" s="172" t="s">
        <v>277</v>
      </c>
      <c r="AC93" s="172" t="s">
        <v>277</v>
      </c>
      <c r="AD93" s="172" t="s">
        <v>277</v>
      </c>
      <c r="AE93" s="172" t="s">
        <v>277</v>
      </c>
      <c r="AF93" s="172" t="s">
        <v>277</v>
      </c>
      <c r="AG93" s="172" t="s">
        <v>277</v>
      </c>
      <c r="AH93" s="172" t="s">
        <v>277</v>
      </c>
      <c r="AI93" s="172" t="s">
        <v>277</v>
      </c>
      <c r="AJ93" s="172" t="s">
        <v>277</v>
      </c>
      <c r="AK93" s="172"/>
      <c r="AL93" s="172" t="s">
        <v>277</v>
      </c>
      <c r="AM93" s="172" t="s">
        <v>277</v>
      </c>
      <c r="AN93" s="172" t="s">
        <v>277</v>
      </c>
      <c r="AO93" s="172" t="s">
        <v>277</v>
      </c>
      <c r="AP93" s="172" t="s">
        <v>277</v>
      </c>
      <c r="AQ93" s="172" t="s">
        <v>277</v>
      </c>
      <c r="AR93" s="172" t="s">
        <v>277</v>
      </c>
      <c r="AS93" s="172" t="s">
        <v>277</v>
      </c>
      <c r="AT93" s="172" t="s">
        <v>277</v>
      </c>
      <c r="AU93" s="172" t="s">
        <v>277</v>
      </c>
      <c r="AV93" s="172" t="s">
        <v>277</v>
      </c>
      <c r="AW93" s="172" t="s">
        <v>277</v>
      </c>
      <c r="AX93" s="172" t="s">
        <v>277</v>
      </c>
      <c r="AY93" s="172" t="s">
        <v>277</v>
      </c>
      <c r="AZ93" s="172" t="s">
        <v>277</v>
      </c>
      <c r="BA93" s="172" t="s">
        <v>277</v>
      </c>
      <c r="BB93" s="172" t="s">
        <v>277</v>
      </c>
      <c r="BC93" s="172" t="s">
        <v>277</v>
      </c>
      <c r="BD93" s="172" t="s">
        <v>277</v>
      </c>
      <c r="BE93" s="172" t="s">
        <v>277</v>
      </c>
      <c r="BF93" s="172" t="s">
        <v>277</v>
      </c>
      <c r="BG93" s="172" t="s">
        <v>277</v>
      </c>
      <c r="BH93" s="172" t="s">
        <v>277</v>
      </c>
      <c r="BI93" s="172" t="s">
        <v>277</v>
      </c>
      <c r="BJ93" s="172"/>
      <c r="BK93" s="172" t="s">
        <v>277</v>
      </c>
      <c r="BL93" s="172" t="s">
        <v>277</v>
      </c>
      <c r="BM93" s="172" t="s">
        <v>277</v>
      </c>
      <c r="BN93" s="172" t="s">
        <v>277</v>
      </c>
      <c r="BO93" s="172" t="s">
        <v>277</v>
      </c>
      <c r="BP93" s="172" t="s">
        <v>277</v>
      </c>
      <c r="BQ93" s="172" t="s">
        <v>277</v>
      </c>
      <c r="BR93" s="172" t="s">
        <v>277</v>
      </c>
      <c r="BS93" s="172" t="s">
        <v>277</v>
      </c>
      <c r="BT93" s="172" t="s">
        <v>277</v>
      </c>
      <c r="BU93" s="172" t="s">
        <v>277</v>
      </c>
      <c r="BV93" s="172" t="s">
        <v>277</v>
      </c>
      <c r="BW93" s="172" t="s">
        <v>277</v>
      </c>
    </row>
    <row r="94" spans="1:75" x14ac:dyDescent="0.25">
      <c r="A94" s="172" t="s">
        <v>277</v>
      </c>
      <c r="B94" s="172" t="s">
        <v>277</v>
      </c>
      <c r="C94" s="172" t="s">
        <v>277</v>
      </c>
      <c r="D94" s="172" t="s">
        <v>277</v>
      </c>
      <c r="E94" s="172" t="s">
        <v>277</v>
      </c>
      <c r="F94" s="172" t="s">
        <v>277</v>
      </c>
      <c r="G94" s="172" t="s">
        <v>277</v>
      </c>
      <c r="H94" s="172" t="s">
        <v>277</v>
      </c>
      <c r="I94" s="172" t="s">
        <v>277</v>
      </c>
      <c r="J94" s="172" t="s">
        <v>277</v>
      </c>
      <c r="K94" s="172"/>
      <c r="L94" s="172"/>
      <c r="M94" s="172"/>
      <c r="N94" s="172" t="s">
        <v>277</v>
      </c>
      <c r="O94" s="172" t="s">
        <v>277</v>
      </c>
      <c r="P94" s="172"/>
      <c r="Q94" s="172"/>
      <c r="R94" s="172" t="s">
        <v>277</v>
      </c>
      <c r="S94" s="172" t="s">
        <v>277</v>
      </c>
      <c r="T94" s="172" t="s">
        <v>277</v>
      </c>
      <c r="U94" s="172" t="s">
        <v>277</v>
      </c>
      <c r="V94" s="172" t="s">
        <v>277</v>
      </c>
      <c r="W94" s="172" t="s">
        <v>277</v>
      </c>
      <c r="X94" s="172" t="s">
        <v>277</v>
      </c>
      <c r="Y94" s="172" t="s">
        <v>277</v>
      </c>
      <c r="Z94" s="172" t="s">
        <v>277</v>
      </c>
      <c r="AA94" s="172" t="s">
        <v>277</v>
      </c>
      <c r="AB94" s="172" t="s">
        <v>277</v>
      </c>
      <c r="AC94" s="172" t="s">
        <v>277</v>
      </c>
      <c r="AD94" s="172" t="s">
        <v>277</v>
      </c>
      <c r="AE94" s="172" t="s">
        <v>277</v>
      </c>
      <c r="AF94" s="172" t="s">
        <v>277</v>
      </c>
      <c r="AG94" s="172" t="s">
        <v>277</v>
      </c>
      <c r="AH94" s="172" t="s">
        <v>277</v>
      </c>
      <c r="AI94" s="172" t="s">
        <v>277</v>
      </c>
      <c r="AJ94" s="172" t="s">
        <v>277</v>
      </c>
      <c r="AK94" s="172"/>
      <c r="AL94" s="172" t="s">
        <v>277</v>
      </c>
      <c r="AM94" s="172" t="s">
        <v>277</v>
      </c>
      <c r="AN94" s="172" t="s">
        <v>277</v>
      </c>
      <c r="AO94" s="172" t="s">
        <v>277</v>
      </c>
      <c r="AP94" s="172" t="s">
        <v>277</v>
      </c>
      <c r="AQ94" s="172" t="s">
        <v>277</v>
      </c>
      <c r="AR94" s="172" t="s">
        <v>277</v>
      </c>
      <c r="AS94" s="172" t="s">
        <v>277</v>
      </c>
      <c r="AT94" s="172" t="s">
        <v>277</v>
      </c>
      <c r="AU94" s="172" t="s">
        <v>277</v>
      </c>
      <c r="AV94" s="172" t="s">
        <v>277</v>
      </c>
      <c r="AW94" s="172" t="s">
        <v>277</v>
      </c>
      <c r="AX94" s="172" t="s">
        <v>277</v>
      </c>
      <c r="AY94" s="172" t="s">
        <v>277</v>
      </c>
      <c r="AZ94" s="172" t="s">
        <v>277</v>
      </c>
      <c r="BA94" s="172" t="s">
        <v>277</v>
      </c>
      <c r="BB94" s="172" t="s">
        <v>277</v>
      </c>
      <c r="BC94" s="172" t="s">
        <v>277</v>
      </c>
      <c r="BD94" s="172" t="s">
        <v>277</v>
      </c>
      <c r="BE94" s="172" t="s">
        <v>277</v>
      </c>
      <c r="BF94" s="172" t="s">
        <v>277</v>
      </c>
      <c r="BG94" s="172" t="s">
        <v>277</v>
      </c>
      <c r="BH94" s="172" t="s">
        <v>277</v>
      </c>
      <c r="BI94" s="172" t="s">
        <v>277</v>
      </c>
      <c r="BJ94" s="172"/>
      <c r="BK94" s="172" t="s">
        <v>277</v>
      </c>
      <c r="BL94" s="172" t="s">
        <v>277</v>
      </c>
      <c r="BM94" s="172" t="s">
        <v>277</v>
      </c>
      <c r="BN94" s="172" t="s">
        <v>277</v>
      </c>
      <c r="BO94" s="172" t="s">
        <v>277</v>
      </c>
      <c r="BP94" s="172" t="s">
        <v>277</v>
      </c>
      <c r="BQ94" s="172" t="s">
        <v>277</v>
      </c>
      <c r="BR94" s="172" t="s">
        <v>277</v>
      </c>
      <c r="BS94" s="172" t="s">
        <v>277</v>
      </c>
      <c r="BT94" s="172" t="s">
        <v>277</v>
      </c>
      <c r="BU94" s="172" t="s">
        <v>277</v>
      </c>
      <c r="BV94" s="172" t="s">
        <v>277</v>
      </c>
      <c r="BW94" s="172" t="s">
        <v>277</v>
      </c>
    </row>
    <row r="95" spans="1:75" x14ac:dyDescent="0.25">
      <c r="A95" s="172" t="s">
        <v>277</v>
      </c>
      <c r="B95" s="172" t="s">
        <v>277</v>
      </c>
      <c r="C95" s="172" t="s">
        <v>277</v>
      </c>
      <c r="D95" s="172" t="s">
        <v>277</v>
      </c>
      <c r="E95" s="172" t="s">
        <v>277</v>
      </c>
      <c r="F95" s="172" t="s">
        <v>277</v>
      </c>
      <c r="G95" s="172" t="s">
        <v>277</v>
      </c>
      <c r="H95" s="172" t="s">
        <v>277</v>
      </c>
      <c r="I95" s="172" t="s">
        <v>277</v>
      </c>
      <c r="J95" s="172" t="s">
        <v>277</v>
      </c>
      <c r="K95" s="172"/>
      <c r="L95" s="172"/>
      <c r="M95" s="172"/>
      <c r="N95" s="172" t="s">
        <v>277</v>
      </c>
      <c r="O95" s="172" t="s">
        <v>277</v>
      </c>
      <c r="P95" s="172"/>
      <c r="Q95" s="172"/>
      <c r="R95" s="172" t="s">
        <v>277</v>
      </c>
      <c r="S95" s="172" t="s">
        <v>277</v>
      </c>
      <c r="T95" s="172" t="s">
        <v>277</v>
      </c>
      <c r="U95" s="172" t="s">
        <v>277</v>
      </c>
      <c r="V95" s="172" t="s">
        <v>277</v>
      </c>
      <c r="W95" s="172" t="s">
        <v>277</v>
      </c>
      <c r="X95" s="172" t="s">
        <v>277</v>
      </c>
      <c r="Y95" s="172" t="s">
        <v>277</v>
      </c>
      <c r="Z95" s="172" t="s">
        <v>277</v>
      </c>
      <c r="AA95" s="172" t="s">
        <v>277</v>
      </c>
      <c r="AB95" s="172" t="s">
        <v>277</v>
      </c>
      <c r="AC95" s="172" t="s">
        <v>277</v>
      </c>
      <c r="AD95" s="172" t="s">
        <v>277</v>
      </c>
      <c r="AE95" s="172" t="s">
        <v>277</v>
      </c>
      <c r="AF95" s="172" t="s">
        <v>277</v>
      </c>
      <c r="AG95" s="172" t="s">
        <v>277</v>
      </c>
      <c r="AH95" s="172" t="s">
        <v>277</v>
      </c>
      <c r="AI95" s="172" t="s">
        <v>277</v>
      </c>
      <c r="AJ95" s="172" t="s">
        <v>277</v>
      </c>
      <c r="AK95" s="172"/>
      <c r="AL95" s="172" t="s">
        <v>277</v>
      </c>
      <c r="AM95" s="172" t="s">
        <v>277</v>
      </c>
      <c r="AN95" s="172" t="s">
        <v>277</v>
      </c>
      <c r="AO95" s="172" t="s">
        <v>277</v>
      </c>
      <c r="AP95" s="172" t="s">
        <v>277</v>
      </c>
      <c r="AQ95" s="172" t="s">
        <v>277</v>
      </c>
      <c r="AR95" s="172" t="s">
        <v>277</v>
      </c>
      <c r="AS95" s="172" t="s">
        <v>277</v>
      </c>
      <c r="AT95" s="172" t="s">
        <v>277</v>
      </c>
      <c r="AU95" s="172" t="s">
        <v>277</v>
      </c>
      <c r="AV95" s="172" t="s">
        <v>277</v>
      </c>
      <c r="AW95" s="172" t="s">
        <v>277</v>
      </c>
      <c r="AX95" s="172" t="s">
        <v>277</v>
      </c>
      <c r="AY95" s="172" t="s">
        <v>277</v>
      </c>
      <c r="AZ95" s="172" t="s">
        <v>277</v>
      </c>
      <c r="BA95" s="172" t="s">
        <v>277</v>
      </c>
      <c r="BB95" s="172" t="s">
        <v>277</v>
      </c>
      <c r="BC95" s="172" t="s">
        <v>277</v>
      </c>
      <c r="BD95" s="172" t="s">
        <v>277</v>
      </c>
      <c r="BE95" s="172" t="s">
        <v>277</v>
      </c>
      <c r="BF95" s="172" t="s">
        <v>277</v>
      </c>
      <c r="BG95" s="172" t="s">
        <v>277</v>
      </c>
      <c r="BH95" s="172" t="s">
        <v>277</v>
      </c>
      <c r="BI95" s="172" t="s">
        <v>277</v>
      </c>
      <c r="BJ95" s="172"/>
      <c r="BK95" s="172" t="s">
        <v>277</v>
      </c>
      <c r="BL95" s="172" t="s">
        <v>277</v>
      </c>
      <c r="BM95" s="172" t="s">
        <v>277</v>
      </c>
      <c r="BN95" s="172" t="s">
        <v>277</v>
      </c>
      <c r="BO95" s="172" t="s">
        <v>277</v>
      </c>
      <c r="BP95" s="172" t="s">
        <v>277</v>
      </c>
      <c r="BQ95" s="172" t="s">
        <v>277</v>
      </c>
      <c r="BR95" s="172" t="s">
        <v>277</v>
      </c>
      <c r="BS95" s="172" t="s">
        <v>277</v>
      </c>
      <c r="BT95" s="172" t="s">
        <v>277</v>
      </c>
      <c r="BU95" s="172" t="s">
        <v>277</v>
      </c>
      <c r="BV95" s="172" t="s">
        <v>277</v>
      </c>
      <c r="BW95" s="172" t="s">
        <v>277</v>
      </c>
    </row>
    <row r="96" spans="1:75" x14ac:dyDescent="0.25">
      <c r="A96" s="172" t="s">
        <v>277</v>
      </c>
      <c r="B96" s="172" t="s">
        <v>277</v>
      </c>
      <c r="C96" s="172" t="s">
        <v>277</v>
      </c>
      <c r="D96" s="172" t="s">
        <v>277</v>
      </c>
      <c r="E96" s="172" t="s">
        <v>277</v>
      </c>
      <c r="F96" s="172" t="s">
        <v>277</v>
      </c>
      <c r="G96" s="172" t="s">
        <v>277</v>
      </c>
      <c r="H96" s="172" t="s">
        <v>277</v>
      </c>
      <c r="I96" s="172" t="s">
        <v>277</v>
      </c>
      <c r="J96" s="172" t="s">
        <v>277</v>
      </c>
      <c r="K96" s="172"/>
      <c r="L96" s="172"/>
      <c r="M96" s="172"/>
      <c r="N96" s="172" t="s">
        <v>277</v>
      </c>
      <c r="O96" s="172" t="s">
        <v>277</v>
      </c>
      <c r="P96" s="172"/>
      <c r="Q96" s="172"/>
      <c r="R96" s="172" t="s">
        <v>277</v>
      </c>
      <c r="S96" s="172" t="s">
        <v>277</v>
      </c>
      <c r="T96" s="172" t="s">
        <v>277</v>
      </c>
      <c r="U96" s="172" t="s">
        <v>277</v>
      </c>
      <c r="V96" s="172" t="s">
        <v>277</v>
      </c>
      <c r="W96" s="172" t="s">
        <v>277</v>
      </c>
      <c r="X96" s="172" t="s">
        <v>277</v>
      </c>
      <c r="Y96" s="172" t="s">
        <v>277</v>
      </c>
      <c r="Z96" s="172" t="s">
        <v>277</v>
      </c>
      <c r="AA96" s="172" t="s">
        <v>277</v>
      </c>
      <c r="AB96" s="172" t="s">
        <v>277</v>
      </c>
      <c r="AC96" s="172" t="s">
        <v>277</v>
      </c>
      <c r="AD96" s="172" t="s">
        <v>277</v>
      </c>
      <c r="AE96" s="172" t="s">
        <v>277</v>
      </c>
      <c r="AF96" s="172" t="s">
        <v>277</v>
      </c>
      <c r="AG96" s="172" t="s">
        <v>277</v>
      </c>
      <c r="AH96" s="172" t="s">
        <v>277</v>
      </c>
      <c r="AI96" s="172" t="s">
        <v>277</v>
      </c>
      <c r="AJ96" s="172" t="s">
        <v>277</v>
      </c>
      <c r="AK96" s="172"/>
      <c r="AL96" s="172" t="s">
        <v>277</v>
      </c>
      <c r="AM96" s="172" t="s">
        <v>277</v>
      </c>
      <c r="AN96" s="172" t="s">
        <v>277</v>
      </c>
      <c r="AO96" s="172" t="s">
        <v>277</v>
      </c>
      <c r="AP96" s="172" t="s">
        <v>277</v>
      </c>
      <c r="AQ96" s="172" t="s">
        <v>277</v>
      </c>
      <c r="AR96" s="172" t="s">
        <v>277</v>
      </c>
      <c r="AS96" s="172" t="s">
        <v>277</v>
      </c>
      <c r="AT96" s="172" t="s">
        <v>277</v>
      </c>
      <c r="AU96" s="172" t="s">
        <v>277</v>
      </c>
      <c r="AV96" s="172" t="s">
        <v>277</v>
      </c>
      <c r="AW96" s="172" t="s">
        <v>277</v>
      </c>
      <c r="AX96" s="172" t="s">
        <v>277</v>
      </c>
      <c r="AY96" s="172" t="s">
        <v>277</v>
      </c>
      <c r="AZ96" s="172" t="s">
        <v>277</v>
      </c>
      <c r="BA96" s="172" t="s">
        <v>277</v>
      </c>
      <c r="BB96" s="172" t="s">
        <v>277</v>
      </c>
      <c r="BC96" s="172" t="s">
        <v>277</v>
      </c>
      <c r="BD96" s="172" t="s">
        <v>277</v>
      </c>
      <c r="BE96" s="172" t="s">
        <v>277</v>
      </c>
      <c r="BF96" s="172" t="s">
        <v>277</v>
      </c>
      <c r="BG96" s="172" t="s">
        <v>277</v>
      </c>
      <c r="BH96" s="172" t="s">
        <v>277</v>
      </c>
      <c r="BI96" s="172" t="s">
        <v>277</v>
      </c>
      <c r="BJ96" s="172"/>
      <c r="BK96" s="172" t="s">
        <v>277</v>
      </c>
      <c r="BL96" s="172" t="s">
        <v>277</v>
      </c>
      <c r="BM96" s="172" t="s">
        <v>277</v>
      </c>
      <c r="BN96" s="172" t="s">
        <v>277</v>
      </c>
      <c r="BO96" s="172" t="s">
        <v>277</v>
      </c>
      <c r="BP96" s="172" t="s">
        <v>277</v>
      </c>
      <c r="BQ96" s="172" t="s">
        <v>277</v>
      </c>
      <c r="BR96" s="172" t="s">
        <v>277</v>
      </c>
      <c r="BS96" s="172" t="s">
        <v>277</v>
      </c>
      <c r="BT96" s="172" t="s">
        <v>277</v>
      </c>
      <c r="BU96" s="172" t="s">
        <v>277</v>
      </c>
      <c r="BV96" s="172" t="s">
        <v>277</v>
      </c>
      <c r="BW96" s="172" t="s">
        <v>277</v>
      </c>
    </row>
    <row r="97" spans="1:75" x14ac:dyDescent="0.25">
      <c r="A97" s="172" t="s">
        <v>277</v>
      </c>
      <c r="B97" s="172" t="s">
        <v>277</v>
      </c>
      <c r="C97" s="172" t="s">
        <v>277</v>
      </c>
      <c r="D97" s="172" t="s">
        <v>277</v>
      </c>
      <c r="E97" s="172" t="s">
        <v>277</v>
      </c>
      <c r="F97" s="172" t="s">
        <v>277</v>
      </c>
      <c r="G97" s="172" t="s">
        <v>277</v>
      </c>
      <c r="H97" s="172" t="s">
        <v>277</v>
      </c>
      <c r="I97" s="172" t="s">
        <v>277</v>
      </c>
      <c r="J97" s="172" t="s">
        <v>277</v>
      </c>
      <c r="K97" s="172"/>
      <c r="L97" s="172"/>
      <c r="M97" s="172"/>
      <c r="N97" s="172" t="s">
        <v>277</v>
      </c>
      <c r="O97" s="172" t="s">
        <v>277</v>
      </c>
      <c r="P97" s="172"/>
      <c r="Q97" s="172"/>
      <c r="R97" s="172" t="s">
        <v>277</v>
      </c>
      <c r="S97" s="172" t="s">
        <v>277</v>
      </c>
      <c r="T97" s="172" t="s">
        <v>277</v>
      </c>
      <c r="U97" s="172" t="s">
        <v>277</v>
      </c>
      <c r="V97" s="172" t="s">
        <v>277</v>
      </c>
      <c r="W97" s="172" t="s">
        <v>277</v>
      </c>
      <c r="X97" s="172" t="s">
        <v>277</v>
      </c>
      <c r="Y97" s="172" t="s">
        <v>277</v>
      </c>
      <c r="Z97" s="172" t="s">
        <v>277</v>
      </c>
      <c r="AA97" s="172" t="s">
        <v>277</v>
      </c>
      <c r="AB97" s="172" t="s">
        <v>277</v>
      </c>
      <c r="AC97" s="172" t="s">
        <v>277</v>
      </c>
      <c r="AD97" s="172" t="s">
        <v>277</v>
      </c>
      <c r="AE97" s="172" t="s">
        <v>277</v>
      </c>
      <c r="AF97" s="172" t="s">
        <v>277</v>
      </c>
      <c r="AG97" s="172" t="s">
        <v>277</v>
      </c>
      <c r="AH97" s="172" t="s">
        <v>277</v>
      </c>
      <c r="AI97" s="172" t="s">
        <v>277</v>
      </c>
      <c r="AJ97" s="172" t="s">
        <v>277</v>
      </c>
      <c r="AK97" s="172"/>
      <c r="AL97" s="172" t="s">
        <v>277</v>
      </c>
      <c r="AM97" s="172" t="s">
        <v>277</v>
      </c>
      <c r="AN97" s="172" t="s">
        <v>277</v>
      </c>
      <c r="AO97" s="172" t="s">
        <v>277</v>
      </c>
      <c r="AP97" s="172" t="s">
        <v>277</v>
      </c>
      <c r="AQ97" s="172" t="s">
        <v>277</v>
      </c>
      <c r="AR97" s="172" t="s">
        <v>277</v>
      </c>
      <c r="AS97" s="172" t="s">
        <v>277</v>
      </c>
      <c r="AT97" s="172" t="s">
        <v>277</v>
      </c>
      <c r="AU97" s="172" t="s">
        <v>277</v>
      </c>
      <c r="AV97" s="172" t="s">
        <v>277</v>
      </c>
      <c r="AW97" s="172" t="s">
        <v>277</v>
      </c>
      <c r="AX97" s="172" t="s">
        <v>277</v>
      </c>
      <c r="AY97" s="172" t="s">
        <v>277</v>
      </c>
      <c r="AZ97" s="172" t="s">
        <v>277</v>
      </c>
      <c r="BA97" s="172" t="s">
        <v>277</v>
      </c>
      <c r="BB97" s="172" t="s">
        <v>277</v>
      </c>
      <c r="BC97" s="172" t="s">
        <v>277</v>
      </c>
      <c r="BD97" s="172" t="s">
        <v>277</v>
      </c>
      <c r="BE97" s="172" t="s">
        <v>277</v>
      </c>
      <c r="BF97" s="172" t="s">
        <v>277</v>
      </c>
      <c r="BG97" s="172" t="s">
        <v>277</v>
      </c>
      <c r="BH97" s="172" t="s">
        <v>277</v>
      </c>
      <c r="BI97" s="172" t="s">
        <v>277</v>
      </c>
      <c r="BJ97" s="172"/>
      <c r="BK97" s="172" t="s">
        <v>277</v>
      </c>
      <c r="BL97" s="172" t="s">
        <v>277</v>
      </c>
      <c r="BM97" s="172" t="s">
        <v>277</v>
      </c>
      <c r="BN97" s="172" t="s">
        <v>277</v>
      </c>
      <c r="BO97" s="172" t="s">
        <v>277</v>
      </c>
      <c r="BP97" s="172" t="s">
        <v>277</v>
      </c>
      <c r="BQ97" s="172" t="s">
        <v>277</v>
      </c>
      <c r="BR97" s="172" t="s">
        <v>277</v>
      </c>
      <c r="BS97" s="172" t="s">
        <v>277</v>
      </c>
      <c r="BT97" s="172" t="s">
        <v>277</v>
      </c>
      <c r="BU97" s="172" t="s">
        <v>277</v>
      </c>
      <c r="BV97" s="172" t="s">
        <v>277</v>
      </c>
      <c r="BW97" s="172" t="s">
        <v>277</v>
      </c>
    </row>
    <row r="98" spans="1:75" x14ac:dyDescent="0.25">
      <c r="A98" s="172" t="s">
        <v>277</v>
      </c>
      <c r="B98" s="172" t="s">
        <v>277</v>
      </c>
      <c r="C98" s="172" t="s">
        <v>277</v>
      </c>
      <c r="D98" s="172" t="s">
        <v>277</v>
      </c>
      <c r="E98" s="172" t="s">
        <v>277</v>
      </c>
      <c r="F98" s="172" t="s">
        <v>277</v>
      </c>
      <c r="G98" s="172" t="s">
        <v>277</v>
      </c>
      <c r="H98" s="172" t="s">
        <v>277</v>
      </c>
      <c r="I98" s="172" t="s">
        <v>277</v>
      </c>
      <c r="J98" s="172" t="s">
        <v>277</v>
      </c>
      <c r="K98" s="172"/>
      <c r="L98" s="172"/>
      <c r="M98" s="172"/>
      <c r="N98" s="172" t="s">
        <v>277</v>
      </c>
      <c r="O98" s="172" t="s">
        <v>277</v>
      </c>
      <c r="P98" s="172"/>
      <c r="Q98" s="172"/>
      <c r="R98" s="172" t="s">
        <v>277</v>
      </c>
      <c r="S98" s="172" t="s">
        <v>277</v>
      </c>
      <c r="T98" s="172" t="s">
        <v>277</v>
      </c>
      <c r="U98" s="172" t="s">
        <v>277</v>
      </c>
      <c r="V98" s="172" t="s">
        <v>277</v>
      </c>
      <c r="W98" s="172" t="s">
        <v>277</v>
      </c>
      <c r="X98" s="172" t="s">
        <v>277</v>
      </c>
      <c r="Y98" s="172" t="s">
        <v>277</v>
      </c>
      <c r="Z98" s="172" t="s">
        <v>277</v>
      </c>
      <c r="AA98" s="172" t="s">
        <v>277</v>
      </c>
      <c r="AB98" s="172" t="s">
        <v>277</v>
      </c>
      <c r="AC98" s="172" t="s">
        <v>277</v>
      </c>
      <c r="AD98" s="172" t="s">
        <v>277</v>
      </c>
      <c r="AE98" s="172" t="s">
        <v>277</v>
      </c>
      <c r="AF98" s="172" t="s">
        <v>277</v>
      </c>
      <c r="AG98" s="172" t="s">
        <v>277</v>
      </c>
      <c r="AH98" s="172" t="s">
        <v>277</v>
      </c>
      <c r="AI98" s="172" t="s">
        <v>277</v>
      </c>
      <c r="AJ98" s="172" t="s">
        <v>277</v>
      </c>
      <c r="AK98" s="172"/>
      <c r="AL98" s="172" t="s">
        <v>277</v>
      </c>
      <c r="AM98" s="172" t="s">
        <v>277</v>
      </c>
      <c r="AN98" s="172" t="s">
        <v>277</v>
      </c>
      <c r="AO98" s="172" t="s">
        <v>277</v>
      </c>
      <c r="AP98" s="172" t="s">
        <v>277</v>
      </c>
      <c r="AQ98" s="172" t="s">
        <v>277</v>
      </c>
      <c r="AR98" s="172" t="s">
        <v>277</v>
      </c>
      <c r="AS98" s="172" t="s">
        <v>277</v>
      </c>
      <c r="AT98" s="172" t="s">
        <v>277</v>
      </c>
      <c r="AU98" s="172" t="s">
        <v>277</v>
      </c>
      <c r="AV98" s="172" t="s">
        <v>277</v>
      </c>
      <c r="AW98" s="172" t="s">
        <v>277</v>
      </c>
      <c r="AX98" s="172" t="s">
        <v>277</v>
      </c>
      <c r="AY98" s="172" t="s">
        <v>277</v>
      </c>
      <c r="AZ98" s="172" t="s">
        <v>277</v>
      </c>
      <c r="BA98" s="172" t="s">
        <v>277</v>
      </c>
      <c r="BB98" s="172" t="s">
        <v>277</v>
      </c>
      <c r="BC98" s="172" t="s">
        <v>277</v>
      </c>
      <c r="BD98" s="172" t="s">
        <v>277</v>
      </c>
      <c r="BE98" s="172" t="s">
        <v>277</v>
      </c>
      <c r="BF98" s="172" t="s">
        <v>277</v>
      </c>
      <c r="BG98" s="172" t="s">
        <v>277</v>
      </c>
      <c r="BH98" s="172" t="s">
        <v>277</v>
      </c>
      <c r="BI98" s="172" t="s">
        <v>277</v>
      </c>
      <c r="BJ98" s="172"/>
      <c r="BK98" s="172" t="s">
        <v>277</v>
      </c>
      <c r="BL98" s="172" t="s">
        <v>277</v>
      </c>
      <c r="BM98" s="172" t="s">
        <v>277</v>
      </c>
      <c r="BN98" s="172" t="s">
        <v>277</v>
      </c>
      <c r="BO98" s="172" t="s">
        <v>277</v>
      </c>
      <c r="BP98" s="172" t="s">
        <v>277</v>
      </c>
      <c r="BQ98" s="172" t="s">
        <v>277</v>
      </c>
      <c r="BR98" s="172" t="s">
        <v>277</v>
      </c>
      <c r="BS98" s="172" t="s">
        <v>277</v>
      </c>
      <c r="BT98" s="172" t="s">
        <v>277</v>
      </c>
      <c r="BU98" s="172" t="s">
        <v>277</v>
      </c>
      <c r="BV98" s="172" t="s">
        <v>277</v>
      </c>
      <c r="BW98" s="172" t="s">
        <v>277</v>
      </c>
    </row>
    <row r="99" spans="1:75" x14ac:dyDescent="0.25">
      <c r="A99" s="172" t="s">
        <v>277</v>
      </c>
      <c r="B99" s="172" t="s">
        <v>277</v>
      </c>
      <c r="C99" s="172" t="s">
        <v>277</v>
      </c>
      <c r="D99" s="172" t="s">
        <v>277</v>
      </c>
      <c r="E99" s="172" t="s">
        <v>277</v>
      </c>
      <c r="F99" s="172" t="s">
        <v>277</v>
      </c>
      <c r="G99" s="172" t="s">
        <v>277</v>
      </c>
      <c r="H99" s="172" t="s">
        <v>277</v>
      </c>
      <c r="I99" s="172" t="s">
        <v>277</v>
      </c>
      <c r="J99" s="172" t="s">
        <v>277</v>
      </c>
      <c r="K99" s="172"/>
      <c r="L99" s="172"/>
      <c r="M99" s="172"/>
      <c r="N99" s="172" t="s">
        <v>277</v>
      </c>
      <c r="O99" s="172" t="s">
        <v>277</v>
      </c>
      <c r="P99" s="172"/>
      <c r="Q99" s="172"/>
      <c r="R99" s="172" t="s">
        <v>277</v>
      </c>
      <c r="S99" s="172" t="s">
        <v>277</v>
      </c>
      <c r="T99" s="172" t="s">
        <v>277</v>
      </c>
      <c r="U99" s="172" t="s">
        <v>277</v>
      </c>
      <c r="V99" s="172" t="s">
        <v>277</v>
      </c>
      <c r="W99" s="172" t="s">
        <v>277</v>
      </c>
      <c r="X99" s="172" t="s">
        <v>277</v>
      </c>
      <c r="Y99" s="172" t="s">
        <v>277</v>
      </c>
      <c r="Z99" s="172" t="s">
        <v>277</v>
      </c>
      <c r="AA99" s="172" t="s">
        <v>277</v>
      </c>
      <c r="AB99" s="172" t="s">
        <v>277</v>
      </c>
      <c r="AC99" s="172" t="s">
        <v>277</v>
      </c>
      <c r="AD99" s="172" t="s">
        <v>277</v>
      </c>
      <c r="AE99" s="172" t="s">
        <v>277</v>
      </c>
      <c r="AF99" s="172" t="s">
        <v>277</v>
      </c>
      <c r="AG99" s="172" t="s">
        <v>277</v>
      </c>
      <c r="AH99" s="172" t="s">
        <v>277</v>
      </c>
      <c r="AI99" s="172" t="s">
        <v>277</v>
      </c>
      <c r="AJ99" s="172" t="s">
        <v>277</v>
      </c>
      <c r="AK99" s="172"/>
      <c r="AL99" s="172" t="s">
        <v>277</v>
      </c>
      <c r="AM99" s="172" t="s">
        <v>277</v>
      </c>
      <c r="AN99" s="172" t="s">
        <v>277</v>
      </c>
      <c r="AO99" s="172" t="s">
        <v>277</v>
      </c>
      <c r="AP99" s="172" t="s">
        <v>277</v>
      </c>
      <c r="AQ99" s="172" t="s">
        <v>277</v>
      </c>
      <c r="AR99" s="172" t="s">
        <v>277</v>
      </c>
      <c r="AS99" s="172" t="s">
        <v>277</v>
      </c>
      <c r="AT99" s="172" t="s">
        <v>277</v>
      </c>
      <c r="AU99" s="172" t="s">
        <v>277</v>
      </c>
      <c r="AV99" s="172" t="s">
        <v>277</v>
      </c>
      <c r="AW99" s="172" t="s">
        <v>277</v>
      </c>
      <c r="AX99" s="172" t="s">
        <v>277</v>
      </c>
      <c r="AY99" s="172" t="s">
        <v>277</v>
      </c>
      <c r="AZ99" s="172" t="s">
        <v>277</v>
      </c>
      <c r="BA99" s="172" t="s">
        <v>277</v>
      </c>
      <c r="BB99" s="172" t="s">
        <v>277</v>
      </c>
      <c r="BC99" s="172" t="s">
        <v>277</v>
      </c>
      <c r="BD99" s="172" t="s">
        <v>277</v>
      </c>
      <c r="BE99" s="172" t="s">
        <v>277</v>
      </c>
      <c r="BF99" s="172" t="s">
        <v>277</v>
      </c>
      <c r="BG99" s="172" t="s">
        <v>277</v>
      </c>
      <c r="BH99" s="172" t="s">
        <v>277</v>
      </c>
      <c r="BI99" s="172" t="s">
        <v>277</v>
      </c>
      <c r="BJ99" s="172"/>
      <c r="BK99" s="172" t="s">
        <v>277</v>
      </c>
      <c r="BL99" s="172" t="s">
        <v>277</v>
      </c>
      <c r="BM99" s="172" t="s">
        <v>277</v>
      </c>
      <c r="BN99" s="172" t="s">
        <v>277</v>
      </c>
      <c r="BO99" s="172" t="s">
        <v>277</v>
      </c>
      <c r="BP99" s="172" t="s">
        <v>277</v>
      </c>
      <c r="BQ99" s="172" t="s">
        <v>277</v>
      </c>
      <c r="BR99" s="172" t="s">
        <v>277</v>
      </c>
      <c r="BS99" s="172" t="s">
        <v>277</v>
      </c>
      <c r="BT99" s="172" t="s">
        <v>277</v>
      </c>
      <c r="BU99" s="172" t="s">
        <v>277</v>
      </c>
      <c r="BV99" s="172" t="s">
        <v>277</v>
      </c>
      <c r="BW99" s="172" t="s">
        <v>277</v>
      </c>
    </row>
    <row r="100" spans="1:75" x14ac:dyDescent="0.25">
      <c r="A100" s="172" t="s">
        <v>277</v>
      </c>
      <c r="B100" s="172" t="s">
        <v>277</v>
      </c>
      <c r="C100" s="172" t="s">
        <v>277</v>
      </c>
      <c r="D100" s="172" t="s">
        <v>277</v>
      </c>
      <c r="E100" s="172" t="s">
        <v>277</v>
      </c>
      <c r="F100" s="172" t="s">
        <v>277</v>
      </c>
      <c r="G100" s="172" t="s">
        <v>277</v>
      </c>
      <c r="H100" s="172" t="s">
        <v>277</v>
      </c>
      <c r="I100" s="172" t="s">
        <v>277</v>
      </c>
      <c r="J100" s="172" t="s">
        <v>277</v>
      </c>
      <c r="K100" s="172"/>
      <c r="L100" s="172"/>
      <c r="M100" s="172"/>
      <c r="N100" s="172" t="s">
        <v>277</v>
      </c>
      <c r="O100" s="172" t="s">
        <v>277</v>
      </c>
      <c r="P100" s="172"/>
      <c r="Q100" s="172"/>
      <c r="R100" s="172" t="s">
        <v>277</v>
      </c>
      <c r="S100" s="172" t="s">
        <v>277</v>
      </c>
      <c r="T100" s="172" t="s">
        <v>277</v>
      </c>
      <c r="U100" s="172" t="s">
        <v>277</v>
      </c>
      <c r="V100" s="172" t="s">
        <v>277</v>
      </c>
      <c r="W100" s="172" t="s">
        <v>277</v>
      </c>
      <c r="X100" s="172" t="s">
        <v>277</v>
      </c>
      <c r="Y100" s="172" t="s">
        <v>277</v>
      </c>
      <c r="Z100" s="172" t="s">
        <v>277</v>
      </c>
      <c r="AA100" s="172" t="s">
        <v>277</v>
      </c>
      <c r="AB100" s="172" t="s">
        <v>277</v>
      </c>
      <c r="AC100" s="172" t="s">
        <v>277</v>
      </c>
      <c r="AD100" s="172" t="s">
        <v>277</v>
      </c>
      <c r="AE100" s="172" t="s">
        <v>277</v>
      </c>
      <c r="AF100" s="172" t="s">
        <v>277</v>
      </c>
      <c r="AG100" s="172" t="s">
        <v>277</v>
      </c>
      <c r="AH100" s="172" t="s">
        <v>277</v>
      </c>
      <c r="AI100" s="172" t="s">
        <v>277</v>
      </c>
      <c r="AJ100" s="172" t="s">
        <v>277</v>
      </c>
      <c r="AK100" s="172"/>
      <c r="AL100" s="172" t="s">
        <v>277</v>
      </c>
      <c r="AM100" s="172" t="s">
        <v>277</v>
      </c>
      <c r="AN100" s="172" t="s">
        <v>277</v>
      </c>
      <c r="AO100" s="172" t="s">
        <v>277</v>
      </c>
      <c r="AP100" s="172" t="s">
        <v>277</v>
      </c>
      <c r="AQ100" s="172" t="s">
        <v>277</v>
      </c>
      <c r="AR100" s="172" t="s">
        <v>277</v>
      </c>
      <c r="AS100" s="172" t="s">
        <v>277</v>
      </c>
      <c r="AT100" s="172" t="s">
        <v>277</v>
      </c>
      <c r="AU100" s="172" t="s">
        <v>277</v>
      </c>
      <c r="AV100" s="172" t="s">
        <v>277</v>
      </c>
      <c r="AW100" s="172" t="s">
        <v>277</v>
      </c>
      <c r="AX100" s="172" t="s">
        <v>277</v>
      </c>
      <c r="AY100" s="172" t="s">
        <v>277</v>
      </c>
      <c r="AZ100" s="172" t="s">
        <v>277</v>
      </c>
      <c r="BA100" s="172" t="s">
        <v>277</v>
      </c>
      <c r="BB100" s="172" t="s">
        <v>277</v>
      </c>
      <c r="BC100" s="172" t="s">
        <v>277</v>
      </c>
      <c r="BD100" s="172" t="s">
        <v>277</v>
      </c>
      <c r="BE100" s="172" t="s">
        <v>277</v>
      </c>
      <c r="BF100" s="172" t="s">
        <v>277</v>
      </c>
      <c r="BG100" s="172" t="s">
        <v>277</v>
      </c>
      <c r="BH100" s="172" t="s">
        <v>277</v>
      </c>
      <c r="BI100" s="172" t="s">
        <v>277</v>
      </c>
      <c r="BJ100" s="172"/>
      <c r="BK100" s="172" t="s">
        <v>277</v>
      </c>
      <c r="BL100" s="172" t="s">
        <v>277</v>
      </c>
      <c r="BM100" s="172" t="s">
        <v>277</v>
      </c>
      <c r="BN100" s="172" t="s">
        <v>277</v>
      </c>
      <c r="BO100" s="172" t="s">
        <v>277</v>
      </c>
      <c r="BP100" s="172" t="s">
        <v>277</v>
      </c>
      <c r="BQ100" s="172" t="s">
        <v>277</v>
      </c>
      <c r="BR100" s="172" t="s">
        <v>277</v>
      </c>
      <c r="BS100" s="172" t="s">
        <v>277</v>
      </c>
      <c r="BT100" s="172" t="s">
        <v>277</v>
      </c>
      <c r="BU100" s="172" t="s">
        <v>277</v>
      </c>
      <c r="BV100" s="172" t="s">
        <v>277</v>
      </c>
      <c r="BW100" s="172" t="s">
        <v>277</v>
      </c>
    </row>
    <row r="101" spans="1:75" x14ac:dyDescent="0.25">
      <c r="A101" s="172" t="s">
        <v>277</v>
      </c>
      <c r="B101" s="172" t="s">
        <v>277</v>
      </c>
      <c r="C101" s="172" t="s">
        <v>277</v>
      </c>
      <c r="D101" s="172" t="s">
        <v>277</v>
      </c>
      <c r="E101" s="172" t="s">
        <v>277</v>
      </c>
      <c r="F101" s="172" t="s">
        <v>277</v>
      </c>
      <c r="G101" s="172" t="s">
        <v>277</v>
      </c>
      <c r="H101" s="172" t="s">
        <v>277</v>
      </c>
      <c r="I101" s="172" t="s">
        <v>277</v>
      </c>
      <c r="J101" s="172" t="s">
        <v>277</v>
      </c>
      <c r="K101" s="172"/>
      <c r="L101" s="172"/>
      <c r="M101" s="172"/>
      <c r="N101" s="172" t="s">
        <v>277</v>
      </c>
      <c r="O101" s="172" t="s">
        <v>277</v>
      </c>
      <c r="P101" s="172"/>
      <c r="Q101" s="172"/>
      <c r="R101" s="172" t="s">
        <v>277</v>
      </c>
      <c r="S101" s="172" t="s">
        <v>277</v>
      </c>
      <c r="T101" s="172" t="s">
        <v>277</v>
      </c>
      <c r="U101" s="172" t="s">
        <v>277</v>
      </c>
      <c r="V101" s="172" t="s">
        <v>277</v>
      </c>
      <c r="W101" s="172" t="s">
        <v>277</v>
      </c>
      <c r="X101" s="172" t="s">
        <v>277</v>
      </c>
      <c r="Y101" s="172" t="s">
        <v>277</v>
      </c>
      <c r="Z101" s="172" t="s">
        <v>277</v>
      </c>
      <c r="AA101" s="172" t="s">
        <v>277</v>
      </c>
      <c r="AB101" s="172" t="s">
        <v>277</v>
      </c>
      <c r="AC101" s="172" t="s">
        <v>277</v>
      </c>
      <c r="AD101" s="172" t="s">
        <v>277</v>
      </c>
      <c r="AE101" s="172" t="s">
        <v>277</v>
      </c>
      <c r="AF101" s="172" t="s">
        <v>277</v>
      </c>
      <c r="AG101" s="172" t="s">
        <v>277</v>
      </c>
      <c r="AH101" s="172" t="s">
        <v>277</v>
      </c>
      <c r="AI101" s="172" t="s">
        <v>277</v>
      </c>
      <c r="AJ101" s="172" t="s">
        <v>277</v>
      </c>
      <c r="AK101" s="172"/>
      <c r="AL101" s="172" t="s">
        <v>277</v>
      </c>
      <c r="AM101" s="172" t="s">
        <v>277</v>
      </c>
      <c r="AN101" s="172" t="s">
        <v>277</v>
      </c>
      <c r="AO101" s="172" t="s">
        <v>277</v>
      </c>
      <c r="AP101" s="172" t="s">
        <v>277</v>
      </c>
      <c r="AQ101" s="172" t="s">
        <v>277</v>
      </c>
      <c r="AR101" s="172" t="s">
        <v>277</v>
      </c>
      <c r="AS101" s="172" t="s">
        <v>277</v>
      </c>
      <c r="AT101" s="172" t="s">
        <v>277</v>
      </c>
      <c r="AU101" s="172" t="s">
        <v>277</v>
      </c>
      <c r="AV101" s="172" t="s">
        <v>277</v>
      </c>
      <c r="AW101" s="172" t="s">
        <v>277</v>
      </c>
      <c r="AX101" s="172" t="s">
        <v>277</v>
      </c>
      <c r="AY101" s="172" t="s">
        <v>277</v>
      </c>
      <c r="AZ101" s="172" t="s">
        <v>277</v>
      </c>
      <c r="BA101" s="172" t="s">
        <v>277</v>
      </c>
      <c r="BB101" s="172" t="s">
        <v>277</v>
      </c>
      <c r="BC101" s="172" t="s">
        <v>277</v>
      </c>
      <c r="BD101" s="172" t="s">
        <v>277</v>
      </c>
      <c r="BE101" s="172" t="s">
        <v>277</v>
      </c>
      <c r="BF101" s="172" t="s">
        <v>277</v>
      </c>
      <c r="BG101" s="172" t="s">
        <v>277</v>
      </c>
      <c r="BH101" s="172" t="s">
        <v>277</v>
      </c>
      <c r="BI101" s="172" t="s">
        <v>277</v>
      </c>
      <c r="BJ101" s="172"/>
      <c r="BK101" s="172" t="s">
        <v>277</v>
      </c>
      <c r="BL101" s="172" t="s">
        <v>277</v>
      </c>
      <c r="BM101" s="172" t="s">
        <v>277</v>
      </c>
      <c r="BN101" s="172" t="s">
        <v>277</v>
      </c>
      <c r="BO101" s="172" t="s">
        <v>277</v>
      </c>
      <c r="BP101" s="172" t="s">
        <v>277</v>
      </c>
      <c r="BQ101" s="172" t="s">
        <v>277</v>
      </c>
      <c r="BR101" s="172" t="s">
        <v>277</v>
      </c>
      <c r="BS101" s="172" t="s">
        <v>277</v>
      </c>
      <c r="BT101" s="172" t="s">
        <v>277</v>
      </c>
      <c r="BU101" s="172" t="s">
        <v>277</v>
      </c>
      <c r="BV101" s="172" t="s">
        <v>277</v>
      </c>
      <c r="BW101" s="172" t="s">
        <v>277</v>
      </c>
    </row>
  </sheetData>
  <mergeCells count="16">
    <mergeCell ref="R1:T1"/>
    <mergeCell ref="D1:E1"/>
    <mergeCell ref="G1:H1"/>
    <mergeCell ref="J1:K1"/>
    <mergeCell ref="L1:M1"/>
    <mergeCell ref="O1:P1"/>
    <mergeCell ref="AZ1:BE1"/>
    <mergeCell ref="BF1:BI1"/>
    <mergeCell ref="BK1:BP1"/>
    <mergeCell ref="BQ1:BT1"/>
    <mergeCell ref="U1:Y1"/>
    <mergeCell ref="AA1:AB1"/>
    <mergeCell ref="AH1:AJ1"/>
    <mergeCell ref="AL1:AM1"/>
    <mergeCell ref="AO1:AT1"/>
    <mergeCell ref="AU1:AX1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44C4-5750-4245-81D9-EDF0C5155154}">
  <sheetPr>
    <tabColor theme="8" tint="0.79998168889431442"/>
  </sheetPr>
  <dimension ref="B1:AQ118"/>
  <sheetViews>
    <sheetView showGridLines="0" zoomScale="72" zoomScaleNormal="85" workbookViewId="0">
      <pane xSplit="3" ySplit="2" topLeftCell="D3" activePane="bottomRight" state="frozen"/>
      <selection activeCell="B71" sqref="B71"/>
      <selection pane="topRight" activeCell="B71" sqref="B71"/>
      <selection pane="bottomLeft" activeCell="B71" sqref="B71"/>
      <selection pane="bottomRight" activeCell="AE15" sqref="AE15"/>
    </sheetView>
  </sheetViews>
  <sheetFormatPr defaultRowHeight="13.8" x14ac:dyDescent="0.25"/>
  <cols>
    <col min="1" max="1" width="2.19921875" customWidth="1"/>
    <col min="2" max="2" width="8" customWidth="1"/>
    <col min="3" max="3" width="35.69921875" customWidth="1"/>
    <col min="4" max="4" width="11.59765625" customWidth="1"/>
    <col min="5" max="5" width="16.8984375" customWidth="1"/>
    <col min="6" max="6" width="16" style="292" customWidth="1"/>
    <col min="7" max="7" width="12.19921875" style="292" customWidth="1"/>
    <col min="8" max="11" width="8.69921875" style="282"/>
    <col min="12" max="12" width="8.69921875" style="292"/>
    <col min="13" max="15" width="8.69921875" style="282"/>
    <col min="16" max="16" width="8.69921875" style="293"/>
    <col min="19" max="19" width="14.69921875" style="211" customWidth="1"/>
    <col min="20" max="23" width="14.69921875" style="210" customWidth="1"/>
    <col min="24" max="24" width="8.69921875" style="2"/>
    <col min="28" max="28" width="8.69921875" style="5"/>
    <col min="29" max="29" width="9" bestFit="1" customWidth="1"/>
    <col min="33" max="33" width="8.69921875" style="5"/>
    <col min="38" max="38" width="8.69921875" style="5"/>
    <col min="39" max="39" width="8.69921875" style="2"/>
    <col min="43" max="43" width="8.69921875" style="5"/>
  </cols>
  <sheetData>
    <row r="1" spans="2:43" ht="18.600000000000001" customHeight="1" x14ac:dyDescent="0.25">
      <c r="B1" s="158"/>
      <c r="C1" s="158"/>
      <c r="D1" s="139" t="s">
        <v>407</v>
      </c>
      <c r="E1" s="139"/>
      <c r="F1" s="284" t="s">
        <v>1021</v>
      </c>
      <c r="G1" s="285" t="s">
        <v>466</v>
      </c>
      <c r="H1" s="286"/>
      <c r="I1" s="286"/>
      <c r="J1" s="286"/>
      <c r="K1" s="286"/>
      <c r="L1" s="285" t="s">
        <v>472</v>
      </c>
      <c r="M1" s="286"/>
      <c r="N1" s="286"/>
      <c r="O1" s="286"/>
      <c r="P1" s="287"/>
      <c r="Q1" s="154"/>
      <c r="S1" s="211" t="s">
        <v>1074</v>
      </c>
      <c r="T1" s="283" t="s">
        <v>1077</v>
      </c>
      <c r="U1" s="283"/>
      <c r="X1" s="155" t="s">
        <v>1091</v>
      </c>
      <c r="Y1" s="154"/>
      <c r="Z1" s="154"/>
      <c r="AA1" s="154"/>
      <c r="AB1" s="157"/>
      <c r="AC1" s="155" t="s">
        <v>1097</v>
      </c>
      <c r="AD1" s="154"/>
      <c r="AE1" s="154"/>
      <c r="AF1" s="154"/>
      <c r="AG1" s="157"/>
      <c r="AH1" s="155" t="s">
        <v>1075</v>
      </c>
      <c r="AI1" s="154"/>
      <c r="AJ1" s="154"/>
      <c r="AK1" s="154"/>
      <c r="AL1" s="157"/>
      <c r="AM1" s="155" t="s">
        <v>1076</v>
      </c>
      <c r="AN1" s="154"/>
      <c r="AO1" s="154"/>
      <c r="AP1" s="154"/>
      <c r="AQ1" s="157"/>
    </row>
    <row r="2" spans="2:43" ht="27.6" x14ac:dyDescent="0.25">
      <c r="B2" s="138" t="s">
        <v>103</v>
      </c>
      <c r="C2" s="140" t="s">
        <v>259</v>
      </c>
      <c r="D2" s="140" t="s">
        <v>409</v>
      </c>
      <c r="E2" s="140" t="s">
        <v>408</v>
      </c>
      <c r="F2" s="288" t="s">
        <v>473</v>
      </c>
      <c r="G2" s="289" t="s">
        <v>467</v>
      </c>
      <c r="H2" s="290" t="s">
        <v>468</v>
      </c>
      <c r="I2" s="290" t="s">
        <v>469</v>
      </c>
      <c r="J2" s="290" t="s">
        <v>470</v>
      </c>
      <c r="K2" s="290" t="s">
        <v>471</v>
      </c>
      <c r="L2" s="289" t="s">
        <v>467</v>
      </c>
      <c r="M2" s="290" t="s">
        <v>468</v>
      </c>
      <c r="N2" s="290" t="s">
        <v>469</v>
      </c>
      <c r="O2" s="290" t="s">
        <v>470</v>
      </c>
      <c r="P2" s="291" t="s">
        <v>471</v>
      </c>
      <c r="Q2" s="154"/>
      <c r="T2" s="138" t="s">
        <v>1095</v>
      </c>
      <c r="U2" s="138" t="s">
        <v>1096</v>
      </c>
      <c r="V2" s="138" t="s">
        <v>1093</v>
      </c>
      <c r="W2" s="138" t="s">
        <v>1092</v>
      </c>
      <c r="X2" s="156" t="s">
        <v>467</v>
      </c>
      <c r="Y2" s="139" t="s">
        <v>468</v>
      </c>
      <c r="Z2" s="139" t="s">
        <v>469</v>
      </c>
      <c r="AA2" s="139" t="s">
        <v>470</v>
      </c>
      <c r="AB2" s="160" t="s">
        <v>471</v>
      </c>
      <c r="AC2" s="156" t="s">
        <v>467</v>
      </c>
      <c r="AD2" s="139" t="s">
        <v>468</v>
      </c>
      <c r="AE2" s="139" t="s">
        <v>469</v>
      </c>
      <c r="AF2" s="139" t="s">
        <v>470</v>
      </c>
      <c r="AG2" s="160" t="s">
        <v>471</v>
      </c>
      <c r="AH2" s="156" t="s">
        <v>467</v>
      </c>
      <c r="AI2" s="139" t="s">
        <v>468</v>
      </c>
      <c r="AJ2" s="139" t="s">
        <v>469</v>
      </c>
      <c r="AK2" s="139" t="s">
        <v>470</v>
      </c>
      <c r="AL2" s="160" t="s">
        <v>471</v>
      </c>
      <c r="AM2" s="156" t="s">
        <v>467</v>
      </c>
      <c r="AN2" s="139" t="s">
        <v>468</v>
      </c>
      <c r="AO2" s="139" t="s">
        <v>469</v>
      </c>
      <c r="AP2" s="139" t="s">
        <v>470</v>
      </c>
      <c r="AQ2" s="160" t="s">
        <v>471</v>
      </c>
    </row>
    <row r="3" spans="2:43" x14ac:dyDescent="0.25">
      <c r="B3" s="152">
        <f>CCA_Defense!B3</f>
        <v>1</v>
      </c>
      <c r="C3" s="153" t="str">
        <f>CCA_Defense!C3</f>
        <v>Hindustan Aeronautics Limited</v>
      </c>
      <c r="D3" s="152" t="str">
        <f>CCA_Defense!D3</f>
        <v>HNAL</v>
      </c>
      <c r="E3" s="152" t="str">
        <f>CCA_Defense!E3</f>
        <v>HAL</v>
      </c>
      <c r="F3" s="161">
        <f>IFERROR(_xlfn.XLOOKUP($D3,BB_Input!$C$5:$C$152,BB_Input!$BK$5:$BK$152,0),"")</f>
        <v>4421.2998046875</v>
      </c>
      <c r="G3" s="161">
        <f>IFERROR(_xlfn.XLOOKUP($D3,BB_Input!$C$5:$C$152,BB_Input!BS$5:BS$152),"")</f>
        <v>127.22833333333334</v>
      </c>
      <c r="H3" s="162">
        <f>IFERROR(_xlfn.XLOOKUP($D3,BB_Input!$C$5:$C$152,BB_Input!BT$5:BT$152),"")</f>
        <v>151.49</v>
      </c>
      <c r="I3" s="162">
        <f>IFERROR(_xlfn.XLOOKUP($D3,BB_Input!$C$5:$C$152,BB_Input!BU$5:BU$152),"")</f>
        <v>175.93</v>
      </c>
      <c r="J3" s="162">
        <f>IFERROR(_xlfn.XLOOKUP($D3,BB_Input!$C$5:$C$152,BB_Input!BV$5:BV$152),"")</f>
        <v>205.2</v>
      </c>
      <c r="L3" s="161">
        <f t="shared" ref="L3:L34" si="0">IFERROR($F3/G3,"")</f>
        <v>34.750905626531036</v>
      </c>
      <c r="M3" s="162">
        <f t="shared" ref="M3:M34" si="1">IFERROR($F3/H3,"")</f>
        <v>29.185423491237042</v>
      </c>
      <c r="N3" s="162">
        <f t="shared" ref="N3:N34" si="2">IFERROR($F3/I3,"")</f>
        <v>25.131016908358436</v>
      </c>
      <c r="O3" s="162">
        <f t="shared" ref="O3:O34" si="3">IFERROR($F3/J3,"")</f>
        <v>21.546295344480995</v>
      </c>
      <c r="P3" s="217" t="str">
        <f t="shared" ref="P3:P34" si="4">IFERROR($F3/K3,"")</f>
        <v/>
      </c>
      <c r="Q3" s="223"/>
      <c r="T3" s="212">
        <f>_xlfn.XLOOKUP($C3,CCA_Defense!$C:$C,CCA_Defense!$T:$T)</f>
        <v>7.3652200579954599E-2</v>
      </c>
      <c r="U3" s="212">
        <f>_xlfn.XLOOKUP($C3,CCA_Defense!$C:$C,CCA_Defense!$U:$U)</f>
        <v>0</v>
      </c>
      <c r="V3" s="212"/>
      <c r="W3" s="212"/>
    </row>
    <row r="4" spans="2:43" x14ac:dyDescent="0.25">
      <c r="B4" s="152">
        <f>CCA_Defense!B4</f>
        <v>2</v>
      </c>
      <c r="C4" s="153" t="str">
        <f>CCA_Defense!C4</f>
        <v>Bharat Electronics Limited</v>
      </c>
      <c r="D4" s="152" t="str">
        <f>CCA_Defense!D4</f>
        <v>BHE</v>
      </c>
      <c r="E4" s="152" t="str">
        <f>CCA_Defense!E4</f>
        <v>BEL</v>
      </c>
      <c r="F4" s="161">
        <f>IFERROR(_xlfn.XLOOKUP($D4,BB_Input!$C$5:$C$152,BB_Input!$BK$5:$BK$152,0),"")</f>
        <v>400</v>
      </c>
      <c r="G4" s="161">
        <f>IFERROR(_xlfn.XLOOKUP($D4,BB_Input!$C$5:$C$152,BB_Input!BS$5:BS$152),"")</f>
        <v>8.2392307692307707</v>
      </c>
      <c r="H4" s="162">
        <f>IFERROR(_xlfn.XLOOKUP($D4,BB_Input!$C$5:$C$152,BB_Input!BT$5:BT$152),"")</f>
        <v>9.7715384615384622</v>
      </c>
      <c r="I4" s="162">
        <f>IFERROR(_xlfn.XLOOKUP($D4,BB_Input!$C$5:$C$152,BB_Input!BU$5:BU$152),"")</f>
        <v>11.444347826086958</v>
      </c>
      <c r="J4" s="162">
        <f>IFERROR(_xlfn.XLOOKUP($D4,BB_Input!$C$5:$C$152,BB_Input!BV$5:BV$152),"")</f>
        <v>12.74</v>
      </c>
      <c r="L4" s="161">
        <f t="shared" si="0"/>
        <v>48.548221454579398</v>
      </c>
      <c r="M4" s="162">
        <f t="shared" si="1"/>
        <v>40.935212154609147</v>
      </c>
      <c r="N4" s="162">
        <f t="shared" si="2"/>
        <v>34.95175138667274</v>
      </c>
      <c r="O4" s="162">
        <f t="shared" si="3"/>
        <v>31.397174254317111</v>
      </c>
      <c r="P4" s="217" t="str">
        <f t="shared" si="4"/>
        <v/>
      </c>
      <c r="Q4" s="223"/>
      <c r="T4" s="212">
        <f>_xlfn.XLOOKUP($C4,CCA_Defense!$C:$C,CCA_Defense!$T:$T)</f>
        <v>6.9230987580708461E-2</v>
      </c>
      <c r="U4" s="212">
        <f>_xlfn.XLOOKUP($C4,CCA_Defense!$C:$C,CCA_Defense!$U:$U)</f>
        <v>0</v>
      </c>
      <c r="V4" s="212"/>
      <c r="W4" s="212"/>
    </row>
    <row r="5" spans="2:43" x14ac:dyDescent="0.25">
      <c r="B5" s="152">
        <f>CCA_Defense!B5</f>
        <v>3</v>
      </c>
      <c r="C5" s="153" t="str">
        <f>CCA_Defense!C5</f>
        <v>Bharat Dynamics Limited</v>
      </c>
      <c r="D5" s="152" t="str">
        <f>CCA_Defense!D5</f>
        <v>BDL</v>
      </c>
      <c r="E5" s="152" t="str">
        <f>CCA_Defense!E5</f>
        <v>BDL</v>
      </c>
      <c r="F5" s="161">
        <f>IFERROR(_xlfn.XLOOKUP($D5,BB_Input!$C$5:$C$152,BB_Input!$BK$5:$BK$152,0),"")</f>
        <v>1481.199951171875</v>
      </c>
      <c r="G5" s="161">
        <f>IFERROR(_xlfn.XLOOKUP($D5,BB_Input!$C$5:$C$152,BB_Input!BS$5:BS$152),"")</f>
        <v>25.273333333333337</v>
      </c>
      <c r="H5" s="162">
        <f>IFERROR(_xlfn.XLOOKUP($D5,BB_Input!$C$5:$C$152,BB_Input!BT$5:BT$152),"")</f>
        <v>33.506666666666668</v>
      </c>
      <c r="I5" s="162">
        <f>IFERROR(_xlfn.XLOOKUP($D5,BB_Input!$C$5:$C$152,BB_Input!BU$5:BU$152),"")</f>
        <v>43.482000000000006</v>
      </c>
      <c r="J5" s="162">
        <f>IFERROR(_xlfn.XLOOKUP($D5,BB_Input!$C$5:$C$152,BB_Input!BV$5:BV$152),"")</f>
        <v>37.06</v>
      </c>
      <c r="L5" s="161">
        <f t="shared" si="0"/>
        <v>58.607225712419208</v>
      </c>
      <c r="M5" s="162">
        <f t="shared" si="1"/>
        <v>44.206126676438764</v>
      </c>
      <c r="N5" s="162">
        <f t="shared" si="2"/>
        <v>34.064669315391995</v>
      </c>
      <c r="O5" s="162">
        <f t="shared" si="3"/>
        <v>39.967618758010659</v>
      </c>
      <c r="P5" s="217" t="str">
        <f t="shared" si="4"/>
        <v/>
      </c>
      <c r="Q5" s="223"/>
      <c r="T5" s="212">
        <f>_xlfn.XLOOKUP($C5,CCA_Defense!$C:$C,CCA_Defense!$T:$T)</f>
        <v>6.2356498236636311E-2</v>
      </c>
      <c r="U5" s="212">
        <f>_xlfn.XLOOKUP($C5,CCA_Defense!$C:$C,CCA_Defense!$U:$U)</f>
        <v>0</v>
      </c>
      <c r="V5" s="212"/>
      <c r="W5" s="212"/>
    </row>
    <row r="6" spans="2:43" x14ac:dyDescent="0.25">
      <c r="B6" s="152">
        <f>CCA_Defense!B6</f>
        <v>4</v>
      </c>
      <c r="C6" s="153" t="str">
        <f>CCA_Defense!C6</f>
        <v>Mazagon Dock Shipbuilders Limited</v>
      </c>
      <c r="D6" s="152" t="str">
        <f>CCA_Defense!D6</f>
        <v>MAZDOCKS</v>
      </c>
      <c r="E6" s="152" t="str">
        <f>CCA_Defense!E6</f>
        <v>MAZDOCK</v>
      </c>
      <c r="F6" s="161">
        <f>IFERROR(_xlfn.XLOOKUP($D6,BB_Input!$C$5:$C$152,BB_Input!$BK$5:$BK$152,0),"")</f>
        <v>2540.300048828125</v>
      </c>
      <c r="G6" s="161">
        <f>IFERROR(_xlfn.XLOOKUP($D6,BB_Input!$C$5:$C$152,BB_Input!BS$5:BS$152),"")</f>
        <v>68.558333333333337</v>
      </c>
      <c r="H6" s="162">
        <f>IFERROR(_xlfn.XLOOKUP($D6,BB_Input!$C$5:$C$152,BB_Input!BT$5:BT$152),"")</f>
        <v>83.571666666666673</v>
      </c>
      <c r="I6" s="162">
        <f>IFERROR(_xlfn.XLOOKUP($D6,BB_Input!$C$5:$C$152,BB_Input!BU$5:BU$152),"")</f>
        <v>89.88</v>
      </c>
      <c r="J6" s="162" t="str">
        <f>IFERROR(_xlfn.XLOOKUP($D6,BB_Input!$C$5:$C$152,BB_Input!BV$5:BV$152),"")</f>
        <v/>
      </c>
      <c r="L6" s="161">
        <f t="shared" si="0"/>
        <v>37.053118495122767</v>
      </c>
      <c r="M6" s="162">
        <f t="shared" si="1"/>
        <v>30.39666612083192</v>
      </c>
      <c r="N6" s="162">
        <f t="shared" si="2"/>
        <v>28.263240418648476</v>
      </c>
      <c r="O6" s="162" t="str">
        <f t="shared" si="3"/>
        <v/>
      </c>
      <c r="P6" s="217" t="str">
        <f t="shared" si="4"/>
        <v/>
      </c>
      <c r="Q6" s="223"/>
      <c r="T6" s="212">
        <f>_xlfn.XLOOKUP($C6,CCA_Defense!$C:$C,CCA_Defense!$T:$T)</f>
        <v>4.7036670931645368E-2</v>
      </c>
      <c r="U6" s="212">
        <f>_xlfn.XLOOKUP($C6,CCA_Defense!$C:$C,CCA_Defense!$U:$U)</f>
        <v>0</v>
      </c>
      <c r="V6" s="212"/>
      <c r="W6" s="212"/>
    </row>
    <row r="7" spans="2:43" x14ac:dyDescent="0.25">
      <c r="B7" s="152">
        <f>CCA_Defense!B7</f>
        <v>5</v>
      </c>
      <c r="C7" s="153" t="str">
        <f>CCA_Defense!C7</f>
        <v>Garden Reach Shipbuilders &amp; Engineers</v>
      </c>
      <c r="D7" s="152" t="str">
        <f>CCA_Defense!D7</f>
        <v>GRSE</v>
      </c>
      <c r="E7" s="152" t="str">
        <f>CCA_Defense!E7</f>
        <v>GRSE</v>
      </c>
      <c r="F7" s="161">
        <f>IFERROR(_xlfn.XLOOKUP($D7,BB_Input!$C$5:$C$152,BB_Input!$BK$5:$BK$152,0),"")</f>
        <v>2453.800048828125</v>
      </c>
      <c r="G7" s="161">
        <f>IFERROR(_xlfn.XLOOKUP($D7,BB_Input!$C$5:$C$152,BB_Input!BS$5:BS$152),"")</f>
        <v>63.768000000000008</v>
      </c>
      <c r="H7" s="162">
        <f>IFERROR(_xlfn.XLOOKUP($D7,BB_Input!$C$5:$C$152,BB_Input!BT$5:BT$152),"")</f>
        <v>85.412000000000006</v>
      </c>
      <c r="I7" s="162">
        <f>IFERROR(_xlfn.XLOOKUP($D7,BB_Input!$C$5:$C$152,BB_Input!BU$5:BU$152),"")</f>
        <v>92.39500000000001</v>
      </c>
      <c r="J7" s="162" t="str">
        <f>IFERROR(_xlfn.XLOOKUP($D7,BB_Input!$C$5:$C$152,BB_Input!BV$5:BV$152),"")</f>
        <v/>
      </c>
      <c r="L7" s="161">
        <f t="shared" si="0"/>
        <v>38.480116184106834</v>
      </c>
      <c r="M7" s="162">
        <f t="shared" si="1"/>
        <v>28.728984789351905</v>
      </c>
      <c r="N7" s="162">
        <f t="shared" si="2"/>
        <v>26.55771469049326</v>
      </c>
      <c r="O7" s="162" t="str">
        <f t="shared" si="3"/>
        <v/>
      </c>
      <c r="P7" s="217" t="str">
        <f t="shared" si="4"/>
        <v/>
      </c>
      <c r="Q7" s="223"/>
      <c r="T7" s="212">
        <f>_xlfn.XLOOKUP($C7,CCA_Defense!$C:$C,CCA_Defense!$T:$T)</f>
        <v>4.382685810433818E-2</v>
      </c>
      <c r="U7" s="212">
        <f>_xlfn.XLOOKUP($C7,CCA_Defense!$C:$C,CCA_Defense!$U:$U)</f>
        <v>0</v>
      </c>
      <c r="V7" s="212"/>
      <c r="W7" s="212"/>
    </row>
    <row r="8" spans="2:43" x14ac:dyDescent="0.25">
      <c r="B8" s="152">
        <f>CCA_Defense!B8</f>
        <v>6</v>
      </c>
      <c r="C8" s="153" t="str">
        <f>CCA_Defense!C8</f>
        <v>Cochin Shipyard Limited</v>
      </c>
      <c r="D8" s="152" t="str">
        <f>CCA_Defense!D8</f>
        <v>COCHIN</v>
      </c>
      <c r="E8" s="152" t="str">
        <f>CCA_Defense!E8</f>
        <v>COCHINSHIP</v>
      </c>
      <c r="F8" s="161">
        <f>IFERROR(_xlfn.XLOOKUP($D8,BB_Input!$C$5:$C$152,BB_Input!$BK$5:$BK$152,0),"")</f>
        <v>1649.300048828125</v>
      </c>
      <c r="G8" s="161">
        <f>IFERROR(_xlfn.XLOOKUP($D8,BB_Input!$C$5:$C$152,BB_Input!BS$5:BS$152),"")</f>
        <v>27.5</v>
      </c>
      <c r="H8" s="162">
        <f>IFERROR(_xlfn.XLOOKUP($D8,BB_Input!$C$5:$C$152,BB_Input!BT$5:BT$152),"")</f>
        <v>36.200000000000003</v>
      </c>
      <c r="I8" s="162">
        <f>IFERROR(_xlfn.XLOOKUP($D8,BB_Input!$C$5:$C$152,BB_Input!BU$5:BU$152),"")</f>
        <v>43.833333333333336</v>
      </c>
      <c r="J8" s="162" t="str">
        <f>IFERROR(_xlfn.XLOOKUP($D8,BB_Input!$C$5:$C$152,BB_Input!BV$5:BV$152),"")</f>
        <v/>
      </c>
      <c r="L8" s="161">
        <f t="shared" si="0"/>
        <v>59.974547230113636</v>
      </c>
      <c r="M8" s="162">
        <f t="shared" si="1"/>
        <v>45.560774829506215</v>
      </c>
      <c r="N8" s="162">
        <f t="shared" si="2"/>
        <v>37.626617083531364</v>
      </c>
      <c r="O8" s="162" t="str">
        <f t="shared" si="3"/>
        <v/>
      </c>
      <c r="P8" s="217" t="str">
        <f t="shared" si="4"/>
        <v/>
      </c>
      <c r="Q8" s="223"/>
      <c r="T8" s="212">
        <f>_xlfn.XLOOKUP($C8,CCA_Defense!$C:$C,CCA_Defense!$T:$T)</f>
        <v>0.15561323700522059</v>
      </c>
      <c r="U8" s="212">
        <f>_xlfn.XLOOKUP($C8,CCA_Defense!$C:$C,CCA_Defense!$U:$U)</f>
        <v>0</v>
      </c>
      <c r="V8" s="212"/>
      <c r="W8" s="212"/>
    </row>
    <row r="9" spans="2:43" x14ac:dyDescent="0.25">
      <c r="B9" s="152">
        <f>CCA_Defense!B9</f>
        <v>7</v>
      </c>
      <c r="C9" s="153" t="str">
        <f>CCA_Defense!C9</f>
        <v>BEML Limited</v>
      </c>
      <c r="D9" s="152" t="str">
        <f>CCA_Defense!D9</f>
        <v>BEML</v>
      </c>
      <c r="E9" s="152" t="str">
        <f>CCA_Defense!E9</f>
        <v>BEML</v>
      </c>
      <c r="F9" s="161">
        <f>IFERROR(_xlfn.XLOOKUP($D9,BB_Input!$C$5:$C$152,BB_Input!$BK$5:$BK$152,0),"")</f>
        <v>1867.9000244140625</v>
      </c>
      <c r="G9" s="161">
        <f>IFERROR(_xlfn.XLOOKUP($D9,BB_Input!$C$5:$C$152,BB_Input!BS$5:BS$152),"")</f>
        <v>48.136666666666663</v>
      </c>
      <c r="H9" s="162">
        <f>IFERROR(_xlfn.XLOOKUP($D9,BB_Input!$C$5:$C$152,BB_Input!BT$5:BT$152),"")</f>
        <v>67.236666666666665</v>
      </c>
      <c r="I9" s="162">
        <f>IFERROR(_xlfn.XLOOKUP($D9,BB_Input!$C$5:$C$152,BB_Input!BU$5:BU$152),"")</f>
        <v>81.800000000000011</v>
      </c>
      <c r="J9" s="162" t="str">
        <f>IFERROR(_xlfn.XLOOKUP($D9,BB_Input!$C$5:$C$152,BB_Input!BV$5:BV$152),"")</f>
        <v/>
      </c>
      <c r="L9" s="161">
        <f t="shared" si="0"/>
        <v>38.804099946279258</v>
      </c>
      <c r="M9" s="162">
        <f t="shared" si="1"/>
        <v>27.780973046661977</v>
      </c>
      <c r="N9" s="162">
        <f t="shared" si="2"/>
        <v>22.834963623643791</v>
      </c>
      <c r="O9" s="162" t="str">
        <f t="shared" si="3"/>
        <v/>
      </c>
      <c r="P9" s="217" t="str">
        <f t="shared" si="4"/>
        <v/>
      </c>
      <c r="Q9" s="223"/>
      <c r="T9" s="212">
        <f>_xlfn.XLOOKUP($C9,CCA_Defense!$C:$C,CCA_Defense!$T:$T)</f>
        <v>5.1918151629170982E-2</v>
      </c>
      <c r="U9" s="212">
        <f>_xlfn.XLOOKUP($C9,CCA_Defense!$C:$C,CCA_Defense!$U:$U)</f>
        <v>0</v>
      </c>
      <c r="V9" s="212"/>
      <c r="W9" s="212"/>
    </row>
    <row r="10" spans="2:43" x14ac:dyDescent="0.25">
      <c r="B10" s="152">
        <f>CCA_Defense!B10</f>
        <v>8</v>
      </c>
      <c r="C10" s="153" t="str">
        <f>CCA_Defense!C10</f>
        <v>Mishra Dhatu Nigam Limited (MIDHANI)</v>
      </c>
      <c r="D10" s="152" t="str">
        <f>CCA_Defense!D10</f>
        <v>MIDHANI</v>
      </c>
      <c r="E10" s="152" t="str">
        <f>CCA_Defense!E10</f>
        <v>MIDHANI</v>
      </c>
      <c r="F10" s="161">
        <f>IFERROR(_xlfn.XLOOKUP($D10,BB_Input!$C$5:$C$152,BB_Input!$BK$5:$BK$152,0),"")</f>
        <v>311.35000610351563</v>
      </c>
      <c r="G10" s="161">
        <f>IFERROR(_xlfn.XLOOKUP($D10,BB_Input!$C$5:$C$152,BB_Input!BS$5:BS$152),"")</f>
        <v>7.9150000000000009</v>
      </c>
      <c r="H10" s="162">
        <f>IFERROR(_xlfn.XLOOKUP($D10,BB_Input!$C$5:$C$152,BB_Input!BT$5:BT$152),"")</f>
        <v>10.190000000000001</v>
      </c>
      <c r="I10" s="162">
        <f>IFERROR(_xlfn.XLOOKUP($D10,BB_Input!$C$5:$C$152,BB_Input!BU$5:BU$152),"")</f>
        <v>12.934999999999999</v>
      </c>
      <c r="J10" s="162" t="str">
        <f>IFERROR(_xlfn.XLOOKUP($D10,BB_Input!$C$5:$C$152,BB_Input!BV$5:BV$152),"")</f>
        <v/>
      </c>
      <c r="L10" s="161">
        <f t="shared" si="0"/>
        <v>39.336703234809299</v>
      </c>
      <c r="M10" s="162">
        <f t="shared" si="1"/>
        <v>30.554465760894562</v>
      </c>
      <c r="N10" s="162">
        <f t="shared" si="2"/>
        <v>24.070352230654478</v>
      </c>
      <c r="O10" s="162" t="str">
        <f t="shared" si="3"/>
        <v/>
      </c>
      <c r="P10" s="217" t="str">
        <f t="shared" si="4"/>
        <v/>
      </c>
      <c r="Q10" s="223"/>
      <c r="T10" s="212">
        <f>_xlfn.XLOOKUP($C10,CCA_Defense!$C:$C,CCA_Defense!$T:$T)</f>
        <v>5.39406656124942E-2</v>
      </c>
      <c r="U10" s="212">
        <f>_xlfn.XLOOKUP($C10,CCA_Defense!$C:$C,CCA_Defense!$U:$U)</f>
        <v>0</v>
      </c>
      <c r="V10" s="212"/>
      <c r="W10" s="212"/>
    </row>
    <row r="11" spans="2:43" x14ac:dyDescent="0.25">
      <c r="B11" s="152">
        <f>CCA_Defense!B11</f>
        <v>9</v>
      </c>
      <c r="C11" s="153" t="str">
        <f>CCA_Defense!C11</f>
        <v>Data Patterns</v>
      </c>
      <c r="D11" s="152" t="str">
        <f>CCA_Defense!D11</f>
        <v>DATAPATT</v>
      </c>
      <c r="E11" s="152" t="str">
        <f>CCA_Defense!E11</f>
        <v>DATAPATT</v>
      </c>
      <c r="F11" s="161">
        <f>IFERROR(_xlfn.XLOOKUP($D11,BB_Input!$C$5:$C$152,BB_Input!$BK$5:$BK$152,0),"")</f>
        <v>2672.300048828125</v>
      </c>
      <c r="G11" s="161">
        <f>IFERROR(_xlfn.XLOOKUP($D11,BB_Input!$C$5:$C$152,BB_Input!BS$5:BS$152),"")</f>
        <v>55.305833333333332</v>
      </c>
      <c r="H11" s="162">
        <f>IFERROR(_xlfn.XLOOKUP($D11,BB_Input!$C$5:$C$152,BB_Input!BT$5:BT$152),"")</f>
        <v>70.137222222222221</v>
      </c>
      <c r="I11" s="162">
        <f>IFERROR(_xlfn.XLOOKUP($D11,BB_Input!$C$5:$C$152,BB_Input!BU$5:BU$152),"")</f>
        <v>91.75555555555556</v>
      </c>
      <c r="J11" s="162">
        <f>IFERROR(_xlfn.XLOOKUP($D11,BB_Input!$C$5:$C$152,BB_Input!BV$5:BV$152),"")</f>
        <v>111.4825</v>
      </c>
      <c r="L11" s="161">
        <f t="shared" si="0"/>
        <v>48.318592954235541</v>
      </c>
      <c r="M11" s="162">
        <f t="shared" si="1"/>
        <v>38.101024878932769</v>
      </c>
      <c r="N11" s="162">
        <f t="shared" si="2"/>
        <v>29.124122595608046</v>
      </c>
      <c r="O11" s="162">
        <f t="shared" si="3"/>
        <v>23.970578779881372</v>
      </c>
      <c r="P11" s="217" t="str">
        <f t="shared" si="4"/>
        <v/>
      </c>
      <c r="Q11" s="223"/>
      <c r="T11" s="212">
        <f>_xlfn.XLOOKUP($C11,CCA_Defense!$C:$C,CCA_Defense!$T:$T)</f>
        <v>0.19573800863209587</v>
      </c>
      <c r="U11" s="212">
        <f>_xlfn.XLOOKUP($C11,CCA_Defense!$C:$C,CCA_Defense!$U:$U)</f>
        <v>0</v>
      </c>
      <c r="V11" s="212"/>
      <c r="W11" s="212"/>
    </row>
    <row r="12" spans="2:43" x14ac:dyDescent="0.25">
      <c r="B12" s="152">
        <f>CCA_Defense!B12</f>
        <v>10</v>
      </c>
      <c r="C12" s="153" t="str">
        <f>CCA_Defense!C12</f>
        <v>Paras Defense and Space</v>
      </c>
      <c r="D12" s="152" t="str">
        <f>CCA_Defense!D12</f>
        <v>PARAS</v>
      </c>
      <c r="E12" s="152" t="str">
        <f>CCA_Defense!E12</f>
        <v>PARAS</v>
      </c>
      <c r="F12" s="161">
        <f>IFERROR(_xlfn.XLOOKUP($D12,BB_Input!$C$5:$C$152,BB_Input!$BK$5:$BK$152,0),"")</f>
        <v>670.9000244140625</v>
      </c>
      <c r="G12" s="161">
        <f>IFERROR(_xlfn.XLOOKUP($D12,BB_Input!$C$5:$C$152,BB_Input!BS$5:BS$152),"")</f>
        <v>11.2</v>
      </c>
      <c r="H12" s="162">
        <f>IFERROR(_xlfn.XLOOKUP($D12,BB_Input!$C$5:$C$152,BB_Input!BT$5:BT$152),"")</f>
        <v>14.9</v>
      </c>
      <c r="I12" s="162" t="str">
        <f>IFERROR(_xlfn.XLOOKUP($D12,BB_Input!$C$5:$C$152,BB_Input!BU$5:BU$152),"")</f>
        <v/>
      </c>
      <c r="J12" s="162" t="str">
        <f>IFERROR(_xlfn.XLOOKUP($D12,BB_Input!$C$5:$C$152,BB_Input!BV$5:BV$152),"")</f>
        <v/>
      </c>
      <c r="L12" s="161">
        <f t="shared" si="0"/>
        <v>59.901787894112729</v>
      </c>
      <c r="M12" s="162">
        <f t="shared" si="1"/>
        <v>45.026847276111575</v>
      </c>
      <c r="N12" s="162" t="str">
        <f t="shared" si="2"/>
        <v/>
      </c>
      <c r="O12" s="162" t="str">
        <f t="shared" si="3"/>
        <v/>
      </c>
      <c r="P12" s="217" t="str">
        <f t="shared" si="4"/>
        <v/>
      </c>
      <c r="Q12" s="223"/>
      <c r="T12" s="212">
        <f>_xlfn.XLOOKUP($C12,CCA_Defense!$C:$C,CCA_Defense!$T:$T)</f>
        <v>0.10143232856742476</v>
      </c>
      <c r="U12" s="212">
        <f>_xlfn.XLOOKUP($C12,CCA_Defense!$C:$C,CCA_Defense!$U:$U)</f>
        <v>0</v>
      </c>
      <c r="V12" s="212"/>
      <c r="W12" s="212"/>
    </row>
    <row r="13" spans="2:43" x14ac:dyDescent="0.25">
      <c r="B13" s="152">
        <f>CCA_Defense!B13</f>
        <v>11</v>
      </c>
      <c r="C13" s="153" t="str">
        <f>CCA_Defense!C13</f>
        <v>Astra Microwave</v>
      </c>
      <c r="D13" s="152" t="str">
        <f>CCA_Defense!D13</f>
        <v>ASTM</v>
      </c>
      <c r="E13" s="152" t="str">
        <f>CCA_Defense!E13</f>
        <v>ASTM</v>
      </c>
      <c r="F13" s="161">
        <f>IFERROR(_xlfn.XLOOKUP($D13,BB_Input!$C$5:$C$152,BB_Input!$BK$5:$BK$152,0),"")</f>
        <v>970.25</v>
      </c>
      <c r="G13" s="161">
        <f>AM13</f>
        <v>18.023997877757619</v>
      </c>
      <c r="H13" s="162">
        <f t="shared" ref="H13:H14" si="5">AN13</f>
        <v>21.919333538502844</v>
      </c>
      <c r="I13" s="162">
        <f t="shared" ref="I13:I14" si="6">AO13</f>
        <v>26.656526816674809</v>
      </c>
      <c r="J13" s="162">
        <f t="shared" ref="J13:J14" si="7">AP13</f>
        <v>32.417519477950201</v>
      </c>
      <c r="K13" s="120">
        <f t="shared" ref="K13:K14" si="8">AQ13</f>
        <v>39.42357443378183</v>
      </c>
      <c r="L13" s="161">
        <f t="shared" si="0"/>
        <v>53.831009445320106</v>
      </c>
      <c r="M13" s="162">
        <f t="shared" si="1"/>
        <v>44.264575758915662</v>
      </c>
      <c r="N13" s="162">
        <f t="shared" si="2"/>
        <v>36.398215216585029</v>
      </c>
      <c r="O13" s="162">
        <f t="shared" si="3"/>
        <v>29.929803872253277</v>
      </c>
      <c r="P13" s="217">
        <f t="shared" si="4"/>
        <v>24.61090892784695</v>
      </c>
      <c r="Q13" s="223"/>
      <c r="T13" s="212">
        <f>_xlfn.XLOOKUP($C13,CCA_Defense!$C:$C,CCA_Defense!$T:$T)</f>
        <v>7.5507964882346193E-2</v>
      </c>
      <c r="U13" s="212">
        <f>_xlfn.XLOOKUP($C13,CCA_Defense!$C:$C,CCA_Defense!$U:$U)</f>
        <v>0.26</v>
      </c>
      <c r="V13" s="212"/>
      <c r="W13" s="212"/>
      <c r="X13" s="214">
        <f>_xlfn.XLOOKUP($D13,BB_Input!$C$4:$C$163,BB_Input!$CY$4:$CY$163)*(1+$U13)</f>
        <v>13244.857919999999</v>
      </c>
      <c r="Y13" s="213">
        <f>X13*(1+$U13)</f>
        <v>16688.520979199999</v>
      </c>
      <c r="Z13" s="213">
        <f t="shared" ref="Z13:AB13" si="9">Y13*(1+$U13)</f>
        <v>21027.536433792</v>
      </c>
      <c r="AA13" s="213">
        <f t="shared" si="9"/>
        <v>26494.695906577919</v>
      </c>
      <c r="AB13" s="163">
        <f t="shared" si="9"/>
        <v>33383.316842288179</v>
      </c>
      <c r="AC13" s="221">
        <f>13.32%*0.97</f>
        <v>0.12920400000000001</v>
      </c>
      <c r="AD13" s="221">
        <f>AC13*0.97</f>
        <v>0.12532788</v>
      </c>
      <c r="AE13" s="221">
        <f t="shared" ref="AE13:AG13" si="10">AD13*0.97</f>
        <v>0.12156804359999999</v>
      </c>
      <c r="AF13" s="221">
        <f t="shared" si="10"/>
        <v>0.11792100229199999</v>
      </c>
      <c r="AG13" s="247">
        <f t="shared" si="10"/>
        <v>0.11438337222323999</v>
      </c>
      <c r="AH13" s="214">
        <f>_xlfn.XLOOKUP($D13,BB_Input!$C$4:$C$163,BB_Input!$AR$4:$AR$163)</f>
        <v>94.945008000000001</v>
      </c>
      <c r="AI13" s="213">
        <f>AH13*1.005</f>
        <v>95.419733039999997</v>
      </c>
      <c r="AJ13" s="213">
        <f>AI13*1.005</f>
        <v>95.896831705199986</v>
      </c>
      <c r="AK13" s="213">
        <f>AJ13*1.005</f>
        <v>96.376315863725978</v>
      </c>
      <c r="AL13" s="163">
        <f>AK13*1.005</f>
        <v>96.858197443044602</v>
      </c>
      <c r="AM13" s="161">
        <f t="shared" ref="AM13:AQ14" si="11">(X13*AC13)/AH13</f>
        <v>18.023997877757619</v>
      </c>
      <c r="AN13" s="162">
        <f t="shared" si="11"/>
        <v>21.919333538502844</v>
      </c>
      <c r="AO13" s="162">
        <f t="shared" si="11"/>
        <v>26.656526816674809</v>
      </c>
      <c r="AP13" s="162">
        <f t="shared" si="11"/>
        <v>32.417519477950201</v>
      </c>
      <c r="AQ13" s="217">
        <f t="shared" si="11"/>
        <v>39.42357443378183</v>
      </c>
    </row>
    <row r="14" spans="2:43" x14ac:dyDescent="0.25">
      <c r="B14" s="152">
        <f>CCA_Defense!B14</f>
        <v>12</v>
      </c>
      <c r="C14" s="153" t="str">
        <f>CCA_Defense!C14</f>
        <v>Axiscades Technologies Ltd</v>
      </c>
      <c r="D14" s="152" t="str">
        <f>CCA_Defense!D14</f>
        <v>AXET</v>
      </c>
      <c r="E14" s="152" t="str">
        <f>CCA_Defense!E14</f>
        <v>AXISCADES</v>
      </c>
      <c r="F14" s="161">
        <f>IFERROR(_xlfn.XLOOKUP($D14,BB_Input!$C$5:$C$152,BB_Input!$BK$5:$BK$152,0),"")</f>
        <v>1344.9000244140625</v>
      </c>
      <c r="G14" s="161">
        <f>AM14</f>
        <v>25.849542369710885</v>
      </c>
      <c r="H14" s="162">
        <f t="shared" si="5"/>
        <v>37.9136530413668</v>
      </c>
      <c r="I14" s="162">
        <f t="shared" si="6"/>
        <v>55.608144484037901</v>
      </c>
      <c r="J14" s="162">
        <f t="shared" si="7"/>
        <v>81.560743555460803</v>
      </c>
      <c r="K14" s="120">
        <f t="shared" si="8"/>
        <v>119.62555037651214</v>
      </c>
      <c r="L14" s="161">
        <f t="shared" si="0"/>
        <v>52.028001315409924</v>
      </c>
      <c r="M14" s="162">
        <f t="shared" si="1"/>
        <v>35.472710132855568</v>
      </c>
      <c r="N14" s="162">
        <f t="shared" si="2"/>
        <v>24.185306610978735</v>
      </c>
      <c r="O14" s="162">
        <f t="shared" si="3"/>
        <v>16.489550803316778</v>
      </c>
      <c r="P14" s="217">
        <f t="shared" si="4"/>
        <v>11.242581707512267</v>
      </c>
      <c r="Q14" s="223"/>
      <c r="T14" s="212">
        <f>_xlfn.XLOOKUP($C14,CCA_Defense!$C:$C,CCA_Defense!$T:$T)</f>
        <v>0.10881150248535115</v>
      </c>
      <c r="U14" s="212">
        <f>_xlfn.XLOOKUP($C14,CCA_Defense!$C:$C,CCA_Defense!$U:$U)</f>
        <v>0.54390000000000005</v>
      </c>
      <c r="V14" s="212" t="s">
        <v>1085</v>
      </c>
      <c r="W14" s="212"/>
      <c r="X14" s="214">
        <f>_xlfn.XLOOKUP($D14,BB_Input!$C$4:$C$163,BB_Input!$CY$4:$CY$163)*(1+$U14)</f>
        <v>15913.343204299999</v>
      </c>
      <c r="Y14" s="213">
        <f>X14*(1+$U14)</f>
        <v>24568.610573118771</v>
      </c>
      <c r="Z14" s="213">
        <f t="shared" ref="Z14:AB14" si="12">Y14*(1+$U14)</f>
        <v>37931.477863838074</v>
      </c>
      <c r="AA14" s="213">
        <f t="shared" si="12"/>
        <v>58562.408673979604</v>
      </c>
      <c r="AB14" s="163">
        <f t="shared" si="12"/>
        <v>90414.502751757114</v>
      </c>
      <c r="AC14" s="221">
        <f>7.27%*0.95</f>
        <v>6.9065000000000001E-2</v>
      </c>
      <c r="AD14" s="221">
        <f>AC14*0.95</f>
        <v>6.5611749999999996E-2</v>
      </c>
      <c r="AE14" s="221">
        <f t="shared" ref="AE14:AG14" si="13">AD14*0.95</f>
        <v>6.2331162499999995E-2</v>
      </c>
      <c r="AF14" s="221">
        <f t="shared" si="13"/>
        <v>5.9214604374999993E-2</v>
      </c>
      <c r="AG14" s="247">
        <f t="shared" si="13"/>
        <v>5.6253874156249994E-2</v>
      </c>
      <c r="AH14" s="214">
        <f>_xlfn.XLOOKUP($D14,BB_Input!$C$4:$C$163,BB_Input!$AR$4:$AR$163)</f>
        <v>42.517389000000001</v>
      </c>
      <c r="AI14" s="213">
        <f t="shared" ref="AI14:AL14" si="14">AH14</f>
        <v>42.517389000000001</v>
      </c>
      <c r="AJ14" s="213">
        <f t="shared" si="14"/>
        <v>42.517389000000001</v>
      </c>
      <c r="AK14" s="213">
        <f t="shared" si="14"/>
        <v>42.517389000000001</v>
      </c>
      <c r="AL14" s="163">
        <f t="shared" si="14"/>
        <v>42.517389000000001</v>
      </c>
      <c r="AM14" s="161">
        <f t="shared" si="11"/>
        <v>25.849542369710885</v>
      </c>
      <c r="AN14" s="162">
        <f t="shared" si="11"/>
        <v>37.9136530413668</v>
      </c>
      <c r="AO14" s="162">
        <f t="shared" si="11"/>
        <v>55.608144484037901</v>
      </c>
      <c r="AP14" s="162">
        <f t="shared" si="11"/>
        <v>81.560743555460803</v>
      </c>
      <c r="AQ14" s="217">
        <f t="shared" si="11"/>
        <v>119.62555037651214</v>
      </c>
    </row>
    <row r="15" spans="2:43" x14ac:dyDescent="0.25">
      <c r="B15" s="152">
        <f>CCA_Defense!B15</f>
        <v>13</v>
      </c>
      <c r="C15" s="153" t="str">
        <f>CCA_Defense!C15</f>
        <v>DCX Systems</v>
      </c>
      <c r="D15" s="152" t="str">
        <f>CCA_Defense!D15</f>
        <v>DCXINDIA</v>
      </c>
      <c r="E15" s="152" t="str">
        <f>CCA_Defense!E15</f>
        <v>DCXINDIA</v>
      </c>
      <c r="F15" s="161">
        <f>IFERROR(_xlfn.XLOOKUP($D15,BB_Input!$C$5:$C$152,BB_Input!$BK$5:$BK$152,0),"")</f>
        <v>202.32000732421875</v>
      </c>
      <c r="G15" s="161">
        <f>IFERROR(_xlfn.XLOOKUP($D15,BB_Input!$C$5:$C$152,BB_Input!BS$5:BS$152),"")</f>
        <v>5.0999999999999996</v>
      </c>
      <c r="H15" s="162">
        <f>IFERROR(_xlfn.XLOOKUP($D15,BB_Input!$C$5:$C$152,BB_Input!BT$5:BT$152),"")</f>
        <v>7.4</v>
      </c>
      <c r="I15" s="162">
        <f>IFERROR(_xlfn.XLOOKUP($D15,BB_Input!$C$5:$C$152,BB_Input!BU$5:BU$152),"")</f>
        <v>9.3000000000000007</v>
      </c>
      <c r="J15" s="162" t="str">
        <f>IFERROR(_xlfn.XLOOKUP($D15,BB_Input!$C$5:$C$152,BB_Input!BV$5:BV$152),"")</f>
        <v/>
      </c>
      <c r="L15" s="161">
        <f t="shared" si="0"/>
        <v>39.670589671415442</v>
      </c>
      <c r="M15" s="162">
        <f t="shared" si="1"/>
        <v>27.340541530299831</v>
      </c>
      <c r="N15" s="162">
        <f t="shared" si="2"/>
        <v>21.75483949722782</v>
      </c>
      <c r="O15" s="162" t="str">
        <f t="shared" si="3"/>
        <v/>
      </c>
      <c r="P15" s="217" t="str">
        <f t="shared" si="4"/>
        <v/>
      </c>
      <c r="Q15" s="223"/>
      <c r="T15" s="212">
        <f>_xlfn.XLOOKUP($C15,CCA_Defense!$C:$C,CCA_Defense!$T:$T)</f>
        <v>7.9915005883559653E-2</v>
      </c>
      <c r="U15" s="212">
        <f>_xlfn.XLOOKUP($C15,CCA_Defense!$C:$C,CCA_Defense!$U:$U)</f>
        <v>0</v>
      </c>
      <c r="V15" s="212"/>
      <c r="W15" s="212"/>
    </row>
    <row r="16" spans="2:43" x14ac:dyDescent="0.25">
      <c r="B16" s="152">
        <f>CCA_Defense!B16</f>
        <v>14</v>
      </c>
      <c r="C16" s="153" t="str">
        <f>CCA_Defense!C16</f>
        <v>Avantel</v>
      </c>
      <c r="D16" s="152" t="str">
        <f>CCA_Defense!D16</f>
        <v>AVTS</v>
      </c>
      <c r="E16" s="152" t="str">
        <f>CCA_Defense!E16</f>
        <v>AVTS</v>
      </c>
      <c r="F16" s="161">
        <f>IFERROR(_xlfn.XLOOKUP($D16,BB_Input!$C$5:$C$152,BB_Input!$BK$5:$BK$152,0),"")</f>
        <v>161.53999328613281</v>
      </c>
      <c r="G16" s="161">
        <f>AM16</f>
        <v>2.6070030916964808</v>
      </c>
      <c r="H16" s="162">
        <f t="shared" ref="H16:K16" si="15">AN16</f>
        <v>3.1188797880010384</v>
      </c>
      <c r="I16" s="162">
        <f t="shared" si="15"/>
        <v>3.7312618320185376</v>
      </c>
      <c r="J16" s="162">
        <f t="shared" si="15"/>
        <v>4.463883126448251</v>
      </c>
      <c r="K16" s="120">
        <f t="shared" si="15"/>
        <v>5.3403522624971371</v>
      </c>
      <c r="L16" s="161">
        <f t="shared" si="0"/>
        <v>61.963867170181338</v>
      </c>
      <c r="M16" s="162">
        <f t="shared" si="1"/>
        <v>51.794235195473021</v>
      </c>
      <c r="N16" s="162">
        <f t="shared" si="2"/>
        <v>43.293663258882837</v>
      </c>
      <c r="O16" s="162">
        <f t="shared" si="3"/>
        <v>36.188221938208379</v>
      </c>
      <c r="P16" s="217">
        <f t="shared" si="4"/>
        <v>30.248939647774669</v>
      </c>
      <c r="Q16" s="223"/>
      <c r="T16" s="212">
        <f>_xlfn.XLOOKUP($C16,CCA_Defense!$C:$C,CCA_Defense!$T:$T)</f>
        <v>0.25927467693590334</v>
      </c>
      <c r="U16" s="212">
        <f>_xlfn.XLOOKUP($C16,CCA_Defense!$C:$C,CCA_Defense!$U:$U)</f>
        <v>0</v>
      </c>
      <c r="V16" s="212"/>
      <c r="W16" s="212"/>
      <c r="X16" s="214">
        <f>_xlfn.XLOOKUP($D16,BB_Input!$C$4:$C$163,BB_Input!$CY$4:$CY$163)*(1+$T16)</f>
        <v>3137.1831502126925</v>
      </c>
      <c r="Y16" s="213">
        <f>X16*(1+$T16*0.9)</f>
        <v>3869.2360831968322</v>
      </c>
      <c r="Z16" s="213">
        <f t="shared" ref="Z16:AB16" si="16">Y16*(1+$T16*0.9)</f>
        <v>4772.1115251104711</v>
      </c>
      <c r="AA16" s="213">
        <f t="shared" si="16"/>
        <v>5885.6704316880778</v>
      </c>
      <c r="AB16" s="163">
        <f t="shared" si="16"/>
        <v>7259.0752014424907</v>
      </c>
      <c r="AC16" s="215">
        <f>22.7%*0.97</f>
        <v>0.22018999999999997</v>
      </c>
      <c r="AD16" s="215">
        <f>AC16*0.97</f>
        <v>0.21358429999999998</v>
      </c>
      <c r="AE16" s="215">
        <f t="shared" ref="AE16:AG16" si="17">AD16*0.97</f>
        <v>0.20717677099999998</v>
      </c>
      <c r="AF16" s="215">
        <f t="shared" si="17"/>
        <v>0.20096146786999997</v>
      </c>
      <c r="AG16" s="216">
        <f t="shared" si="17"/>
        <v>0.19493262383389995</v>
      </c>
      <c r="AH16" s="214">
        <f>_xlfn.XLOOKUP($D16,BB_Input!$C$4:$C$163,BB_Input!$AR$4:$AR$163)</f>
        <v>264.96952000000005</v>
      </c>
      <c r="AI16" s="213">
        <f>AH16</f>
        <v>264.96952000000005</v>
      </c>
      <c r="AJ16" s="213">
        <f>AI16</f>
        <v>264.96952000000005</v>
      </c>
      <c r="AK16" s="213">
        <f>AJ16</f>
        <v>264.96952000000005</v>
      </c>
      <c r="AL16" s="163">
        <f>AK16</f>
        <v>264.96952000000005</v>
      </c>
      <c r="AM16" s="161">
        <f>(X16*AC16)/AH16</f>
        <v>2.6070030916964808</v>
      </c>
      <c r="AN16" s="162">
        <f t="shared" ref="AN16:AQ16" si="18">(Y16*AD16)/AI16</f>
        <v>3.1188797880010384</v>
      </c>
      <c r="AO16" s="162">
        <f t="shared" si="18"/>
        <v>3.7312618320185376</v>
      </c>
      <c r="AP16" s="162">
        <f t="shared" si="18"/>
        <v>4.463883126448251</v>
      </c>
      <c r="AQ16" s="217">
        <f t="shared" si="18"/>
        <v>5.3403522624971371</v>
      </c>
    </row>
    <row r="17" spans="2:43" x14ac:dyDescent="0.25">
      <c r="B17" s="152">
        <f>CCA_Defense!B17</f>
        <v>15</v>
      </c>
      <c r="C17" s="153" t="str">
        <f>CCA_Defense!C17</f>
        <v>Apollo Micro Systems</v>
      </c>
      <c r="D17" s="152" t="str">
        <f>CCA_Defense!D17</f>
        <v>APOLLO</v>
      </c>
      <c r="E17" s="152" t="str">
        <f>CCA_Defense!E17</f>
        <v>APOLLO</v>
      </c>
      <c r="F17" s="161">
        <f>IFERROR(_xlfn.XLOOKUP($D17,BB_Input!$C$5:$C$152,BB_Input!$BK$5:$BK$152,0),"")</f>
        <v>263</v>
      </c>
      <c r="G17" s="161">
        <f>IFERROR(_xlfn.XLOOKUP($D17,BB_Input!$C$5:$C$152,BB_Input!BS$5:BS$152),"")</f>
        <v>3.1</v>
      </c>
      <c r="H17" s="162">
        <f>IFERROR(_xlfn.XLOOKUP($D17,BB_Input!$C$5:$C$152,BB_Input!BT$5:BT$152),"")</f>
        <v>4.5999999999999996</v>
      </c>
      <c r="I17" s="162">
        <f>IFERROR(_xlfn.XLOOKUP($D17,BB_Input!$C$5:$C$152,BB_Input!BU$5:BU$152),"")</f>
        <v>7.5</v>
      </c>
      <c r="J17" s="162" t="str">
        <f>IFERROR(_xlfn.XLOOKUP($D17,BB_Input!$C$5:$C$152,BB_Input!BV$5:BV$152),"")</f>
        <v/>
      </c>
      <c r="L17" s="161">
        <f t="shared" si="0"/>
        <v>84.838709677419359</v>
      </c>
      <c r="M17" s="162">
        <f t="shared" si="1"/>
        <v>57.173913043478265</v>
      </c>
      <c r="N17" s="162">
        <f t="shared" si="2"/>
        <v>35.06666666666667</v>
      </c>
      <c r="O17" s="162" t="str">
        <f t="shared" si="3"/>
        <v/>
      </c>
      <c r="P17" s="217" t="str">
        <f t="shared" si="4"/>
        <v/>
      </c>
      <c r="Q17" s="223"/>
      <c r="T17" s="212">
        <f>_xlfn.XLOOKUP($C17,CCA_Defense!$C:$C,CCA_Defense!$T:$T)</f>
        <v>0.13611833235028162</v>
      </c>
      <c r="U17" s="212">
        <f>_xlfn.XLOOKUP($C17,CCA_Defense!$C:$C,CCA_Defense!$U:$U)</f>
        <v>0</v>
      </c>
      <c r="V17" s="212"/>
      <c r="W17" s="212"/>
    </row>
    <row r="18" spans="2:43" x14ac:dyDescent="0.25">
      <c r="B18" s="152">
        <f>CCA_Defense!B18</f>
        <v>16</v>
      </c>
      <c r="C18" s="153" t="str">
        <f>CCA_Defense!C18</f>
        <v>Adani Elbit Advanced Systems India</v>
      </c>
      <c r="D18" s="152" t="str">
        <f>CCA_Defense!D18</f>
        <v>ADE</v>
      </c>
      <c r="E18" s="152" t="str">
        <f>CCA_Defense!E18</f>
        <v>ADANIENT</v>
      </c>
      <c r="F18" s="161">
        <f>IFERROR(_xlfn.XLOOKUP($D18,BB_Input!$C$5:$C$152,BB_Input!$BK$5:$BK$152,0),"")</f>
        <v>2222.699951171875</v>
      </c>
      <c r="G18" s="161">
        <f>IFERROR(_xlfn.XLOOKUP($D18,BB_Input!$C$5:$C$152,BB_Input!BS$5:BS$152),"")</f>
        <v>33.533333333333331</v>
      </c>
      <c r="H18" s="162">
        <f>IFERROR(_xlfn.XLOOKUP($D18,BB_Input!$C$5:$C$152,BB_Input!BT$5:BT$152),"")</f>
        <v>42.696666666666665</v>
      </c>
      <c r="I18" s="162">
        <f>IFERROR(_xlfn.XLOOKUP($D18,BB_Input!$C$5:$C$152,BB_Input!BU$5:BU$152),"")</f>
        <v>47.946666666666665</v>
      </c>
      <c r="J18" s="162">
        <f>IFERROR(_xlfn.XLOOKUP($D18,BB_Input!$C$5:$C$152,BB_Input!BV$5:BV$152),"")</f>
        <v>44.094999999999999</v>
      </c>
      <c r="L18" s="161">
        <f t="shared" si="0"/>
        <v>66.283298742700055</v>
      </c>
      <c r="M18" s="162">
        <f t="shared" si="1"/>
        <v>52.057926875756309</v>
      </c>
      <c r="N18" s="162">
        <f t="shared" si="2"/>
        <v>46.357757602305512</v>
      </c>
      <c r="O18" s="162">
        <f t="shared" si="3"/>
        <v>50.407074524818576</v>
      </c>
      <c r="P18" s="217" t="str">
        <f t="shared" si="4"/>
        <v/>
      </c>
      <c r="Q18" s="223"/>
      <c r="T18" s="212">
        <f>_xlfn.XLOOKUP($C18,CCA_Defense!$C:$C,CCA_Defense!$T:$T)</f>
        <v>9.0495011157345845E-2</v>
      </c>
      <c r="U18" s="212">
        <f>_xlfn.XLOOKUP($C18,CCA_Defense!$C:$C,CCA_Defense!$U:$U)</f>
        <v>0</v>
      </c>
      <c r="V18" s="212"/>
      <c r="W18" s="212"/>
    </row>
    <row r="19" spans="2:43" x14ac:dyDescent="0.25">
      <c r="B19" s="152">
        <f>CCA_Defense!B19</f>
        <v>17</v>
      </c>
      <c r="C19" s="153" t="str">
        <f>CCA_Defense!C19</f>
        <v>NIBE Ltd</v>
      </c>
      <c r="D19" s="152" t="str">
        <f>CCA_Defense!D19</f>
        <v>NIBE</v>
      </c>
      <c r="E19" s="152" t="str">
        <f>CCA_Defense!E19</f>
        <v>NIBE</v>
      </c>
      <c r="F19" s="161">
        <f>IFERROR(_xlfn.XLOOKUP($D19,BB_Input!$C$5:$C$152,BB_Input!$BK$5:$BK$152,0),"")</f>
        <v>1137.4000244140625</v>
      </c>
      <c r="G19" s="161">
        <f>AM19</f>
        <v>25.396342667688984</v>
      </c>
      <c r="H19" s="162">
        <f t="shared" ref="H19:H20" si="19">AN19</f>
        <v>34.739228782595148</v>
      </c>
      <c r="I19" s="162">
        <f t="shared" ref="I19:I20" si="20">AO19</f>
        <v>47.460701938997815</v>
      </c>
      <c r="J19" s="162">
        <f t="shared" ref="J19:J20" si="21">AP19</f>
        <v>63.704516542852069</v>
      </c>
      <c r="K19" s="120">
        <f t="shared" ref="K19:K20" si="22">AQ19</f>
        <v>84.082778125681841</v>
      </c>
      <c r="L19" s="161">
        <f t="shared" si="0"/>
        <v>44.785977228963084</v>
      </c>
      <c r="M19" s="162">
        <f t="shared" si="1"/>
        <v>32.741084482103304</v>
      </c>
      <c r="N19" s="162">
        <f t="shared" si="2"/>
        <v>23.965090652809675</v>
      </c>
      <c r="O19" s="162">
        <f t="shared" si="3"/>
        <v>17.854307451638356</v>
      </c>
      <c r="P19" s="217">
        <f t="shared" si="4"/>
        <v>13.527146102546062</v>
      </c>
      <c r="Q19" s="223"/>
      <c r="T19" s="212">
        <f>_xlfn.XLOOKUP($C19,CCA_Defense!$C:$C,CCA_Defense!$T:$T)</f>
        <v>1.0662907796143433</v>
      </c>
      <c r="U19" s="212">
        <f>_xlfn.XLOOKUP($C19,CCA_Defense!$C:$C,CCA_Defense!$U:$U)</f>
        <v>0</v>
      </c>
      <c r="V19" s="212"/>
      <c r="W19" s="212"/>
      <c r="X19" s="214">
        <f>_xlfn.XLOOKUP($D19,BB_Input!$C$4:$C$163,BB_Input!$CY$4:$CY$163)*(1+$T19*0.3)</f>
        <v>6695.9872404673861</v>
      </c>
      <c r="Y19" s="213">
        <f>X19*(1+$T19*0.3)</f>
        <v>8837.9480769450856</v>
      </c>
      <c r="Z19" s="213">
        <f t="shared" ref="Z19:AB19" si="23">Y19*(1+$T19*0.3)</f>
        <v>11665.094840492146</v>
      </c>
      <c r="AA19" s="213">
        <f t="shared" si="23"/>
        <v>15396.609762015234</v>
      </c>
      <c r="AB19" s="163">
        <f t="shared" si="23"/>
        <v>20321.788669982347</v>
      </c>
      <c r="AC19" s="215">
        <v>5.5E-2</v>
      </c>
      <c r="AD19" s="215">
        <v>5.7000000000000002E-2</v>
      </c>
      <c r="AE19" s="215">
        <v>5.9000000000000004E-2</v>
      </c>
      <c r="AF19" s="215">
        <v>0.06</v>
      </c>
      <c r="AG19" s="216">
        <v>0.06</v>
      </c>
      <c r="AH19" s="214">
        <f>_xlfn.XLOOKUP($D19,BB_Input!$C$4:$C$163,BB_Input!$AR$4:$AR$163)</f>
        <v>14.501272999999999</v>
      </c>
      <c r="AI19" s="213">
        <f t="shared" ref="AI19:AL20" si="24">AH19</f>
        <v>14.501272999999999</v>
      </c>
      <c r="AJ19" s="213">
        <f t="shared" si="24"/>
        <v>14.501272999999999</v>
      </c>
      <c r="AK19" s="213">
        <f t="shared" si="24"/>
        <v>14.501272999999999</v>
      </c>
      <c r="AL19" s="163">
        <f t="shared" si="24"/>
        <v>14.501272999999999</v>
      </c>
      <c r="AM19" s="161">
        <f>(X19*AC19)/AH19</f>
        <v>25.396342667688984</v>
      </c>
      <c r="AN19" s="162">
        <f t="shared" ref="AN19" si="25">(Y19*AD19)/AI19</f>
        <v>34.739228782595148</v>
      </c>
      <c r="AO19" s="162">
        <f t="shared" ref="AO19" si="26">(Z19*AE19)/AJ19</f>
        <v>47.460701938997815</v>
      </c>
      <c r="AP19" s="162">
        <f t="shared" ref="AP19" si="27">(AA19*AF19)/AK19</f>
        <v>63.704516542852069</v>
      </c>
      <c r="AQ19" s="217">
        <f t="shared" ref="AQ19" si="28">(AB19*AG19)/AL19</f>
        <v>84.082778125681841</v>
      </c>
    </row>
    <row r="20" spans="2:43" x14ac:dyDescent="0.25">
      <c r="B20" s="152">
        <f>CCA_Defense!B20</f>
        <v>18</v>
      </c>
      <c r="C20" s="153" t="str">
        <f>CCA_Defense!C20</f>
        <v>Azad Engineering</v>
      </c>
      <c r="D20" s="152" t="str">
        <f>CCA_Defense!D20</f>
        <v>AZAD</v>
      </c>
      <c r="E20" s="152" t="str">
        <f>CCA_Defense!E20</f>
        <v>AZAD</v>
      </c>
      <c r="F20" s="161">
        <f>IFERROR(_xlfn.XLOOKUP($D20,BB_Input!$C$5:$C$152,BB_Input!$BK$5:$BK$152,0),"")</f>
        <v>1656</v>
      </c>
      <c r="G20" s="161">
        <f>AM20</f>
        <v>19.637457569393874</v>
      </c>
      <c r="H20" s="162">
        <f t="shared" si="19"/>
        <v>29.691835844923531</v>
      </c>
      <c r="I20" s="162">
        <f t="shared" si="20"/>
        <v>44.894055797524381</v>
      </c>
      <c r="J20" s="162">
        <f t="shared" si="21"/>
        <v>67.879812365856864</v>
      </c>
      <c r="K20" s="120">
        <f t="shared" si="22"/>
        <v>102.63427629717559</v>
      </c>
      <c r="L20" s="161">
        <f t="shared" si="0"/>
        <v>84.32863542279388</v>
      </c>
      <c r="M20" s="162">
        <f t="shared" si="1"/>
        <v>55.772907025657339</v>
      </c>
      <c r="N20" s="162">
        <f t="shared" si="2"/>
        <v>36.886843270937391</v>
      </c>
      <c r="O20" s="162">
        <f t="shared" si="3"/>
        <v>24.396060364376581</v>
      </c>
      <c r="P20" s="217">
        <f t="shared" si="4"/>
        <v>16.134960558450118</v>
      </c>
      <c r="Q20" s="223"/>
      <c r="T20" s="212">
        <f>_xlfn.XLOOKUP($C20,CCA_Defense!$C:$C,CCA_Defense!$T:$T)</f>
        <v>0.18772564182493784</v>
      </c>
      <c r="U20" s="212">
        <f>_xlfn.XLOOKUP($C20,CCA_Defense!$C:$C,CCA_Defense!$U:$U)</f>
        <v>0.44</v>
      </c>
      <c r="V20" s="212"/>
      <c r="W20" s="212"/>
      <c r="X20" s="214">
        <f>_xlfn.XLOOKUP($D20,BB_Input!$C$4:$C$163,BB_Input!$CY$4:$CY$163)*(1+$U20)</f>
        <v>6390.6335999999992</v>
      </c>
      <c r="Y20" s="213">
        <f>X20*(1+$U20)</f>
        <v>9202.5123839999978</v>
      </c>
      <c r="Z20" s="213">
        <f t="shared" ref="Z20:AB20" si="29">Y20*(1+$U20)</f>
        <v>13251.617832959997</v>
      </c>
      <c r="AA20" s="213">
        <f t="shared" si="29"/>
        <v>19082.329679462397</v>
      </c>
      <c r="AB20" s="163">
        <f t="shared" si="29"/>
        <v>27478.55473842585</v>
      </c>
      <c r="AC20" s="215">
        <f>18.9%*1.05</f>
        <v>0.19844999999999999</v>
      </c>
      <c r="AD20" s="215">
        <f>AC20*1.05</f>
        <v>0.20837249999999999</v>
      </c>
      <c r="AE20" s="215">
        <f t="shared" ref="AE20:AG20" si="30">AD20*1.05</f>
        <v>0.218791125</v>
      </c>
      <c r="AF20" s="215">
        <f t="shared" si="30"/>
        <v>0.22973068125000001</v>
      </c>
      <c r="AG20" s="216">
        <f t="shared" si="30"/>
        <v>0.24121721531250001</v>
      </c>
      <c r="AH20" s="214">
        <f>_xlfn.XLOOKUP($D20,BB_Input!$C$4:$C$163,BB_Input!$AR$4:$AR$163)</f>
        <v>64.581743000000003</v>
      </c>
      <c r="AI20" s="213">
        <f t="shared" si="24"/>
        <v>64.581743000000003</v>
      </c>
      <c r="AJ20" s="213">
        <f>AI20</f>
        <v>64.581743000000003</v>
      </c>
      <c r="AK20" s="213">
        <f t="shared" si="24"/>
        <v>64.581743000000003</v>
      </c>
      <c r="AL20" s="163">
        <f t="shared" si="24"/>
        <v>64.581743000000003</v>
      </c>
      <c r="AM20" s="161">
        <f>(X20*AC20)/AH20</f>
        <v>19.637457569393874</v>
      </c>
      <c r="AN20" s="162">
        <f t="shared" ref="AN20" si="31">(Y20*AD20)/AI20</f>
        <v>29.691835844923531</v>
      </c>
      <c r="AO20" s="162">
        <f t="shared" ref="AO20" si="32">(Z20*AE20)/AJ20</f>
        <v>44.894055797524381</v>
      </c>
      <c r="AP20" s="162">
        <f t="shared" ref="AP20" si="33">(AA20*AF20)/AK20</f>
        <v>67.879812365856864</v>
      </c>
      <c r="AQ20" s="217">
        <f t="shared" ref="AQ20" si="34">(AB20*AG20)/AL20</f>
        <v>102.63427629717559</v>
      </c>
    </row>
    <row r="21" spans="2:43" x14ac:dyDescent="0.25">
      <c r="B21" s="152">
        <f>CCA_Defense!B21</f>
        <v>19</v>
      </c>
      <c r="C21" s="153" t="str">
        <f>CCA_Defense!C21</f>
        <v>Zen Technologies</v>
      </c>
      <c r="D21" s="152" t="str">
        <f>CCA_Defense!D21</f>
        <v>ZEN</v>
      </c>
      <c r="E21" s="152" t="str">
        <f>CCA_Defense!E21</f>
        <v>ZENTEC</v>
      </c>
      <c r="F21" s="161">
        <f>IFERROR(_xlfn.XLOOKUP($D21,BB_Input!$C$5:$C$152,BB_Input!$BK$5:$BK$152,0),"")</f>
        <v>1391.5999755859375</v>
      </c>
      <c r="G21" s="161">
        <f>IFERROR(_xlfn.XLOOKUP($D21,BB_Input!$C$5:$C$152,BB_Input!BS$5:BS$152),"")</f>
        <v>29.922499999999996</v>
      </c>
      <c r="H21" s="162">
        <f>IFERROR(_xlfn.XLOOKUP($D21,BB_Input!$C$5:$C$152,BB_Input!BT$5:BT$152),"")</f>
        <v>46.265000000000001</v>
      </c>
      <c r="I21" s="162">
        <f>IFERROR(_xlfn.XLOOKUP($D21,BB_Input!$C$5:$C$152,BB_Input!BU$5:BU$152),"")</f>
        <v>60.002499999999998</v>
      </c>
      <c r="J21" s="162" t="str">
        <f>IFERROR(_xlfn.XLOOKUP($D21,BB_Input!$C$5:$C$152,BB_Input!BV$5:BV$152),"")</f>
        <v/>
      </c>
      <c r="L21" s="161">
        <f t="shared" si="0"/>
        <v>46.506808441338045</v>
      </c>
      <c r="M21" s="162">
        <f t="shared" si="1"/>
        <v>30.078892804191884</v>
      </c>
      <c r="N21" s="162">
        <f t="shared" si="2"/>
        <v>23.192366577824885</v>
      </c>
      <c r="O21" s="162" t="str">
        <f t="shared" si="3"/>
        <v/>
      </c>
      <c r="P21" s="217" t="str">
        <f t="shared" si="4"/>
        <v/>
      </c>
      <c r="Q21" s="223"/>
      <c r="T21" s="212">
        <f>_xlfn.XLOOKUP($C21,CCA_Defense!$C:$C,CCA_Defense!$T:$T)</f>
        <v>0.39868041650340957</v>
      </c>
      <c r="U21" s="212">
        <f>_xlfn.XLOOKUP($C21,CCA_Defense!$C:$C,CCA_Defense!$U:$U)</f>
        <v>0</v>
      </c>
      <c r="V21" s="212" t="s">
        <v>1085</v>
      </c>
      <c r="W21" s="212"/>
      <c r="AH21" s="214"/>
    </row>
    <row r="22" spans="2:43" x14ac:dyDescent="0.25">
      <c r="B22" s="152">
        <f>CCA_Defense!B22</f>
        <v>20</v>
      </c>
      <c r="C22" s="153" t="str">
        <f>CCA_Defense!C22</f>
        <v>C2C Advanced Systems</v>
      </c>
      <c r="D22" s="152" t="str">
        <f>CCA_Defense!D22</f>
        <v>C2C</v>
      </c>
      <c r="E22" s="152" t="str">
        <f>CCA_Defense!E22</f>
        <v>C2C</v>
      </c>
      <c r="F22" s="161">
        <f>IFERROR(_xlfn.XLOOKUP($D22,BB_Input!$C$5:$C$152,BB_Input!$BK$5:$BK$152,0),"")</f>
        <v>495.45001220703125</v>
      </c>
      <c r="G22" s="161">
        <f>AM22</f>
        <v>24.200323626758049</v>
      </c>
      <c r="H22" s="162">
        <f t="shared" ref="H22:K22" si="35">AN22</f>
        <v>27.631145426546837</v>
      </c>
      <c r="I22" s="162">
        <f t="shared" si="35"/>
        <v>31.548346598919363</v>
      </c>
      <c r="J22" s="162">
        <f t="shared" si="35"/>
        <v>36.020879980216328</v>
      </c>
      <c r="K22" s="162">
        <f t="shared" si="35"/>
        <v>41.127473684899648</v>
      </c>
      <c r="L22" s="161">
        <f t="shared" si="0"/>
        <v>20.472867216503555</v>
      </c>
      <c r="M22" s="162">
        <f t="shared" si="1"/>
        <v>17.930853193332471</v>
      </c>
      <c r="N22" s="162">
        <f t="shared" si="2"/>
        <v>15.704468399114205</v>
      </c>
      <c r="O22" s="162">
        <f t="shared" si="3"/>
        <v>13.754522723463342</v>
      </c>
      <c r="P22" s="217">
        <f t="shared" si="4"/>
        <v>12.046692096941042</v>
      </c>
      <c r="Q22" s="223"/>
      <c r="T22" s="212" t="str">
        <f>_xlfn.XLOOKUP($C22,CCA_Defense!$C:$C,CCA_Defense!$T:$T)</f>
        <v/>
      </c>
      <c r="U22" s="212">
        <f>_xlfn.XLOOKUP($C22,CCA_Defense!$C:$C,CCA_Defense!$U:$U)</f>
        <v>0.44269999999999998</v>
      </c>
      <c r="V22" s="212"/>
      <c r="W22" s="212"/>
      <c r="X22" s="214">
        <f>_xlfn.XLOOKUP($D22,BB_Input!$C$4:$C$163,BB_Input!$CY$4:$CY$163)*(1+$U22)</f>
        <v>1660.7078397</v>
      </c>
      <c r="Y22" s="213">
        <f>X22*(1+$U22*0.4)</f>
        <v>1954.7859839540763</v>
      </c>
      <c r="Z22" s="213">
        <f t="shared" ref="Z22:AB22" si="36">Y22*(1+$U22*0.4)</f>
        <v>2300.9394859926642</v>
      </c>
      <c r="AA22" s="213">
        <f t="shared" si="36"/>
        <v>2708.3898501722456</v>
      </c>
      <c r="AB22" s="163">
        <f t="shared" si="36"/>
        <v>3187.9915248407474</v>
      </c>
      <c r="AC22" s="215">
        <f>25%*0.97</f>
        <v>0.24249999999999999</v>
      </c>
      <c r="AD22" s="221">
        <f>AC22*0.97</f>
        <v>0.23522499999999999</v>
      </c>
      <c r="AE22" s="221">
        <f t="shared" ref="AE22:AG22" si="37">AD22*0.97</f>
        <v>0.22816824999999999</v>
      </c>
      <c r="AF22" s="221">
        <f t="shared" si="37"/>
        <v>0.22132320249999998</v>
      </c>
      <c r="AG22" s="247">
        <f t="shared" si="37"/>
        <v>0.21468350642499998</v>
      </c>
      <c r="AH22" s="214">
        <f>_xlfn.XLOOKUP($D22,BB_Input!$C$4:$C$163,BB_Input!$AR$4:$AR$163)</f>
        <v>16.641168</v>
      </c>
      <c r="AI22" s="213">
        <f t="shared" ref="AI22" si="38">AH22</f>
        <v>16.641168</v>
      </c>
      <c r="AJ22" s="213">
        <f t="shared" ref="AJ22" si="39">AI22</f>
        <v>16.641168</v>
      </c>
      <c r="AK22" s="213">
        <f t="shared" ref="AK22" si="40">AJ22</f>
        <v>16.641168</v>
      </c>
      <c r="AL22" s="163">
        <f t="shared" ref="AL22" si="41">AK22</f>
        <v>16.641168</v>
      </c>
      <c r="AM22" s="161">
        <f>(X22*AC22)/AH22</f>
        <v>24.200323626758049</v>
      </c>
      <c r="AN22" s="162">
        <f t="shared" ref="AN22" si="42">(Y22*AD22)/AI22</f>
        <v>27.631145426546837</v>
      </c>
      <c r="AO22" s="162">
        <f t="shared" ref="AO22" si="43">(Z22*AE22)/AJ22</f>
        <v>31.548346598919363</v>
      </c>
      <c r="AP22" s="162">
        <f t="shared" ref="AP22" si="44">(AA22*AF22)/AK22</f>
        <v>36.020879980216328</v>
      </c>
      <c r="AQ22" s="217">
        <f t="shared" ref="AQ22" si="45">(AB22*AG22)/AL22</f>
        <v>41.127473684899648</v>
      </c>
    </row>
    <row r="23" spans="2:43" x14ac:dyDescent="0.25">
      <c r="B23" s="152">
        <f>CCA_Defense!B23</f>
        <v>21</v>
      </c>
      <c r="C23" s="153" t="str">
        <f>CCA_Defense!C23</f>
        <v>Centum Electronics</v>
      </c>
      <c r="D23" s="152" t="str">
        <f>CCA_Defense!D23</f>
        <v>CTE</v>
      </c>
      <c r="E23" s="152" t="str">
        <f>CCA_Defense!E23</f>
        <v>CTE</v>
      </c>
      <c r="F23" s="161">
        <f>IFERROR(_xlfn.XLOOKUP($D23,BB_Input!$C$5:$C$152,BB_Input!$BK$5:$BK$152,0),"")</f>
        <v>2398.199951171875</v>
      </c>
      <c r="G23" s="161">
        <f>IFERROR(_xlfn.XLOOKUP($D23,BB_Input!$C$5:$C$152,BB_Input!BS$5:BS$152),"")</f>
        <v>36.6</v>
      </c>
      <c r="H23" s="162">
        <f>IFERROR(_xlfn.XLOOKUP($D23,BB_Input!$C$5:$C$152,BB_Input!BT$5:BT$152),"")</f>
        <v>66.7</v>
      </c>
      <c r="I23" s="162">
        <f>IFERROR(_xlfn.XLOOKUP($D23,BB_Input!$C$5:$C$152,BB_Input!BU$5:BU$152),"")</f>
        <v>104.5</v>
      </c>
      <c r="J23" s="162" t="str">
        <f>IFERROR(_xlfn.XLOOKUP($D23,BB_Input!$C$5:$C$152,BB_Input!BV$5:BV$152),"")</f>
        <v/>
      </c>
      <c r="L23" s="161">
        <f t="shared" si="0"/>
        <v>65.524588829832652</v>
      </c>
      <c r="M23" s="162">
        <f t="shared" si="1"/>
        <v>35.955021756699772</v>
      </c>
      <c r="N23" s="162">
        <f t="shared" si="2"/>
        <v>22.949281829395932</v>
      </c>
      <c r="O23" s="162" t="str">
        <f t="shared" si="3"/>
        <v/>
      </c>
      <c r="P23" s="217" t="str">
        <f t="shared" si="4"/>
        <v/>
      </c>
      <c r="Q23" s="223"/>
      <c r="T23" s="212">
        <f>_xlfn.XLOOKUP($C23,CCA_Defense!$C:$C,CCA_Defense!$T:$T)</f>
        <v>7.2374263686593346E-2</v>
      </c>
      <c r="U23" s="212">
        <f>_xlfn.XLOOKUP($C23,CCA_Defense!$C:$C,CCA_Defense!$U:$U)</f>
        <v>0</v>
      </c>
      <c r="V23" s="212" t="s">
        <v>1085</v>
      </c>
      <c r="W23" s="212"/>
      <c r="AH23" s="214"/>
    </row>
    <row r="24" spans="2:43" x14ac:dyDescent="0.25">
      <c r="B24" s="152">
        <f>CCA_Defense!B24</f>
        <v>22</v>
      </c>
      <c r="C24" s="153" t="str">
        <f>CCA_Defense!C24</f>
        <v>IdeaForge Technology Ltd</v>
      </c>
      <c r="D24" s="152" t="str">
        <f>CCA_Defense!D24</f>
        <v>IDEAFORG</v>
      </c>
      <c r="E24" s="152" t="str">
        <f>CCA_Defense!E24</f>
        <v>IDEAFORGE</v>
      </c>
      <c r="F24" s="161">
        <f>IFERROR(_xlfn.XLOOKUP($D24,BB_Input!$C$5:$C$152,BB_Input!$BK$5:$BK$152,0),"")</f>
        <v>480.10000610351563</v>
      </c>
      <c r="G24" s="161">
        <f>AM24</f>
        <v>-13.506895922442856</v>
      </c>
      <c r="H24" s="162">
        <f t="shared" ref="H24:K24" si="46">AN24</f>
        <v>-18.165424326093397</v>
      </c>
      <c r="I24" s="162">
        <f t="shared" si="46"/>
        <v>17.606453094389103</v>
      </c>
      <c r="J24" s="162">
        <f t="shared" si="46"/>
        <v>14.207351259986343</v>
      </c>
      <c r="K24" s="162">
        <f t="shared" si="46"/>
        <v>19.107466709555634</v>
      </c>
      <c r="L24" s="161" t="str">
        <f>IF(G24&lt;0,"",IFERROR($F24/G24,""))</f>
        <v/>
      </c>
      <c r="M24" s="162" t="str">
        <f t="shared" ref="M24:P24" si="47">IF(H24&lt;0,"",IFERROR($F24/H24,""))</f>
        <v/>
      </c>
      <c r="N24" s="162">
        <f t="shared" si="47"/>
        <v>27.268411390396164</v>
      </c>
      <c r="O24" s="162">
        <f t="shared" si="47"/>
        <v>33.792365467564089</v>
      </c>
      <c r="P24" s="217">
        <f t="shared" si="47"/>
        <v>25.126303418517423</v>
      </c>
      <c r="Q24" s="223"/>
      <c r="T24" s="212">
        <f>_xlfn.XLOOKUP($C24,CCA_Defense!$C:$C,CCA_Defense!$T:$T)</f>
        <v>0.25007157075047903</v>
      </c>
      <c r="U24" s="212">
        <f>_xlfn.XLOOKUP($C24,CCA_Defense!$C:$C,CCA_Defense!$U:$U)</f>
        <v>0.34489999999999998</v>
      </c>
      <c r="V24" s="212" t="s">
        <v>1085</v>
      </c>
      <c r="W24" s="212"/>
      <c r="X24" s="214">
        <f>_xlfn.XLOOKUP($D24,BB_Input!$C$4:$C$163,BB_Input!$CY$4:$CY$163)*(1+$U24)</f>
        <v>2167.2794520000002</v>
      </c>
      <c r="Y24" s="213">
        <f>X24*(1+$U24)</f>
        <v>2914.7741349948001</v>
      </c>
      <c r="Z24" s="213">
        <f t="shared" ref="Z24:AB24" si="48">Y24*(1+$U24)</f>
        <v>3920.0797341545067</v>
      </c>
      <c r="AA24" s="213">
        <f t="shared" si="48"/>
        <v>5272.1152344643961</v>
      </c>
      <c r="AB24" s="163">
        <f t="shared" si="48"/>
        <v>7090.4677788311665</v>
      </c>
      <c r="AC24" s="215">
        <f>(-62/161)*0.7</f>
        <v>-0.26956521739130435</v>
      </c>
      <c r="AD24" s="221">
        <f>AC24</f>
        <v>-0.26956521739130435</v>
      </c>
      <c r="AE24" s="221">
        <f>61/314</f>
        <v>0.19426751592356689</v>
      </c>
      <c r="AF24" s="221">
        <f>AE24*0.6</f>
        <v>0.11656050955414013</v>
      </c>
      <c r="AG24" s="247">
        <f>AF24</f>
        <v>0.11656050955414013</v>
      </c>
      <c r="AH24" s="214">
        <f>_xlfn.XLOOKUP($D24,BB_Input!$C$4:$C$163,BB_Input!$AR$4:$AR$163)</f>
        <v>43.253695</v>
      </c>
      <c r="AI24" s="213">
        <f t="shared" ref="AI24" si="49">AH24</f>
        <v>43.253695</v>
      </c>
      <c r="AJ24" s="213">
        <f t="shared" ref="AJ24" si="50">AI24</f>
        <v>43.253695</v>
      </c>
      <c r="AK24" s="213">
        <f t="shared" ref="AK24" si="51">AJ24</f>
        <v>43.253695</v>
      </c>
      <c r="AL24" s="163">
        <f t="shared" ref="AL24" si="52">AK24</f>
        <v>43.253695</v>
      </c>
      <c r="AM24" s="161">
        <f>(X24*AC24)/AH24</f>
        <v>-13.506895922442856</v>
      </c>
      <c r="AN24" s="162">
        <f t="shared" ref="AN24" si="53">(Y24*AD24)/AI24</f>
        <v>-18.165424326093397</v>
      </c>
      <c r="AO24" s="162">
        <f t="shared" ref="AO24" si="54">(Z24*AE24)/AJ24</f>
        <v>17.606453094389103</v>
      </c>
      <c r="AP24" s="162">
        <f t="shared" ref="AP24" si="55">(AA24*AF24)/AK24</f>
        <v>14.207351259986343</v>
      </c>
      <c r="AQ24" s="217">
        <f t="shared" ref="AQ24" si="56">(AB24*AG24)/AL24</f>
        <v>19.107466709555634</v>
      </c>
    </row>
    <row r="25" spans="2:43" x14ac:dyDescent="0.25">
      <c r="B25" s="152">
        <f>CCA_Defense!B25</f>
        <v>23</v>
      </c>
      <c r="C25" s="153" t="str">
        <f>CCA_Defense!C25</f>
        <v>Cyient DLM Ltd</v>
      </c>
      <c r="D25" s="152" t="str">
        <f>CCA_Defense!D25</f>
        <v>CYIENTDL</v>
      </c>
      <c r="E25" s="152" t="str">
        <f>CCA_Defense!E25</f>
        <v>CYIENT</v>
      </c>
      <c r="F25" s="161">
        <f>IFERROR(_xlfn.XLOOKUP($D25,BB_Input!$C$5:$C$152,BB_Input!$BK$5:$BK$152,0),"")</f>
        <v>425.85000610351563</v>
      </c>
      <c r="G25" s="161">
        <f>IFERROR(_xlfn.XLOOKUP($D25,BB_Input!$C$5:$C$152,BB_Input!BS$5:BS$152),"")</f>
        <v>10.67625</v>
      </c>
      <c r="H25" s="162">
        <f>IFERROR(_xlfn.XLOOKUP($D25,BB_Input!$C$5:$C$152,BB_Input!BT$5:BT$152),"")</f>
        <v>15.880000000000003</v>
      </c>
      <c r="I25" s="162">
        <f>IFERROR(_xlfn.XLOOKUP($D25,BB_Input!$C$5:$C$152,BB_Input!BU$5:BU$152),"")</f>
        <v>21.163333333333334</v>
      </c>
      <c r="J25" s="162">
        <f>IFERROR(_xlfn.XLOOKUP($D25,BB_Input!$C$5:$C$152,BB_Input!BV$5:BV$152),"")</f>
        <v>28.38</v>
      </c>
      <c r="L25" s="161">
        <f t="shared" si="0"/>
        <v>39.887601555182357</v>
      </c>
      <c r="M25" s="162">
        <f t="shared" si="1"/>
        <v>26.816751014075287</v>
      </c>
      <c r="N25" s="162">
        <f t="shared" si="2"/>
        <v>20.122066755560667</v>
      </c>
      <c r="O25" s="162">
        <f t="shared" si="3"/>
        <v>15.005285627326133</v>
      </c>
      <c r="P25" s="217" t="str">
        <f t="shared" si="4"/>
        <v/>
      </c>
      <c r="Q25" s="223"/>
      <c r="T25" s="212">
        <f>_xlfn.XLOOKUP($C25,CCA_Defense!$C:$C,CCA_Defense!$T:$T)</f>
        <v>0.16353388300369021</v>
      </c>
      <c r="U25" s="212">
        <f>_xlfn.XLOOKUP($C25,CCA_Defense!$C:$C,CCA_Defense!$U:$U)</f>
        <v>0</v>
      </c>
      <c r="V25" s="212" t="s">
        <v>1085</v>
      </c>
      <c r="W25" s="212"/>
      <c r="AH25" s="214"/>
    </row>
    <row r="26" spans="2:43" x14ac:dyDescent="0.25">
      <c r="B26" s="152">
        <f>CCA_Defense!B26</f>
        <v>24</v>
      </c>
      <c r="C26" s="153" t="str">
        <f>CCA_Defense!C26</f>
        <v>JayKay Enterprises</v>
      </c>
      <c r="D26" s="152" t="str">
        <f>CCA_Defense!D26</f>
        <v>JEL</v>
      </c>
      <c r="E26" s="152" t="str">
        <f>CCA_Defense!E26</f>
        <v>JAYKAY</v>
      </c>
      <c r="F26" s="161">
        <f>IFERROR(_xlfn.XLOOKUP($D26,BB_Input!$C$5:$C$152,BB_Input!$BK$5:$BK$152,0),"")</f>
        <v>198.44000244140625</v>
      </c>
      <c r="G26" s="161">
        <f>AM26</f>
        <v>2.5122427263614844</v>
      </c>
      <c r="H26" s="162">
        <f t="shared" ref="H26:H27" si="57">AN26</f>
        <v>3.8593628517381076</v>
      </c>
      <c r="I26" s="162">
        <f t="shared" ref="I26:I27" si="58">AO26</f>
        <v>5.9288385891550641</v>
      </c>
      <c r="J26" s="162">
        <f t="shared" ref="J26:J27" si="59">AP26</f>
        <v>9.1080129976437689</v>
      </c>
      <c r="K26" s="120">
        <f t="shared" ref="K26:K27" si="60">AQ26</f>
        <v>13.991931053240252</v>
      </c>
      <c r="L26" s="161">
        <f t="shared" si="0"/>
        <v>78.98918379149201</v>
      </c>
      <c r="M26" s="162">
        <f t="shared" si="1"/>
        <v>51.417814303735796</v>
      </c>
      <c r="N26" s="162">
        <f t="shared" si="2"/>
        <v>33.470299360888234</v>
      </c>
      <c r="O26" s="162">
        <f t="shared" si="3"/>
        <v>21.787408789682495</v>
      </c>
      <c r="P26" s="217">
        <f t="shared" si="4"/>
        <v>14.182459996860226</v>
      </c>
      <c r="Q26" s="223"/>
      <c r="T26" s="212">
        <f>_xlfn.XLOOKUP($C26,CCA_Defense!$C:$C,CCA_Defense!$T:$T)</f>
        <v>0.67027765233480996</v>
      </c>
      <c r="U26" s="212">
        <f>_xlfn.XLOOKUP($C26,CCA_Defense!$C:$C,CCA_Defense!$U:$U)</f>
        <v>0</v>
      </c>
      <c r="V26" s="212"/>
      <c r="W26" s="212"/>
      <c r="X26" s="214">
        <f>_xlfn.XLOOKUP($D26,BB_Input!$C$4:$C$163,BB_Input!$CY$4:$CY$163)*(1+$T26*0.9)</f>
        <v>1292.8575024587376</v>
      </c>
      <c r="Y26" s="213">
        <f>X26*(1+$T26*0.8)</f>
        <v>1986.1162956999285</v>
      </c>
      <c r="Z26" s="213">
        <f t="shared" ref="Z26:AB26" si="61">Y26*(1+$T26*0.8)</f>
        <v>3051.1157900564544</v>
      </c>
      <c r="AA26" s="213">
        <f t="shared" si="61"/>
        <v>4687.1915730650217</v>
      </c>
      <c r="AB26" s="163">
        <f t="shared" si="61"/>
        <v>7200.5673839750443</v>
      </c>
      <c r="AC26" s="215">
        <f>26.1%*0.97</f>
        <v>0.25317000000000001</v>
      </c>
      <c r="AD26" s="215">
        <f>26.1%*0.97</f>
        <v>0.25317000000000001</v>
      </c>
      <c r="AE26" s="215">
        <f t="shared" ref="AE26:AG26" si="62">26.1%*0.97</f>
        <v>0.25317000000000001</v>
      </c>
      <c r="AF26" s="215">
        <f t="shared" si="62"/>
        <v>0.25317000000000001</v>
      </c>
      <c r="AG26" s="215">
        <f t="shared" si="62"/>
        <v>0.25317000000000001</v>
      </c>
      <c r="AH26" s="214">
        <f>_xlfn.XLOOKUP($D26,BB_Input!$C$4:$C$163,BB_Input!$AR$4:$AR$163)</f>
        <v>130.28706599999998</v>
      </c>
      <c r="AI26" s="213">
        <f t="shared" ref="AI26:AL27" si="63">AH26</f>
        <v>130.28706599999998</v>
      </c>
      <c r="AJ26" s="213">
        <f t="shared" si="63"/>
        <v>130.28706599999998</v>
      </c>
      <c r="AK26" s="213">
        <f t="shared" si="63"/>
        <v>130.28706599999998</v>
      </c>
      <c r="AL26" s="163">
        <f t="shared" si="63"/>
        <v>130.28706599999998</v>
      </c>
      <c r="AM26" s="161">
        <f>(X26*AC26)/AH26</f>
        <v>2.5122427263614844</v>
      </c>
      <c r="AN26" s="162">
        <f t="shared" ref="AN26" si="64">(Y26*AD26)/AI26</f>
        <v>3.8593628517381076</v>
      </c>
      <c r="AO26" s="162">
        <f t="shared" ref="AO26" si="65">(Z26*AE26)/AJ26</f>
        <v>5.9288385891550641</v>
      </c>
      <c r="AP26" s="162">
        <f t="shared" ref="AP26" si="66">(AA26*AF26)/AK26</f>
        <v>9.1080129976437689</v>
      </c>
      <c r="AQ26" s="217">
        <f t="shared" ref="AQ26" si="67">(AB26*AG26)/AL26</f>
        <v>13.991931053240252</v>
      </c>
    </row>
    <row r="27" spans="2:43" x14ac:dyDescent="0.25">
      <c r="B27" s="152">
        <f>CCA_Defense!B27</f>
        <v>25</v>
      </c>
      <c r="C27" s="153" t="str">
        <f>CCA_Defense!C27</f>
        <v>Sika Interplant Systems</v>
      </c>
      <c r="D27" s="152" t="str">
        <f>CCA_Defense!D27</f>
        <v>SIKA</v>
      </c>
      <c r="E27" s="152" t="str">
        <f>CCA_Defense!E27</f>
        <v>SIKA</v>
      </c>
      <c r="F27" s="161">
        <f>IFERROR(_xlfn.XLOOKUP($D27,BB_Input!$C$5:$C$152,BB_Input!$BK$5:$BK$152,0),"")</f>
        <v>902</v>
      </c>
      <c r="G27" s="161">
        <f>AM27</f>
        <v>12.242485661255309</v>
      </c>
      <c r="H27" s="162">
        <f t="shared" si="57"/>
        <v>13.030733558002259</v>
      </c>
      <c r="I27" s="162">
        <f t="shared" si="58"/>
        <v>13.473455682519122</v>
      </c>
      <c r="J27" s="162">
        <f t="shared" si="59"/>
        <v>13.931219391507364</v>
      </c>
      <c r="K27" s="120">
        <f t="shared" si="60"/>
        <v>14.816093889812713</v>
      </c>
      <c r="L27" s="161">
        <f t="shared" si="0"/>
        <v>73.677848188511703</v>
      </c>
      <c r="M27" s="162">
        <f t="shared" si="1"/>
        <v>69.220968718685512</v>
      </c>
      <c r="N27" s="162">
        <f t="shared" si="2"/>
        <v>66.946447982924141</v>
      </c>
      <c r="O27" s="162">
        <f t="shared" si="3"/>
        <v>64.746665360095463</v>
      </c>
      <c r="P27" s="217">
        <f t="shared" si="4"/>
        <v>60.879743791324067</v>
      </c>
      <c r="Q27" s="223"/>
      <c r="T27" s="212">
        <f>_xlfn.XLOOKUP($C27,CCA_Defense!$C:$C,CCA_Defense!$T:$T)</f>
        <v>3.3975226532429875E-2</v>
      </c>
      <c r="U27" s="212">
        <f>_xlfn.XLOOKUP($C27,CCA_Defense!$C:$C,CCA_Defense!$U:$U)</f>
        <v>0</v>
      </c>
      <c r="V27" s="212"/>
      <c r="W27" s="212"/>
      <c r="X27" s="214">
        <f>_xlfn.XLOOKUP($D27,BB_Input!$C$4:$C$163,BB_Input!$CY$4:$CY$163)*(1+$T27)</f>
        <v>1526.7729893739186</v>
      </c>
      <c r="Y27" s="213">
        <f>X27*(1+$T27)</f>
        <v>1578.6454475514925</v>
      </c>
      <c r="Z27" s="213">
        <f>Y27*(1+$T27)</f>
        <v>1632.2802842464434</v>
      </c>
      <c r="AA27" s="213">
        <f>Z27*(1+$T27)</f>
        <v>1687.7373766681353</v>
      </c>
      <c r="AB27" s="163">
        <f>AA27*(1+$T27)</f>
        <v>1745.0786363676839</v>
      </c>
      <c r="AC27" s="215">
        <v>0.17</v>
      </c>
      <c r="AD27" s="215">
        <v>0.17499999999999999</v>
      </c>
      <c r="AE27" s="215">
        <v>0.17499999999999999</v>
      </c>
      <c r="AF27" s="215">
        <v>0.17499999999999999</v>
      </c>
      <c r="AG27" s="216">
        <v>0.18</v>
      </c>
      <c r="AH27" s="214">
        <f>_xlfn.XLOOKUP($D27,BB_Input!$C$4:$C$163,BB_Input!$AR$4:$AR$163)</f>
        <v>21.200875</v>
      </c>
      <c r="AI27" s="213">
        <f t="shared" si="63"/>
        <v>21.200875</v>
      </c>
      <c r="AJ27" s="213">
        <f t="shared" si="63"/>
        <v>21.200875</v>
      </c>
      <c r="AK27" s="213">
        <f t="shared" si="63"/>
        <v>21.200875</v>
      </c>
      <c r="AL27" s="163">
        <f t="shared" si="63"/>
        <v>21.200875</v>
      </c>
      <c r="AM27" s="161">
        <f>(X27*AC27)/AH27</f>
        <v>12.242485661255309</v>
      </c>
      <c r="AN27" s="162">
        <f t="shared" ref="AN27" si="68">(Y27*AD27)/AI27</f>
        <v>13.030733558002259</v>
      </c>
      <c r="AO27" s="162">
        <f t="shared" ref="AO27" si="69">(Z27*AE27)/AJ27</f>
        <v>13.473455682519122</v>
      </c>
      <c r="AP27" s="162">
        <f t="shared" ref="AP27" si="70">(AA27*AF27)/AK27</f>
        <v>13.931219391507364</v>
      </c>
      <c r="AQ27" s="217">
        <f t="shared" ref="AQ27" si="71">(AB27*AG27)/AL27</f>
        <v>14.816093889812713</v>
      </c>
    </row>
    <row r="28" spans="2:43" x14ac:dyDescent="0.25">
      <c r="B28" s="152">
        <f>CCA_Defense!B28</f>
        <v>26</v>
      </c>
      <c r="C28" s="153" t="str">
        <f>CCA_Defense!C28</f>
        <v>Dynamatic Technologies Ltd</v>
      </c>
      <c r="D28" s="152" t="str">
        <f>CCA_Defense!D28</f>
        <v>DYTC</v>
      </c>
      <c r="E28" s="152" t="str">
        <f>CCA_Defense!E28</f>
        <v>DYNAMATECH</v>
      </c>
      <c r="F28" s="161">
        <f>IFERROR(_xlfn.XLOOKUP($D28,BB_Input!$C$5:$C$152,BB_Input!$BK$5:$BK$152,0),"")</f>
        <v>9671.5</v>
      </c>
      <c r="G28" s="161">
        <f>IFERROR(_xlfn.XLOOKUP($D28,BB_Input!$C$5:$C$152,BB_Input!BS$5:BS$152),"")</f>
        <v>77.900000000000006</v>
      </c>
      <c r="H28" s="162">
        <f>IFERROR(_xlfn.XLOOKUP($D28,BB_Input!$C$5:$C$152,BB_Input!BT$5:BT$152),"")</f>
        <v>142.19999999999999</v>
      </c>
      <c r="I28" s="162">
        <f>IFERROR(_xlfn.XLOOKUP($D28,BB_Input!$C$5:$C$152,BB_Input!BU$5:BU$152),"")</f>
        <v>199.1</v>
      </c>
      <c r="J28" s="162">
        <f>IFERROR(_xlfn.XLOOKUP($D28,BB_Input!$C$5:$C$152,BB_Input!BV$5:BV$152),"")</f>
        <v>381.87</v>
      </c>
      <c r="L28" s="161">
        <f t="shared" si="0"/>
        <v>124.1527599486521</v>
      </c>
      <c r="M28" s="162">
        <f t="shared" si="1"/>
        <v>68.013361462728554</v>
      </c>
      <c r="N28" s="162">
        <f t="shared" si="2"/>
        <v>48.576092415871422</v>
      </c>
      <c r="O28" s="162">
        <f t="shared" si="3"/>
        <v>25.326681855081571</v>
      </c>
      <c r="P28" s="217" t="str">
        <f t="shared" si="4"/>
        <v/>
      </c>
      <c r="Q28" s="223"/>
      <c r="T28" s="212">
        <f>_xlfn.XLOOKUP($C28,CCA_Defense!$C:$C,CCA_Defense!$T:$T)</f>
        <v>2.2702436309467392E-2</v>
      </c>
      <c r="U28" s="212">
        <f>_xlfn.XLOOKUP($C28,CCA_Defense!$C:$C,CCA_Defense!$U:$U)</f>
        <v>0</v>
      </c>
      <c r="V28" s="212"/>
      <c r="W28" s="212"/>
    </row>
    <row r="29" spans="2:43" x14ac:dyDescent="0.25">
      <c r="B29" s="152">
        <f>CCA_Defense!B29</f>
        <v>27</v>
      </c>
      <c r="C29" s="153" t="str">
        <f>CCA_Defense!C29</f>
        <v>Kaynes Technology Ltd</v>
      </c>
      <c r="D29" s="152" t="str">
        <f>CCA_Defense!D29</f>
        <v>KAYNES</v>
      </c>
      <c r="E29" s="152" t="str">
        <f>CCA_Defense!E29</f>
        <v>KAYNES</v>
      </c>
      <c r="F29" s="161">
        <f>IFERROR(_xlfn.XLOOKUP($D29,BB_Input!$C$5:$C$152,BB_Input!$BK$5:$BK$152,0),"")</f>
        <v>4118.5</v>
      </c>
      <c r="G29" s="161">
        <f>IFERROR(_xlfn.XLOOKUP($D29,BB_Input!$C$5:$C$152,BB_Input!BS$5:BS$152),"")</f>
        <v>70.297826086956519</v>
      </c>
      <c r="H29" s="162">
        <f>IFERROR(_xlfn.XLOOKUP($D29,BB_Input!$C$5:$C$152,BB_Input!BT$5:BT$152),"")</f>
        <v>97.682608695652164</v>
      </c>
      <c r="I29" s="162">
        <f>IFERROR(_xlfn.XLOOKUP($D29,BB_Input!$C$5:$C$152,BB_Input!BU$5:BU$152),"")</f>
        <v>133.1521739130435</v>
      </c>
      <c r="J29" s="162">
        <f>IFERROR(_xlfn.XLOOKUP($D29,BB_Input!$C$5:$C$152,BB_Input!BV$5:BV$152),"")</f>
        <v>198.72749999999999</v>
      </c>
      <c r="L29" s="161">
        <f t="shared" si="0"/>
        <v>58.586448959396357</v>
      </c>
      <c r="M29" s="162">
        <f t="shared" si="1"/>
        <v>42.162059910090356</v>
      </c>
      <c r="N29" s="162">
        <f t="shared" si="2"/>
        <v>30.930775510204079</v>
      </c>
      <c r="O29" s="162">
        <f t="shared" si="3"/>
        <v>20.724358732435118</v>
      </c>
      <c r="P29" s="217" t="str">
        <f t="shared" si="4"/>
        <v/>
      </c>
      <c r="Q29" s="223"/>
      <c r="T29" s="212">
        <f>_xlfn.XLOOKUP($C29,CCA_Defense!$C:$C,CCA_Defense!$T:$T)</f>
        <v>0.27657456967336425</v>
      </c>
      <c r="U29" s="212">
        <f>_xlfn.XLOOKUP($C29,CCA_Defense!$C:$C,CCA_Defense!$U:$U)</f>
        <v>0</v>
      </c>
      <c r="V29" s="212" t="s">
        <v>1085</v>
      </c>
      <c r="W29" s="212"/>
    </row>
    <row r="30" spans="2:43" x14ac:dyDescent="0.25">
      <c r="B30" s="152">
        <f>CCA_Defense!B30</f>
        <v>28</v>
      </c>
      <c r="C30" s="153" t="str">
        <f>CCA_Defense!C30</f>
        <v>Syrma SGS Technology Ltd</v>
      </c>
      <c r="D30" s="152" t="str">
        <f>CCA_Defense!D30</f>
        <v>SYRMA</v>
      </c>
      <c r="E30" s="152" t="str">
        <f>CCA_Defense!E30</f>
        <v>SYRMA</v>
      </c>
      <c r="F30" s="161">
        <f>IFERROR(_xlfn.XLOOKUP($D30,BB_Input!$C$5:$C$152,BB_Input!$BK$5:$BK$152,0),"")</f>
        <v>733.8499755859375</v>
      </c>
      <c r="G30" s="161">
        <f>IFERROR(_xlfn.XLOOKUP($D30,BB_Input!$C$5:$C$152,BB_Input!BS$5:BS$152),"")</f>
        <v>13.880416666666664</v>
      </c>
      <c r="H30" s="162">
        <f>IFERROR(_xlfn.XLOOKUP($D30,BB_Input!$C$5:$C$152,BB_Input!BT$5:BT$152),"")</f>
        <v>20.026800000000001</v>
      </c>
      <c r="I30" s="162">
        <f>IFERROR(_xlfn.XLOOKUP($D30,BB_Input!$C$5:$C$152,BB_Input!BU$5:BU$152),"")</f>
        <v>26.917727272727269</v>
      </c>
      <c r="J30" s="162">
        <f>IFERROR(_xlfn.XLOOKUP($D30,BB_Input!$C$5:$C$152,BB_Input!BV$5:BV$152),"")</f>
        <v>37.731999999999999</v>
      </c>
      <c r="L30" s="161">
        <f t="shared" si="0"/>
        <v>52.869448605837071</v>
      </c>
      <c r="M30" s="162">
        <f t="shared" si="1"/>
        <v>36.643396627815598</v>
      </c>
      <c r="N30" s="162">
        <f t="shared" si="2"/>
        <v>27.262701941759616</v>
      </c>
      <c r="O30" s="162">
        <f t="shared" si="3"/>
        <v>19.449008151858834</v>
      </c>
      <c r="P30" s="217" t="str">
        <f t="shared" si="4"/>
        <v/>
      </c>
      <c r="Q30" s="223"/>
      <c r="T30" s="212">
        <f>_xlfn.XLOOKUP($C30,CCA_Defense!$C:$C,CCA_Defense!$T:$T)</f>
        <v>0.30068266737640675</v>
      </c>
      <c r="U30" s="212">
        <f>_xlfn.XLOOKUP($C30,CCA_Defense!$C:$C,CCA_Defense!$U:$U)</f>
        <v>0</v>
      </c>
      <c r="V30" s="212" t="s">
        <v>1085</v>
      </c>
      <c r="W30" s="212"/>
    </row>
    <row r="31" spans="2:43" x14ac:dyDescent="0.25">
      <c r="B31" s="152">
        <f>CCA_Defense!B31</f>
        <v>29</v>
      </c>
      <c r="C31" s="153" t="str">
        <f>CCA_Defense!C31</f>
        <v>Solar Industries India Ltd</v>
      </c>
      <c r="D31" s="152" t="str">
        <f>CCA_Defense!D31</f>
        <v>SOIL</v>
      </c>
      <c r="E31" s="152" t="str">
        <f>CCA_Defense!E31</f>
        <v>SOLARINDS</v>
      </c>
      <c r="F31" s="161">
        <f>IFERROR(_xlfn.XLOOKUP($D31,BB_Input!$C$5:$C$152,BB_Input!$BK$5:$BK$152,0),"")</f>
        <v>12485</v>
      </c>
      <c r="G31" s="161">
        <f>IFERROR(_xlfn.XLOOKUP($D31,BB_Input!$C$5:$C$152,BB_Input!BS$5:BS$152),"")</f>
        <v>186.86333333333334</v>
      </c>
      <c r="H31" s="162">
        <f>IFERROR(_xlfn.XLOOKUP($D31,BB_Input!$C$5:$C$152,BB_Input!BT$5:BT$152),"")</f>
        <v>239.76777777777781</v>
      </c>
      <c r="I31" s="162">
        <f>IFERROR(_xlfn.XLOOKUP($D31,BB_Input!$C$5:$C$152,BB_Input!BU$5:BU$152),"")</f>
        <v>287.33625000000006</v>
      </c>
      <c r="J31" s="162">
        <f>IFERROR(_xlfn.XLOOKUP($D31,BB_Input!$C$5:$C$152,BB_Input!BV$5:BV$152),"")</f>
        <v>365.68</v>
      </c>
      <c r="L31" s="161">
        <f t="shared" si="0"/>
        <v>66.813535739131979</v>
      </c>
      <c r="M31" s="162">
        <f t="shared" si="1"/>
        <v>52.0712170572452</v>
      </c>
      <c r="N31" s="162">
        <f t="shared" si="2"/>
        <v>43.450835040827592</v>
      </c>
      <c r="O31" s="162">
        <f t="shared" si="3"/>
        <v>34.141872675563334</v>
      </c>
      <c r="P31" s="217" t="str">
        <f t="shared" si="4"/>
        <v/>
      </c>
      <c r="Q31" s="223"/>
      <c r="T31" s="212">
        <f>_xlfn.XLOOKUP($C31,CCA_Defense!$C:$C,CCA_Defense!$T:$T)</f>
        <v>0.12104298558703531</v>
      </c>
      <c r="U31" s="212">
        <f>_xlfn.XLOOKUP($C31,CCA_Defense!$C:$C,CCA_Defense!$U:$U)</f>
        <v>0</v>
      </c>
      <c r="V31" s="212" t="s">
        <v>1085</v>
      </c>
      <c r="W31" s="212"/>
    </row>
    <row r="32" spans="2:43" x14ac:dyDescent="0.25">
      <c r="B32" s="152">
        <f>CCA_Defense!B32</f>
        <v>30</v>
      </c>
      <c r="C32" s="153" t="str">
        <f>CCA_Defense!C32</f>
        <v>Bharat Forge Ltd</v>
      </c>
      <c r="D32" s="152" t="str">
        <f>CCA_Defense!D32</f>
        <v>BHFC</v>
      </c>
      <c r="E32" s="152" t="str">
        <f>CCA_Defense!E32</f>
        <v>BHARATFORG</v>
      </c>
      <c r="F32" s="161">
        <f>IFERROR(_xlfn.XLOOKUP($D32,BB_Input!$C$5:$C$152,BB_Input!$BK$5:$BK$152,0),"")</f>
        <v>1450.5</v>
      </c>
      <c r="G32" s="161">
        <f>IFERROR(_xlfn.XLOOKUP($D32,BB_Input!$C$5:$C$152,BB_Input!BS$5:BS$152),"")</f>
        <v>26.754999999999999</v>
      </c>
      <c r="H32" s="162">
        <f>IFERROR(_xlfn.XLOOKUP($D32,BB_Input!$C$5:$C$152,BB_Input!BT$5:BT$152),"")</f>
        <v>35.406538461538453</v>
      </c>
      <c r="I32" s="162">
        <f>IFERROR(_xlfn.XLOOKUP($D32,BB_Input!$C$5:$C$152,BB_Input!BU$5:BU$152),"")</f>
        <v>42.499600000000008</v>
      </c>
      <c r="J32" s="162">
        <f>IFERROR(_xlfn.XLOOKUP($D32,BB_Input!$C$5:$C$152,BB_Input!BV$5:BV$152),"")</f>
        <v>56.297500000000007</v>
      </c>
      <c r="L32" s="161">
        <f t="shared" si="0"/>
        <v>54.214165576527755</v>
      </c>
      <c r="M32" s="162">
        <f t="shared" si="1"/>
        <v>40.967009570157629</v>
      </c>
      <c r="N32" s="162">
        <f t="shared" si="2"/>
        <v>34.129732985722214</v>
      </c>
      <c r="O32" s="162">
        <f t="shared" si="3"/>
        <v>25.76490963186642</v>
      </c>
      <c r="P32" s="217" t="str">
        <f t="shared" si="4"/>
        <v/>
      </c>
      <c r="Q32" s="223"/>
      <c r="T32" s="212">
        <f>_xlfn.XLOOKUP($C32,CCA_Defense!$C:$C,CCA_Defense!$T:$T)</f>
        <v>7.6451951619749839E-2</v>
      </c>
      <c r="U32" s="212">
        <f>_xlfn.XLOOKUP($C32,CCA_Defense!$C:$C,CCA_Defense!$U:$U)</f>
        <v>0</v>
      </c>
      <c r="V32" s="212" t="s">
        <v>1085</v>
      </c>
      <c r="W32" s="212"/>
    </row>
    <row r="33" spans="2:43" x14ac:dyDescent="0.25">
      <c r="B33" s="152">
        <f>CCA_Defense!B33</f>
        <v>31</v>
      </c>
      <c r="C33" s="153" t="str">
        <f>CCA_Defense!C33</f>
        <v>Larsen &amp; Toubro Ltd (L&amp;T)</v>
      </c>
      <c r="D33" s="152" t="str">
        <f>CCA_Defense!D33</f>
        <v>LT</v>
      </c>
      <c r="E33" s="152" t="str">
        <f>CCA_Defense!E33</f>
        <v>LT</v>
      </c>
      <c r="F33" s="161">
        <f>IFERROR(_xlfn.XLOOKUP($D33,BB_Input!$C$5:$C$152,BB_Input!$BK$5:$BK$152,0),"")</f>
        <v>4053.60009765625</v>
      </c>
      <c r="G33" s="161">
        <f>IFERROR(_xlfn.XLOOKUP($D33,BB_Input!$C$5:$C$152,BB_Input!BS$5:BS$152),"")</f>
        <v>131.44214285714287</v>
      </c>
      <c r="H33" s="162">
        <f>IFERROR(_xlfn.XLOOKUP($D33,BB_Input!$C$5:$C$152,BB_Input!BT$5:BT$152),"")</f>
        <v>159.81392857142851</v>
      </c>
      <c r="I33" s="162">
        <f>IFERROR(_xlfn.XLOOKUP($D33,BB_Input!$C$5:$C$152,BB_Input!BU$5:BU$152),"")</f>
        <v>188.47541666666669</v>
      </c>
      <c r="J33" s="162">
        <f>IFERROR(_xlfn.XLOOKUP($D33,BB_Input!$C$5:$C$152,BB_Input!BV$5:BV$152),"")</f>
        <v>218.14499999999998</v>
      </c>
      <c r="L33" s="161">
        <f t="shared" si="0"/>
        <v>30.839424932853397</v>
      </c>
      <c r="M33" s="162">
        <f t="shared" si="1"/>
        <v>25.364498162902628</v>
      </c>
      <c r="N33" s="162">
        <f t="shared" si="2"/>
        <v>21.507314690410549</v>
      </c>
      <c r="O33" s="162">
        <f t="shared" si="3"/>
        <v>18.582136183072041</v>
      </c>
      <c r="P33" s="217" t="str">
        <f t="shared" si="4"/>
        <v/>
      </c>
      <c r="Q33" s="223"/>
      <c r="T33" s="212">
        <f>_xlfn.XLOOKUP($C33,CCA_Defense!$C:$C,CCA_Defense!$T:$T)</f>
        <v>0.10317480970002654</v>
      </c>
      <c r="U33" s="212">
        <f>_xlfn.XLOOKUP($C33,CCA_Defense!$C:$C,CCA_Defense!$U:$U)</f>
        <v>0</v>
      </c>
      <c r="V33" s="212"/>
      <c r="W33" s="212"/>
    </row>
    <row r="34" spans="2:43" x14ac:dyDescent="0.25">
      <c r="B34" s="152">
        <f>CCA_Defense!B34</f>
        <v>32</v>
      </c>
      <c r="C34" s="153" t="str">
        <f>CCA_Defense!C34</f>
        <v>Bharat Heavy Electricals Ltd</v>
      </c>
      <c r="D34" s="152" t="str">
        <f>CCA_Defense!D34</f>
        <v>BHEL</v>
      </c>
      <c r="E34" s="152" t="str">
        <f>CCA_Defense!E34</f>
        <v>BHEL</v>
      </c>
      <c r="F34" s="161">
        <f>IFERROR(_xlfn.XLOOKUP($D34,BB_Input!$C$5:$C$152,BB_Input!$BK$5:$BK$152,0),"")</f>
        <v>278.20001220703125</v>
      </c>
      <c r="G34" s="161">
        <f>IFERROR(_xlfn.XLOOKUP($D34,BB_Input!$C$5:$C$152,BB_Input!BS$5:BS$152),"")</f>
        <v>4.9960000000000004</v>
      </c>
      <c r="H34" s="162">
        <f>IFERROR(_xlfn.XLOOKUP($D34,BB_Input!$C$5:$C$152,BB_Input!BT$5:BT$152),"")</f>
        <v>8.8460000000000001</v>
      </c>
      <c r="I34" s="162">
        <f>IFERROR(_xlfn.XLOOKUP($D34,BB_Input!$C$5:$C$152,BB_Input!BU$5:BU$152),"")</f>
        <v>12.112500000000001</v>
      </c>
      <c r="J34" s="162" t="str">
        <f>IFERROR(_xlfn.XLOOKUP($D34,BB_Input!$C$5:$C$152,BB_Input!BV$5:BV$152),"")</f>
        <v/>
      </c>
      <c r="L34" s="161">
        <f t="shared" si="0"/>
        <v>55.684550081471421</v>
      </c>
      <c r="M34" s="162">
        <f t="shared" si="1"/>
        <v>31.449243975472672</v>
      </c>
      <c r="N34" s="162">
        <f t="shared" si="2"/>
        <v>22.968009263738388</v>
      </c>
      <c r="O34" s="162" t="str">
        <f t="shared" si="3"/>
        <v/>
      </c>
      <c r="P34" s="217" t="str">
        <f t="shared" si="4"/>
        <v/>
      </c>
      <c r="Q34" s="223"/>
      <c r="T34" s="212">
        <f>_xlfn.XLOOKUP($C34,CCA_Defense!$C:$C,CCA_Defense!$T:$T)</f>
        <v>5.4167392244909456E-2</v>
      </c>
      <c r="U34" s="212">
        <f>_xlfn.XLOOKUP($C34,CCA_Defense!$C:$C,CCA_Defense!$U:$U)</f>
        <v>0</v>
      </c>
      <c r="V34" s="212"/>
      <c r="W34" s="212"/>
    </row>
    <row r="35" spans="2:43" x14ac:dyDescent="0.25">
      <c r="B35" s="152">
        <f>CCA_Defense!B35</f>
        <v>33</v>
      </c>
      <c r="C35" s="153" t="str">
        <f>CCA_Defense!C35</f>
        <v>Kavveri Defence &amp; Wireless Tech</v>
      </c>
      <c r="D35" s="152" t="str">
        <f>CCA_Defense!D35</f>
        <v>KAVDEFEN</v>
      </c>
      <c r="E35" s="152" t="str">
        <f>CCA_Defense!E35</f>
        <v>KAVDEFENCE</v>
      </c>
      <c r="F35" s="161">
        <f>IFERROR(_xlfn.XLOOKUP($D35,BB_Input!$C$5:$C$152,BB_Input!$BK$5:$BK$152,0),"")</f>
        <v>79.760002136230469</v>
      </c>
      <c r="G35" s="161">
        <f>AM35</f>
        <v>1.3019406222213947</v>
      </c>
      <c r="H35" s="162">
        <f t="shared" ref="H35:K35" si="72">AN35</f>
        <v>1.9403602257338783</v>
      </c>
      <c r="I35" s="162">
        <f t="shared" si="72"/>
        <v>2.8918352660247435</v>
      </c>
      <c r="J35" s="162">
        <f t="shared" si="72"/>
        <v>4.3098756070726374</v>
      </c>
      <c r="K35" s="120">
        <f t="shared" si="72"/>
        <v>6.4232662097567772</v>
      </c>
      <c r="L35" s="161">
        <f t="shared" ref="L35:L66" si="73">IFERROR($F35/G35,"")</f>
        <v>61.262396129972892</v>
      </c>
      <c r="M35" s="162">
        <f t="shared" ref="M35:M66" si="74">IFERROR($F35/H35,"")</f>
        <v>41.105770505094661</v>
      </c>
      <c r="N35" s="162">
        <f t="shared" ref="N35:N66" si="75">IFERROR($F35/I35,"")</f>
        <v>27.581101549353612</v>
      </c>
      <c r="O35" s="162">
        <f t="shared" ref="O35:O66" si="76">IFERROR($F35/J35,"")</f>
        <v>18.506335079681158</v>
      </c>
      <c r="P35" s="217">
        <f t="shared" ref="P35:P66" si="77">IFERROR($F35/K35,"")</f>
        <v>12.417358946617698</v>
      </c>
      <c r="Q35" s="223"/>
      <c r="T35" s="212" t="str">
        <f>_xlfn.XLOOKUP($C35,CCA_Defense!$C:$C,CCA_Defense!$T:$T)</f>
        <v/>
      </c>
      <c r="U35" s="212">
        <f>_xlfn.XLOOKUP($C35,CCA_Defense!$C:$C,CCA_Defense!$U:$U)</f>
        <v>0.40600000000000003</v>
      </c>
      <c r="V35" s="212"/>
      <c r="W35" s="212"/>
      <c r="X35" s="214">
        <f>_xlfn.XLOOKUP($D35,BB_Input!$C$4:$C$163,BB_Input!$CY$4:$CY$163)*(1+$U35)</f>
        <v>240.7072</v>
      </c>
      <c r="Y35" s="213">
        <f>X35*(1+$U35)</f>
        <v>338.43432320000005</v>
      </c>
      <c r="Z35" s="213">
        <f t="shared" ref="Z35:AB35" si="78">Y35*(1+$U35)</f>
        <v>475.8386584192001</v>
      </c>
      <c r="AA35" s="213">
        <f t="shared" si="78"/>
        <v>669.0291537373954</v>
      </c>
      <c r="AB35" s="163">
        <f t="shared" si="78"/>
        <v>940.65499015477803</v>
      </c>
      <c r="AC35" s="215">
        <f>17.54%*1.06</f>
        <v>0.18592400000000001</v>
      </c>
      <c r="AD35" s="215">
        <f>AC35*1.06</f>
        <v>0.19707944000000002</v>
      </c>
      <c r="AE35" s="215">
        <f t="shared" ref="AE35:AG35" si="79">AD35*1.06</f>
        <v>0.20890420640000004</v>
      </c>
      <c r="AF35" s="215">
        <f t="shared" si="79"/>
        <v>0.22143845878400006</v>
      </c>
      <c r="AG35" s="216">
        <f t="shared" si="79"/>
        <v>0.23472476631104008</v>
      </c>
      <c r="AH35" s="214">
        <f>_xlfn.XLOOKUP($D35,BB_Input!$C$4:$C$163,BB_Input!$AR$4:$AR$163)</f>
        <v>34.37426</v>
      </c>
      <c r="AI35" s="213">
        <f t="shared" ref="AI35" si="80">AH35</f>
        <v>34.37426</v>
      </c>
      <c r="AJ35" s="213">
        <f t="shared" ref="AJ35" si="81">AI35</f>
        <v>34.37426</v>
      </c>
      <c r="AK35" s="213">
        <f t="shared" ref="AK35" si="82">AJ35</f>
        <v>34.37426</v>
      </c>
      <c r="AL35" s="163">
        <f t="shared" ref="AL35" si="83">AK35</f>
        <v>34.37426</v>
      </c>
      <c r="AM35" s="161">
        <f>(X35*AC35)/AH35</f>
        <v>1.3019406222213947</v>
      </c>
      <c r="AN35" s="162">
        <f t="shared" ref="AN35" si="84">(Y35*AD35)/AI35</f>
        <v>1.9403602257338783</v>
      </c>
      <c r="AO35" s="162">
        <f t="shared" ref="AO35" si="85">(Z35*AE35)/AJ35</f>
        <v>2.8918352660247435</v>
      </c>
      <c r="AP35" s="162">
        <f t="shared" ref="AP35" si="86">(AA35*AF35)/AK35</f>
        <v>4.3098756070726374</v>
      </c>
      <c r="AQ35" s="217">
        <f t="shared" ref="AQ35" si="87">(AB35*AG35)/AL35</f>
        <v>6.4232662097567772</v>
      </c>
    </row>
    <row r="36" spans="2:43" x14ac:dyDescent="0.25">
      <c r="B36" s="152">
        <f>CCA_Defense!B36</f>
        <v>34</v>
      </c>
      <c r="C36" s="153" t="str">
        <f>CCA_Defense!C36</f>
        <v>Taneja Aerospace &amp; Aviation Ltd</v>
      </c>
      <c r="D36" s="152" t="str">
        <f>CCA_Defense!D36</f>
        <v>TAA</v>
      </c>
      <c r="E36" s="152" t="str">
        <f>CCA_Defense!E36</f>
        <v>TANEJAERO</v>
      </c>
      <c r="F36" s="161">
        <f>IFERROR(_xlfn.XLOOKUP($D36,BB_Input!$C$5:$C$152,BB_Input!$BK$5:$BK$152,0),"")</f>
        <v>294.39999389648438</v>
      </c>
      <c r="G36" s="161">
        <f>AM36</f>
        <v>1.9520467246904578</v>
      </c>
      <c r="H36" s="162">
        <f t="shared" ref="H36:H37" si="88">AN36</f>
        <v>2.0932977470259377</v>
      </c>
      <c r="I36" s="162">
        <f t="shared" ref="I36:I37" si="89">AO36</f>
        <v>2.2447697600059837</v>
      </c>
      <c r="J36" s="162">
        <f t="shared" ref="J36:J37" si="90">AP36</f>
        <v>2.4072023593377923</v>
      </c>
      <c r="K36" s="120">
        <f t="shared" ref="K36:K37" si="91">AQ36</f>
        <v>2.5813886582230094</v>
      </c>
      <c r="L36" s="161">
        <f t="shared" si="73"/>
        <v>150.81605894611374</v>
      </c>
      <c r="M36" s="162">
        <f t="shared" si="74"/>
        <v>140.63933060394993</v>
      </c>
      <c r="N36" s="162">
        <f t="shared" si="75"/>
        <v>131.14930499406745</v>
      </c>
      <c r="O36" s="162">
        <f t="shared" si="76"/>
        <v>122.29964496107928</v>
      </c>
      <c r="P36" s="217">
        <f t="shared" si="77"/>
        <v>114.04714007659159</v>
      </c>
      <c r="Q36" s="223"/>
      <c r="T36" s="212">
        <f>_xlfn.XLOOKUP($C36,CCA_Defense!$C:$C,CCA_Defense!$T:$T)</f>
        <v>2.1295687604812881E-2</v>
      </c>
      <c r="U36" s="212">
        <f>_xlfn.XLOOKUP($C36,CCA_Defense!$C:$C,CCA_Defense!$U:$U)</f>
        <v>0</v>
      </c>
      <c r="V36" s="212"/>
      <c r="W36" s="212"/>
      <c r="X36" s="214">
        <f>_xlfn.XLOOKUP($D36,BB_Input!$C$4:$C$163,BB_Input!$CY$4:$CY$163)*(1+$T36)</f>
        <v>414.81864813875927</v>
      </c>
      <c r="Y36" s="213">
        <f>X36*(1+$T36)</f>
        <v>423.65249648217309</v>
      </c>
      <c r="Z36" s="213">
        <f>Y36*(1+$T36)</f>
        <v>432.67446770025657</v>
      </c>
      <c r="AA36" s="213">
        <f>Z36*(1+$T36)</f>
        <v>441.88856799897997</v>
      </c>
      <c r="AB36" s="163">
        <f>AA36*(1+$T36)</f>
        <v>451.29888889922438</v>
      </c>
      <c r="AC36" s="215">
        <v>0.12</v>
      </c>
      <c r="AD36" s="215">
        <f>AC36*1.05</f>
        <v>0.126</v>
      </c>
      <c r="AE36" s="215">
        <f t="shared" ref="AE36:AG36" si="92">AD36*1.05</f>
        <v>0.1323</v>
      </c>
      <c r="AF36" s="215">
        <f t="shared" si="92"/>
        <v>0.13891500000000001</v>
      </c>
      <c r="AG36" s="216">
        <f t="shared" si="92"/>
        <v>0.14586075000000001</v>
      </c>
      <c r="AH36" s="214">
        <f>_xlfn.XLOOKUP($D36,BB_Input!$C$4:$C$163,BB_Input!$AR$4:$AR$163)</f>
        <v>25.500536</v>
      </c>
      <c r="AI36" s="213">
        <f t="shared" ref="AI36:AL37" si="93">AH36</f>
        <v>25.500536</v>
      </c>
      <c r="AJ36" s="213">
        <f t="shared" si="93"/>
        <v>25.500536</v>
      </c>
      <c r="AK36" s="213">
        <f t="shared" si="93"/>
        <v>25.500536</v>
      </c>
      <c r="AL36" s="163">
        <f t="shared" si="93"/>
        <v>25.500536</v>
      </c>
      <c r="AM36" s="161">
        <f>(X36*AC36)/AH36</f>
        <v>1.9520467246904578</v>
      </c>
      <c r="AN36" s="162">
        <f t="shared" ref="AN36:AN37" si="94">(Y36*AD36)/AI36</f>
        <v>2.0932977470259377</v>
      </c>
      <c r="AO36" s="162">
        <f t="shared" ref="AO36:AO37" si="95">(Z36*AE36)/AJ36</f>
        <v>2.2447697600059837</v>
      </c>
      <c r="AP36" s="162">
        <f t="shared" ref="AP36:AP37" si="96">(AA36*AF36)/AK36</f>
        <v>2.4072023593377923</v>
      </c>
      <c r="AQ36" s="217">
        <f t="shared" ref="AQ36:AQ37" si="97">(AB36*AG36)/AL36</f>
        <v>2.5813886582230094</v>
      </c>
    </row>
    <row r="37" spans="2:43" x14ac:dyDescent="0.25">
      <c r="B37" s="152">
        <f>CCA_Defense!B37</f>
        <v>35</v>
      </c>
      <c r="C37" s="153" t="str">
        <f>CCA_Defense!C37</f>
        <v>Krishna Defence &amp; Allied Industries</v>
      </c>
      <c r="D37" s="152" t="str">
        <f>CCA_Defense!D37</f>
        <v>KRISHNDF</v>
      </c>
      <c r="E37" s="152" t="str">
        <f>CCA_Defense!E37</f>
        <v>KRISHNADEF</v>
      </c>
      <c r="F37" s="161">
        <f>IFERROR(_xlfn.XLOOKUP($D37,BB_Input!$C$5:$C$152,BB_Input!$BK$5:$BK$152,0),"")</f>
        <v>783.04998779296875</v>
      </c>
      <c r="G37" s="161">
        <f>AM37</f>
        <v>18.939295702011648</v>
      </c>
      <c r="H37" s="162">
        <f t="shared" si="88"/>
        <v>28.835077706312738</v>
      </c>
      <c r="I37" s="162">
        <f t="shared" si="89"/>
        <v>43.901405807861146</v>
      </c>
      <c r="J37" s="162">
        <f t="shared" si="90"/>
        <v>66.839890342468593</v>
      </c>
      <c r="K37" s="120">
        <f t="shared" si="91"/>
        <v>101.76373304640843</v>
      </c>
      <c r="L37" s="161">
        <f t="shared" si="73"/>
        <v>41.345253810562589</v>
      </c>
      <c r="M37" s="162">
        <f t="shared" si="74"/>
        <v>27.156160138300546</v>
      </c>
      <c r="N37" s="162">
        <f t="shared" si="75"/>
        <v>17.836558383120227</v>
      </c>
      <c r="O37" s="162">
        <f t="shared" si="76"/>
        <v>11.715309282837588</v>
      </c>
      <c r="P37" s="217">
        <f t="shared" si="77"/>
        <v>7.694784422225017</v>
      </c>
      <c r="Q37" s="223"/>
      <c r="T37" s="212">
        <f>_xlfn.XLOOKUP($C37,CCA_Defense!$C:$C,CCA_Defense!$T:$T)</f>
        <v>0.31601710017674001</v>
      </c>
      <c r="U37" s="212">
        <f>_xlfn.XLOOKUP($C37,CCA_Defense!$C:$C,CCA_Defense!$U:$U)</f>
        <v>0.45</v>
      </c>
      <c r="V37" s="212"/>
      <c r="W37" s="212"/>
      <c r="X37" s="214">
        <f>_xlfn.XLOOKUP($D37,BB_Input!$C$4:$C$163,BB_Input!$CY$4:$CY$163)*(1+$U37)</f>
        <v>2825.55845</v>
      </c>
      <c r="Y37" s="213">
        <f>X37*(1+$U37)</f>
        <v>4097.0597525000003</v>
      </c>
      <c r="Z37" s="213">
        <f t="shared" ref="Z37:AB37" si="98">Y37*(1+$U37)</f>
        <v>5940.7366411250005</v>
      </c>
      <c r="AA37" s="213">
        <f t="shared" si="98"/>
        <v>8614.0681296312505</v>
      </c>
      <c r="AB37" s="163">
        <f t="shared" si="98"/>
        <v>12490.398787965312</v>
      </c>
      <c r="AC37" s="215">
        <v>0.1</v>
      </c>
      <c r="AD37" s="215">
        <f>AC37*1.05</f>
        <v>0.10500000000000001</v>
      </c>
      <c r="AE37" s="215">
        <f t="shared" ref="AE37:AG37" si="99">AD37*1.05</f>
        <v>0.11025000000000001</v>
      </c>
      <c r="AF37" s="215">
        <f t="shared" si="99"/>
        <v>0.11576250000000002</v>
      </c>
      <c r="AG37" s="216">
        <f t="shared" si="99"/>
        <v>0.12155062500000002</v>
      </c>
      <c r="AH37" s="214">
        <f>_xlfn.XLOOKUP($D37,BB_Input!$C$4:$C$163,BB_Input!$AR$4:$AR$163)</f>
        <v>14.919025999999999</v>
      </c>
      <c r="AI37" s="213">
        <f t="shared" si="93"/>
        <v>14.919025999999999</v>
      </c>
      <c r="AJ37" s="213">
        <f t="shared" si="93"/>
        <v>14.919025999999999</v>
      </c>
      <c r="AK37" s="213">
        <f t="shared" si="93"/>
        <v>14.919025999999999</v>
      </c>
      <c r="AL37" s="163">
        <f t="shared" si="93"/>
        <v>14.919025999999999</v>
      </c>
      <c r="AM37" s="161">
        <f>(X37*AC37)/AH37</f>
        <v>18.939295702011648</v>
      </c>
      <c r="AN37" s="162">
        <f t="shared" si="94"/>
        <v>28.835077706312738</v>
      </c>
      <c r="AO37" s="162">
        <f t="shared" si="95"/>
        <v>43.901405807861146</v>
      </c>
      <c r="AP37" s="162">
        <f t="shared" si="96"/>
        <v>66.839890342468593</v>
      </c>
      <c r="AQ37" s="217">
        <f t="shared" si="97"/>
        <v>101.76373304640843</v>
      </c>
    </row>
    <row r="38" spans="2:43" x14ac:dyDescent="0.25">
      <c r="B38" s="152">
        <f>CCA_Defense!B38</f>
        <v>36</v>
      </c>
      <c r="C38" s="153" t="str">
        <f>CCA_Defense!C38</f>
        <v>HBL Power Systems Ltd</v>
      </c>
      <c r="D38" s="152" t="str">
        <f>CCA_Defense!D38</f>
        <v>HBLENGINE</v>
      </c>
      <c r="E38" s="152" t="str">
        <f>CCA_Defense!E38</f>
        <v>HBLENGINE</v>
      </c>
      <c r="F38" s="161">
        <f>IFERROR(_xlfn.XLOOKUP($D38,BB_Input!$C$5:$C$152,BB_Input!$BK$5:$BK$152,0),"")</f>
        <v>881.5999755859375</v>
      </c>
      <c r="G38" s="161">
        <f>IFERROR(_xlfn.XLOOKUP($D38,BB_Input!$C$5:$C$152,BB_Input!BS$5:BS$152),"")</f>
        <v>22.3</v>
      </c>
      <c r="H38" s="162">
        <f>IFERROR(_xlfn.XLOOKUP($D38,BB_Input!$C$5:$C$152,BB_Input!BT$5:BT$152),"")</f>
        <v>28.3</v>
      </c>
      <c r="I38" s="162">
        <f>IFERROR(_xlfn.XLOOKUP($D38,BB_Input!$C$5:$C$152,BB_Input!BU$5:BU$152),"")</f>
        <v>30.7</v>
      </c>
      <c r="J38" s="162" t="str">
        <f>IFERROR(_xlfn.XLOOKUP($D38,BB_Input!$C$5:$C$152,BB_Input!BV$5:BV$152),"")</f>
        <v/>
      </c>
      <c r="L38" s="161">
        <f t="shared" si="73"/>
        <v>39.533631192194505</v>
      </c>
      <c r="M38" s="162">
        <f t="shared" si="74"/>
        <v>31.151942600209804</v>
      </c>
      <c r="N38" s="162">
        <f t="shared" si="75"/>
        <v>28.716611582603829</v>
      </c>
      <c r="O38" s="162" t="str">
        <f t="shared" si="76"/>
        <v/>
      </c>
      <c r="P38" s="217" t="str">
        <f t="shared" si="77"/>
        <v/>
      </c>
      <c r="Q38" s="213"/>
      <c r="T38" s="212">
        <f>_xlfn.XLOOKUP($C38,CCA_Defense!$C:$C,CCA_Defense!$T:$T)</f>
        <v>0.11304961305614281</v>
      </c>
      <c r="U38" s="212">
        <f>_xlfn.XLOOKUP($C38,CCA_Defense!$C:$C,CCA_Defense!$U:$U)</f>
        <v>0</v>
      </c>
      <c r="V38" s="212" t="s">
        <v>1085</v>
      </c>
      <c r="W38" s="212"/>
    </row>
    <row r="39" spans="2:43" x14ac:dyDescent="0.25">
      <c r="B39" s="152">
        <f>CCA_Defense!B39</f>
        <v>37</v>
      </c>
      <c r="C39" s="153" t="str">
        <f>CCA_Defense!C39</f>
        <v>Tata Advanced Systems</v>
      </c>
      <c r="D39" s="152" t="str">
        <f>CCA_Defense!D39</f>
        <v>4624679Z</v>
      </c>
      <c r="E39" s="152"/>
      <c r="F39" s="161" t="str">
        <f>IFERROR(_xlfn.XLOOKUP($D39,BB_Input!$C$5:$C$152,BB_Input!$BK$5:$BK$152,0),"")</f>
        <v/>
      </c>
      <c r="G39" s="161"/>
      <c r="H39" s="162"/>
      <c r="I39" s="162"/>
      <c r="J39" s="162"/>
      <c r="K39" s="120"/>
      <c r="L39" s="161" t="str">
        <f t="shared" si="73"/>
        <v/>
      </c>
      <c r="M39" s="162" t="str">
        <f t="shared" si="74"/>
        <v/>
      </c>
      <c r="N39" s="162" t="str">
        <f t="shared" si="75"/>
        <v/>
      </c>
      <c r="O39" s="162" t="str">
        <f t="shared" si="76"/>
        <v/>
      </c>
      <c r="P39" s="217" t="str">
        <f t="shared" si="77"/>
        <v/>
      </c>
      <c r="Q39" s="213"/>
      <c r="T39" s="212" t="str">
        <f>_xlfn.XLOOKUP($C39,CCA_Defense!$C:$C,CCA_Defense!$T:$T)</f>
        <v/>
      </c>
      <c r="U39" s="212">
        <f>_xlfn.XLOOKUP($C39,CCA_Defense!$C:$C,CCA_Defense!$U:$U)</f>
        <v>0</v>
      </c>
      <c r="V39" s="212"/>
      <c r="W39" s="212"/>
      <c r="X39" s="214"/>
      <c r="Y39" s="213"/>
      <c r="Z39" s="213"/>
      <c r="AA39" s="213"/>
      <c r="AB39" s="163"/>
      <c r="AH39" s="213"/>
      <c r="AI39" s="213"/>
      <c r="AJ39" s="213"/>
      <c r="AK39" s="213"/>
      <c r="AL39" s="163"/>
    </row>
    <row r="40" spans="2:43" x14ac:dyDescent="0.25">
      <c r="B40" s="152">
        <f>CCA_Defense!B40</f>
        <v>38</v>
      </c>
      <c r="C40" s="153" t="str">
        <f>CCA_Defense!C40</f>
        <v>Reliance Defence</v>
      </c>
      <c r="D40" s="152" t="str">
        <f>CCA_Defense!D40</f>
        <v>1254332D</v>
      </c>
      <c r="E40" s="152"/>
      <c r="F40" s="161" t="str">
        <f>IFERROR(_xlfn.XLOOKUP($D40,BB_Input!$C$5:$C$152,BB_Input!$BK$5:$BK$152,0),"")</f>
        <v/>
      </c>
      <c r="G40" s="161"/>
      <c r="H40" s="162"/>
      <c r="I40" s="162"/>
      <c r="J40" s="162"/>
      <c r="K40" s="120"/>
      <c r="L40" s="161" t="str">
        <f t="shared" si="73"/>
        <v/>
      </c>
      <c r="M40" s="162" t="str">
        <f t="shared" si="74"/>
        <v/>
      </c>
      <c r="N40" s="162" t="str">
        <f t="shared" si="75"/>
        <v/>
      </c>
      <c r="O40" s="162" t="str">
        <f t="shared" si="76"/>
        <v/>
      </c>
      <c r="P40" s="217" t="str">
        <f t="shared" si="77"/>
        <v/>
      </c>
      <c r="Q40" s="213"/>
      <c r="T40" s="212" t="str">
        <f>_xlfn.XLOOKUP($C40,CCA_Defense!$C:$C,CCA_Defense!$T:$T)</f>
        <v/>
      </c>
      <c r="U40" s="212">
        <f>_xlfn.XLOOKUP($C40,CCA_Defense!$C:$C,CCA_Defense!$U:$U)</f>
        <v>0</v>
      </c>
      <c r="V40" s="212"/>
      <c r="W40" s="212"/>
      <c r="X40" s="214"/>
      <c r="Y40" s="213"/>
      <c r="Z40" s="213"/>
      <c r="AA40" s="213"/>
      <c r="AB40" s="163"/>
      <c r="AH40" s="213"/>
      <c r="AI40" s="213"/>
      <c r="AJ40" s="213"/>
      <c r="AK40" s="213"/>
      <c r="AL40" s="163"/>
    </row>
    <row r="41" spans="2:43" x14ac:dyDescent="0.25">
      <c r="B41" s="152">
        <f>CCA_Defense!B41</f>
        <v>39</v>
      </c>
      <c r="C41" s="153" t="str">
        <f>CCA_Defense!C41</f>
        <v>Aimtron Electronics</v>
      </c>
      <c r="D41" s="152" t="str">
        <f>CCA_Defense!D41</f>
        <v>AIMTRON</v>
      </c>
      <c r="E41" s="152" t="str">
        <f>CCA_Defense!E41</f>
        <v>AIMTRON</v>
      </c>
      <c r="F41" s="161">
        <f>IFERROR(_xlfn.XLOOKUP($D41,BB_Input!$C$5:$C$152,BB_Input!$BK$5:$BK$152,0),"")</f>
        <v>820.8499755859375</v>
      </c>
      <c r="G41" s="161"/>
      <c r="H41" s="162"/>
      <c r="I41" s="162"/>
      <c r="J41" s="162"/>
      <c r="K41" s="120"/>
      <c r="L41" s="161" t="str">
        <f t="shared" si="73"/>
        <v/>
      </c>
      <c r="M41" s="162" t="str">
        <f t="shared" si="74"/>
        <v/>
      </c>
      <c r="N41" s="162" t="str">
        <f t="shared" si="75"/>
        <v/>
      </c>
      <c r="O41" s="162" t="str">
        <f t="shared" si="76"/>
        <v/>
      </c>
      <c r="P41" s="217" t="str">
        <f t="shared" si="77"/>
        <v/>
      </c>
      <c r="Q41" s="213"/>
      <c r="T41" s="212">
        <f>_xlfn.XLOOKUP($C41,CCA_Defense!$C:$C,CCA_Defense!$T:$T)</f>
        <v>0.43413497286210756</v>
      </c>
      <c r="U41" s="212">
        <f>_xlfn.XLOOKUP($C41,CCA_Defense!$C:$C,CCA_Defense!$U:$U)</f>
        <v>0</v>
      </c>
      <c r="V41" s="212"/>
      <c r="W41" s="212"/>
      <c r="X41" s="214"/>
      <c r="Y41" s="213"/>
      <c r="Z41" s="213"/>
      <c r="AA41" s="213"/>
      <c r="AB41" s="163"/>
      <c r="AC41" s="215">
        <v>0.155</v>
      </c>
      <c r="AD41" s="215">
        <v>0.16</v>
      </c>
      <c r="AE41" s="215">
        <v>0.16500000000000001</v>
      </c>
      <c r="AF41" s="215">
        <v>0.16500000000000001</v>
      </c>
      <c r="AG41" s="216">
        <v>0.17</v>
      </c>
      <c r="AH41" s="214">
        <f>_xlfn.XLOOKUP($D41,BB_Input!$C$4:$C$163,BB_Input!$AR$4:$AR$163)</f>
        <v>20.413824999999999</v>
      </c>
      <c r="AI41" s="213">
        <f t="shared" ref="AI41:AL44" si="100">AH41</f>
        <v>20.413824999999999</v>
      </c>
      <c r="AJ41" s="213">
        <f t="shared" si="100"/>
        <v>20.413824999999999</v>
      </c>
      <c r="AK41" s="213">
        <f t="shared" si="100"/>
        <v>20.413824999999999</v>
      </c>
      <c r="AL41" s="163">
        <f t="shared" si="100"/>
        <v>20.413824999999999</v>
      </c>
      <c r="AM41" s="161"/>
      <c r="AN41" s="162"/>
      <c r="AO41" s="162"/>
      <c r="AP41" s="162"/>
      <c r="AQ41" s="217"/>
    </row>
    <row r="42" spans="2:43" x14ac:dyDescent="0.25">
      <c r="B42" s="152">
        <f>CCA_Defense!B42</f>
        <v>40</v>
      </c>
      <c r="C42" s="153" t="str">
        <f>CCA_Defense!C42</f>
        <v>Ashok Leyland</v>
      </c>
      <c r="D42" s="152" t="str">
        <f>CCA_Defense!D42</f>
        <v>AL</v>
      </c>
      <c r="E42" s="152" t="str">
        <f>CCA_Defense!E42</f>
        <v>ASHOKLEY</v>
      </c>
      <c r="F42" s="161">
        <f>IFERROR(_xlfn.XLOOKUP($D42,BB_Input!$C$5:$C$152,BB_Input!$BK$5:$BK$152,0),"")</f>
        <v>175.30999755859375</v>
      </c>
      <c r="G42" s="161">
        <f>AM42</f>
        <v>4.8965247186212286</v>
      </c>
      <c r="H42" s="162">
        <f t="shared" ref="H42:H44" si="101">AN42</f>
        <v>5.5857211040626398</v>
      </c>
      <c r="I42" s="162">
        <f t="shared" ref="I42:I44" si="102">AO42</f>
        <v>6.250697710490333</v>
      </c>
      <c r="J42" s="162">
        <f t="shared" ref="J42:J44" si="103">AP42</f>
        <v>6.5362887856302105</v>
      </c>
      <c r="K42" s="120">
        <f t="shared" ref="K42:K44" si="104">AQ42</f>
        <v>6.7048940570835089</v>
      </c>
      <c r="L42" s="161">
        <f t="shared" si="73"/>
        <v>35.802943441069324</v>
      </c>
      <c r="M42" s="162">
        <f t="shared" si="74"/>
        <v>31.385383246414907</v>
      </c>
      <c r="N42" s="162">
        <f t="shared" si="75"/>
        <v>28.046468678908749</v>
      </c>
      <c r="O42" s="162">
        <f t="shared" si="76"/>
        <v>26.821029992433367</v>
      </c>
      <c r="P42" s="217">
        <f t="shared" si="77"/>
        <v>26.146572349399655</v>
      </c>
      <c r="Q42" s="213"/>
      <c r="T42" s="212">
        <f>_xlfn.XLOOKUP($C42,CCA_Defense!$C:$C,CCA_Defense!$T:$T)</f>
        <v>8.17477291778681E-2</v>
      </c>
      <c r="U42" s="212">
        <f>_xlfn.XLOOKUP($C42,CCA_Defense!$C:$C,CCA_Defense!$U:$U)</f>
        <v>0</v>
      </c>
      <c r="V42" s="212"/>
      <c r="W42" s="212"/>
      <c r="X42" s="214">
        <f>_xlfn.XLOOKUP($D42,BB_Input!$C$4:$C$163,BB_Input!$CY$4:$CY$163)*(1+$T42)</f>
        <v>522935.89104461495</v>
      </c>
      <c r="Y42" s="213">
        <f t="shared" ref="Y42:AB44" si="105">X42*(1+$T42)</f>
        <v>565684.71264311729</v>
      </c>
      <c r="Z42" s="213">
        <f t="shared" si="105"/>
        <v>611928.15333232703</v>
      </c>
      <c r="AA42" s="213">
        <f t="shared" si="105"/>
        <v>661951.8902872511</v>
      </c>
      <c r="AB42" s="163">
        <f t="shared" si="105"/>
        <v>716064.95414323115</v>
      </c>
      <c r="AC42" s="215">
        <v>5.5E-2</v>
      </c>
      <c r="AD42" s="215">
        <v>5.7999999999999996E-2</v>
      </c>
      <c r="AE42" s="215">
        <v>0.06</v>
      </c>
      <c r="AF42" s="215">
        <v>5.7999999999999996E-2</v>
      </c>
      <c r="AG42" s="216">
        <v>5.5E-2</v>
      </c>
      <c r="AH42" s="214">
        <f>_xlfn.XLOOKUP($D42,BB_Input!$C$4:$C$163,BB_Input!$AR$4:$AR$163)</f>
        <v>5873.8545519999998</v>
      </c>
      <c r="AI42" s="213">
        <f t="shared" si="100"/>
        <v>5873.8545519999998</v>
      </c>
      <c r="AJ42" s="213">
        <f t="shared" si="100"/>
        <v>5873.8545519999998</v>
      </c>
      <c r="AK42" s="213">
        <f t="shared" si="100"/>
        <v>5873.8545519999998</v>
      </c>
      <c r="AL42" s="163">
        <f t="shared" si="100"/>
        <v>5873.8545519999998</v>
      </c>
      <c r="AM42" s="161">
        <f>(X42*AC42)/AH42</f>
        <v>4.8965247186212286</v>
      </c>
      <c r="AN42" s="162">
        <f t="shared" ref="AN42:AN44" si="106">(Y42*AD42)/AI42</f>
        <v>5.5857211040626398</v>
      </c>
      <c r="AO42" s="162">
        <f t="shared" ref="AO42:AO44" si="107">(Z42*AE42)/AJ42</f>
        <v>6.250697710490333</v>
      </c>
      <c r="AP42" s="162">
        <f t="shared" ref="AP42:AP44" si="108">(AA42*AF42)/AK42</f>
        <v>6.5362887856302105</v>
      </c>
      <c r="AQ42" s="217">
        <f t="shared" ref="AQ42:AQ44" si="109">(AB42*AG42)/AL42</f>
        <v>6.7048940570835089</v>
      </c>
    </row>
    <row r="43" spans="2:43" x14ac:dyDescent="0.25">
      <c r="B43" s="152">
        <f>CCA_Defense!B43</f>
        <v>41</v>
      </c>
      <c r="C43" s="153" t="str">
        <f>CCA_Defense!C43</f>
        <v>CFF Fluid Control</v>
      </c>
      <c r="D43" s="152" t="str">
        <f>CCA_Defense!D43</f>
        <v>CFF</v>
      </c>
      <c r="E43" s="152" t="str">
        <f>CCA_Defense!E43</f>
        <v>CFF</v>
      </c>
      <c r="F43" s="161">
        <f>IFERROR(_xlfn.XLOOKUP($D43,BB_Input!$C$5:$C$152,BB_Input!$BK$5:$BK$152,0),"")</f>
        <v>545.45001220703125</v>
      </c>
      <c r="G43" s="161">
        <f>AM43</f>
        <v>13.367098464553514</v>
      </c>
      <c r="H43" s="162">
        <f t="shared" si="101"/>
        <v>17.146310191018266</v>
      </c>
      <c r="I43" s="162">
        <f t="shared" si="102"/>
        <v>21.306686741734353</v>
      </c>
      <c r="J43" s="162">
        <f t="shared" si="103"/>
        <v>26.476536050782734</v>
      </c>
      <c r="K43" s="120">
        <f t="shared" si="104"/>
        <v>32.900796343680426</v>
      </c>
      <c r="L43" s="161">
        <f t="shared" si="73"/>
        <v>40.805415898853433</v>
      </c>
      <c r="M43" s="162">
        <f t="shared" si="74"/>
        <v>31.811509656039803</v>
      </c>
      <c r="N43" s="162">
        <f t="shared" si="75"/>
        <v>25.599945163629506</v>
      </c>
      <c r="O43" s="162">
        <f t="shared" si="76"/>
        <v>20.601260344663022</v>
      </c>
      <c r="P43" s="217">
        <f t="shared" si="77"/>
        <v>16.578626441417462</v>
      </c>
      <c r="Q43" s="213"/>
      <c r="T43" s="212">
        <f>_xlfn.XLOOKUP($C43,CCA_Defense!$C:$C,CCA_Defense!$T:$T)</f>
        <v>0.24263975773023261</v>
      </c>
      <c r="U43" s="212">
        <f>_xlfn.XLOOKUP($C43,CCA_Defense!$C:$C,CCA_Defense!$U:$U)</f>
        <v>0</v>
      </c>
      <c r="V43" s="212"/>
      <c r="W43" s="212"/>
      <c r="X43" s="214">
        <f>_xlfn.XLOOKUP($D43,BB_Input!$C$4:$C$163,BB_Input!$CY$4:$CY$163)*(1+$T43)</f>
        <v>1808.7926445509152</v>
      </c>
      <c r="Y43" s="213">
        <f t="shared" si="105"/>
        <v>2247.677653608976</v>
      </c>
      <c r="Z43" s="213">
        <f t="shared" si="105"/>
        <v>2793.0536149363156</v>
      </c>
      <c r="AA43" s="213">
        <f t="shared" si="105"/>
        <v>3470.7594673920134</v>
      </c>
      <c r="AB43" s="163">
        <f t="shared" si="105"/>
        <v>4312.9037036999225</v>
      </c>
      <c r="AC43" s="215">
        <v>0.155</v>
      </c>
      <c r="AD43" s="215">
        <v>0.16</v>
      </c>
      <c r="AE43" s="215">
        <v>0.16</v>
      </c>
      <c r="AF43" s="215">
        <v>0.16</v>
      </c>
      <c r="AG43" s="216">
        <v>0.16</v>
      </c>
      <c r="AH43" s="214">
        <f>_xlfn.XLOOKUP($D43,BB_Input!$C$4:$C$163,BB_Input!$AR$4:$AR$163)</f>
        <v>20.9741</v>
      </c>
      <c r="AI43" s="213">
        <f t="shared" si="100"/>
        <v>20.9741</v>
      </c>
      <c r="AJ43" s="213">
        <f t="shared" si="100"/>
        <v>20.9741</v>
      </c>
      <c r="AK43" s="213">
        <f t="shared" si="100"/>
        <v>20.9741</v>
      </c>
      <c r="AL43" s="163">
        <f t="shared" si="100"/>
        <v>20.9741</v>
      </c>
      <c r="AM43" s="161">
        <f>(X43*AC43)/AH43</f>
        <v>13.367098464553514</v>
      </c>
      <c r="AN43" s="162">
        <f t="shared" si="106"/>
        <v>17.146310191018266</v>
      </c>
      <c r="AO43" s="162">
        <f t="shared" si="107"/>
        <v>21.306686741734353</v>
      </c>
      <c r="AP43" s="162">
        <f t="shared" si="108"/>
        <v>26.476536050782734</v>
      </c>
      <c r="AQ43" s="217">
        <f t="shared" si="109"/>
        <v>32.900796343680426</v>
      </c>
    </row>
    <row r="44" spans="2:43" x14ac:dyDescent="0.25">
      <c r="B44" s="152">
        <f>CCA_Defense!B44</f>
        <v>42</v>
      </c>
      <c r="C44" s="153" t="str">
        <f>CCA_Defense!C44</f>
        <v>DEE Development Engineers</v>
      </c>
      <c r="D44" s="152" t="str">
        <f>CCA_Defense!D44</f>
        <v>DEEDEV</v>
      </c>
      <c r="E44" s="152" t="str">
        <f>CCA_Defense!E44</f>
        <v>DEEDEV</v>
      </c>
      <c r="F44" s="161">
        <f>IFERROR(_xlfn.XLOOKUP($D44,BB_Input!$C$5:$C$152,BB_Input!$BK$5:$BK$152,0),"")</f>
        <v>219.97999572753906</v>
      </c>
      <c r="G44" s="161">
        <f>AM44</f>
        <v>8.0554465358393657</v>
      </c>
      <c r="H44" s="162">
        <f t="shared" si="101"/>
        <v>9.8083930851799295</v>
      </c>
      <c r="I44" s="162">
        <f t="shared" si="102"/>
        <v>11.872131066625732</v>
      </c>
      <c r="J44" s="162">
        <f t="shared" si="103"/>
        <v>13.343655442466869</v>
      </c>
      <c r="K44" s="120">
        <f t="shared" si="104"/>
        <v>14.997572008601612</v>
      </c>
      <c r="L44" s="161">
        <f t="shared" si="73"/>
        <v>27.308231114045558</v>
      </c>
      <c r="M44" s="162">
        <f t="shared" si="74"/>
        <v>22.427730395503787</v>
      </c>
      <c r="N44" s="162">
        <f t="shared" si="75"/>
        <v>18.529107747633823</v>
      </c>
      <c r="O44" s="162">
        <f t="shared" si="76"/>
        <v>16.485737111244752</v>
      </c>
      <c r="P44" s="217">
        <f t="shared" si="77"/>
        <v>14.667707252972225</v>
      </c>
      <c r="Q44" s="213"/>
      <c r="T44" s="212">
        <f>_xlfn.XLOOKUP($C44,CCA_Defense!$C:$C,CCA_Defense!$T:$T)</f>
        <v>0.12394778726607927</v>
      </c>
      <c r="U44" s="212">
        <f>_xlfn.XLOOKUP($C44,CCA_Defense!$C:$C,CCA_Defense!$U:$U)</f>
        <v>0</v>
      </c>
      <c r="V44" s="212"/>
      <c r="W44" s="212"/>
      <c r="X44" s="214">
        <f>_xlfn.XLOOKUP($D44,BB_Input!$C$4:$C$163,BB_Input!$CY$4:$CY$163)*(1+$T44)</f>
        <v>9299.1191395759524</v>
      </c>
      <c r="Y44" s="213">
        <f t="shared" si="105"/>
        <v>10451.724380450038</v>
      </c>
      <c r="Z44" s="213">
        <f t="shared" si="105"/>
        <v>11747.192490521753</v>
      </c>
      <c r="AA44" s="213">
        <f t="shared" si="105"/>
        <v>13203.231006310627</v>
      </c>
      <c r="AB44" s="163">
        <f t="shared" si="105"/>
        <v>14839.742274305718</v>
      </c>
      <c r="AC44" s="215">
        <v>0.06</v>
      </c>
      <c r="AD44" s="215">
        <v>6.5000000000000002E-2</v>
      </c>
      <c r="AE44" s="215">
        <v>7.0000000000000007E-2</v>
      </c>
      <c r="AF44" s="215">
        <v>7.0000000000000007E-2</v>
      </c>
      <c r="AG44" s="216">
        <v>7.0000000000000007E-2</v>
      </c>
      <c r="AH44" s="214">
        <f>_xlfn.XLOOKUP($D44,BB_Input!$C$4:$C$163,BB_Input!$AR$4:$AR$163)</f>
        <v>69.263341999999994</v>
      </c>
      <c r="AI44" s="213">
        <f t="shared" si="100"/>
        <v>69.263341999999994</v>
      </c>
      <c r="AJ44" s="213">
        <f t="shared" si="100"/>
        <v>69.263341999999994</v>
      </c>
      <c r="AK44" s="213">
        <f t="shared" si="100"/>
        <v>69.263341999999994</v>
      </c>
      <c r="AL44" s="163">
        <f t="shared" si="100"/>
        <v>69.263341999999994</v>
      </c>
      <c r="AM44" s="161">
        <f>(X44*AC44)/AH44</f>
        <v>8.0554465358393657</v>
      </c>
      <c r="AN44" s="162">
        <f t="shared" si="106"/>
        <v>9.8083930851799295</v>
      </c>
      <c r="AO44" s="162">
        <f t="shared" si="107"/>
        <v>11.872131066625732</v>
      </c>
      <c r="AP44" s="162">
        <f t="shared" si="108"/>
        <v>13.343655442466869</v>
      </c>
      <c r="AQ44" s="217">
        <f t="shared" si="109"/>
        <v>14.997572008601612</v>
      </c>
    </row>
    <row r="45" spans="2:43" x14ac:dyDescent="0.25">
      <c r="B45" s="152">
        <f>CCA_Defense!B45</f>
        <v>43</v>
      </c>
      <c r="C45" s="153" t="str">
        <f>CCA_Defense!C45</f>
        <v>Droneacharya Aerial Innovations</v>
      </c>
      <c r="D45" s="152" t="str">
        <f>CCA_Defense!D45</f>
        <v>DRONACHR</v>
      </c>
      <c r="E45" s="152" t="str">
        <f>CCA_Defense!E45</f>
        <v>DRONACHRYA</v>
      </c>
      <c r="F45" s="161">
        <f>IFERROR(_xlfn.XLOOKUP($D45,BB_Input!$C$5:$C$152,BB_Input!$BK$5:$BK$152,0),"")</f>
        <v>47.790000915527344</v>
      </c>
      <c r="G45" s="161"/>
      <c r="H45" s="162"/>
      <c r="I45" s="162"/>
      <c r="J45" s="162"/>
      <c r="K45" s="120"/>
      <c r="L45" s="161" t="str">
        <f t="shared" si="73"/>
        <v/>
      </c>
      <c r="M45" s="162" t="str">
        <f t="shared" si="74"/>
        <v/>
      </c>
      <c r="N45" s="162" t="str">
        <f t="shared" si="75"/>
        <v/>
      </c>
      <c r="O45" s="162" t="str">
        <f t="shared" si="76"/>
        <v/>
      </c>
      <c r="P45" s="217" t="str">
        <f t="shared" si="77"/>
        <v/>
      </c>
      <c r="Q45" s="213"/>
      <c r="T45" s="212">
        <f>_xlfn.XLOOKUP($C45,CCA_Defense!$C:$C,CCA_Defense!$T:$T)</f>
        <v>0.84784979742228839</v>
      </c>
      <c r="U45" s="212">
        <f>_xlfn.XLOOKUP($C45,CCA_Defense!$C:$C,CCA_Defense!$U:$U)</f>
        <v>0</v>
      </c>
      <c r="V45" s="212" t="s">
        <v>1085</v>
      </c>
      <c r="W45" s="212"/>
      <c r="X45" s="214"/>
      <c r="Y45" s="213"/>
      <c r="Z45" s="213"/>
      <c r="AA45" s="213"/>
      <c r="AB45" s="163"/>
      <c r="AC45" s="215"/>
      <c r="AD45" s="215"/>
      <c r="AE45" s="215"/>
      <c r="AF45" s="215"/>
      <c r="AG45" s="216"/>
      <c r="AH45" s="214"/>
      <c r="AI45" s="213"/>
      <c r="AJ45" s="213"/>
      <c r="AK45" s="213"/>
      <c r="AL45" s="163"/>
      <c r="AM45" s="161"/>
      <c r="AN45" s="162"/>
      <c r="AO45" s="162"/>
      <c r="AP45" s="162"/>
      <c r="AQ45" s="217"/>
    </row>
    <row r="46" spans="2:43" x14ac:dyDescent="0.25">
      <c r="B46" s="152">
        <f>CCA_Defense!B46</f>
        <v>44</v>
      </c>
      <c r="C46" s="153" t="str">
        <f>CCA_Defense!C46</f>
        <v>MTAR Technologies Ltd</v>
      </c>
      <c r="D46" s="152" t="str">
        <f>CCA_Defense!D46</f>
        <v>MTARTECH</v>
      </c>
      <c r="E46" s="152" t="str">
        <f>CCA_Defense!E46</f>
        <v>MTARTECH</v>
      </c>
      <c r="F46" s="161">
        <f>IFERROR(_xlfn.XLOOKUP($D46,BB_Input!$C$5:$C$152,BB_Input!$BK$5:$BK$152,0),"")</f>
        <v>2450.699951171875</v>
      </c>
      <c r="G46" s="161">
        <f>AM46</f>
        <v>8.1029117064657985</v>
      </c>
      <c r="H46" s="162">
        <f t="shared" ref="H46:K46" si="110">AN46</f>
        <v>10.432498822074715</v>
      </c>
      <c r="I46" s="162">
        <f t="shared" si="110"/>
        <v>13.431842233421197</v>
      </c>
      <c r="J46" s="162">
        <f t="shared" si="110"/>
        <v>17.293496875529787</v>
      </c>
      <c r="K46" s="120">
        <f t="shared" si="110"/>
        <v>22.265377227244603</v>
      </c>
      <c r="L46" s="161">
        <f t="shared" si="73"/>
        <v>302.44682898572307</v>
      </c>
      <c r="M46" s="162">
        <f t="shared" si="74"/>
        <v>234.9101584355131</v>
      </c>
      <c r="N46" s="162">
        <f t="shared" si="75"/>
        <v>182.454491988748</v>
      </c>
      <c r="O46" s="162">
        <f t="shared" si="76"/>
        <v>141.71222678737715</v>
      </c>
      <c r="P46" s="217">
        <f t="shared" si="77"/>
        <v>110.06774896106961</v>
      </c>
      <c r="Q46" s="213"/>
      <c r="T46" s="212">
        <f>_xlfn.XLOOKUP($C46,CCA_Defense!$C:$C,CCA_Defense!$T:$T)</f>
        <v>0.34490167754544471</v>
      </c>
      <c r="U46" s="212">
        <f>_xlfn.XLOOKUP($C46,CCA_Defense!$C:$C,CCA_Defense!$U:$U)</f>
        <v>0.25</v>
      </c>
      <c r="V46" s="212" t="s">
        <v>1085</v>
      </c>
      <c r="W46" s="212"/>
      <c r="X46" s="214">
        <f>_xlfn.XLOOKUP($D46,BB_Input!$C$4:$C$163,BB_Input!$CY$4:$CY$163)*(1+$U46)</f>
        <v>8308.0750000000007</v>
      </c>
      <c r="Y46" s="213">
        <f>X46*(1+$U46)</f>
        <v>10385.09375</v>
      </c>
      <c r="Z46" s="213">
        <f t="shared" ref="Z46:AB46" si="111">Y46*(1+$U46)</f>
        <v>12981.3671875</v>
      </c>
      <c r="AA46" s="213">
        <f t="shared" si="111"/>
        <v>16226.708984375</v>
      </c>
      <c r="AB46" s="163">
        <f t="shared" si="111"/>
        <v>20283.38623046875</v>
      </c>
      <c r="AC46" s="215">
        <v>0.03</v>
      </c>
      <c r="AD46" s="215">
        <f>AC46*1.03</f>
        <v>3.09E-2</v>
      </c>
      <c r="AE46" s="215">
        <f t="shared" ref="AE46:AG46" si="112">AD46*1.03</f>
        <v>3.1827000000000001E-2</v>
      </c>
      <c r="AF46" s="215">
        <f t="shared" si="112"/>
        <v>3.2781810000000002E-2</v>
      </c>
      <c r="AG46" s="216">
        <f t="shared" si="112"/>
        <v>3.37652643E-2</v>
      </c>
      <c r="AH46" s="214">
        <f>_xlfn.XLOOKUP($D46,BB_Input!$C$4:$C$163,BB_Input!$AR$4:$AR$163)</f>
        <v>30.759591</v>
      </c>
      <c r="AI46" s="213">
        <f t="shared" ref="AI46" si="113">AH46</f>
        <v>30.759591</v>
      </c>
      <c r="AJ46" s="213">
        <f t="shared" ref="AJ46" si="114">AI46</f>
        <v>30.759591</v>
      </c>
      <c r="AK46" s="213">
        <f t="shared" ref="AK46" si="115">AJ46</f>
        <v>30.759591</v>
      </c>
      <c r="AL46" s="163">
        <f t="shared" ref="AL46" si="116">AK46</f>
        <v>30.759591</v>
      </c>
      <c r="AM46" s="161">
        <f>(X46*AC46)/AH46</f>
        <v>8.1029117064657985</v>
      </c>
      <c r="AN46" s="162">
        <f t="shared" ref="AN46" si="117">(Y46*AD46)/AI46</f>
        <v>10.432498822074715</v>
      </c>
      <c r="AO46" s="162">
        <f t="shared" ref="AO46" si="118">(Z46*AE46)/AJ46</f>
        <v>13.431842233421197</v>
      </c>
      <c r="AP46" s="162">
        <f t="shared" ref="AP46" si="119">(AA46*AF46)/AK46</f>
        <v>17.293496875529787</v>
      </c>
      <c r="AQ46" s="217">
        <f t="shared" ref="AQ46" si="120">(AB46*AG46)/AL46</f>
        <v>22.265377227244603</v>
      </c>
    </row>
    <row r="47" spans="2:43" x14ac:dyDescent="0.25">
      <c r="B47" s="152">
        <f>CCA_Defense!B47</f>
        <v>45</v>
      </c>
      <c r="C47" s="153" t="str">
        <f>CCA_Defense!C47</f>
        <v>Godrej Aerospace</v>
      </c>
      <c r="D47" s="152" t="str">
        <f>CCA_Defense!D47</f>
        <v>1436Z</v>
      </c>
      <c r="E47" s="152"/>
      <c r="F47" s="161" t="str">
        <f>IFERROR(_xlfn.XLOOKUP($D47,BB_Input!$C$5:$C$152,BB_Input!$BK$5:$BK$152,0),"")</f>
        <v/>
      </c>
      <c r="G47" s="161"/>
      <c r="H47" s="162"/>
      <c r="I47" s="162"/>
      <c r="J47" s="162"/>
      <c r="K47" s="120"/>
      <c r="L47" s="161" t="str">
        <f t="shared" si="73"/>
        <v/>
      </c>
      <c r="M47" s="162" t="str">
        <f t="shared" si="74"/>
        <v/>
      </c>
      <c r="N47" s="162" t="str">
        <f t="shared" si="75"/>
        <v/>
      </c>
      <c r="O47" s="162" t="str">
        <f t="shared" si="76"/>
        <v/>
      </c>
      <c r="P47" s="217" t="str">
        <f t="shared" si="77"/>
        <v/>
      </c>
      <c r="Q47" s="213"/>
      <c r="T47" s="212" t="str">
        <f>_xlfn.XLOOKUP($C47,CCA_Defense!$C:$C,CCA_Defense!$T:$T)</f>
        <v/>
      </c>
      <c r="U47" s="212">
        <f>_xlfn.XLOOKUP($C47,CCA_Defense!$C:$C,CCA_Defense!$U:$U)</f>
        <v>0</v>
      </c>
      <c r="V47" s="212"/>
      <c r="W47" s="212"/>
      <c r="X47" s="214"/>
      <c r="Y47" s="213"/>
      <c r="Z47" s="213"/>
      <c r="AA47" s="213"/>
      <c r="AB47" s="163"/>
      <c r="AH47" s="214"/>
      <c r="AI47" s="213"/>
      <c r="AJ47" s="213"/>
      <c r="AK47" s="213"/>
      <c r="AL47" s="163"/>
      <c r="AM47" s="161"/>
      <c r="AN47" s="162"/>
      <c r="AO47" s="162"/>
      <c r="AP47" s="162"/>
      <c r="AQ47" s="217"/>
    </row>
    <row r="48" spans="2:43" x14ac:dyDescent="0.25">
      <c r="B48" s="152">
        <f>CCA_Defense!B48</f>
        <v>46</v>
      </c>
      <c r="C48" s="153" t="str">
        <f>CCA_Defense!C48</f>
        <v>HFCL</v>
      </c>
      <c r="D48" s="152" t="str">
        <f>CCA_Defense!D48</f>
        <v>HMFC</v>
      </c>
      <c r="E48" s="152" t="str">
        <f>CCA_Defense!E48</f>
        <v>HFCL</v>
      </c>
      <c r="F48" s="161">
        <f>IFERROR(_xlfn.XLOOKUP($D48,BB_Input!$C$5:$C$152,BB_Input!$BK$5:$BK$152,0),"")</f>
        <v>64.239997863769531</v>
      </c>
      <c r="G48" s="161" t="str">
        <f>IFERROR(_xlfn.XLOOKUP($D48,BB_Input!$C$5:$C$152,BB_Input!BS$5:BS$152),"")</f>
        <v/>
      </c>
      <c r="H48" s="162" t="str">
        <f>IFERROR(_xlfn.XLOOKUP($D48,BB_Input!$C$5:$C$152,BB_Input!BT$5:BT$152),"")</f>
        <v/>
      </c>
      <c r="I48" s="162" t="str">
        <f>IFERROR(_xlfn.XLOOKUP($D48,BB_Input!$C$5:$C$152,BB_Input!BU$5:BU$152),"")</f>
        <v/>
      </c>
      <c r="J48" s="162" t="str">
        <f>IFERROR(_xlfn.XLOOKUP($D48,BB_Input!$C$5:$C$152,BB_Input!BV$5:BV$152),"")</f>
        <v/>
      </c>
      <c r="L48" s="161" t="str">
        <f t="shared" si="73"/>
        <v/>
      </c>
      <c r="M48" s="162" t="str">
        <f t="shared" si="74"/>
        <v/>
      </c>
      <c r="N48" s="162" t="str">
        <f t="shared" si="75"/>
        <v/>
      </c>
      <c r="O48" s="162" t="str">
        <f t="shared" si="76"/>
        <v/>
      </c>
      <c r="P48" s="217" t="str">
        <f t="shared" si="77"/>
        <v/>
      </c>
      <c r="Q48" s="213"/>
      <c r="T48" s="212">
        <f>_xlfn.XLOOKUP($C48,CCA_Defense!$C:$C,CCA_Defense!$T:$T)</f>
        <v>-2.9945711436597622E-2</v>
      </c>
      <c r="U48" s="212">
        <f>_xlfn.XLOOKUP($C48,CCA_Defense!$C:$C,CCA_Defense!$U:$U)</f>
        <v>0</v>
      </c>
      <c r="V48" s="212"/>
      <c r="W48" s="212"/>
    </row>
    <row r="49" spans="2:43" x14ac:dyDescent="0.25">
      <c r="B49" s="152">
        <f>CCA_Defense!B49</f>
        <v>47</v>
      </c>
      <c r="C49" s="153" t="str">
        <f>CCA_Defense!C49</f>
        <v>High Energy Batteries (India)</v>
      </c>
      <c r="D49" s="152" t="str">
        <f>CCA_Defense!D49</f>
        <v>HIGH</v>
      </c>
      <c r="E49" s="152" t="str">
        <f>CCA_Defense!E49</f>
        <v>HIGHEEBAT</v>
      </c>
      <c r="F49" s="161">
        <f>IFERROR(_xlfn.XLOOKUP($D49,BB_Input!$C$5:$C$152,BB_Input!$BK$5:$BK$152,0),"")</f>
        <v>544.04998779296875</v>
      </c>
      <c r="G49" s="161">
        <f>AM49</f>
        <v>16.250689649293793</v>
      </c>
      <c r="H49" s="162">
        <f t="shared" ref="H49" si="121">AN49</f>
        <v>16.285864631455048</v>
      </c>
      <c r="I49" s="162">
        <f t="shared" ref="I49" si="122">AO49</f>
        <v>15.86775142424692</v>
      </c>
      <c r="J49" s="162">
        <f t="shared" ref="J49" si="123">AP49</f>
        <v>15.447751884374743</v>
      </c>
      <c r="K49" s="120">
        <f t="shared" ref="K49" si="124">AQ49</f>
        <v>15.481188889738263</v>
      </c>
      <c r="L49" s="161">
        <f t="shared" si="73"/>
        <v>33.478578419384903</v>
      </c>
      <c r="M49" s="162">
        <f t="shared" si="74"/>
        <v>33.406269799281823</v>
      </c>
      <c r="N49" s="162">
        <f t="shared" si="75"/>
        <v>34.286520707756125</v>
      </c>
      <c r="O49" s="162">
        <f t="shared" si="76"/>
        <v>35.2187160866605</v>
      </c>
      <c r="P49" s="217">
        <f t="shared" si="77"/>
        <v>35.142649034764595</v>
      </c>
      <c r="Q49" s="213"/>
      <c r="T49" s="212">
        <f>_xlfn.XLOOKUP($C49,CCA_Defense!$C:$C,CCA_Defense!$T:$T)</f>
        <v>2.1645224246086901E-3</v>
      </c>
      <c r="U49" s="212">
        <f>_xlfn.XLOOKUP($C49,CCA_Defense!$C:$C,CCA_Defense!$U:$U)</f>
        <v>0</v>
      </c>
      <c r="V49" s="212"/>
      <c r="W49" s="212"/>
      <c r="X49" s="214">
        <f>_xlfn.XLOOKUP($D49,BB_Input!$C$4:$C$163,BB_Input!$CY$4:$CY$163)*(1+$T49)</f>
        <v>809.2698994773649</v>
      </c>
      <c r="Y49" s="213">
        <f>X49*(1+$T49)</f>
        <v>811.02158232234456</v>
      </c>
      <c r="Z49" s="213">
        <f>Y49*(1+$T49)</f>
        <v>812.77705672412299</v>
      </c>
      <c r="AA49" s="213">
        <f>Z49*(1+$T49)</f>
        <v>814.53633088960987</v>
      </c>
      <c r="AB49" s="163">
        <f>AA49*(1+$T49)</f>
        <v>816.29941304347892</v>
      </c>
      <c r="AC49" s="215">
        <v>0.18</v>
      </c>
      <c r="AD49" s="215">
        <v>0.18</v>
      </c>
      <c r="AE49" s="215">
        <v>0.17499999999999999</v>
      </c>
      <c r="AF49" s="215">
        <v>0.17</v>
      </c>
      <c r="AG49" s="216">
        <v>0.17</v>
      </c>
      <c r="AH49" s="214">
        <f>_xlfn.XLOOKUP($D49,BB_Input!$C$4:$C$163,BB_Input!$AR$4:$AR$163)</f>
        <v>8.9638399999999994</v>
      </c>
      <c r="AI49" s="213">
        <f>AH49</f>
        <v>8.9638399999999994</v>
      </c>
      <c r="AJ49" s="213">
        <f>AI49</f>
        <v>8.9638399999999994</v>
      </c>
      <c r="AK49" s="213">
        <f>AJ49</f>
        <v>8.9638399999999994</v>
      </c>
      <c r="AL49" s="163">
        <f>AK49</f>
        <v>8.9638399999999994</v>
      </c>
      <c r="AM49" s="161">
        <f>(X49*AC49)/AH49</f>
        <v>16.250689649293793</v>
      </c>
      <c r="AN49" s="162">
        <f t="shared" ref="AN49:AN52" si="125">(Y49*AD49)/AI49</f>
        <v>16.285864631455048</v>
      </c>
      <c r="AO49" s="162">
        <f t="shared" ref="AO49:AO52" si="126">(Z49*AE49)/AJ49</f>
        <v>15.86775142424692</v>
      </c>
      <c r="AP49" s="162">
        <f t="shared" ref="AP49:AP52" si="127">(AA49*AF49)/AK49</f>
        <v>15.447751884374743</v>
      </c>
      <c r="AQ49" s="217">
        <f t="shared" ref="AQ49:AQ52" si="128">(AB49*AG49)/AL49</f>
        <v>15.481188889738263</v>
      </c>
    </row>
    <row r="50" spans="2:43" x14ac:dyDescent="0.25">
      <c r="B50" s="152">
        <f>CCA_Defense!B50</f>
        <v>48</v>
      </c>
      <c r="C50" s="153" t="str">
        <f>CCA_Defense!C50</f>
        <v>Premier Explosives Ltd</v>
      </c>
      <c r="D50" s="152" t="str">
        <f>CCA_Defense!D50</f>
        <v>PRE</v>
      </c>
      <c r="E50" s="152" t="str">
        <f>CCA_Defense!E50</f>
        <v>PREMEXPLN</v>
      </c>
      <c r="F50" s="161">
        <f>IFERROR(_xlfn.XLOOKUP($D50,BB_Input!$C$5:$C$152,BB_Input!$BK$5:$BK$152,0),"")</f>
        <v>514.9000244140625</v>
      </c>
      <c r="G50" s="161">
        <f>AM50</f>
        <v>11.783168877095965</v>
      </c>
      <c r="H50" s="162">
        <f t="shared" ref="H50" si="129">AN50</f>
        <v>14.105942163244462</v>
      </c>
      <c r="I50" s="162">
        <f t="shared" ref="I50" si="130">AO50</f>
        <v>16.886595311348628</v>
      </c>
      <c r="J50" s="162">
        <f t="shared" ref="J50" si="131">AP50</f>
        <v>20.215388515649028</v>
      </c>
      <c r="K50" s="120">
        <f t="shared" ref="K50" si="132">AQ50</f>
        <v>24.200374634666208</v>
      </c>
      <c r="L50" s="161">
        <f t="shared" si="73"/>
        <v>43.697924538357526</v>
      </c>
      <c r="M50" s="162">
        <f t="shared" si="74"/>
        <v>36.502349042357906</v>
      </c>
      <c r="N50" s="162">
        <f t="shared" si="75"/>
        <v>30.491642330530901</v>
      </c>
      <c r="O50" s="162">
        <f t="shared" si="76"/>
        <v>25.470696445703769</v>
      </c>
      <c r="P50" s="217">
        <f t="shared" si="77"/>
        <v>21.276531135864559</v>
      </c>
      <c r="Q50" s="213"/>
      <c r="T50" s="212">
        <f>_xlfn.XLOOKUP($C50,CCA_Defense!$C:$C,CCA_Defense!$T:$T)</f>
        <v>0.16894795688450862</v>
      </c>
      <c r="U50" s="212">
        <f>_xlfn.XLOOKUP($C50,CCA_Defense!$C:$C,CCA_Defense!$U:$U)</f>
        <v>0.19120000000000001</v>
      </c>
      <c r="V50" s="212"/>
      <c r="W50" s="212"/>
      <c r="X50" s="214">
        <f>_xlfn.XLOOKUP($D50,BB_Input!$C$4:$C$163,BB_Input!$CY$4:$CY$163)*(1+$U50)</f>
        <v>4972.6917976000004</v>
      </c>
      <c r="Y50" s="213">
        <f>X50*(1+$U50)</f>
        <v>5923.4704693011208</v>
      </c>
      <c r="Z50" s="213">
        <f t="shared" ref="Z50:AB50" si="133">Y50*(1+$U50)</f>
        <v>7056.038023031495</v>
      </c>
      <c r="AA50" s="213">
        <f t="shared" si="133"/>
        <v>8405.152493035117</v>
      </c>
      <c r="AB50" s="163">
        <f t="shared" si="133"/>
        <v>10012.217649703432</v>
      </c>
      <c r="AC50" s="215">
        <f>(18/142)*1.01</f>
        <v>0.12802816901408451</v>
      </c>
      <c r="AD50" s="215">
        <f>AC50*1.01</f>
        <v>0.12930845070422536</v>
      </c>
      <c r="AE50" s="215">
        <f t="shared" ref="AE50:AG50" si="134">AD50*1.01</f>
        <v>0.13060153521126761</v>
      </c>
      <c r="AF50" s="215">
        <f t="shared" si="134"/>
        <v>0.13190755056338027</v>
      </c>
      <c r="AG50" s="216">
        <f t="shared" si="134"/>
        <v>0.13322662606901409</v>
      </c>
      <c r="AH50" s="214">
        <f>_xlfn.XLOOKUP($D50,BB_Input!$C$4:$C$163,BB_Input!$AR$4:$AR$163)*1.005</f>
        <v>54.030000974999993</v>
      </c>
      <c r="AI50" s="213">
        <f>AH50*1.005</f>
        <v>54.300150979874985</v>
      </c>
      <c r="AJ50" s="213">
        <f t="shared" ref="AJ50:AL50" si="135">AI50*1.005</f>
        <v>54.571651734774356</v>
      </c>
      <c r="AK50" s="213">
        <f t="shared" si="135"/>
        <v>54.84450999344822</v>
      </c>
      <c r="AL50" s="163">
        <f t="shared" si="135"/>
        <v>55.118732543415454</v>
      </c>
      <c r="AM50" s="161">
        <f>(X50*AC50)/AH50</f>
        <v>11.783168877095965</v>
      </c>
      <c r="AN50" s="162">
        <f t="shared" si="125"/>
        <v>14.105942163244462</v>
      </c>
      <c r="AO50" s="162">
        <f t="shared" si="126"/>
        <v>16.886595311348628</v>
      </c>
      <c r="AP50" s="162">
        <f t="shared" si="127"/>
        <v>20.215388515649028</v>
      </c>
      <c r="AQ50" s="217">
        <f t="shared" si="128"/>
        <v>24.200374634666208</v>
      </c>
    </row>
    <row r="51" spans="2:43" x14ac:dyDescent="0.25">
      <c r="B51" s="152">
        <f>CCA_Defense!B51</f>
        <v>49</v>
      </c>
      <c r="C51" s="153" t="str">
        <f>CCA_Defense!C51</f>
        <v>Marine Electricals (India)</v>
      </c>
      <c r="D51" s="152" t="str">
        <f>CCA_Defense!D51</f>
        <v>MARINE</v>
      </c>
      <c r="E51" s="152" t="str">
        <f>CCA_Defense!E51</f>
        <v>MARINE</v>
      </c>
      <c r="F51" s="161">
        <f>IFERROR(_xlfn.XLOOKUP($D51,BB_Input!$C$5:$C$152,BB_Input!$BK$5:$BK$152,0),"")</f>
        <v>211.24000549316406</v>
      </c>
      <c r="G51" s="161"/>
      <c r="H51" s="162"/>
      <c r="I51" s="162"/>
      <c r="J51" s="162"/>
      <c r="K51" s="120"/>
      <c r="L51" s="161" t="str">
        <f t="shared" si="73"/>
        <v/>
      </c>
      <c r="M51" s="162" t="str">
        <f t="shared" si="74"/>
        <v/>
      </c>
      <c r="N51" s="162" t="str">
        <f t="shared" si="75"/>
        <v/>
      </c>
      <c r="O51" s="162" t="str">
        <f t="shared" si="76"/>
        <v/>
      </c>
      <c r="P51" s="217" t="str">
        <f t="shared" si="77"/>
        <v/>
      </c>
      <c r="Q51" s="213"/>
      <c r="T51" s="212">
        <f>_xlfn.XLOOKUP($C51,CCA_Defense!$C:$C,CCA_Defense!$T:$T)</f>
        <v>0.15342350780229363</v>
      </c>
      <c r="U51" s="212">
        <f>_xlfn.XLOOKUP($C51,CCA_Defense!$C:$C,CCA_Defense!$U:$U)</f>
        <v>0</v>
      </c>
      <c r="V51" s="212" t="s">
        <v>1085</v>
      </c>
      <c r="W51" s="212"/>
      <c r="X51" s="214"/>
      <c r="Y51" s="213"/>
      <c r="Z51" s="213"/>
      <c r="AA51" s="213"/>
      <c r="AB51" s="163"/>
      <c r="AC51" s="215"/>
      <c r="AD51" s="215"/>
      <c r="AE51" s="215"/>
      <c r="AF51" s="215"/>
      <c r="AG51" s="216"/>
      <c r="AH51" s="214">
        <f>_xlfn.XLOOKUP($D51,BB_Input!$C$4:$C$163,BB_Input!$AR$4:$AR$163)</f>
        <v>137.94441</v>
      </c>
      <c r="AI51" s="213">
        <f t="shared" ref="AI51:AL51" si="136">AH51</f>
        <v>137.94441</v>
      </c>
      <c r="AJ51" s="213">
        <f t="shared" si="136"/>
        <v>137.94441</v>
      </c>
      <c r="AK51" s="213">
        <f t="shared" si="136"/>
        <v>137.94441</v>
      </c>
      <c r="AL51" s="163">
        <f t="shared" si="136"/>
        <v>137.94441</v>
      </c>
      <c r="AM51" s="161">
        <f>(X51*AC51)/AH51</f>
        <v>0</v>
      </c>
      <c r="AN51" s="162">
        <f t="shared" si="125"/>
        <v>0</v>
      </c>
      <c r="AO51" s="162">
        <f t="shared" si="126"/>
        <v>0</v>
      </c>
      <c r="AP51" s="162">
        <f t="shared" si="127"/>
        <v>0</v>
      </c>
      <c r="AQ51" s="217">
        <f t="shared" si="128"/>
        <v>0</v>
      </c>
    </row>
    <row r="52" spans="2:43" x14ac:dyDescent="0.25">
      <c r="B52" s="152">
        <f>CCA_Defense!B52</f>
        <v>50</v>
      </c>
      <c r="C52" s="153" t="str">
        <f>CCA_Defense!C52</f>
        <v>Lokesh Machines</v>
      </c>
      <c r="D52" s="152" t="str">
        <f>CCA_Defense!D52</f>
        <v>LOKM</v>
      </c>
      <c r="E52" s="152" t="str">
        <f>CCA_Defense!E52</f>
        <v>LOKESHMACH</v>
      </c>
      <c r="F52" s="161">
        <f>IFERROR(_xlfn.XLOOKUP($D52,BB_Input!$C$5:$C$152,BB_Input!$BK$5:$BK$152,0),"")</f>
        <v>164.78999328613281</v>
      </c>
      <c r="G52" s="161">
        <f>AM52</f>
        <v>1.1707945723897504</v>
      </c>
      <c r="H52" s="162">
        <f t="shared" ref="H52:H54" si="137">AN52</f>
        <v>1.1885280827380325</v>
      </c>
      <c r="I52" s="162">
        <f t="shared" ref="I52:I54" si="138">AO52</f>
        <v>1.2065301947664799</v>
      </c>
      <c r="J52" s="162">
        <f t="shared" ref="J52:J54" si="139">AP52</f>
        <v>1.224804976866583</v>
      </c>
      <c r="K52" s="120">
        <f t="shared" ref="K52:K54" si="140">AQ52</f>
        <v>1.2433565590519677</v>
      </c>
      <c r="L52" s="161">
        <f t="shared" si="73"/>
        <v>140.75056134721748</v>
      </c>
      <c r="M52" s="162">
        <f t="shared" si="74"/>
        <v>138.65048346733491</v>
      </c>
      <c r="N52" s="162">
        <f t="shared" si="75"/>
        <v>136.58173993567345</v>
      </c>
      <c r="O52" s="162">
        <f t="shared" si="76"/>
        <v>134.54386322605811</v>
      </c>
      <c r="P52" s="217">
        <f t="shared" si="77"/>
        <v>132.53639278806844</v>
      </c>
      <c r="Q52" s="213"/>
      <c r="T52" s="212">
        <f>_xlfn.XLOOKUP($C52,CCA_Defense!$C:$C,CCA_Defense!$T:$T)</f>
        <v>2.540056575138715E-2</v>
      </c>
      <c r="U52" s="212">
        <f>_xlfn.XLOOKUP($C52,CCA_Defense!$C:$C,CCA_Defense!$U:$U)</f>
        <v>0</v>
      </c>
      <c r="V52" s="212"/>
      <c r="W52" s="212"/>
      <c r="X52" s="214">
        <f>_xlfn.XLOOKUP($D52,BB_Input!$C$4:$C$163,BB_Input!$CY$4:$CY$163)*(1+$T52)</f>
        <v>2341.2109781326189</v>
      </c>
      <c r="Y52" s="213">
        <f>X52*(1+$T52)</f>
        <v>2400.6790615205459</v>
      </c>
      <c r="Z52" s="213">
        <f>Y52*(1+$T52)</f>
        <v>2461.657667870677</v>
      </c>
      <c r="AA52" s="213">
        <f>Z52*(1+$T52)</f>
        <v>2524.1851653208323</v>
      </c>
      <c r="AB52" s="163">
        <f>AA52*(1+$T52)</f>
        <v>2588.3008965812401</v>
      </c>
      <c r="AC52" s="215">
        <v>0.01</v>
      </c>
      <c r="AD52" s="215">
        <f>AC52*0.99</f>
        <v>9.9000000000000008E-3</v>
      </c>
      <c r="AE52" s="215">
        <f t="shared" ref="AE52:AG52" si="141">AD52*0.99</f>
        <v>9.8010000000000007E-3</v>
      </c>
      <c r="AF52" s="215">
        <f t="shared" si="141"/>
        <v>9.7029899999999999E-3</v>
      </c>
      <c r="AG52" s="216">
        <f t="shared" si="141"/>
        <v>9.6059600999999998E-3</v>
      </c>
      <c r="AH52" s="214">
        <f>_xlfn.XLOOKUP($D52,BB_Input!$C$4:$C$163,BB_Input!$AR$4:$AR$163)</f>
        <v>19.996770000000001</v>
      </c>
      <c r="AI52" s="213">
        <f t="shared" ref="AI52:AL53" si="142">AH52</f>
        <v>19.996770000000001</v>
      </c>
      <c r="AJ52" s="213">
        <f t="shared" si="142"/>
        <v>19.996770000000001</v>
      </c>
      <c r="AK52" s="213">
        <f t="shared" si="142"/>
        <v>19.996770000000001</v>
      </c>
      <c r="AL52" s="163">
        <f t="shared" si="142"/>
        <v>19.996770000000001</v>
      </c>
      <c r="AM52" s="161">
        <f>(X52*AC52)/AH52</f>
        <v>1.1707945723897504</v>
      </c>
      <c r="AN52" s="162">
        <f t="shared" si="125"/>
        <v>1.1885280827380325</v>
      </c>
      <c r="AO52" s="162">
        <f t="shared" si="126"/>
        <v>1.2065301947664799</v>
      </c>
      <c r="AP52" s="162">
        <f t="shared" si="127"/>
        <v>1.224804976866583</v>
      </c>
      <c r="AQ52" s="217">
        <f t="shared" si="128"/>
        <v>1.2433565590519677</v>
      </c>
    </row>
    <row r="53" spans="2:43" x14ac:dyDescent="0.25">
      <c r="B53" s="152">
        <f>CCA_Defense!B53</f>
        <v>51</v>
      </c>
      <c r="C53" s="153" t="str">
        <f>CCA_Defense!C53</f>
        <v>Swan Energy</v>
      </c>
      <c r="D53" s="152" t="str">
        <f>CCA_Defense!D53</f>
        <v>SWANCORP</v>
      </c>
      <c r="E53" s="152" t="str">
        <f>CCA_Defense!E53</f>
        <v>SWANENERGY</v>
      </c>
      <c r="F53" s="161">
        <v>427</v>
      </c>
      <c r="G53" s="161">
        <f>AM53</f>
        <v>26.969056164353159</v>
      </c>
      <c r="H53" s="162">
        <f t="shared" ref="H53" si="143">AN53</f>
        <v>31.737047248424698</v>
      </c>
      <c r="I53" s="162">
        <f t="shared" ref="I53" si="144">AO53</f>
        <v>39.786523617234479</v>
      </c>
      <c r="J53" s="162">
        <f t="shared" ref="J53" si="145">AP53</f>
        <v>46.820577338547778</v>
      </c>
      <c r="K53" s="120">
        <f t="shared" ref="K53" si="146">AQ53</f>
        <v>56.875577551243062</v>
      </c>
      <c r="L53" s="161">
        <f t="shared" si="73"/>
        <v>15.832960463940708</v>
      </c>
      <c r="M53" s="162">
        <f t="shared" si="74"/>
        <v>13.45430772616046</v>
      </c>
      <c r="N53" s="162">
        <f t="shared" si="75"/>
        <v>10.732277192849159</v>
      </c>
      <c r="O53" s="162">
        <f t="shared" si="76"/>
        <v>9.1199217154558081</v>
      </c>
      <c r="P53" s="217">
        <f t="shared" si="77"/>
        <v>7.5076160697495649</v>
      </c>
      <c r="Q53" s="213"/>
      <c r="T53" s="212">
        <f>_xlfn.XLOOKUP($C53,CCA_Defense!$C:$C,CCA_Defense!$T:$T)</f>
        <v>0.58931627108919971</v>
      </c>
      <c r="U53" s="212">
        <f>_xlfn.XLOOKUP($C53,CCA_Defense!$C:$C,CCA_Defense!$U:$U)</f>
        <v>0</v>
      </c>
      <c r="V53" s="212" t="s">
        <v>1085</v>
      </c>
      <c r="W53" s="212"/>
      <c r="X53" s="214">
        <f>_xlfn.XLOOKUP($D53,BB_Input!$C$4:$C$163,BB_Input!$CY$4:$CY$163)*(1+$T53*0.3)</f>
        <v>58108.584931441343</v>
      </c>
      <c r="Y53" s="213">
        <f>X53*(1+$T53*0.3)</f>
        <v>68381.885308461468</v>
      </c>
      <c r="Z53" s="213">
        <f t="shared" ref="Z53:AB53" si="147">Y53*(1+$T53*0.3)</f>
        <v>80471.452606471023</v>
      </c>
      <c r="AA53" s="213">
        <f t="shared" si="147"/>
        <v>94698.393520224054</v>
      </c>
      <c r="AB53" s="163">
        <f t="shared" si="147"/>
        <v>111440.58476446687</v>
      </c>
      <c r="AC53" s="215">
        <f>15%*0.97</f>
        <v>0.14549999999999999</v>
      </c>
      <c r="AD53" s="215">
        <f>15%*0.97</f>
        <v>0.14549999999999999</v>
      </c>
      <c r="AE53" s="215">
        <v>0.155</v>
      </c>
      <c r="AF53" s="215">
        <v>0.155</v>
      </c>
      <c r="AG53" s="216">
        <v>0.16</v>
      </c>
      <c r="AH53" s="214">
        <v>313.5</v>
      </c>
      <c r="AI53" s="213">
        <f>AH53</f>
        <v>313.5</v>
      </c>
      <c r="AJ53" s="213">
        <f t="shared" si="142"/>
        <v>313.5</v>
      </c>
      <c r="AK53" s="213">
        <f t="shared" si="142"/>
        <v>313.5</v>
      </c>
      <c r="AL53" s="163">
        <f t="shared" si="142"/>
        <v>313.5</v>
      </c>
      <c r="AM53" s="161">
        <f>(X53*AC53)/AH53</f>
        <v>26.969056164353159</v>
      </c>
      <c r="AN53" s="162">
        <f t="shared" ref="AN53" si="148">(Y53*AD53)/AI53</f>
        <v>31.737047248424698</v>
      </c>
      <c r="AO53" s="162">
        <f t="shared" ref="AO53" si="149">(Z53*AE53)/AJ53</f>
        <v>39.786523617234479</v>
      </c>
      <c r="AP53" s="162">
        <f t="shared" ref="AP53" si="150">(AA53*AF53)/AK53</f>
        <v>46.820577338547778</v>
      </c>
      <c r="AQ53" s="217">
        <f t="shared" ref="AQ53" si="151">(AB53*AG53)/AL53</f>
        <v>56.875577551243062</v>
      </c>
    </row>
    <row r="54" spans="2:43" x14ac:dyDescent="0.25">
      <c r="B54" s="152">
        <f>CCA_Defense!B54</f>
        <v>52</v>
      </c>
      <c r="C54" s="153" t="str">
        <f>CCA_Defense!C54</f>
        <v>Walchandnagar Industries</v>
      </c>
      <c r="D54" s="152" t="str">
        <f>CCA_Defense!D54</f>
        <v>WI</v>
      </c>
      <c r="E54" s="152" t="str">
        <f>CCA_Defense!E54</f>
        <v>WALCHANNAG</v>
      </c>
      <c r="F54" s="161">
        <f>IFERROR(_xlfn.XLOOKUP($D54,BB_Input!$C$5:$C$152,BB_Input!$BK$5:$BK$152,0),"")</f>
        <v>195.49000549316406</v>
      </c>
      <c r="G54" s="161">
        <f>AM54</f>
        <v>0</v>
      </c>
      <c r="H54" s="162">
        <f t="shared" si="137"/>
        <v>0</v>
      </c>
      <c r="I54" s="162">
        <f t="shared" si="138"/>
        <v>0.52602321003785391</v>
      </c>
      <c r="J54" s="162">
        <f t="shared" si="139"/>
        <v>0.85196955476703018</v>
      </c>
      <c r="K54" s="120">
        <f t="shared" si="140"/>
        <v>0.99351800081662212</v>
      </c>
      <c r="L54" s="161" t="str">
        <f t="shared" si="73"/>
        <v/>
      </c>
      <c r="M54" s="162" t="str">
        <f t="shared" si="74"/>
        <v/>
      </c>
      <c r="N54" s="162">
        <f t="shared" si="75"/>
        <v>371.63760412605393</v>
      </c>
      <c r="O54" s="162">
        <f t="shared" si="76"/>
        <v>229.45656261933036</v>
      </c>
      <c r="P54" s="217">
        <f t="shared" si="77"/>
        <v>196.76543890747934</v>
      </c>
      <c r="Q54" s="213"/>
      <c r="T54" s="212">
        <f>_xlfn.XLOOKUP($C54,CCA_Defense!$C:$C,CCA_Defense!$T:$T)</f>
        <v>-2.8214491099295368E-2</v>
      </c>
      <c r="U54" s="212">
        <f>_xlfn.XLOOKUP($C54,CCA_Defense!$C:$C,CCA_Defense!$U:$U)</f>
        <v>0</v>
      </c>
      <c r="V54" s="212"/>
      <c r="W54" s="212"/>
      <c r="X54" s="214">
        <f>_xlfn.XLOOKUP($D54,BB_Input!$C$4:$C$163,BB_Input!$CY$4:$CY$163)*(1+$T54)</f>
        <v>2518.6736819688463</v>
      </c>
      <c r="Y54" s="213">
        <f>X54*(1+$T54)</f>
        <v>2447.6105857869065</v>
      </c>
      <c r="Z54" s="213">
        <f>Y54*(1+$T54)</f>
        <v>2378.5524986996807</v>
      </c>
      <c r="AA54" s="213">
        <f>Z54*(1+$T54)</f>
        <v>2311.4428503959116</v>
      </c>
      <c r="AB54" s="163">
        <f>AA54*(1+$T54)</f>
        <v>2246.2266666668861</v>
      </c>
      <c r="AC54" s="215">
        <v>-0.05</v>
      </c>
      <c r="AD54" s="215">
        <v>0</v>
      </c>
      <c r="AE54" s="215">
        <v>1.4999999999999999E-2</v>
      </c>
      <c r="AF54" s="215">
        <v>2.5000000000000001E-2</v>
      </c>
      <c r="AG54" s="216">
        <v>0.03</v>
      </c>
      <c r="AH54" s="214">
        <f>_xlfn.XLOOKUP($D54,BB_Input!$C$4:$C$163,BB_Input!$AR$4:$AR$163)</f>
        <v>67.826451000000006</v>
      </c>
      <c r="AI54" s="213">
        <f t="shared" ref="AI54:AL54" si="152">AH54</f>
        <v>67.826451000000006</v>
      </c>
      <c r="AJ54" s="213">
        <f t="shared" si="152"/>
        <v>67.826451000000006</v>
      </c>
      <c r="AK54" s="213">
        <f t="shared" si="152"/>
        <v>67.826451000000006</v>
      </c>
      <c r="AL54" s="163">
        <f t="shared" si="152"/>
        <v>67.826451000000006</v>
      </c>
      <c r="AM54" s="161"/>
      <c r="AN54" s="162">
        <f t="shared" ref="AN54" si="153">(Y54*AD54)/AI54</f>
        <v>0</v>
      </c>
      <c r="AO54" s="162">
        <f t="shared" ref="AO54" si="154">(Z54*AE54)/AJ54</f>
        <v>0.52602321003785391</v>
      </c>
      <c r="AP54" s="162">
        <f t="shared" ref="AP54" si="155">(AA54*AF54)/AK54</f>
        <v>0.85196955476703018</v>
      </c>
      <c r="AQ54" s="217">
        <f t="shared" ref="AQ54" si="156">(AB54*AG54)/AL54</f>
        <v>0.99351800081662212</v>
      </c>
    </row>
    <row r="55" spans="2:43" x14ac:dyDescent="0.25">
      <c r="B55" s="152">
        <f>CCA_Defense!B55</f>
        <v>53</v>
      </c>
      <c r="C55" s="153" t="str">
        <f>CCA_Defense!C55</f>
        <v>Advance Weapon Equipment India</v>
      </c>
      <c r="D55" s="152" t="str">
        <f>CCA_Defense!D55</f>
        <v>1943634D</v>
      </c>
      <c r="E55" s="152"/>
      <c r="F55" s="161" t="str">
        <f>IFERROR(_xlfn.XLOOKUP($D55,BB_Input!$C$5:$C$152,BB_Input!$BK$5:$BK$152,0),"")</f>
        <v/>
      </c>
      <c r="G55" s="161"/>
      <c r="H55" s="162"/>
      <c r="I55" s="162"/>
      <c r="J55" s="162"/>
      <c r="K55" s="120"/>
      <c r="L55" s="161" t="str">
        <f t="shared" si="73"/>
        <v/>
      </c>
      <c r="M55" s="162" t="str">
        <f t="shared" si="74"/>
        <v/>
      </c>
      <c r="N55" s="162" t="str">
        <f t="shared" si="75"/>
        <v/>
      </c>
      <c r="O55" s="162" t="str">
        <f t="shared" si="76"/>
        <v/>
      </c>
      <c r="P55" s="217" t="str">
        <f t="shared" si="77"/>
        <v/>
      </c>
      <c r="Q55" s="213"/>
      <c r="T55" s="212" t="str">
        <f>_xlfn.XLOOKUP($C55,CCA_Defense!$C:$C,CCA_Defense!$T:$T)</f>
        <v/>
      </c>
      <c r="U55" s="212">
        <f>_xlfn.XLOOKUP($C55,CCA_Defense!$C:$C,CCA_Defense!$U:$U)</f>
        <v>0</v>
      </c>
      <c r="V55" s="212"/>
      <c r="W55" s="212"/>
      <c r="X55" s="220"/>
      <c r="Y55" s="213"/>
      <c r="Z55" s="213"/>
      <c r="AA55" s="213"/>
      <c r="AB55" s="163"/>
      <c r="AH55" s="214"/>
      <c r="AI55" s="213"/>
      <c r="AJ55" s="213"/>
      <c r="AK55" s="213"/>
      <c r="AL55" s="163"/>
    </row>
    <row r="56" spans="2:43" x14ac:dyDescent="0.25">
      <c r="B56" s="152">
        <f>CCA_Defense!B56</f>
        <v>54</v>
      </c>
      <c r="C56" s="153" t="str">
        <f>CCA_Defense!C56</f>
        <v>Armoured Vehicles Nigam</v>
      </c>
      <c r="D56" s="152" t="str">
        <f>CCA_Defense!D56</f>
        <v>2300472D</v>
      </c>
      <c r="E56" s="152"/>
      <c r="F56" s="161" t="str">
        <f>IFERROR(_xlfn.XLOOKUP($D56,BB_Input!$C$5:$C$152,BB_Input!$BK$5:$BK$152,0),"")</f>
        <v/>
      </c>
      <c r="G56" s="161"/>
      <c r="H56" s="162"/>
      <c r="I56" s="162"/>
      <c r="J56" s="162"/>
      <c r="K56" s="120"/>
      <c r="L56" s="161" t="str">
        <f t="shared" si="73"/>
        <v/>
      </c>
      <c r="M56" s="162" t="str">
        <f t="shared" si="74"/>
        <v/>
      </c>
      <c r="N56" s="162" t="str">
        <f t="shared" si="75"/>
        <v/>
      </c>
      <c r="O56" s="162" t="str">
        <f t="shared" si="76"/>
        <v/>
      </c>
      <c r="P56" s="217" t="str">
        <f t="shared" si="77"/>
        <v/>
      </c>
      <c r="Q56" s="213"/>
      <c r="T56" s="212" t="str">
        <f>_xlfn.XLOOKUP($C56,CCA_Defense!$C:$C,CCA_Defense!$T:$T)</f>
        <v/>
      </c>
      <c r="U56" s="212">
        <f>_xlfn.XLOOKUP($C56,CCA_Defense!$C:$C,CCA_Defense!$U:$U)</f>
        <v>0</v>
      </c>
      <c r="V56" s="212"/>
      <c r="W56" s="212"/>
      <c r="X56" s="214"/>
      <c r="Y56" s="213"/>
      <c r="Z56" s="213"/>
      <c r="AA56" s="213"/>
      <c r="AB56" s="163"/>
      <c r="AH56" s="214"/>
      <c r="AI56" s="213"/>
      <c r="AJ56" s="213"/>
      <c r="AK56" s="213"/>
      <c r="AL56" s="163"/>
    </row>
    <row r="57" spans="2:43" x14ac:dyDescent="0.25">
      <c r="B57" s="152">
        <f>CCA_Defense!B57</f>
        <v>55</v>
      </c>
      <c r="C57" s="153" t="str">
        <f>CCA_Defense!C57</f>
        <v>Artemon Aerospace</v>
      </c>
      <c r="D57" s="152"/>
      <c r="E57" s="152"/>
      <c r="F57" s="161">
        <f>IFERROR(_xlfn.XLOOKUP($D57,BB_Input!$C$5:$C$152,BB_Input!$BK$5:$BK$152,0),"")</f>
        <v>0</v>
      </c>
      <c r="G57" s="161"/>
      <c r="H57" s="162"/>
      <c r="I57" s="162"/>
      <c r="J57" s="162"/>
      <c r="K57" s="120"/>
      <c r="L57" s="161" t="str">
        <f t="shared" si="73"/>
        <v/>
      </c>
      <c r="M57" s="162" t="str">
        <f t="shared" si="74"/>
        <v/>
      </c>
      <c r="N57" s="162" t="str">
        <f t="shared" si="75"/>
        <v/>
      </c>
      <c r="O57" s="162" t="str">
        <f t="shared" si="76"/>
        <v/>
      </c>
      <c r="P57" s="217" t="str">
        <f t="shared" si="77"/>
        <v/>
      </c>
      <c r="Q57" s="213"/>
      <c r="T57" s="212" t="str">
        <f>_xlfn.XLOOKUP($C57,CCA_Defense!$C:$C,CCA_Defense!$T:$T)</f>
        <v/>
      </c>
      <c r="U57" s="212"/>
      <c r="V57" s="212"/>
      <c r="W57" s="212"/>
      <c r="X57" s="214"/>
      <c r="Y57" s="213"/>
      <c r="Z57" s="213"/>
      <c r="AA57" s="213"/>
      <c r="AB57" s="163"/>
      <c r="AH57" s="214"/>
      <c r="AI57" s="213"/>
      <c r="AJ57" s="213"/>
      <c r="AK57" s="213"/>
      <c r="AL57" s="163"/>
    </row>
    <row r="58" spans="2:43" x14ac:dyDescent="0.25">
      <c r="B58" s="152">
        <f>CCA_Defense!B58</f>
        <v>56</v>
      </c>
      <c r="C58" s="153" t="str">
        <f>CCA_Defense!C58</f>
        <v>Gliders India</v>
      </c>
      <c r="D58" s="152"/>
      <c r="E58" s="152"/>
      <c r="F58" s="161">
        <f>IFERROR(_xlfn.XLOOKUP($D58,BB_Input!$C$5:$C$152,BB_Input!$BK$5:$BK$152,0),"")</f>
        <v>0</v>
      </c>
      <c r="G58" s="161"/>
      <c r="H58" s="162"/>
      <c r="I58" s="162"/>
      <c r="J58" s="162"/>
      <c r="K58" s="120"/>
      <c r="L58" s="161" t="str">
        <f t="shared" si="73"/>
        <v/>
      </c>
      <c r="M58" s="162" t="str">
        <f t="shared" si="74"/>
        <v/>
      </c>
      <c r="N58" s="162" t="str">
        <f t="shared" si="75"/>
        <v/>
      </c>
      <c r="O58" s="162" t="str">
        <f t="shared" si="76"/>
        <v/>
      </c>
      <c r="P58" s="217" t="str">
        <f t="shared" si="77"/>
        <v/>
      </c>
      <c r="Q58" s="213"/>
      <c r="T58" s="212" t="str">
        <f>_xlfn.XLOOKUP($C58,CCA_Defense!$C:$C,CCA_Defense!$T:$T)</f>
        <v/>
      </c>
      <c r="U58" s="212"/>
      <c r="V58" s="212"/>
      <c r="W58" s="212"/>
      <c r="X58" s="214"/>
      <c r="Y58" s="213"/>
      <c r="Z58" s="213"/>
      <c r="AA58" s="213"/>
      <c r="AB58" s="163"/>
      <c r="AH58" s="214"/>
      <c r="AI58" s="213"/>
      <c r="AJ58" s="213"/>
      <c r="AK58" s="213"/>
      <c r="AL58" s="163"/>
    </row>
    <row r="59" spans="2:43" x14ac:dyDescent="0.25">
      <c r="B59" s="152">
        <f>CCA_Defense!B59</f>
        <v>57</v>
      </c>
      <c r="C59" s="153" t="str">
        <f>CCA_Defense!C59</f>
        <v>Goa Shipyard</v>
      </c>
      <c r="D59" s="152" t="str">
        <f>CCA_Defense!D59</f>
        <v>7559676Z</v>
      </c>
      <c r="E59" s="152"/>
      <c r="F59" s="161" t="str">
        <f>IFERROR(_xlfn.XLOOKUP($D59,BB_Input!$C$5:$C$152,BB_Input!$BK$5:$BK$152,0),"")</f>
        <v/>
      </c>
      <c r="G59" s="161"/>
      <c r="H59" s="162"/>
      <c r="I59" s="162"/>
      <c r="J59" s="162"/>
      <c r="K59" s="120"/>
      <c r="L59" s="161" t="str">
        <f t="shared" si="73"/>
        <v/>
      </c>
      <c r="M59" s="162" t="str">
        <f t="shared" si="74"/>
        <v/>
      </c>
      <c r="N59" s="162" t="str">
        <f t="shared" si="75"/>
        <v/>
      </c>
      <c r="O59" s="162" t="str">
        <f t="shared" si="76"/>
        <v/>
      </c>
      <c r="P59" s="217" t="str">
        <f t="shared" si="77"/>
        <v/>
      </c>
      <c r="Q59" s="213"/>
      <c r="T59" s="212" t="str">
        <f>_xlfn.XLOOKUP($C59,CCA_Defense!$C:$C,CCA_Defense!$T:$T)</f>
        <v/>
      </c>
      <c r="U59" s="212"/>
      <c r="V59" s="212"/>
      <c r="W59" s="212"/>
      <c r="X59" s="214"/>
      <c r="Y59" s="213"/>
      <c r="Z59" s="213"/>
      <c r="AA59" s="213"/>
      <c r="AB59" s="163"/>
      <c r="AH59" s="214"/>
      <c r="AI59" s="213"/>
      <c r="AJ59" s="213"/>
      <c r="AK59" s="213"/>
      <c r="AL59" s="163"/>
    </row>
    <row r="60" spans="2:43" x14ac:dyDescent="0.25">
      <c r="B60" s="152">
        <f>CCA_Defense!B60</f>
        <v>58</v>
      </c>
      <c r="C60" s="153" t="str">
        <f>CCA_Defense!C60</f>
        <v>Hindustan Shipyard</v>
      </c>
      <c r="D60" s="152" t="str">
        <f>CCA_Defense!D60</f>
        <v>6595300Z</v>
      </c>
      <c r="E60" s="152"/>
      <c r="F60" s="161" t="str">
        <f>IFERROR(_xlfn.XLOOKUP($D60,BB_Input!$C$5:$C$152,BB_Input!$BK$5:$BK$152,0),"")</f>
        <v/>
      </c>
      <c r="G60" s="161"/>
      <c r="H60" s="162"/>
      <c r="I60" s="162"/>
      <c r="J60" s="162"/>
      <c r="K60" s="120"/>
      <c r="L60" s="161" t="str">
        <f t="shared" si="73"/>
        <v/>
      </c>
      <c r="M60" s="162" t="str">
        <f t="shared" si="74"/>
        <v/>
      </c>
      <c r="N60" s="162" t="str">
        <f t="shared" si="75"/>
        <v/>
      </c>
      <c r="O60" s="162" t="str">
        <f t="shared" si="76"/>
        <v/>
      </c>
      <c r="P60" s="217" t="str">
        <f t="shared" si="77"/>
        <v/>
      </c>
      <c r="Q60" s="213"/>
      <c r="T60" s="212" t="str">
        <f>_xlfn.XLOOKUP($C60,CCA_Defense!$C:$C,CCA_Defense!$T:$T)</f>
        <v/>
      </c>
      <c r="U60" s="212"/>
      <c r="V60" s="212" t="s">
        <v>1085</v>
      </c>
      <c r="W60" s="212"/>
      <c r="X60" s="214"/>
      <c r="Y60" s="213"/>
      <c r="Z60" s="213"/>
      <c r="AA60" s="213"/>
      <c r="AB60" s="163"/>
      <c r="AH60" s="214"/>
      <c r="AI60" s="213"/>
      <c r="AJ60" s="213"/>
      <c r="AK60" s="213"/>
      <c r="AL60" s="163"/>
    </row>
    <row r="61" spans="2:43" x14ac:dyDescent="0.25">
      <c r="B61" s="152">
        <f>CCA_Defense!B61</f>
        <v>59</v>
      </c>
      <c r="C61" s="153" t="str">
        <f>CCA_Defense!C61</f>
        <v>India Optel</v>
      </c>
      <c r="D61" s="152" t="str">
        <f>CCA_Defense!D61</f>
        <v>1633945D</v>
      </c>
      <c r="E61" s="152"/>
      <c r="F61" s="161" t="str">
        <f>IFERROR(_xlfn.XLOOKUP($D61,BB_Input!$C$5:$C$152,BB_Input!$BK$5:$BK$152,0),"")</f>
        <v/>
      </c>
      <c r="G61" s="161"/>
      <c r="H61" s="162"/>
      <c r="I61" s="162"/>
      <c r="J61" s="162"/>
      <c r="K61" s="120"/>
      <c r="L61" s="161" t="str">
        <f t="shared" si="73"/>
        <v/>
      </c>
      <c r="M61" s="162" t="str">
        <f t="shared" si="74"/>
        <v/>
      </c>
      <c r="N61" s="162" t="str">
        <f t="shared" si="75"/>
        <v/>
      </c>
      <c r="O61" s="162" t="str">
        <f t="shared" si="76"/>
        <v/>
      </c>
      <c r="P61" s="217" t="str">
        <f t="shared" si="77"/>
        <v/>
      </c>
      <c r="Q61" s="213"/>
      <c r="T61" s="212" t="str">
        <f>_xlfn.XLOOKUP($C61,CCA_Defense!$C:$C,CCA_Defense!$T:$T)</f>
        <v/>
      </c>
      <c r="U61" s="212"/>
      <c r="V61" s="212"/>
      <c r="W61" s="212"/>
      <c r="X61" s="214"/>
      <c r="Y61" s="213"/>
      <c r="Z61" s="213"/>
      <c r="AA61" s="213"/>
      <c r="AB61" s="163"/>
      <c r="AH61" s="214"/>
      <c r="AI61" s="213"/>
      <c r="AJ61" s="213"/>
      <c r="AK61" s="213"/>
      <c r="AL61" s="163"/>
    </row>
    <row r="62" spans="2:43" x14ac:dyDescent="0.25">
      <c r="B62" s="152">
        <f>CCA_Defense!B62</f>
        <v>60</v>
      </c>
      <c r="C62" s="153" t="str">
        <f>CCA_Defense!C62</f>
        <v>Munitions India</v>
      </c>
      <c r="D62" s="152" t="str">
        <f>CCA_Defense!D62</f>
        <v>1943632D</v>
      </c>
      <c r="E62" s="152"/>
      <c r="F62" s="161" t="str">
        <f>IFERROR(_xlfn.XLOOKUP($D62,BB_Input!$C$5:$C$152,BB_Input!$BK$5:$BK$152,0),"")</f>
        <v/>
      </c>
      <c r="G62" s="161"/>
      <c r="H62" s="162"/>
      <c r="I62" s="162"/>
      <c r="J62" s="162"/>
      <c r="K62" s="120"/>
      <c r="L62" s="161" t="str">
        <f t="shared" si="73"/>
        <v/>
      </c>
      <c r="M62" s="162" t="str">
        <f t="shared" si="74"/>
        <v/>
      </c>
      <c r="N62" s="162" t="str">
        <f t="shared" si="75"/>
        <v/>
      </c>
      <c r="O62" s="162" t="str">
        <f t="shared" si="76"/>
        <v/>
      </c>
      <c r="P62" s="217" t="str">
        <f t="shared" si="77"/>
        <v/>
      </c>
      <c r="Q62" s="213"/>
      <c r="T62" s="212" t="str">
        <f>_xlfn.XLOOKUP($C62,CCA_Defense!$C:$C,CCA_Defense!$T:$T)</f>
        <v/>
      </c>
      <c r="U62" s="212"/>
      <c r="V62" s="212"/>
      <c r="W62" s="212"/>
      <c r="X62" s="214"/>
      <c r="Y62" s="213"/>
      <c r="Z62" s="213"/>
      <c r="AA62" s="213"/>
      <c r="AB62" s="163"/>
      <c r="AH62" s="214"/>
      <c r="AI62" s="213"/>
      <c r="AJ62" s="213"/>
      <c r="AK62" s="213"/>
      <c r="AL62" s="163"/>
    </row>
    <row r="63" spans="2:43" x14ac:dyDescent="0.25">
      <c r="B63" s="152">
        <f>CCA_Defense!B63</f>
        <v>61</v>
      </c>
      <c r="C63" s="153" t="str">
        <f>CCA_Defense!C63</f>
        <v>Raychem RPG</v>
      </c>
      <c r="D63" s="152" t="str">
        <f>CCA_Defense!D63</f>
        <v>1315Z</v>
      </c>
      <c r="E63" s="152"/>
      <c r="F63" s="161" t="str">
        <f>IFERROR(_xlfn.XLOOKUP($D63,BB_Input!$C$5:$C$152,BB_Input!$BK$5:$BK$152,0),"")</f>
        <v/>
      </c>
      <c r="G63" s="161"/>
      <c r="H63" s="162"/>
      <c r="I63" s="162"/>
      <c r="J63" s="162"/>
      <c r="K63" s="120"/>
      <c r="L63" s="161" t="str">
        <f t="shared" si="73"/>
        <v/>
      </c>
      <c r="M63" s="162" t="str">
        <f t="shared" si="74"/>
        <v/>
      </c>
      <c r="N63" s="162" t="str">
        <f t="shared" si="75"/>
        <v/>
      </c>
      <c r="O63" s="162" t="str">
        <f t="shared" si="76"/>
        <v/>
      </c>
      <c r="P63" s="217" t="str">
        <f t="shared" si="77"/>
        <v/>
      </c>
      <c r="Q63" s="213"/>
      <c r="T63" s="212" t="str">
        <f>_xlfn.XLOOKUP($C63,CCA_Defense!$C:$C,CCA_Defense!$T:$T)</f>
        <v/>
      </c>
      <c r="U63" s="212"/>
      <c r="V63" s="212"/>
      <c r="W63" s="212"/>
      <c r="X63" s="214"/>
      <c r="Y63" s="213"/>
      <c r="Z63" s="213"/>
      <c r="AA63" s="213"/>
      <c r="AB63" s="163"/>
      <c r="AH63" s="214"/>
      <c r="AI63" s="213"/>
      <c r="AJ63" s="213"/>
      <c r="AK63" s="213"/>
      <c r="AL63" s="163"/>
    </row>
    <row r="64" spans="2:43" x14ac:dyDescent="0.25">
      <c r="B64" s="152">
        <f>CCA_Defense!B64</f>
        <v>62</v>
      </c>
      <c r="C64" s="153" t="str">
        <f>CCA_Defense!C64</f>
        <v>Sagar Defence and Engineering Private</v>
      </c>
      <c r="D64" s="152" t="str">
        <f>CCA_Defense!D64</f>
        <v>2250224D</v>
      </c>
      <c r="E64" s="152"/>
      <c r="F64" s="161" t="str">
        <f>IFERROR(_xlfn.XLOOKUP($D64,BB_Input!$C$5:$C$152,BB_Input!$BK$5:$BK$152,0),"")</f>
        <v/>
      </c>
      <c r="G64" s="161"/>
      <c r="H64" s="162"/>
      <c r="I64" s="162"/>
      <c r="J64" s="162"/>
      <c r="K64" s="120"/>
      <c r="L64" s="161" t="str">
        <f t="shared" si="73"/>
        <v/>
      </c>
      <c r="M64" s="162" t="str">
        <f t="shared" si="74"/>
        <v/>
      </c>
      <c r="N64" s="162" t="str">
        <f t="shared" si="75"/>
        <v/>
      </c>
      <c r="O64" s="162" t="str">
        <f t="shared" si="76"/>
        <v/>
      </c>
      <c r="P64" s="217" t="str">
        <f t="shared" si="77"/>
        <v/>
      </c>
      <c r="Q64" s="213"/>
      <c r="T64" s="212" t="str">
        <f>_xlfn.XLOOKUP($C64,CCA_Defense!$C:$C,CCA_Defense!$T:$T)</f>
        <v/>
      </c>
      <c r="U64" s="212"/>
      <c r="V64" s="212"/>
      <c r="W64" s="212"/>
      <c r="X64" s="214"/>
      <c r="Y64" s="213"/>
      <c r="Z64" s="213"/>
      <c r="AA64" s="213"/>
      <c r="AB64" s="163"/>
      <c r="AH64" s="214"/>
      <c r="AI64" s="213"/>
      <c r="AJ64" s="213"/>
      <c r="AK64" s="213"/>
      <c r="AL64" s="163"/>
    </row>
    <row r="65" spans="2:43" x14ac:dyDescent="0.25">
      <c r="B65" s="152">
        <f>CCA_Defense!B65</f>
        <v>63</v>
      </c>
      <c r="C65" s="153" t="str">
        <f>CCA_Defense!C65</f>
        <v>Troop Comforts</v>
      </c>
      <c r="D65" s="152"/>
      <c r="E65" s="152"/>
      <c r="F65" s="161">
        <f>IFERROR(_xlfn.XLOOKUP($D65,BB_Input!$C$5:$C$152,BB_Input!$BK$5:$BK$152,0),"")</f>
        <v>0</v>
      </c>
      <c r="G65" s="161"/>
      <c r="H65" s="162"/>
      <c r="I65" s="162"/>
      <c r="J65" s="162"/>
      <c r="K65" s="120"/>
      <c r="L65" s="161" t="str">
        <f t="shared" si="73"/>
        <v/>
      </c>
      <c r="M65" s="162" t="str">
        <f t="shared" si="74"/>
        <v/>
      </c>
      <c r="N65" s="162" t="str">
        <f t="shared" si="75"/>
        <v/>
      </c>
      <c r="O65" s="162" t="str">
        <f t="shared" si="76"/>
        <v/>
      </c>
      <c r="P65" s="217" t="str">
        <f t="shared" si="77"/>
        <v/>
      </c>
      <c r="Q65" s="213"/>
      <c r="T65" s="212" t="str">
        <f>_xlfn.XLOOKUP($C65,CCA_Defense!$C:$C,CCA_Defense!$T:$T)</f>
        <v/>
      </c>
      <c r="U65" s="212"/>
      <c r="V65" s="212"/>
      <c r="W65" s="212"/>
      <c r="X65" s="214"/>
      <c r="Y65" s="213"/>
      <c r="Z65" s="213"/>
      <c r="AA65" s="213"/>
      <c r="AB65" s="163"/>
      <c r="AH65" s="214"/>
      <c r="AI65" s="213"/>
      <c r="AJ65" s="213"/>
      <c r="AK65" s="213"/>
      <c r="AL65" s="163"/>
    </row>
    <row r="66" spans="2:43" x14ac:dyDescent="0.25">
      <c r="B66" s="152">
        <f>CCA_Defense!B66</f>
        <v>64</v>
      </c>
      <c r="C66" s="153" t="str">
        <f>CCA_Defense!C66</f>
        <v>Vijayan Trishul Defence Solutions</v>
      </c>
      <c r="D66" s="152"/>
      <c r="E66" s="152"/>
      <c r="F66" s="161">
        <f>IFERROR(_xlfn.XLOOKUP($D66,BB_Input!$C$5:$C$152,BB_Input!$BK$5:$BK$152,0),"")</f>
        <v>0</v>
      </c>
      <c r="G66" s="161"/>
      <c r="H66" s="162"/>
      <c r="I66" s="162"/>
      <c r="J66" s="162"/>
      <c r="K66" s="120"/>
      <c r="L66" s="161" t="str">
        <f t="shared" si="73"/>
        <v/>
      </c>
      <c r="M66" s="162" t="str">
        <f t="shared" si="74"/>
        <v/>
      </c>
      <c r="N66" s="162" t="str">
        <f t="shared" si="75"/>
        <v/>
      </c>
      <c r="O66" s="162" t="str">
        <f t="shared" si="76"/>
        <v/>
      </c>
      <c r="P66" s="217" t="str">
        <f t="shared" si="77"/>
        <v/>
      </c>
      <c r="Q66" s="213"/>
      <c r="T66" s="212" t="str">
        <f>_xlfn.XLOOKUP($C66,CCA_Defense!$C:$C,CCA_Defense!$T:$T)</f>
        <v/>
      </c>
      <c r="U66" s="212"/>
      <c r="V66" s="212"/>
      <c r="W66" s="212"/>
      <c r="X66" s="214"/>
      <c r="Y66" s="213"/>
      <c r="Z66" s="213"/>
      <c r="AA66" s="213"/>
      <c r="AB66" s="163"/>
      <c r="AH66" s="214"/>
      <c r="AI66" s="213"/>
      <c r="AJ66" s="213"/>
      <c r="AK66" s="213"/>
      <c r="AL66" s="163"/>
    </row>
    <row r="67" spans="2:43" x14ac:dyDescent="0.25">
      <c r="B67" s="152">
        <f>CCA_Defense!B67</f>
        <v>65</v>
      </c>
      <c r="C67" s="153" t="str">
        <f>CCA_Defense!C67</f>
        <v>Yantra India</v>
      </c>
      <c r="D67" s="152" t="str">
        <f>CCA_Defense!D67</f>
        <v>1943633D</v>
      </c>
      <c r="E67" s="152"/>
      <c r="F67" s="161" t="str">
        <f>IFERROR(_xlfn.XLOOKUP($D67,BB_Input!$C$5:$C$152,BB_Input!$BK$5:$BK$152,0),"")</f>
        <v/>
      </c>
      <c r="G67" s="161"/>
      <c r="H67" s="162"/>
      <c r="I67" s="162"/>
      <c r="J67" s="162"/>
      <c r="K67" s="120"/>
      <c r="L67" s="161" t="str">
        <f t="shared" ref="L67:L80" si="157">IFERROR($F67/G67,"")</f>
        <v/>
      </c>
      <c r="M67" s="162" t="str">
        <f t="shared" ref="M67:M80" si="158">IFERROR($F67/H67,"")</f>
        <v/>
      </c>
      <c r="N67" s="162" t="str">
        <f t="shared" ref="N67:N80" si="159">IFERROR($F67/I67,"")</f>
        <v/>
      </c>
      <c r="O67" s="162" t="str">
        <f t="shared" ref="O67:O80" si="160">IFERROR($F67/J67,"")</f>
        <v/>
      </c>
      <c r="P67" s="217" t="str">
        <f t="shared" ref="P67:P80" si="161">IFERROR($F67/K67,"")</f>
        <v/>
      </c>
      <c r="Q67" s="213"/>
      <c r="T67" s="212" t="str">
        <f>_xlfn.XLOOKUP($C67,CCA_Defense!$C:$C,CCA_Defense!$T:$T)</f>
        <v/>
      </c>
      <c r="U67" s="212"/>
      <c r="V67" s="212"/>
      <c r="W67" s="212"/>
      <c r="X67" s="214"/>
      <c r="Y67" s="213"/>
      <c r="Z67" s="213"/>
      <c r="AA67" s="213"/>
      <c r="AB67" s="163"/>
      <c r="AH67" s="214"/>
      <c r="AI67" s="213"/>
      <c r="AJ67" s="213"/>
      <c r="AK67" s="213"/>
      <c r="AL67" s="163"/>
    </row>
    <row r="68" spans="2:43" x14ac:dyDescent="0.25">
      <c r="B68" s="152">
        <f>CCA_Defense!B68</f>
        <v>66</v>
      </c>
      <c r="C68" s="153" t="str">
        <f>CCA_Defense!C68</f>
        <v>Sail Ltd</v>
      </c>
      <c r="D68" s="152" t="str">
        <f>CCA_Defense!D68</f>
        <v>SAIL</v>
      </c>
      <c r="E68" s="152" t="str">
        <f>CCA_Defense!E68</f>
        <v>SAIL</v>
      </c>
      <c r="F68" s="161">
        <f>IFERROR(_xlfn.XLOOKUP($D68,BB_Input!$C$5:$C$152,BB_Input!$BK$5:$BK$152,0),"")</f>
        <v>131.85000610351563</v>
      </c>
      <c r="G68" s="161">
        <f>IFERROR(_xlfn.XLOOKUP($D68,BB_Input!$C$5:$C$152,BB_Input!BS$5:BS$152),"")</f>
        <v>8.4578571428571419</v>
      </c>
      <c r="H68" s="162">
        <f>IFERROR(_xlfn.XLOOKUP($D68,BB_Input!$C$5:$C$152,BB_Input!BT$5:BT$152),"")</f>
        <v>10.376428571428573</v>
      </c>
      <c r="I68" s="162">
        <f>IFERROR(_xlfn.XLOOKUP($D68,BB_Input!$C$5:$C$152,BB_Input!BU$5:BU$152),"")</f>
        <v>11.33769230769231</v>
      </c>
      <c r="J68" s="162">
        <f>IFERROR(_xlfn.XLOOKUP($D68,BB_Input!$C$5:$C$152,BB_Input!BV$5:BV$152),"")</f>
        <v>10.57</v>
      </c>
      <c r="L68" s="161">
        <f t="shared" si="157"/>
        <v>15.589055700103192</v>
      </c>
      <c r="M68" s="162">
        <f t="shared" si="158"/>
        <v>12.706684693668469</v>
      </c>
      <c r="N68" s="162">
        <f t="shared" si="159"/>
        <v>11.629351240557044</v>
      </c>
      <c r="O68" s="162">
        <f t="shared" si="160"/>
        <v>12.473983548109331</v>
      </c>
      <c r="P68" s="217" t="str">
        <f t="shared" si="161"/>
        <v/>
      </c>
      <c r="Q68" s="213"/>
      <c r="T68" s="212">
        <f>_xlfn.XLOOKUP($C68,CCA_Defense!$C:$C,CCA_Defense!$T:$T)</f>
        <v>-2.0937532772013052E-3</v>
      </c>
      <c r="U68" s="212"/>
      <c r="V68" s="212"/>
      <c r="W68" s="212"/>
    </row>
    <row r="69" spans="2:43" x14ac:dyDescent="0.25">
      <c r="B69" s="152">
        <f>CCA_Defense!B69</f>
        <v>67</v>
      </c>
      <c r="C69" s="153" t="str">
        <f>CCA_Defense!C69</f>
        <v>Rossell Techsys Ltd</v>
      </c>
      <c r="D69" s="152" t="str">
        <f>CCA_Defense!D69</f>
        <v>ROSSTECH</v>
      </c>
      <c r="E69" s="152" t="str">
        <f>CCA_Defense!E69</f>
        <v>ROSSTECH</v>
      </c>
      <c r="F69" s="161">
        <f>IFERROR(_xlfn.XLOOKUP($D69,BB_Input!$C$5:$C$152,BB_Input!$BK$5:$BK$152,0),"")</f>
        <v>634.4000244140625</v>
      </c>
      <c r="G69" s="161">
        <f>AM69</f>
        <v>8.177860234785209</v>
      </c>
      <c r="H69" s="162">
        <f t="shared" ref="H69" si="162">AN69</f>
        <v>8.7613731031149626</v>
      </c>
      <c r="I69" s="162">
        <f t="shared" ref="I69" si="163">AO69</f>
        <v>9.3865212229323962</v>
      </c>
      <c r="J69" s="162">
        <f t="shared" ref="J69" si="164">AP69</f>
        <v>10.056275384190107</v>
      </c>
      <c r="K69" s="120">
        <f t="shared" ref="K69" si="165">AQ69</f>
        <v>10.773818350892178</v>
      </c>
      <c r="L69" s="161">
        <f t="shared" si="157"/>
        <v>77.575307745611653</v>
      </c>
      <c r="M69" s="162">
        <f t="shared" si="158"/>
        <v>72.408744262758532</v>
      </c>
      <c r="N69" s="162">
        <f t="shared" si="159"/>
        <v>67.586277103827058</v>
      </c>
      <c r="O69" s="162">
        <f t="shared" si="160"/>
        <v>63.084989240790826</v>
      </c>
      <c r="P69" s="217">
        <f t="shared" si="161"/>
        <v>58.883489933866201</v>
      </c>
      <c r="Q69" s="213"/>
      <c r="T69" s="212">
        <f>_xlfn.XLOOKUP($C69,CCA_Defense!$C:$C,CCA_Defense!$T:$T)</f>
        <v>0.10286313147795072</v>
      </c>
      <c r="U69" s="212"/>
      <c r="V69" s="212"/>
      <c r="W69" s="212"/>
      <c r="X69" s="214">
        <f>1174*(1+$T69)</f>
        <v>1294.7613163551141</v>
      </c>
      <c r="Y69" s="213">
        <f>X69*(1+$T69)</f>
        <v>1427.9445198719147</v>
      </c>
      <c r="Z69" s="213">
        <f t="shared" ref="Z69:AB69" si="166">Y69*(1+$T69)</f>
        <v>1574.8273647627186</v>
      </c>
      <c r="AA69" s="213">
        <f t="shared" si="166"/>
        <v>1736.8190390393806</v>
      </c>
      <c r="AB69" s="163">
        <f t="shared" si="166"/>
        <v>1915.4736842054965</v>
      </c>
      <c r="AC69" s="221">
        <v>0.25</v>
      </c>
      <c r="AD69" s="221">
        <f>AC69*1.02</f>
        <v>0.255</v>
      </c>
      <c r="AE69" s="215">
        <f t="shared" ref="AE69:AG69" si="167">AD69*1.02</f>
        <v>0.2601</v>
      </c>
      <c r="AF69" s="215">
        <f t="shared" si="167"/>
        <v>0.26530199999999998</v>
      </c>
      <c r="AG69" s="216">
        <f t="shared" si="167"/>
        <v>0.27060803999999999</v>
      </c>
      <c r="AH69" s="214">
        <f>_xlfn.XLOOKUP($D69,BB_Input!$C$4:$C$163,BB_Input!$AR$4:$AR$163)*1.05</f>
        <v>39.581298750000002</v>
      </c>
      <c r="AI69" s="213">
        <f>AH69*1.05</f>
        <v>41.560363687500001</v>
      </c>
      <c r="AJ69" s="213">
        <f t="shared" ref="AJ69:AL69" si="168">AI69*1.05</f>
        <v>43.638381871875005</v>
      </c>
      <c r="AK69" s="213">
        <f t="shared" si="168"/>
        <v>45.820300965468761</v>
      </c>
      <c r="AL69" s="163">
        <f t="shared" si="168"/>
        <v>48.111316013742197</v>
      </c>
      <c r="AM69" s="222">
        <f>(X69*AC69)/AH69</f>
        <v>8.177860234785209</v>
      </c>
      <c r="AN69" s="223">
        <f t="shared" ref="AN69" si="169">(Y69*AD69)/AI69</f>
        <v>8.7613731031149626</v>
      </c>
      <c r="AO69" s="223">
        <f t="shared" ref="AO69" si="170">(Z69*AE69)/AJ69</f>
        <v>9.3865212229323962</v>
      </c>
      <c r="AP69" s="223">
        <f t="shared" ref="AP69" si="171">(AA69*AF69)/AK69</f>
        <v>10.056275384190107</v>
      </c>
      <c r="AQ69" s="224">
        <f t="shared" ref="AQ69" si="172">(AB69*AG69)/AL69</f>
        <v>10.773818350892178</v>
      </c>
    </row>
    <row r="70" spans="2:43" x14ac:dyDescent="0.25">
      <c r="B70" s="152">
        <f>CCA_Defense!B70</f>
        <v>68</v>
      </c>
      <c r="C70" s="153" t="str">
        <f>CCA_Defense!C70</f>
        <v>Mahindra Defence Systems</v>
      </c>
      <c r="D70" s="152" t="str">
        <f>CCA_Defense!D70</f>
        <v>1313978D</v>
      </c>
      <c r="E70" s="152"/>
      <c r="F70" s="161" t="str">
        <f>IFERROR(_xlfn.XLOOKUP($D70,BB_Input!$C$5:$C$152,BB_Input!$BK$5:$BK$152,0),"")</f>
        <v/>
      </c>
      <c r="G70" s="161"/>
      <c r="H70" s="162"/>
      <c r="I70" s="162"/>
      <c r="J70" s="162"/>
      <c r="K70" s="120"/>
      <c r="L70" s="161" t="str">
        <f t="shared" si="157"/>
        <v/>
      </c>
      <c r="M70" s="162" t="str">
        <f t="shared" si="158"/>
        <v/>
      </c>
      <c r="N70" s="162" t="str">
        <f t="shared" si="159"/>
        <v/>
      </c>
      <c r="O70" s="162" t="str">
        <f t="shared" si="160"/>
        <v/>
      </c>
      <c r="P70" s="217" t="str">
        <f t="shared" si="161"/>
        <v/>
      </c>
      <c r="Q70" s="213"/>
      <c r="T70" s="212" t="str">
        <f>_xlfn.XLOOKUP($C70,CCA_Defense!$C:$C,CCA_Defense!$T:$T)</f>
        <v/>
      </c>
      <c r="U70" s="212"/>
      <c r="V70" s="212"/>
      <c r="W70" s="212"/>
      <c r="X70" s="214"/>
      <c r="Y70" s="213"/>
      <c r="Z70" s="213"/>
      <c r="AA70" s="213"/>
      <c r="AB70" s="163"/>
      <c r="AH70" s="214"/>
      <c r="AI70" s="213"/>
      <c r="AJ70" s="213"/>
      <c r="AK70" s="213"/>
      <c r="AL70" s="163"/>
    </row>
    <row r="71" spans="2:43" x14ac:dyDescent="0.25">
      <c r="B71" s="152">
        <f>CCA_Defense!B71</f>
        <v>69</v>
      </c>
      <c r="C71" s="153" t="str">
        <f>CCA_Defense!C71</f>
        <v>Brahmos Aerospace</v>
      </c>
      <c r="D71" s="152" t="str">
        <f>CCA_Defense!D71</f>
        <v>2339955Z</v>
      </c>
      <c r="E71" s="152"/>
      <c r="F71" s="161" t="str">
        <f>IFERROR(_xlfn.XLOOKUP($D71,BB_Input!$C$5:$C$152,BB_Input!$BK$5:$BK$152,0),"")</f>
        <v/>
      </c>
      <c r="G71" s="161"/>
      <c r="H71" s="162"/>
      <c r="I71" s="162"/>
      <c r="J71" s="162"/>
      <c r="K71" s="120"/>
      <c r="L71" s="161" t="str">
        <f t="shared" si="157"/>
        <v/>
      </c>
      <c r="M71" s="162" t="str">
        <f t="shared" si="158"/>
        <v/>
      </c>
      <c r="N71" s="162" t="str">
        <f t="shared" si="159"/>
        <v/>
      </c>
      <c r="O71" s="162" t="str">
        <f t="shared" si="160"/>
        <v/>
      </c>
      <c r="P71" s="217" t="str">
        <f t="shared" si="161"/>
        <v/>
      </c>
      <c r="Q71" s="213"/>
      <c r="T71" s="212" t="str">
        <f>_xlfn.XLOOKUP($C71,CCA_Defense!$C:$C,CCA_Defense!$T:$T)</f>
        <v/>
      </c>
      <c r="U71" s="212"/>
      <c r="V71" s="212"/>
      <c r="W71" s="212"/>
      <c r="X71" s="214"/>
      <c r="Y71" s="213"/>
      <c r="Z71" s="213"/>
      <c r="AA71" s="213"/>
      <c r="AB71" s="163"/>
      <c r="AH71" s="214"/>
      <c r="AI71" s="213"/>
      <c r="AJ71" s="213"/>
      <c r="AK71" s="213"/>
      <c r="AL71" s="163"/>
    </row>
    <row r="72" spans="2:43" x14ac:dyDescent="0.25">
      <c r="B72" s="152">
        <f>CCA_Defense!B72</f>
        <v>70</v>
      </c>
      <c r="C72" s="153" t="str">
        <f>CCA_Defense!C72</f>
        <v>MKU Ltd</v>
      </c>
      <c r="D72" s="152" t="str">
        <f>CCA_Defense!D72</f>
        <v>1471388D</v>
      </c>
      <c r="E72" s="152"/>
      <c r="F72" s="161" t="str">
        <f>IFERROR(_xlfn.XLOOKUP($D72,BB_Input!$C$5:$C$152,BB_Input!$BK$5:$BK$152,0),"")</f>
        <v/>
      </c>
      <c r="G72" s="161"/>
      <c r="H72" s="162"/>
      <c r="I72" s="162"/>
      <c r="J72" s="162"/>
      <c r="K72" s="120"/>
      <c r="L72" s="161" t="str">
        <f t="shared" si="157"/>
        <v/>
      </c>
      <c r="M72" s="162" t="str">
        <f t="shared" si="158"/>
        <v/>
      </c>
      <c r="N72" s="162" t="str">
        <f t="shared" si="159"/>
        <v/>
      </c>
      <c r="O72" s="162" t="str">
        <f t="shared" si="160"/>
        <v/>
      </c>
      <c r="P72" s="217" t="str">
        <f t="shared" si="161"/>
        <v/>
      </c>
      <c r="Q72" s="213"/>
      <c r="T72" s="212" t="str">
        <f>_xlfn.XLOOKUP($C72,CCA_Defense!$C:$C,CCA_Defense!$T:$T)</f>
        <v/>
      </c>
      <c r="U72" s="212"/>
      <c r="V72" s="212"/>
      <c r="W72" s="212"/>
      <c r="X72" s="214"/>
      <c r="Y72" s="213"/>
      <c r="Z72" s="213"/>
      <c r="AA72" s="213"/>
      <c r="AB72" s="163"/>
      <c r="AH72" s="214"/>
      <c r="AI72" s="213"/>
      <c r="AJ72" s="213"/>
      <c r="AK72" s="213"/>
      <c r="AL72" s="163"/>
    </row>
    <row r="73" spans="2:43" x14ac:dyDescent="0.25">
      <c r="B73" s="152">
        <f>CCA_Defense!B73</f>
        <v>71</v>
      </c>
      <c r="C73" s="153" t="str">
        <f>CCA_Defense!C73</f>
        <v>Samtel Avionics</v>
      </c>
      <c r="D73" s="152" t="str">
        <f>CCA_Defense!D73</f>
        <v>6594164Z</v>
      </c>
      <c r="E73" s="152"/>
      <c r="F73" s="161" t="str">
        <f>IFERROR(_xlfn.XLOOKUP($D73,BB_Input!$C$5:$C$152,BB_Input!$BK$5:$BK$152,0),"")</f>
        <v/>
      </c>
      <c r="G73" s="161"/>
      <c r="H73" s="162"/>
      <c r="I73" s="162"/>
      <c r="J73" s="162"/>
      <c r="K73" s="120"/>
      <c r="L73" s="161" t="str">
        <f t="shared" si="157"/>
        <v/>
      </c>
      <c r="M73" s="162" t="str">
        <f t="shared" si="158"/>
        <v/>
      </c>
      <c r="N73" s="162" t="str">
        <f t="shared" si="159"/>
        <v/>
      </c>
      <c r="O73" s="162" t="str">
        <f t="shared" si="160"/>
        <v/>
      </c>
      <c r="P73" s="217" t="str">
        <f t="shared" si="161"/>
        <v/>
      </c>
      <c r="Q73" s="213"/>
      <c r="T73" s="212" t="str">
        <f>_xlfn.XLOOKUP($C73,CCA_Defense!$C:$C,CCA_Defense!$T:$T)</f>
        <v/>
      </c>
      <c r="U73" s="212"/>
      <c r="V73" s="212"/>
      <c r="W73" s="212"/>
      <c r="X73" s="214"/>
      <c r="Y73" s="213"/>
      <c r="Z73" s="213"/>
      <c r="AA73" s="213"/>
      <c r="AB73" s="163"/>
      <c r="AH73" s="214"/>
      <c r="AI73" s="213"/>
      <c r="AJ73" s="213"/>
      <c r="AK73" s="213"/>
      <c r="AL73" s="163"/>
    </row>
    <row r="74" spans="2:43" x14ac:dyDescent="0.25">
      <c r="B74" s="152">
        <f>CCA_Defense!B74</f>
        <v>72</v>
      </c>
      <c r="C74" s="153" t="str">
        <f>CCA_Defense!C74</f>
        <v>Tonbo Imaging</v>
      </c>
      <c r="D74" s="152" t="str">
        <f>CCA_Defense!D74</f>
        <v>1537114D</v>
      </c>
      <c r="E74" s="152"/>
      <c r="F74" s="161" t="str">
        <f>IFERROR(_xlfn.XLOOKUP($D74,BB_Input!$C$5:$C$152,BB_Input!$BK$5:$BK$152,0),"")</f>
        <v/>
      </c>
      <c r="G74" s="161"/>
      <c r="H74" s="162"/>
      <c r="I74" s="162"/>
      <c r="J74" s="162"/>
      <c r="K74" s="120"/>
      <c r="L74" s="161" t="str">
        <f t="shared" si="157"/>
        <v/>
      </c>
      <c r="M74" s="162" t="str">
        <f t="shared" si="158"/>
        <v/>
      </c>
      <c r="N74" s="162" t="str">
        <f t="shared" si="159"/>
        <v/>
      </c>
      <c r="O74" s="162" t="str">
        <f t="shared" si="160"/>
        <v/>
      </c>
      <c r="P74" s="217" t="str">
        <f t="shared" si="161"/>
        <v/>
      </c>
      <c r="Q74" s="213"/>
      <c r="T74" s="212" t="str">
        <f>_xlfn.XLOOKUP($C74,CCA_Defense!$C:$C,CCA_Defense!$T:$T)</f>
        <v/>
      </c>
      <c r="U74" s="212"/>
      <c r="V74" s="212"/>
      <c r="W74" s="212"/>
      <c r="X74" s="214"/>
      <c r="Y74" s="213"/>
      <c r="Z74" s="213"/>
      <c r="AA74" s="213"/>
      <c r="AB74" s="163"/>
      <c r="AH74" s="214"/>
      <c r="AI74" s="213"/>
      <c r="AJ74" s="213"/>
      <c r="AK74" s="213"/>
      <c r="AL74" s="163"/>
    </row>
    <row r="75" spans="2:43" x14ac:dyDescent="0.25">
      <c r="B75" s="152">
        <f>CCA_Defense!B75</f>
        <v>73</v>
      </c>
      <c r="C75" s="153" t="str">
        <f>CCA_Defense!C75</f>
        <v>VEM Technologies</v>
      </c>
      <c r="D75" s="152" t="str">
        <f>CCA_Defense!D75</f>
        <v>0496525D</v>
      </c>
      <c r="E75" s="152"/>
      <c r="F75" s="161" t="str">
        <f>IFERROR(_xlfn.XLOOKUP($D75,BB_Input!$C$5:$C$152,BB_Input!$BK$5:$BK$152,0),"")</f>
        <v/>
      </c>
      <c r="G75" s="161"/>
      <c r="H75" s="162"/>
      <c r="I75" s="162"/>
      <c r="J75" s="162"/>
      <c r="K75" s="120"/>
      <c r="L75" s="161" t="str">
        <f t="shared" si="157"/>
        <v/>
      </c>
      <c r="M75" s="162" t="str">
        <f t="shared" si="158"/>
        <v/>
      </c>
      <c r="N75" s="162" t="str">
        <f t="shared" si="159"/>
        <v/>
      </c>
      <c r="O75" s="162" t="str">
        <f t="shared" si="160"/>
        <v/>
      </c>
      <c r="P75" s="217" t="str">
        <f t="shared" si="161"/>
        <v/>
      </c>
      <c r="Q75" s="213"/>
      <c r="T75" s="212" t="str">
        <f>_xlfn.XLOOKUP($C75,CCA_Defense!$C:$C,CCA_Defense!$T:$T)</f>
        <v/>
      </c>
      <c r="U75" s="212"/>
      <c r="V75" s="212"/>
      <c r="W75" s="212"/>
      <c r="X75" s="214"/>
      <c r="Y75" s="213"/>
      <c r="Z75" s="213"/>
      <c r="AA75" s="213"/>
      <c r="AB75" s="163"/>
      <c r="AH75" s="214"/>
      <c r="AI75" s="213"/>
      <c r="AJ75" s="213"/>
      <c r="AK75" s="213"/>
      <c r="AL75" s="163"/>
    </row>
    <row r="76" spans="2:43" x14ac:dyDescent="0.25">
      <c r="B76" s="152">
        <f>CCA_Defense!B76</f>
        <v>74</v>
      </c>
      <c r="C76" s="153" t="str">
        <f>CCA_Defense!C76</f>
        <v>Alpha Design Technologies</v>
      </c>
      <c r="D76" s="152" t="str">
        <f>CCA_Defense!D76</f>
        <v>1606516D</v>
      </c>
      <c r="E76" s="152"/>
      <c r="F76" s="161" t="str">
        <f>IFERROR(_xlfn.XLOOKUP($D76,BB_Input!$C$5:$C$152,BB_Input!$BK$5:$BK$152,0),"")</f>
        <v/>
      </c>
      <c r="G76" s="161"/>
      <c r="H76" s="162"/>
      <c r="I76" s="162"/>
      <c r="J76" s="162"/>
      <c r="K76" s="120"/>
      <c r="L76" s="161" t="str">
        <f t="shared" si="157"/>
        <v/>
      </c>
      <c r="M76" s="162" t="str">
        <f t="shared" si="158"/>
        <v/>
      </c>
      <c r="N76" s="162" t="str">
        <f t="shared" si="159"/>
        <v/>
      </c>
      <c r="O76" s="162" t="str">
        <f t="shared" si="160"/>
        <v/>
      </c>
      <c r="P76" s="217" t="str">
        <f t="shared" si="161"/>
        <v/>
      </c>
      <c r="Q76" s="213"/>
      <c r="T76" s="212" t="str">
        <f>_xlfn.XLOOKUP($C76,CCA_Defense!$C:$C,CCA_Defense!$T:$T)</f>
        <v/>
      </c>
      <c r="U76" s="212"/>
      <c r="V76" s="212"/>
      <c r="W76" s="212"/>
      <c r="X76" s="214"/>
      <c r="Y76" s="213"/>
      <c r="Z76" s="213"/>
      <c r="AA76" s="213"/>
      <c r="AB76" s="163"/>
      <c r="AH76" s="214"/>
      <c r="AI76" s="213"/>
      <c r="AJ76" s="213"/>
      <c r="AK76" s="213"/>
      <c r="AL76" s="163"/>
    </row>
    <row r="77" spans="2:43" x14ac:dyDescent="0.25">
      <c r="B77" s="152">
        <f t="shared" ref="B77:B80" si="173">B76+1</f>
        <v>75</v>
      </c>
      <c r="C77" s="153" t="s">
        <v>106</v>
      </c>
      <c r="D77" s="152" t="str">
        <f>CCA_Defense!D77</f>
        <v>UNIMECH</v>
      </c>
      <c r="E77" s="152" t="str">
        <f>CCA_Defense!E77</f>
        <v>UNIMECH</v>
      </c>
      <c r="F77" s="161">
        <f>IFERROR(_xlfn.XLOOKUP($D77,BB_Input!$C$5:$C$152,BB_Input!$BK$5:$BK$152,0),"")</f>
        <v>932.45001220703125</v>
      </c>
      <c r="G77" s="161">
        <f>AM77</f>
        <v>13.517179422088217</v>
      </c>
      <c r="H77" s="162">
        <f t="shared" ref="H77:K77" si="174">AN77</f>
        <v>23.075954764474751</v>
      </c>
      <c r="I77" s="162">
        <f t="shared" si="174"/>
        <v>39.394290159523621</v>
      </c>
      <c r="J77" s="162">
        <f t="shared" si="174"/>
        <v>67.252259462819396</v>
      </c>
      <c r="K77" s="120">
        <f t="shared" si="174"/>
        <v>114.8102017967437</v>
      </c>
      <c r="L77" s="161">
        <f t="shared" si="157"/>
        <v>68.982587497753329</v>
      </c>
      <c r="M77" s="162">
        <f t="shared" si="158"/>
        <v>40.407862717885486</v>
      </c>
      <c r="N77" s="162">
        <f t="shared" si="159"/>
        <v>23.669674169306241</v>
      </c>
      <c r="O77" s="162">
        <f t="shared" si="160"/>
        <v>13.864961856375084</v>
      </c>
      <c r="P77" s="217">
        <f t="shared" si="161"/>
        <v>8.1216651274405987</v>
      </c>
      <c r="Q77" s="223"/>
      <c r="T77" s="212">
        <f>_xlfn.XLOOKUP($C77,CCA_Defense!$C:$C,CCA_Defense!$T:$T)</f>
        <v>0.70715753959488648</v>
      </c>
      <c r="U77" s="212"/>
      <c r="V77" s="212"/>
      <c r="W77" s="212"/>
      <c r="X77" s="214">
        <f>1174*(1+$T77)</f>
        <v>2004.2029514843969</v>
      </c>
      <c r="Y77" s="213">
        <f>X77*(1+$T77)</f>
        <v>3421.4901795049127</v>
      </c>
      <c r="Z77" s="213">
        <f t="shared" ref="Z77" si="175">Y77*(1+$T77)</f>
        <v>5841.0227565916739</v>
      </c>
      <c r="AA77" s="213">
        <f t="shared" ref="AA77" si="176">Z77*(1+$T77)</f>
        <v>9971.5460378607841</v>
      </c>
      <c r="AB77" s="163">
        <f t="shared" ref="AB77" si="177">AA77*(1+$T77)</f>
        <v>17022.999999951557</v>
      </c>
      <c r="AC77" s="221">
        <v>0.34300000000000003</v>
      </c>
      <c r="AD77" s="221">
        <v>0.34300000000000003</v>
      </c>
      <c r="AE77" s="215">
        <v>0.34300000000000003</v>
      </c>
      <c r="AF77" s="215">
        <v>0.34300000000000003</v>
      </c>
      <c r="AG77" s="216">
        <v>0.34300000000000003</v>
      </c>
      <c r="AH77" s="214">
        <f>_xlfn.XLOOKUP($D77,BB_Input!$C$4:$C$163,BB_Input!$AR$4:$AR$163)</f>
        <v>50.856883000000003</v>
      </c>
      <c r="AI77" s="213">
        <f t="shared" ref="AI77:AL77" si="178">AH77</f>
        <v>50.856883000000003</v>
      </c>
      <c r="AJ77" s="213">
        <f t="shared" si="178"/>
        <v>50.856883000000003</v>
      </c>
      <c r="AK77" s="213">
        <f t="shared" si="178"/>
        <v>50.856883000000003</v>
      </c>
      <c r="AL77" s="163">
        <f t="shared" si="178"/>
        <v>50.856883000000003</v>
      </c>
      <c r="AM77" s="161">
        <f>(X77*AC77)/AH77</f>
        <v>13.517179422088217</v>
      </c>
      <c r="AN77" s="162">
        <f t="shared" ref="AN77:AN78" si="179">(Y77*AD77)/AI77</f>
        <v>23.075954764474751</v>
      </c>
      <c r="AO77" s="162">
        <f t="shared" ref="AO77:AO78" si="180">(Z77*AE77)/AJ77</f>
        <v>39.394290159523621</v>
      </c>
      <c r="AP77" s="162">
        <f t="shared" ref="AP77:AP78" si="181">(AA77*AF77)/AK77</f>
        <v>67.252259462819396</v>
      </c>
      <c r="AQ77" s="217">
        <f t="shared" ref="AQ77:AQ78" si="182">(AB77*AG77)/AL77</f>
        <v>114.8102017967437</v>
      </c>
    </row>
    <row r="78" spans="2:43" x14ac:dyDescent="0.25">
      <c r="B78" s="152">
        <f t="shared" si="173"/>
        <v>76</v>
      </c>
      <c r="C78" s="153" t="s">
        <v>475</v>
      </c>
      <c r="D78" s="152" t="str">
        <f>CCA_Defense!D78</f>
        <v>TECHERA</v>
      </c>
      <c r="E78" s="152" t="str">
        <f>CCA_Defense!E78</f>
        <v>TECHERA</v>
      </c>
      <c r="F78" s="161">
        <f>IFERROR(_xlfn.XLOOKUP($D78,BB_Input!$C$5:$C$152,BB_Input!$BK$5:$BK$152,0),"")</f>
        <v>219.25</v>
      </c>
      <c r="G78" s="161">
        <f>AM78</f>
        <v>3.027940614536127</v>
      </c>
      <c r="H78" s="162">
        <f t="shared" ref="H78" si="183">AN78</f>
        <v>4.6800263029452118</v>
      </c>
      <c r="I78" s="162">
        <f t="shared" ref="I78" si="184">AO78</f>
        <v>7.2335124708561898</v>
      </c>
      <c r="J78" s="162">
        <f t="shared" ref="J78" si="185">AP78</f>
        <v>11.18021551141794</v>
      </c>
      <c r="K78" s="120">
        <f t="shared" ref="K78" si="186">AQ78</f>
        <v>17.280293548309196</v>
      </c>
      <c r="L78" s="161">
        <f t="shared" si="157"/>
        <v>72.408949814753399</v>
      </c>
      <c r="M78" s="162">
        <f t="shared" si="158"/>
        <v>46.848027298911255</v>
      </c>
      <c r="N78" s="162">
        <f t="shared" si="159"/>
        <v>30.310309256168136</v>
      </c>
      <c r="O78" s="162">
        <f t="shared" si="160"/>
        <v>19.610534320746151</v>
      </c>
      <c r="P78" s="217">
        <f t="shared" si="161"/>
        <v>12.687863165464147</v>
      </c>
      <c r="Q78" s="223"/>
      <c r="T78" s="212">
        <f>_xlfn.XLOOKUP($C78,CCA_Defense!$C:$C,CCA_Defense!$T:$T)</f>
        <v>0.48616695773039964</v>
      </c>
      <c r="U78" s="212"/>
      <c r="V78" s="212"/>
      <c r="W78" s="212"/>
      <c r="X78" s="214">
        <f>495*(1+$T78)</f>
        <v>735.65264407654786</v>
      </c>
      <c r="Y78" s="213">
        <f t="shared" ref="Y78:AB78" si="187">X78*(1+$T78)</f>
        <v>1093.3026519935677</v>
      </c>
      <c r="Z78" s="213">
        <f t="shared" si="187"/>
        <v>1624.8302761918585</v>
      </c>
      <c r="AA78" s="213">
        <f t="shared" si="187"/>
        <v>2414.7690683962996</v>
      </c>
      <c r="AB78" s="163">
        <f t="shared" si="187"/>
        <v>3588.7500000000005</v>
      </c>
      <c r="AC78" s="215">
        <v>6.8000000000000005E-2</v>
      </c>
      <c r="AD78" s="215">
        <f>AC78*1.04</f>
        <v>7.0720000000000005E-2</v>
      </c>
      <c r="AE78" s="215">
        <f t="shared" ref="AE78:AG78" si="188">AD78*1.04</f>
        <v>7.3548800000000011E-2</v>
      </c>
      <c r="AF78" s="215">
        <f t="shared" si="188"/>
        <v>7.6490752000000009E-2</v>
      </c>
      <c r="AG78" s="216">
        <f t="shared" si="188"/>
        <v>7.9550382080000009E-2</v>
      </c>
      <c r="AH78" s="214">
        <f>_xlfn.XLOOKUP($D78,BB_Input!$C$4:$C$163,BB_Input!$AR$4:$AR$163)</f>
        <v>16.520924999999998</v>
      </c>
      <c r="AI78" s="213">
        <f t="shared" ref="AI78:AL78" si="189">AH78</f>
        <v>16.520924999999998</v>
      </c>
      <c r="AJ78" s="213">
        <f t="shared" si="189"/>
        <v>16.520924999999998</v>
      </c>
      <c r="AK78" s="213">
        <f t="shared" si="189"/>
        <v>16.520924999999998</v>
      </c>
      <c r="AL78" s="163">
        <f t="shared" si="189"/>
        <v>16.520924999999998</v>
      </c>
      <c r="AM78" s="161">
        <f>(X78*AC78)/AH78</f>
        <v>3.027940614536127</v>
      </c>
      <c r="AN78" s="162">
        <f t="shared" si="179"/>
        <v>4.6800263029452118</v>
      </c>
      <c r="AO78" s="162">
        <f t="shared" si="180"/>
        <v>7.2335124708561898</v>
      </c>
      <c r="AP78" s="162">
        <f t="shared" si="181"/>
        <v>11.18021551141794</v>
      </c>
      <c r="AQ78" s="217">
        <f t="shared" si="182"/>
        <v>17.280293548309196</v>
      </c>
    </row>
    <row r="79" spans="2:43" x14ac:dyDescent="0.25">
      <c r="B79" s="152">
        <f t="shared" si="173"/>
        <v>77</v>
      </c>
      <c r="C79" s="153" t="s">
        <v>1016</v>
      </c>
      <c r="D79" s="152" t="str">
        <f>CCA_Defense!D79</f>
        <v>PTCIL</v>
      </c>
      <c r="E79" s="152" t="str">
        <f>CCA_Defense!E79</f>
        <v>PTCIL</v>
      </c>
      <c r="F79" s="161">
        <f>IFERROR(_xlfn.XLOOKUP($D79,BB_Input!$C$5:$C$152,BB_Input!$BK$5:$BK$152,0),"")</f>
        <v>18294</v>
      </c>
      <c r="G79" s="161">
        <f>IFERROR(_xlfn.XLOOKUP($D79,BB_Input!$C$5:$C$152,BB_Input!BS$5:BS$152),"")</f>
        <v>64.703333333333333</v>
      </c>
      <c r="H79" s="162">
        <f>IFERROR(_xlfn.XLOOKUP($D79,BB_Input!$C$5:$C$152,BB_Input!BT$5:BT$152),"")</f>
        <v>166.94666666666666</v>
      </c>
      <c r="I79" s="162">
        <f>IFERROR(_xlfn.XLOOKUP($D79,BB_Input!$C$5:$C$152,BB_Input!BU$5:BU$152),"")</f>
        <v>447.16</v>
      </c>
      <c r="J79" s="162">
        <f>IFERROR(_xlfn.XLOOKUP($D79,BB_Input!$C$5:$C$152,BB_Input!BV$5:BV$152),"")</f>
        <v>789.41499999999996</v>
      </c>
      <c r="L79" s="161">
        <f t="shared" si="157"/>
        <v>282.73659265365001</v>
      </c>
      <c r="M79" s="162">
        <f t="shared" si="158"/>
        <v>109.57990575832602</v>
      </c>
      <c r="N79" s="162">
        <f t="shared" si="159"/>
        <v>40.911530548349582</v>
      </c>
      <c r="O79" s="162">
        <f t="shared" si="160"/>
        <v>23.17412260978066</v>
      </c>
      <c r="P79" s="217" t="str">
        <f t="shared" si="161"/>
        <v/>
      </c>
      <c r="Q79" s="213"/>
      <c r="T79" s="212">
        <f>_xlfn.XLOOKUP($C79,CCA_Defense!$C:$C,CCA_Defense!$T:$T)</f>
        <v>0.11452879670818686</v>
      </c>
      <c r="U79" s="212"/>
      <c r="V79" s="212" t="s">
        <v>1085</v>
      </c>
      <c r="W79" s="212"/>
    </row>
    <row r="80" spans="2:43" x14ac:dyDescent="0.25">
      <c r="B80" s="152">
        <f t="shared" si="173"/>
        <v>78</v>
      </c>
      <c r="C80" s="153" t="str">
        <f>CCA_Defense!C80</f>
        <v>Investment &amp; Precision Castings (IPCL)</v>
      </c>
      <c r="D80" s="152" t="str">
        <f>CCA_Defense!D80</f>
        <v>IPC</v>
      </c>
      <c r="E80" s="152" t="str">
        <f>CCA_Defense!E80</f>
        <v>IPCL</v>
      </c>
      <c r="G80" s="161"/>
      <c r="H80" s="162"/>
      <c r="I80" s="162"/>
      <c r="J80" s="162"/>
      <c r="K80" s="120"/>
      <c r="L80" s="161" t="str">
        <f t="shared" si="157"/>
        <v/>
      </c>
      <c r="M80" s="162" t="str">
        <f t="shared" si="158"/>
        <v/>
      </c>
      <c r="N80" s="162" t="str">
        <f t="shared" si="159"/>
        <v/>
      </c>
      <c r="O80" s="162" t="str">
        <f t="shared" si="160"/>
        <v/>
      </c>
      <c r="P80" s="217" t="str">
        <f t="shared" si="161"/>
        <v/>
      </c>
      <c r="Q80" s="213"/>
      <c r="T80" s="212" t="str">
        <f>_xlfn.XLOOKUP($C80,CCA_Defense!$C:$C,CCA_Defense!$T:$T)</f>
        <v/>
      </c>
      <c r="U80" s="212"/>
      <c r="V80" s="212"/>
      <c r="W80" s="212"/>
      <c r="X80" s="214"/>
      <c r="Y80" s="213"/>
      <c r="Z80" s="213"/>
      <c r="AA80" s="213"/>
      <c r="AB80" s="163"/>
      <c r="AH80" s="214">
        <f>_xlfn.XLOOKUP($D80,BB_Input!$C$4:$C$163,BB_Input!$AR$4:$AR$163)</f>
        <v>10</v>
      </c>
      <c r="AI80" s="213">
        <f>AH80</f>
        <v>10</v>
      </c>
      <c r="AJ80" s="213">
        <f>AI80</f>
        <v>10</v>
      </c>
      <c r="AK80" s="213">
        <f>AJ80</f>
        <v>10</v>
      </c>
      <c r="AL80" s="163">
        <f>AK80</f>
        <v>10</v>
      </c>
      <c r="AM80" s="161">
        <f>(X80*AC80)/AH80</f>
        <v>0</v>
      </c>
      <c r="AN80" s="162">
        <f t="shared" ref="AN80" si="190">(Y80*AD80)/AI80</f>
        <v>0</v>
      </c>
      <c r="AO80" s="162">
        <f t="shared" ref="AO80" si="191">(Z80*AE80)/AJ80</f>
        <v>0</v>
      </c>
      <c r="AP80" s="162">
        <f t="shared" ref="AP80" si="192">(AA80*AF80)/AK80</f>
        <v>0</v>
      </c>
      <c r="AQ80" s="217">
        <f t="shared" ref="AQ80" si="193">(AB80*AG80)/AL80</f>
        <v>0</v>
      </c>
    </row>
    <row r="81" spans="2:11" x14ac:dyDescent="0.25">
      <c r="B81" s="152"/>
      <c r="C81" s="153"/>
      <c r="D81" s="152"/>
      <c r="E81" s="152"/>
      <c r="G81" s="161"/>
      <c r="H81" s="162"/>
      <c r="I81" s="162"/>
      <c r="J81" s="162"/>
      <c r="K81" s="120"/>
    </row>
    <row r="82" spans="2:11" x14ac:dyDescent="0.25">
      <c r="B82" s="152"/>
      <c r="C82" s="153"/>
      <c r="D82" s="152"/>
      <c r="E82" s="152"/>
    </row>
    <row r="83" spans="2:11" x14ac:dyDescent="0.25">
      <c r="B83" s="152"/>
      <c r="C83" s="153"/>
      <c r="D83" s="152"/>
      <c r="E83" s="152"/>
    </row>
    <row r="84" spans="2:11" x14ac:dyDescent="0.25">
      <c r="B84" s="152"/>
      <c r="C84" s="153"/>
      <c r="D84" s="152"/>
      <c r="E84" s="152"/>
    </row>
    <row r="85" spans="2:11" x14ac:dyDescent="0.25">
      <c r="B85" s="152"/>
      <c r="C85" s="153"/>
      <c r="D85" s="152"/>
      <c r="E85" s="152"/>
    </row>
    <row r="86" spans="2:11" x14ac:dyDescent="0.25">
      <c r="B86" s="152"/>
      <c r="C86" s="153"/>
      <c r="D86" s="152"/>
      <c r="E86" s="152"/>
    </row>
    <row r="87" spans="2:11" x14ac:dyDescent="0.25">
      <c r="B87" s="152"/>
      <c r="C87" s="153"/>
      <c r="D87" s="152"/>
      <c r="E87" s="152"/>
    </row>
    <row r="88" spans="2:11" x14ac:dyDescent="0.25">
      <c r="B88" s="152"/>
      <c r="C88" s="153"/>
      <c r="D88" s="152"/>
      <c r="E88" s="152"/>
    </row>
    <row r="89" spans="2:11" x14ac:dyDescent="0.25">
      <c r="B89" s="152"/>
      <c r="C89" s="153"/>
      <c r="D89" s="152"/>
      <c r="E89" s="152"/>
    </row>
    <row r="90" spans="2:11" x14ac:dyDescent="0.25">
      <c r="B90" s="152"/>
      <c r="C90" s="153"/>
      <c r="D90" s="152"/>
      <c r="E90" s="152"/>
    </row>
    <row r="91" spans="2:11" x14ac:dyDescent="0.25">
      <c r="B91" s="152"/>
      <c r="C91" s="153"/>
      <c r="D91" s="152"/>
      <c r="E91" s="152"/>
    </row>
    <row r="92" spans="2:11" x14ac:dyDescent="0.25">
      <c r="B92" s="152"/>
      <c r="C92" s="153"/>
      <c r="D92" s="152"/>
      <c r="E92" s="152"/>
    </row>
    <row r="93" spans="2:11" x14ac:dyDescent="0.25">
      <c r="B93" s="152"/>
      <c r="C93" s="153"/>
      <c r="D93" s="152"/>
      <c r="E93" s="152"/>
    </row>
    <row r="94" spans="2:11" x14ac:dyDescent="0.25">
      <c r="B94" s="152"/>
      <c r="C94" s="153"/>
      <c r="D94" s="152"/>
      <c r="E94" s="152"/>
    </row>
    <row r="95" spans="2:11" x14ac:dyDescent="0.25">
      <c r="B95" s="152"/>
      <c r="C95" s="153"/>
      <c r="D95" s="152"/>
      <c r="E95" s="152"/>
    </row>
    <row r="96" spans="2:11" x14ac:dyDescent="0.25">
      <c r="B96" s="152"/>
      <c r="C96" s="153"/>
      <c r="D96" s="152"/>
      <c r="E96" s="152"/>
    </row>
    <row r="97" spans="2:5" x14ac:dyDescent="0.25">
      <c r="B97" s="152"/>
      <c r="C97" s="153"/>
      <c r="D97" s="152"/>
      <c r="E97" s="152"/>
    </row>
    <row r="98" spans="2:5" x14ac:dyDescent="0.25">
      <c r="B98" s="152"/>
      <c r="C98" s="153"/>
      <c r="D98" s="152"/>
      <c r="E98" s="152"/>
    </row>
    <row r="99" spans="2:5" x14ac:dyDescent="0.25">
      <c r="B99" s="152"/>
      <c r="C99" s="153"/>
      <c r="D99" s="152"/>
      <c r="E99" s="152"/>
    </row>
    <row r="100" spans="2:5" x14ac:dyDescent="0.25">
      <c r="B100" s="152"/>
      <c r="C100" s="153"/>
      <c r="D100" s="152"/>
      <c r="E100" s="152"/>
    </row>
    <row r="101" spans="2:5" x14ac:dyDescent="0.25">
      <c r="B101" s="152"/>
      <c r="C101" s="153"/>
      <c r="D101" s="152"/>
      <c r="E101" s="152"/>
    </row>
    <row r="102" spans="2:5" x14ac:dyDescent="0.25">
      <c r="B102" s="152"/>
      <c r="C102" s="153"/>
      <c r="D102" s="152"/>
      <c r="E102" s="152"/>
    </row>
    <row r="103" spans="2:5" x14ac:dyDescent="0.25">
      <c r="B103" s="152"/>
      <c r="C103" s="153"/>
      <c r="D103" s="152"/>
      <c r="E103" s="152"/>
    </row>
    <row r="104" spans="2:5" x14ac:dyDescent="0.25">
      <c r="B104" s="152"/>
      <c r="C104" s="153"/>
      <c r="D104" s="152"/>
      <c r="E104" s="152"/>
    </row>
    <row r="105" spans="2:5" x14ac:dyDescent="0.25">
      <c r="B105" s="152"/>
      <c r="C105" s="153"/>
      <c r="D105" s="152"/>
      <c r="E105" s="152"/>
    </row>
    <row r="106" spans="2:5" x14ac:dyDescent="0.25">
      <c r="B106" s="152"/>
      <c r="C106" s="153"/>
      <c r="D106" s="152"/>
      <c r="E106" s="152"/>
    </row>
    <row r="107" spans="2:5" x14ac:dyDescent="0.25">
      <c r="B107" s="152"/>
      <c r="C107" s="153"/>
      <c r="D107" s="152"/>
      <c r="E107" s="152"/>
    </row>
    <row r="108" spans="2:5" x14ac:dyDescent="0.25">
      <c r="B108" s="152"/>
      <c r="C108" s="153"/>
      <c r="D108" s="152"/>
      <c r="E108" s="152"/>
    </row>
    <row r="109" spans="2:5" x14ac:dyDescent="0.25">
      <c r="B109" s="152"/>
      <c r="C109" s="153"/>
      <c r="D109" s="152"/>
      <c r="E109" s="152"/>
    </row>
    <row r="110" spans="2:5" x14ac:dyDescent="0.25">
      <c r="B110" s="152"/>
      <c r="C110" s="153"/>
      <c r="D110" s="152"/>
      <c r="E110" s="152"/>
    </row>
    <row r="111" spans="2:5" x14ac:dyDescent="0.25">
      <c r="B111" s="152"/>
      <c r="C111" s="153"/>
      <c r="D111" s="152"/>
      <c r="E111" s="152"/>
    </row>
    <row r="112" spans="2:5" x14ac:dyDescent="0.25">
      <c r="B112" s="152"/>
      <c r="C112" s="153"/>
      <c r="D112" s="152"/>
      <c r="E112" s="152"/>
    </row>
    <row r="113" spans="2:5" x14ac:dyDescent="0.25">
      <c r="B113" s="152"/>
      <c r="C113" s="153"/>
      <c r="D113" s="152"/>
      <c r="E113" s="152"/>
    </row>
    <row r="114" spans="2:5" x14ac:dyDescent="0.25">
      <c r="B114" s="152"/>
      <c r="C114" s="153"/>
      <c r="D114" s="152"/>
      <c r="E114" s="152"/>
    </row>
    <row r="115" spans="2:5" x14ac:dyDescent="0.25">
      <c r="B115" s="152"/>
      <c r="C115" s="153"/>
      <c r="D115" s="152"/>
      <c r="E115" s="152"/>
    </row>
    <row r="116" spans="2:5" x14ac:dyDescent="0.25">
      <c r="B116" s="152"/>
      <c r="C116" s="153"/>
      <c r="D116" s="152"/>
      <c r="E116" s="152"/>
    </row>
    <row r="117" spans="2:5" x14ac:dyDescent="0.25">
      <c r="B117" s="152"/>
      <c r="C117" s="153"/>
      <c r="D117" s="152"/>
      <c r="E117" s="152"/>
    </row>
    <row r="118" spans="2:5" x14ac:dyDescent="0.25">
      <c r="B118" s="152"/>
      <c r="C118" s="153"/>
      <c r="D118" s="152"/>
      <c r="E118" s="152"/>
    </row>
  </sheetData>
  <autoFilter ref="B2:AR80" xr:uid="{D33044C4-5750-4245-81D9-EDF0C5155154}"/>
  <pageMargins left="0.7" right="0.7" top="0.75" bottom="0.75" header="0.3" footer="0.3"/>
  <ignoredErrors>
    <ignoredError sqref="G13:K13 G16:K16 AH14 L24:P24" 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3DC8-82CF-4FC5-9342-278A7D70FD07}">
  <sheetPr>
    <tabColor theme="8" tint="-0.499984740745262"/>
  </sheetPr>
  <dimension ref="B1:L27"/>
  <sheetViews>
    <sheetView showGridLines="0" topLeftCell="A16" zoomScale="53" zoomScaleNormal="70" workbookViewId="0">
      <selection activeCell="H42" sqref="H42"/>
    </sheetView>
  </sheetViews>
  <sheetFormatPr defaultRowHeight="13.8" x14ac:dyDescent="0.25"/>
  <cols>
    <col min="1" max="1" width="2" customWidth="1"/>
    <col min="2" max="2" width="35.19921875" customWidth="1"/>
    <col min="3" max="3" width="66.5" customWidth="1"/>
    <col min="4" max="4" width="49.19921875" customWidth="1"/>
    <col min="5" max="5" width="50.59765625" customWidth="1"/>
    <col min="6" max="7" width="43.19921875" customWidth="1"/>
    <col min="8" max="8" width="45.3984375" customWidth="1"/>
    <col min="9" max="9" width="49.59765625" customWidth="1"/>
    <col min="10" max="12" width="40.19921875" customWidth="1"/>
    <col min="13" max="13" width="23.5" customWidth="1"/>
  </cols>
  <sheetData>
    <row r="1" spans="2:12" x14ac:dyDescent="0.25">
      <c r="B1" s="121" t="s">
        <v>344</v>
      </c>
    </row>
    <row r="2" spans="2:12" x14ac:dyDescent="0.25">
      <c r="B2" t="s">
        <v>345</v>
      </c>
    </row>
    <row r="3" spans="2:12" x14ac:dyDescent="0.25">
      <c r="B3" t="s">
        <v>347</v>
      </c>
    </row>
    <row r="4" spans="2:12" x14ac:dyDescent="0.25">
      <c r="B4" t="s">
        <v>348</v>
      </c>
    </row>
    <row r="8" spans="2:12" ht="23.4" customHeight="1" x14ac:dyDescent="0.25">
      <c r="B8" s="122" t="s">
        <v>346</v>
      </c>
      <c r="C8" s="123" t="s">
        <v>355</v>
      </c>
      <c r="D8" s="123" t="s">
        <v>326</v>
      </c>
      <c r="E8" s="123" t="s">
        <v>327</v>
      </c>
      <c r="F8" s="123" t="s">
        <v>328</v>
      </c>
      <c r="G8" s="123" t="s">
        <v>340</v>
      </c>
      <c r="H8" s="123" t="s">
        <v>329</v>
      </c>
      <c r="I8" s="123" t="s">
        <v>330</v>
      </c>
      <c r="J8" s="123" t="s">
        <v>331</v>
      </c>
      <c r="K8" s="123" t="s">
        <v>332</v>
      </c>
      <c r="L8" s="123" t="s">
        <v>333</v>
      </c>
    </row>
    <row r="9" spans="2:12" ht="90.6" customHeight="1" x14ac:dyDescent="0.25">
      <c r="B9" s="124" t="s">
        <v>356</v>
      </c>
      <c r="D9" s="125"/>
      <c r="E9" s="126" t="s">
        <v>357</v>
      </c>
      <c r="F9" s="125"/>
      <c r="G9" s="125"/>
      <c r="H9" s="125"/>
      <c r="I9" s="125"/>
      <c r="J9" s="125"/>
      <c r="K9" s="125"/>
      <c r="L9" s="125"/>
    </row>
    <row r="10" spans="2:12" ht="90.6" customHeight="1" x14ac:dyDescent="0.25">
      <c r="B10" s="124" t="s">
        <v>342</v>
      </c>
      <c r="C10" s="133"/>
      <c r="D10" s="130"/>
      <c r="E10" s="126" t="s">
        <v>357</v>
      </c>
      <c r="F10" s="125"/>
      <c r="G10" s="125"/>
      <c r="H10" s="125"/>
      <c r="J10" s="125"/>
      <c r="K10" s="125"/>
      <c r="L10" s="125"/>
    </row>
    <row r="11" spans="2:12" ht="90.6" customHeight="1" x14ac:dyDescent="0.25">
      <c r="B11" s="124" t="s">
        <v>193</v>
      </c>
      <c r="C11" s="134"/>
      <c r="D11" s="131"/>
      <c r="E11" s="125"/>
      <c r="F11" s="125"/>
      <c r="G11" s="125"/>
      <c r="I11" s="125"/>
      <c r="K11" s="125"/>
      <c r="L11" s="125"/>
    </row>
    <row r="12" spans="2:12" ht="90.6" customHeight="1" x14ac:dyDescent="0.25">
      <c r="B12" s="124" t="s">
        <v>343</v>
      </c>
      <c r="C12" s="134"/>
      <c r="D12" s="131"/>
      <c r="E12" s="125"/>
      <c r="G12" s="125"/>
      <c r="H12" s="125"/>
      <c r="J12" s="125"/>
      <c r="K12" s="125"/>
      <c r="L12" s="125"/>
    </row>
    <row r="13" spans="2:12" ht="90.6" customHeight="1" x14ac:dyDescent="0.25">
      <c r="B13" s="124" t="s">
        <v>192</v>
      </c>
      <c r="C13" s="135"/>
      <c r="D13" s="132"/>
      <c r="E13" s="125"/>
      <c r="F13" s="125"/>
      <c r="G13" s="125"/>
      <c r="H13" s="125"/>
      <c r="I13" s="125"/>
      <c r="J13" s="125"/>
      <c r="K13" s="125"/>
      <c r="L13" s="125"/>
    </row>
    <row r="15" spans="2:12" x14ac:dyDescent="0.25">
      <c r="B15" s="122" t="s">
        <v>334</v>
      </c>
      <c r="C15" s="123" t="s">
        <v>385</v>
      </c>
      <c r="D15" s="123" t="s">
        <v>335</v>
      </c>
      <c r="E15" s="123" t="s">
        <v>336</v>
      </c>
      <c r="F15" s="123" t="s">
        <v>337</v>
      </c>
      <c r="G15" s="123" t="s">
        <v>338</v>
      </c>
      <c r="H15" s="123" t="s">
        <v>339</v>
      </c>
    </row>
    <row r="16" spans="2:12" ht="76.2" customHeight="1" x14ac:dyDescent="0.25">
      <c r="B16" s="124" t="s">
        <v>356</v>
      </c>
      <c r="C16" s="125"/>
      <c r="D16" s="125"/>
      <c r="E16" s="125"/>
      <c r="F16" s="125"/>
      <c r="G16" s="125"/>
      <c r="H16" s="125"/>
    </row>
    <row r="17" spans="2:10" ht="76.2" customHeight="1" x14ac:dyDescent="0.25">
      <c r="B17" s="124" t="s">
        <v>342</v>
      </c>
      <c r="C17" s="128"/>
      <c r="D17" s="125"/>
      <c r="E17" s="125"/>
      <c r="F17" s="125"/>
      <c r="G17" s="125"/>
      <c r="H17" s="125"/>
    </row>
    <row r="18" spans="2:10" ht="76.2" customHeight="1" x14ac:dyDescent="0.25">
      <c r="B18" s="124" t="s">
        <v>193</v>
      </c>
      <c r="C18" s="129"/>
      <c r="E18" s="125"/>
      <c r="F18" s="125"/>
      <c r="H18" s="125"/>
    </row>
    <row r="19" spans="2:10" ht="76.2" customHeight="1" x14ac:dyDescent="0.25">
      <c r="B19" s="124" t="s">
        <v>343</v>
      </c>
      <c r="C19" s="129"/>
      <c r="D19" s="125"/>
      <c r="E19" s="125"/>
      <c r="F19" s="125"/>
      <c r="G19" s="125"/>
      <c r="H19" s="125"/>
    </row>
    <row r="20" spans="2:10" ht="76.2" customHeight="1" x14ac:dyDescent="0.25">
      <c r="B20" s="124" t="s">
        <v>192</v>
      </c>
      <c r="C20" s="127"/>
      <c r="D20" s="125"/>
      <c r="E20" s="125"/>
      <c r="F20" s="125"/>
      <c r="G20" s="125"/>
      <c r="H20" s="125"/>
    </row>
    <row r="22" spans="2:10" x14ac:dyDescent="0.25">
      <c r="B22" s="122" t="s">
        <v>349</v>
      </c>
      <c r="C22" s="123" t="s">
        <v>386</v>
      </c>
      <c r="D22" s="123" t="s">
        <v>387</v>
      </c>
      <c r="E22" s="123" t="s">
        <v>350</v>
      </c>
      <c r="F22" s="123" t="s">
        <v>354</v>
      </c>
      <c r="G22" s="123" t="s">
        <v>351</v>
      </c>
      <c r="H22" s="123" t="s">
        <v>352</v>
      </c>
      <c r="I22" s="123" t="s">
        <v>353</v>
      </c>
      <c r="J22" s="123" t="s">
        <v>328</v>
      </c>
    </row>
    <row r="23" spans="2:10" ht="211.95" customHeight="1" x14ac:dyDescent="0.25">
      <c r="B23" s="124" t="s">
        <v>341</v>
      </c>
      <c r="C23" s="125"/>
      <c r="D23" s="125"/>
      <c r="E23" s="125"/>
      <c r="F23" s="125"/>
      <c r="G23" s="125"/>
      <c r="H23" s="125"/>
      <c r="I23" s="136"/>
      <c r="J23" s="125"/>
    </row>
    <row r="24" spans="2:10" ht="152.4" customHeight="1" x14ac:dyDescent="0.25">
      <c r="B24" s="137" t="s">
        <v>388</v>
      </c>
      <c r="C24" s="125"/>
      <c r="D24" s="125"/>
      <c r="E24" s="125"/>
      <c r="F24" s="125"/>
      <c r="G24" s="125"/>
      <c r="H24" s="125"/>
      <c r="J24" s="125"/>
    </row>
    <row r="25" spans="2:10" ht="136.94999999999999" customHeight="1" x14ac:dyDescent="0.25">
      <c r="B25" s="124" t="s">
        <v>193</v>
      </c>
      <c r="C25" s="125"/>
      <c r="D25" s="125"/>
      <c r="E25" s="125"/>
      <c r="G25" s="125"/>
      <c r="H25" s="125"/>
      <c r="I25" s="125"/>
      <c r="J25" s="125"/>
    </row>
    <row r="26" spans="2:10" ht="136.94999999999999" customHeight="1" x14ac:dyDescent="0.25">
      <c r="B26" s="124" t="s">
        <v>343</v>
      </c>
      <c r="C26" s="125"/>
      <c r="D26" s="125"/>
      <c r="E26" s="125"/>
      <c r="F26" s="125"/>
      <c r="G26" s="125"/>
      <c r="H26" s="125"/>
      <c r="I26" s="125"/>
      <c r="J26" s="125"/>
    </row>
    <row r="27" spans="2:10" ht="136.94999999999999" customHeight="1" x14ac:dyDescent="0.25">
      <c r="B27" s="124" t="s">
        <v>192</v>
      </c>
      <c r="C27" s="125"/>
      <c r="D27" s="125"/>
      <c r="E27" s="125"/>
      <c r="F27" s="125"/>
      <c r="G27" s="125"/>
      <c r="H27" s="125"/>
      <c r="I27" s="125"/>
      <c r="J27" s="12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0DE1-A0F2-4E82-AE5E-222D79CEE448}">
  <sheetPr>
    <tabColor theme="8" tint="0.79998168889431442"/>
  </sheetPr>
  <dimension ref="B1:H56"/>
  <sheetViews>
    <sheetView showGridLines="0" topLeftCell="A3" workbookViewId="0">
      <selection activeCell="E4" sqref="E4"/>
    </sheetView>
  </sheetViews>
  <sheetFormatPr defaultRowHeight="13.8" x14ac:dyDescent="0.25"/>
  <cols>
    <col min="1" max="1" width="2.59765625" customWidth="1"/>
    <col min="2" max="2" width="20.59765625" style="35" customWidth="1"/>
    <col min="3" max="3" width="33.3984375" style="35" customWidth="1"/>
    <col min="4" max="4" width="52.19921875" customWidth="1"/>
    <col min="5" max="5" width="10.69921875" customWidth="1"/>
    <col min="6" max="6" width="14.8984375" customWidth="1"/>
    <col min="7" max="7" width="96.19921875" customWidth="1"/>
    <col min="8" max="8" width="63.69921875" customWidth="1"/>
  </cols>
  <sheetData>
    <row r="1" spans="2:8" s="6" customFormat="1" x14ac:dyDescent="0.25">
      <c r="B1" s="1" t="s">
        <v>63</v>
      </c>
      <c r="C1" s="34"/>
      <c r="D1" s="1"/>
      <c r="E1" s="1"/>
      <c r="F1" s="1"/>
    </row>
    <row r="3" spans="2:8" x14ac:dyDescent="0.25">
      <c r="B3" s="55" t="s">
        <v>166</v>
      </c>
      <c r="C3" s="44" t="s">
        <v>45</v>
      </c>
      <c r="D3" s="45" t="s">
        <v>46</v>
      </c>
      <c r="E3" s="45" t="s">
        <v>1105</v>
      </c>
      <c r="F3" s="45" t="s">
        <v>1157</v>
      </c>
      <c r="G3" s="45" t="s">
        <v>47</v>
      </c>
      <c r="H3" s="45" t="s">
        <v>1158</v>
      </c>
    </row>
    <row r="4" spans="2:8" x14ac:dyDescent="0.25">
      <c r="B4" s="59" t="s">
        <v>203</v>
      </c>
      <c r="C4" s="60" t="s">
        <v>7</v>
      </c>
      <c r="D4" s="46" t="s">
        <v>48</v>
      </c>
      <c r="E4" s="46"/>
      <c r="F4" s="46"/>
      <c r="G4" s="46" t="s">
        <v>49</v>
      </c>
      <c r="H4" s="46"/>
    </row>
    <row r="5" spans="2:8" x14ac:dyDescent="0.25">
      <c r="B5" s="61"/>
      <c r="C5" s="62"/>
      <c r="D5" s="46" t="s">
        <v>50</v>
      </c>
      <c r="E5" s="46"/>
      <c r="F5" s="46"/>
      <c r="G5" s="46" t="s">
        <v>51</v>
      </c>
      <c r="H5" s="46"/>
    </row>
    <row r="6" spans="2:8" x14ac:dyDescent="0.25">
      <c r="B6" s="63"/>
      <c r="C6" s="64"/>
      <c r="D6" s="46" t="s">
        <v>52</v>
      </c>
      <c r="E6" s="46"/>
      <c r="F6" s="46"/>
      <c r="G6" s="46" t="s">
        <v>53</v>
      </c>
      <c r="H6" s="46"/>
    </row>
    <row r="7" spans="2:8" x14ac:dyDescent="0.25">
      <c r="B7" s="63"/>
      <c r="C7" s="60" t="s">
        <v>9</v>
      </c>
      <c r="D7" s="46" t="s">
        <v>54</v>
      </c>
      <c r="E7" s="46"/>
      <c r="F7" s="46"/>
      <c r="G7" s="46" t="s">
        <v>55</v>
      </c>
      <c r="H7" s="46"/>
    </row>
    <row r="8" spans="2:8" x14ac:dyDescent="0.25">
      <c r="B8" s="63"/>
      <c r="C8" s="62"/>
      <c r="D8" s="46" t="s">
        <v>10</v>
      </c>
      <c r="E8" s="46"/>
      <c r="F8" s="46"/>
      <c r="G8" s="46" t="s">
        <v>56</v>
      </c>
      <c r="H8" s="46"/>
    </row>
    <row r="9" spans="2:8" x14ac:dyDescent="0.25">
      <c r="B9" s="63"/>
      <c r="C9" s="64"/>
      <c r="D9" s="46" t="s">
        <v>57</v>
      </c>
      <c r="E9" s="46"/>
      <c r="F9" s="46"/>
      <c r="G9" s="46" t="s">
        <v>58</v>
      </c>
      <c r="H9" s="46"/>
    </row>
    <row r="10" spans="2:8" x14ac:dyDescent="0.25">
      <c r="B10" s="63"/>
      <c r="C10" s="60" t="s">
        <v>8</v>
      </c>
      <c r="D10" s="46" t="s">
        <v>59</v>
      </c>
      <c r="E10" s="46"/>
      <c r="F10" s="46"/>
      <c r="G10" s="46" t="s">
        <v>60</v>
      </c>
      <c r="H10" s="46"/>
    </row>
    <row r="11" spans="2:8" x14ac:dyDescent="0.25">
      <c r="B11" s="63"/>
      <c r="C11" s="47"/>
      <c r="D11" s="46" t="s">
        <v>11</v>
      </c>
      <c r="E11" s="46"/>
      <c r="F11" s="46"/>
      <c r="G11" s="46" t="s">
        <v>61</v>
      </c>
      <c r="H11" s="46"/>
    </row>
    <row r="12" spans="2:8" x14ac:dyDescent="0.25">
      <c r="B12" s="56"/>
      <c r="C12" s="48"/>
      <c r="D12" s="46" t="s">
        <v>12</v>
      </c>
      <c r="E12" s="46"/>
      <c r="F12" s="46"/>
      <c r="G12" s="46" t="s">
        <v>62</v>
      </c>
      <c r="H12" s="46"/>
    </row>
    <row r="13" spans="2:8" x14ac:dyDescent="0.25">
      <c r="B13" s="65" t="s">
        <v>194</v>
      </c>
      <c r="C13" s="66" t="s">
        <v>200</v>
      </c>
      <c r="D13" s="49" t="s">
        <v>255</v>
      </c>
      <c r="E13" s="49"/>
      <c r="F13" s="49"/>
      <c r="G13" s="49"/>
      <c r="H13" s="49"/>
    </row>
    <row r="14" spans="2:8" x14ac:dyDescent="0.25">
      <c r="B14" s="67"/>
      <c r="C14" s="66" t="s">
        <v>201</v>
      </c>
      <c r="D14" s="49" t="s">
        <v>389</v>
      </c>
      <c r="E14" s="49"/>
      <c r="F14" s="49"/>
      <c r="G14" s="49"/>
      <c r="H14" s="49"/>
    </row>
    <row r="15" spans="2:8" x14ac:dyDescent="0.25">
      <c r="B15" s="68"/>
      <c r="C15" s="66" t="s">
        <v>202</v>
      </c>
      <c r="D15" s="49" t="s">
        <v>246</v>
      </c>
      <c r="E15" s="49"/>
      <c r="F15" s="49"/>
      <c r="G15" s="49" t="s">
        <v>279</v>
      </c>
      <c r="H15" s="49"/>
    </row>
    <row r="16" spans="2:8" x14ac:dyDescent="0.25">
      <c r="B16" s="57" t="s">
        <v>195</v>
      </c>
      <c r="C16" s="52" t="s">
        <v>248</v>
      </c>
      <c r="D16" s="50" t="s">
        <v>197</v>
      </c>
      <c r="E16" s="50"/>
      <c r="F16" s="50"/>
      <c r="G16" s="51" t="s">
        <v>245</v>
      </c>
      <c r="H16" s="51"/>
    </row>
    <row r="17" spans="2:8" x14ac:dyDescent="0.25">
      <c r="B17" s="58"/>
      <c r="C17" s="53" t="s">
        <v>198</v>
      </c>
      <c r="D17" s="50" t="s">
        <v>198</v>
      </c>
      <c r="E17" s="50"/>
      <c r="F17" s="50"/>
      <c r="G17" s="51" t="s">
        <v>406</v>
      </c>
      <c r="H17" s="51"/>
    </row>
    <row r="18" spans="2:8" x14ac:dyDescent="0.25">
      <c r="B18" s="69" t="s">
        <v>196</v>
      </c>
      <c r="C18" s="70" t="s">
        <v>207</v>
      </c>
      <c r="D18" s="54" t="s">
        <v>208</v>
      </c>
      <c r="E18" s="54"/>
      <c r="F18" s="54"/>
      <c r="G18" s="54" t="s">
        <v>209</v>
      </c>
      <c r="H18" s="54"/>
    </row>
    <row r="19" spans="2:8" x14ac:dyDescent="0.25">
      <c r="B19" s="71"/>
      <c r="C19" s="72"/>
      <c r="D19" s="54" t="s">
        <v>210</v>
      </c>
      <c r="E19" s="54"/>
      <c r="F19" s="54"/>
      <c r="G19" s="54" t="s">
        <v>211</v>
      </c>
      <c r="H19" s="54"/>
    </row>
    <row r="20" spans="2:8" x14ac:dyDescent="0.25">
      <c r="B20" s="71"/>
      <c r="C20" s="72"/>
      <c r="D20" s="54" t="s">
        <v>212</v>
      </c>
      <c r="E20" s="54"/>
      <c r="F20" s="54"/>
      <c r="G20" s="54" t="s">
        <v>213</v>
      </c>
      <c r="H20" s="54"/>
    </row>
    <row r="21" spans="2:8" x14ac:dyDescent="0.25">
      <c r="B21" s="71"/>
      <c r="C21" s="72"/>
      <c r="D21" s="54" t="s">
        <v>214</v>
      </c>
      <c r="E21" s="54"/>
      <c r="F21" s="54"/>
      <c r="G21" s="54" t="s">
        <v>215</v>
      </c>
      <c r="H21" s="54"/>
    </row>
    <row r="22" spans="2:8" x14ac:dyDescent="0.25">
      <c r="B22" s="71"/>
      <c r="C22" s="72"/>
      <c r="D22" s="54" t="s">
        <v>216</v>
      </c>
      <c r="E22" s="54"/>
      <c r="F22" s="54"/>
      <c r="G22" s="54" t="s">
        <v>217</v>
      </c>
      <c r="H22" s="54"/>
    </row>
    <row r="23" spans="2:8" x14ac:dyDescent="0.25">
      <c r="B23" s="71"/>
      <c r="C23" s="72"/>
      <c r="D23" s="54" t="s">
        <v>218</v>
      </c>
      <c r="E23" s="54"/>
      <c r="F23" s="54"/>
      <c r="G23" s="54" t="s">
        <v>219</v>
      </c>
      <c r="H23" s="54"/>
    </row>
    <row r="24" spans="2:8" x14ac:dyDescent="0.25">
      <c r="B24" s="71"/>
      <c r="C24" s="72"/>
      <c r="D24" s="54" t="s">
        <v>220</v>
      </c>
      <c r="E24" s="54"/>
      <c r="F24" s="54"/>
      <c r="G24" s="54" t="s">
        <v>221</v>
      </c>
      <c r="H24" s="54"/>
    </row>
    <row r="25" spans="2:8" x14ac:dyDescent="0.25">
      <c r="B25" s="71"/>
      <c r="C25" s="73"/>
      <c r="D25" s="54" t="s">
        <v>222</v>
      </c>
      <c r="E25" s="54"/>
      <c r="F25" s="54"/>
      <c r="G25" s="54" t="s">
        <v>223</v>
      </c>
      <c r="H25" s="54"/>
    </row>
    <row r="26" spans="2:8" x14ac:dyDescent="0.25">
      <c r="B26" s="71"/>
      <c r="C26" s="70" t="s">
        <v>206</v>
      </c>
      <c r="D26" s="54" t="s">
        <v>224</v>
      </c>
      <c r="E26" s="54"/>
      <c r="F26" s="54"/>
      <c r="G26" s="54" t="s">
        <v>225</v>
      </c>
      <c r="H26" s="54"/>
    </row>
    <row r="27" spans="2:8" x14ac:dyDescent="0.25">
      <c r="B27" s="71"/>
      <c r="C27" s="72"/>
      <c r="D27" s="54" t="s">
        <v>226</v>
      </c>
      <c r="E27" s="54"/>
      <c r="F27" s="54"/>
      <c r="G27" s="54" t="s">
        <v>227</v>
      </c>
      <c r="H27" s="54"/>
    </row>
    <row r="28" spans="2:8" x14ac:dyDescent="0.25">
      <c r="B28" s="71"/>
      <c r="C28" s="72"/>
      <c r="D28" s="54" t="s">
        <v>228</v>
      </c>
      <c r="E28" s="54"/>
      <c r="F28" s="54"/>
      <c r="G28" s="54" t="s">
        <v>229</v>
      </c>
      <c r="H28" s="54"/>
    </row>
    <row r="29" spans="2:8" x14ac:dyDescent="0.25">
      <c r="B29" s="71"/>
      <c r="C29" s="72"/>
      <c r="D29" s="54" t="s">
        <v>230</v>
      </c>
      <c r="E29" s="54"/>
      <c r="F29" s="54"/>
      <c r="G29" s="54" t="s">
        <v>231</v>
      </c>
      <c r="H29" s="54"/>
    </row>
    <row r="30" spans="2:8" x14ac:dyDescent="0.25">
      <c r="B30" s="71"/>
      <c r="C30" s="72"/>
      <c r="D30" s="54" t="s">
        <v>232</v>
      </c>
      <c r="E30" s="54"/>
      <c r="F30" s="54"/>
      <c r="G30" s="54" t="s">
        <v>233</v>
      </c>
      <c r="H30" s="54"/>
    </row>
    <row r="31" spans="2:8" x14ac:dyDescent="0.25">
      <c r="B31" s="71"/>
      <c r="C31" s="72"/>
      <c r="D31" s="54" t="s">
        <v>234</v>
      </c>
      <c r="E31" s="54"/>
      <c r="F31" s="54"/>
      <c r="G31" s="54" t="s">
        <v>235</v>
      </c>
      <c r="H31" s="54"/>
    </row>
    <row r="32" spans="2:8" x14ac:dyDescent="0.25">
      <c r="B32" s="71"/>
      <c r="C32" s="72"/>
      <c r="D32" s="54" t="s">
        <v>236</v>
      </c>
      <c r="E32" s="54"/>
      <c r="F32" s="54"/>
      <c r="G32" s="54" t="s">
        <v>237</v>
      </c>
      <c r="H32" s="54"/>
    </row>
    <row r="33" spans="2:8" x14ac:dyDescent="0.25">
      <c r="B33" s="71"/>
      <c r="C33" s="72"/>
      <c r="D33" s="54" t="s">
        <v>238</v>
      </c>
      <c r="E33" s="54"/>
      <c r="F33" s="54"/>
      <c r="G33" s="54" t="s">
        <v>239</v>
      </c>
      <c r="H33" s="54"/>
    </row>
    <row r="34" spans="2:8" x14ac:dyDescent="0.25">
      <c r="B34" s="71"/>
      <c r="C34" s="73"/>
      <c r="D34" s="54" t="s">
        <v>240</v>
      </c>
      <c r="E34" s="54"/>
      <c r="F34" s="54"/>
      <c r="G34" s="54" t="s">
        <v>241</v>
      </c>
      <c r="H34" s="54"/>
    </row>
    <row r="35" spans="2:8" x14ac:dyDescent="0.25">
      <c r="B35" s="71"/>
      <c r="C35" s="72" t="s">
        <v>251</v>
      </c>
      <c r="D35" s="54" t="s">
        <v>252</v>
      </c>
      <c r="E35" s="54"/>
      <c r="F35" s="54"/>
      <c r="G35" s="54"/>
      <c r="H35" s="54"/>
    </row>
    <row r="36" spans="2:8" x14ac:dyDescent="0.25">
      <c r="B36" s="71"/>
      <c r="C36" s="72"/>
      <c r="D36" s="54" t="s">
        <v>253</v>
      </c>
      <c r="E36" s="54"/>
      <c r="F36" s="54"/>
      <c r="G36" s="54"/>
      <c r="H36" s="54"/>
    </row>
    <row r="37" spans="2:8" x14ac:dyDescent="0.25">
      <c r="B37" s="71"/>
      <c r="C37" s="72"/>
      <c r="D37" s="54" t="s">
        <v>254</v>
      </c>
      <c r="E37" s="54"/>
      <c r="F37" s="54"/>
      <c r="G37" s="54"/>
      <c r="H37" s="54"/>
    </row>
    <row r="38" spans="2:8" x14ac:dyDescent="0.25">
      <c r="B38" s="74" t="s">
        <v>199</v>
      </c>
      <c r="C38" s="75" t="s">
        <v>192</v>
      </c>
      <c r="D38" s="76" t="s">
        <v>137</v>
      </c>
      <c r="E38" s="76"/>
      <c r="F38" s="76"/>
      <c r="G38" s="76" t="s">
        <v>138</v>
      </c>
      <c r="H38" s="76"/>
    </row>
    <row r="39" spans="2:8" x14ac:dyDescent="0.25">
      <c r="B39" s="77"/>
      <c r="C39" s="78"/>
      <c r="D39" s="76" t="s">
        <v>136</v>
      </c>
      <c r="E39" s="76"/>
      <c r="F39" s="76"/>
      <c r="G39" s="76" t="s">
        <v>139</v>
      </c>
      <c r="H39" s="76"/>
    </row>
    <row r="40" spans="2:8" x14ac:dyDescent="0.25">
      <c r="B40" s="77"/>
      <c r="C40" s="78"/>
      <c r="D40" s="76" t="s">
        <v>205</v>
      </c>
      <c r="E40" s="76"/>
      <c r="F40" s="76"/>
      <c r="G40" s="76" t="s">
        <v>244</v>
      </c>
      <c r="H40" s="76"/>
    </row>
    <row r="41" spans="2:8" x14ac:dyDescent="0.25">
      <c r="B41" s="77"/>
      <c r="C41" s="78"/>
      <c r="D41" s="76" t="s">
        <v>204</v>
      </c>
      <c r="E41" s="76"/>
      <c r="F41" s="76"/>
      <c r="G41" s="76" t="s">
        <v>242</v>
      </c>
      <c r="H41" s="76"/>
    </row>
    <row r="42" spans="2:8" x14ac:dyDescent="0.25">
      <c r="B42" s="77"/>
      <c r="C42" s="79"/>
      <c r="D42" s="76" t="s">
        <v>247</v>
      </c>
      <c r="E42" s="76"/>
      <c r="F42" s="76"/>
      <c r="G42" s="76" t="s">
        <v>243</v>
      </c>
      <c r="H42" s="76"/>
    </row>
    <row r="43" spans="2:8" x14ac:dyDescent="0.25">
      <c r="B43" s="77"/>
      <c r="C43" s="75" t="s">
        <v>193</v>
      </c>
      <c r="D43" s="80" t="s">
        <v>118</v>
      </c>
      <c r="E43" s="80"/>
      <c r="F43" s="80"/>
      <c r="G43" s="81" t="s">
        <v>122</v>
      </c>
      <c r="H43" s="81"/>
    </row>
    <row r="44" spans="2:8" x14ac:dyDescent="0.25">
      <c r="B44" s="77"/>
      <c r="C44" s="78"/>
      <c r="D44" s="80" t="s">
        <v>119</v>
      </c>
      <c r="E44" s="80"/>
      <c r="F44" s="80"/>
      <c r="G44" s="81" t="s">
        <v>123</v>
      </c>
      <c r="H44" s="81"/>
    </row>
    <row r="45" spans="2:8" x14ac:dyDescent="0.25">
      <c r="B45" s="77"/>
      <c r="C45" s="78"/>
      <c r="D45" s="80" t="s">
        <v>120</v>
      </c>
      <c r="E45" s="80"/>
      <c r="F45" s="80"/>
      <c r="G45" s="81" t="s">
        <v>160</v>
      </c>
      <c r="H45" s="81"/>
    </row>
    <row r="46" spans="2:8" x14ac:dyDescent="0.25">
      <c r="B46" s="77"/>
      <c r="C46" s="78"/>
      <c r="D46" s="80" t="s">
        <v>161</v>
      </c>
      <c r="E46" s="80"/>
      <c r="F46" s="80"/>
      <c r="G46" s="81" t="s">
        <v>162</v>
      </c>
      <c r="H46" s="81"/>
    </row>
    <row r="47" spans="2:8" x14ac:dyDescent="0.25">
      <c r="B47" s="82"/>
      <c r="C47" s="79"/>
      <c r="D47" s="80" t="s">
        <v>121</v>
      </c>
      <c r="E47" s="80"/>
      <c r="F47" s="80"/>
      <c r="G47" s="81" t="s">
        <v>124</v>
      </c>
      <c r="H47" s="81"/>
    </row>
    <row r="48" spans="2:8" x14ac:dyDescent="0.25">
      <c r="G48" s="3"/>
    </row>
    <row r="49" spans="2:7" x14ac:dyDescent="0.25">
      <c r="G49" s="3"/>
    </row>
    <row r="50" spans="2:7" x14ac:dyDescent="0.25">
      <c r="G50" s="3"/>
    </row>
    <row r="51" spans="2:7" x14ac:dyDescent="0.25">
      <c r="B51" s="83" t="s">
        <v>258</v>
      </c>
      <c r="C51" s="84"/>
      <c r="G51" s="3"/>
    </row>
    <row r="53" spans="2:7" x14ac:dyDescent="0.25">
      <c r="B53" s="7" t="s">
        <v>126</v>
      </c>
      <c r="C53" s="7" t="s">
        <v>186</v>
      </c>
    </row>
    <row r="54" spans="2:7" x14ac:dyDescent="0.25">
      <c r="B54" t="s">
        <v>127</v>
      </c>
      <c r="C54" s="42">
        <v>2000</v>
      </c>
    </row>
    <row r="55" spans="2:7" x14ac:dyDescent="0.25">
      <c r="B55" t="s">
        <v>128</v>
      </c>
      <c r="C55" s="42">
        <v>8500</v>
      </c>
    </row>
    <row r="56" spans="2:7" x14ac:dyDescent="0.25">
      <c r="B56" t="s">
        <v>129</v>
      </c>
      <c r="C56" s="43">
        <v>8500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3BE0-4286-4A16-B02D-1DAEDD1D5125}">
  <dimension ref="B2:F17"/>
  <sheetViews>
    <sheetView workbookViewId="0">
      <selection activeCell="B6" sqref="B6"/>
    </sheetView>
  </sheetViews>
  <sheetFormatPr defaultRowHeight="13.8" x14ac:dyDescent="0.25"/>
  <cols>
    <col min="2" max="2" width="16.5" customWidth="1"/>
    <col min="5" max="5" width="34.59765625" customWidth="1"/>
  </cols>
  <sheetData>
    <row r="2" spans="2:6" x14ac:dyDescent="0.25">
      <c r="B2" t="s">
        <v>142</v>
      </c>
      <c r="E2" t="s">
        <v>143</v>
      </c>
    </row>
    <row r="4" spans="2:6" x14ac:dyDescent="0.25">
      <c r="B4" t="s">
        <v>127</v>
      </c>
      <c r="C4">
        <f>COUNTIFS(CCA_Defense!X:X,'Chart Data'!$B4)</f>
        <v>39</v>
      </c>
      <c r="E4" s="3" t="s">
        <v>7</v>
      </c>
      <c r="F4" s="36">
        <v>6</v>
      </c>
    </row>
    <row r="5" spans="2:6" x14ac:dyDescent="0.25">
      <c r="B5" t="s">
        <v>128</v>
      </c>
      <c r="C5">
        <f>COUNTIFS(CCA_Defense!X:X,'Chart Data'!$B5)</f>
        <v>8</v>
      </c>
      <c r="E5" s="3" t="s">
        <v>9</v>
      </c>
      <c r="F5">
        <v>2</v>
      </c>
    </row>
    <row r="6" spans="2:6" x14ac:dyDescent="0.25">
      <c r="B6" t="s">
        <v>129</v>
      </c>
      <c r="C6">
        <f>COUNTIFS(CCA_Defense!X:X,'Chart Data'!$B6)</f>
        <v>8</v>
      </c>
      <c r="E6" s="3" t="s">
        <v>8</v>
      </c>
      <c r="F6">
        <v>4</v>
      </c>
    </row>
    <row r="7" spans="2:6" x14ac:dyDescent="0.25">
      <c r="E7" s="3" t="s">
        <v>13</v>
      </c>
      <c r="F7">
        <v>3</v>
      </c>
    </row>
    <row r="8" spans="2:6" x14ac:dyDescent="0.25">
      <c r="E8" s="3" t="s">
        <v>130</v>
      </c>
      <c r="F8">
        <v>10</v>
      </c>
    </row>
    <row r="9" spans="2:6" x14ac:dyDescent="0.25">
      <c r="E9" s="36" t="s">
        <v>117</v>
      </c>
      <c r="F9">
        <v>8</v>
      </c>
    </row>
    <row r="10" spans="2:6" x14ac:dyDescent="0.25">
      <c r="E10" t="s">
        <v>125</v>
      </c>
      <c r="F10">
        <v>4</v>
      </c>
    </row>
    <row r="11" spans="2:6" x14ac:dyDescent="0.25">
      <c r="E11" t="s">
        <v>135</v>
      </c>
      <c r="F11">
        <v>1</v>
      </c>
    </row>
    <row r="12" spans="2:6" x14ac:dyDescent="0.25">
      <c r="E12" s="3"/>
    </row>
    <row r="14" spans="2:6" x14ac:dyDescent="0.25">
      <c r="E14" s="3"/>
    </row>
    <row r="16" spans="2:6" x14ac:dyDescent="0.25">
      <c r="E16" s="3"/>
    </row>
    <row r="17" spans="5:5" x14ac:dyDescent="0.25">
      <c r="E17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8520-BC78-4BA6-B033-8B8648D2C436}">
  <sheetPr>
    <tabColor theme="8" tint="0.79998168889431442"/>
  </sheetPr>
  <dimension ref="A1:J31"/>
  <sheetViews>
    <sheetView showGridLines="0" zoomScale="82" zoomScaleNormal="82" workbookViewId="0">
      <pane xSplit="1" ySplit="3" topLeftCell="B4" activePane="bottomRight" state="frozen"/>
      <selection activeCell="E18" sqref="E18"/>
      <selection pane="topRight" activeCell="E18" sqref="E18"/>
      <selection pane="bottomLeft" activeCell="E18" sqref="E18"/>
      <selection pane="bottomRight" activeCell="E24" sqref="E24"/>
    </sheetView>
  </sheetViews>
  <sheetFormatPr defaultRowHeight="13.8" x14ac:dyDescent="0.25"/>
  <cols>
    <col min="1" max="1" width="18" customWidth="1"/>
    <col min="2" max="3" width="34.8984375" customWidth="1"/>
    <col min="4" max="4" width="31.8984375" style="2" customWidth="1"/>
    <col min="5" max="5" width="27.19921875" style="25" customWidth="1"/>
    <col min="6" max="6" width="27.3984375" style="2" customWidth="1"/>
    <col min="7" max="7" width="8.69921875" style="2" customWidth="1"/>
  </cols>
  <sheetData>
    <row r="1" spans="1:10" ht="14.4" x14ac:dyDescent="0.25">
      <c r="D1" s="32" t="s">
        <v>99</v>
      </c>
      <c r="E1" s="31" t="s">
        <v>98</v>
      </c>
      <c r="F1" s="32" t="s">
        <v>102</v>
      </c>
    </row>
    <row r="2" spans="1:10" s="11" customFormat="1" x14ac:dyDescent="0.25">
      <c r="B2" s="13" t="s">
        <v>92</v>
      </c>
      <c r="C2" s="14"/>
      <c r="D2" s="15" t="s">
        <v>93</v>
      </c>
      <c r="E2" s="23" t="s">
        <v>96</v>
      </c>
      <c r="F2" s="15" t="s">
        <v>100</v>
      </c>
      <c r="G2" s="19"/>
    </row>
    <row r="3" spans="1:10" s="12" customFormat="1" ht="13.95" customHeight="1" x14ac:dyDescent="0.25">
      <c r="A3" s="7" t="s">
        <v>64</v>
      </c>
      <c r="B3" s="7" t="s">
        <v>65</v>
      </c>
      <c r="C3" s="7" t="s">
        <v>95</v>
      </c>
      <c r="D3" s="16" t="s">
        <v>94</v>
      </c>
      <c r="E3" s="24" t="s">
        <v>97</v>
      </c>
      <c r="F3" s="17" t="s">
        <v>101</v>
      </c>
      <c r="G3" s="20"/>
    </row>
    <row r="4" spans="1:10" x14ac:dyDescent="0.25">
      <c r="A4" s="8" t="s">
        <v>66</v>
      </c>
      <c r="B4" s="33">
        <v>602.41</v>
      </c>
      <c r="C4" s="9">
        <v>2.9600000000000001E-2</v>
      </c>
    </row>
    <row r="5" spans="1:10" x14ac:dyDescent="0.25">
      <c r="A5" s="8" t="s">
        <v>67</v>
      </c>
      <c r="B5" s="33">
        <v>602.41</v>
      </c>
      <c r="C5" s="9">
        <v>2.9499999999999998E-2</v>
      </c>
      <c r="D5" s="18">
        <v>13.9</v>
      </c>
      <c r="E5" s="26"/>
    </row>
    <row r="6" spans="1:10" x14ac:dyDescent="0.25">
      <c r="A6" s="8" t="s">
        <v>68</v>
      </c>
      <c r="B6" s="33">
        <v>722.89</v>
      </c>
      <c r="C6" s="9">
        <v>2.92E-2</v>
      </c>
      <c r="D6" s="18">
        <v>14.29</v>
      </c>
      <c r="E6" s="26"/>
    </row>
    <row r="7" spans="1:10" x14ac:dyDescent="0.25">
      <c r="A7" s="8" t="s">
        <v>69</v>
      </c>
      <c r="B7" s="33">
        <v>722.89</v>
      </c>
      <c r="C7" s="9">
        <v>2.8299999999999999E-2</v>
      </c>
      <c r="D7" s="18">
        <v>14.6</v>
      </c>
      <c r="E7" s="26"/>
    </row>
    <row r="8" spans="1:10" x14ac:dyDescent="0.25">
      <c r="A8" s="8" t="s">
        <v>70</v>
      </c>
      <c r="B8" s="33">
        <v>722.89</v>
      </c>
      <c r="C8" s="9">
        <v>2.6800000000000001E-2</v>
      </c>
      <c r="D8" s="18">
        <v>14.75</v>
      </c>
      <c r="E8" s="26"/>
    </row>
    <row r="9" spans="1:10" x14ac:dyDescent="0.25">
      <c r="A9" s="8" t="s">
        <v>71</v>
      </c>
      <c r="B9" s="33">
        <v>963.86</v>
      </c>
      <c r="C9" s="9">
        <v>2.8299999999999999E-2</v>
      </c>
      <c r="D9" s="18">
        <v>16.329999999999998</v>
      </c>
      <c r="E9" s="26"/>
    </row>
    <row r="10" spans="1:10" x14ac:dyDescent="0.25">
      <c r="A10" s="8" t="s">
        <v>72</v>
      </c>
      <c r="B10" s="33">
        <v>963.86</v>
      </c>
      <c r="C10" s="9">
        <v>2.9100000000000001E-2</v>
      </c>
      <c r="D10" s="18">
        <v>20.239999999999998</v>
      </c>
      <c r="E10" s="26"/>
    </row>
    <row r="11" spans="1:10" x14ac:dyDescent="0.25">
      <c r="A11" s="8" t="s">
        <v>73</v>
      </c>
      <c r="B11" s="33">
        <v>1084.3399999999999</v>
      </c>
      <c r="C11" s="9">
        <v>2.6800000000000001E-2</v>
      </c>
      <c r="D11" s="18">
        <v>23.07</v>
      </c>
      <c r="E11" s="26"/>
      <c r="H11" s="4"/>
      <c r="I11" s="4"/>
      <c r="J11" s="4"/>
    </row>
    <row r="12" spans="1:10" x14ac:dyDescent="0.25">
      <c r="A12" s="8" t="s">
        <v>74</v>
      </c>
      <c r="B12" s="33">
        <v>1084.3399999999999</v>
      </c>
      <c r="C12" s="9">
        <v>2.4799999999999999E-2</v>
      </c>
      <c r="D12" s="18">
        <v>23.95</v>
      </c>
      <c r="E12" s="26"/>
      <c r="H12" s="3"/>
      <c r="I12" s="22"/>
      <c r="J12" s="3"/>
    </row>
    <row r="13" spans="1:10" x14ac:dyDescent="0.25">
      <c r="A13" s="8" t="s">
        <v>75</v>
      </c>
      <c r="B13" s="33">
        <v>1325.3</v>
      </c>
      <c r="C13" s="9">
        <v>2.63E-2</v>
      </c>
      <c r="D13" s="18">
        <v>28.25</v>
      </c>
      <c r="E13" s="26"/>
      <c r="H13" s="3"/>
      <c r="I13" s="22"/>
      <c r="J13" s="3"/>
    </row>
    <row r="14" spans="1:10" x14ac:dyDescent="0.25">
      <c r="A14" s="8" t="s">
        <v>76</v>
      </c>
      <c r="B14" s="33">
        <v>1686.75</v>
      </c>
      <c r="C14" s="9">
        <v>3.1300000000000001E-2</v>
      </c>
      <c r="D14" s="18">
        <v>33</v>
      </c>
      <c r="E14" s="26"/>
      <c r="H14" s="3"/>
      <c r="I14" s="22"/>
      <c r="J14" s="3"/>
    </row>
    <row r="15" spans="1:10" x14ac:dyDescent="0.25">
      <c r="A15" s="8" t="s">
        <v>77</v>
      </c>
      <c r="B15" s="33">
        <v>1807.23</v>
      </c>
      <c r="C15" s="9">
        <v>2.8899999999999999E-2</v>
      </c>
      <c r="D15" s="18">
        <v>38.72</v>
      </c>
      <c r="E15" s="26"/>
      <c r="H15" s="3"/>
      <c r="I15" s="22"/>
      <c r="J15" s="3"/>
    </row>
    <row r="16" spans="1:10" x14ac:dyDescent="0.25">
      <c r="A16" s="8" t="s">
        <v>78</v>
      </c>
      <c r="B16" s="33">
        <v>2048.19</v>
      </c>
      <c r="C16" s="9">
        <v>2.7E-2</v>
      </c>
      <c r="D16" s="18">
        <v>46.09</v>
      </c>
      <c r="E16" s="26"/>
      <c r="H16" s="3"/>
      <c r="I16" s="22"/>
      <c r="J16" s="3"/>
    </row>
    <row r="17" spans="1:10" x14ac:dyDescent="0.25">
      <c r="A17" s="8" t="s">
        <v>79</v>
      </c>
      <c r="B17" s="33">
        <v>2168.67</v>
      </c>
      <c r="C17" s="9">
        <v>2.6200000000000001E-2</v>
      </c>
      <c r="D17" s="18">
        <v>49.63</v>
      </c>
      <c r="E17" s="26"/>
      <c r="H17" s="3"/>
      <c r="I17" s="22"/>
      <c r="J17" s="3"/>
    </row>
    <row r="18" spans="1:10" x14ac:dyDescent="0.25">
      <c r="A18" s="8" t="s">
        <v>80</v>
      </c>
      <c r="B18" s="33">
        <v>2409.64</v>
      </c>
      <c r="C18" s="9">
        <v>2.5499999999999998E-2</v>
      </c>
      <c r="D18" s="18">
        <v>47.22</v>
      </c>
      <c r="E18" s="27"/>
      <c r="F18" s="21"/>
      <c r="H18" s="3"/>
      <c r="I18" s="22"/>
      <c r="J18" s="3"/>
    </row>
    <row r="19" spans="1:10" x14ac:dyDescent="0.25">
      <c r="A19" s="8" t="s">
        <v>81</v>
      </c>
      <c r="B19" s="33">
        <v>2650.6</v>
      </c>
      <c r="C19" s="9">
        <v>2.5000000000000001E-2</v>
      </c>
      <c r="D19" s="18">
        <v>47.4</v>
      </c>
      <c r="E19" s="28"/>
      <c r="F19" s="21"/>
      <c r="H19" s="4"/>
      <c r="I19" s="4"/>
      <c r="J19" s="4"/>
    </row>
    <row r="20" spans="1:10" x14ac:dyDescent="0.25">
      <c r="A20" s="8" t="s">
        <v>82</v>
      </c>
      <c r="B20" s="33">
        <v>2771.08</v>
      </c>
      <c r="C20" s="9">
        <v>2.41E-2</v>
      </c>
      <c r="D20" s="18">
        <v>50.91</v>
      </c>
      <c r="E20" s="27"/>
      <c r="F20" s="21"/>
      <c r="H20" s="3"/>
      <c r="I20" s="22"/>
      <c r="J20" s="3"/>
    </row>
    <row r="21" spans="1:10" x14ac:dyDescent="0.25">
      <c r="A21" s="8" t="s">
        <v>83</v>
      </c>
      <c r="B21" s="33">
        <v>3012.05</v>
      </c>
      <c r="C21" s="9">
        <v>2.5100000000000001E-2</v>
      </c>
      <c r="D21" s="18">
        <v>51.3</v>
      </c>
      <c r="E21" s="27">
        <v>0.18</v>
      </c>
      <c r="F21" s="21"/>
      <c r="H21" s="3"/>
      <c r="I21" s="22"/>
      <c r="J21" s="3"/>
    </row>
    <row r="22" spans="1:10" x14ac:dyDescent="0.25">
      <c r="A22" s="8" t="s">
        <v>84</v>
      </c>
      <c r="B22" s="33">
        <v>3373.49</v>
      </c>
      <c r="C22" s="9">
        <v>2.5100000000000001E-2</v>
      </c>
      <c r="D22" s="18">
        <v>56.64</v>
      </c>
      <c r="E22" s="27">
        <v>0.56000000000000005</v>
      </c>
      <c r="F22" s="10">
        <v>3.7</v>
      </c>
      <c r="H22" s="3"/>
      <c r="I22" s="22"/>
      <c r="J22" s="3"/>
    </row>
    <row r="23" spans="1:10" x14ac:dyDescent="0.25">
      <c r="A23" s="8" t="s">
        <v>85</v>
      </c>
      <c r="B23" s="33">
        <v>3614.46</v>
      </c>
      <c r="C23" s="9">
        <v>2.4199999999999999E-2</v>
      </c>
      <c r="D23" s="18">
        <v>64.56</v>
      </c>
      <c r="E23" s="27">
        <v>1.27</v>
      </c>
      <c r="F23" s="10">
        <v>4.59</v>
      </c>
      <c r="H23" s="3"/>
      <c r="I23" s="22"/>
      <c r="J23" s="3"/>
    </row>
    <row r="24" spans="1:10" x14ac:dyDescent="0.25">
      <c r="A24" s="8" t="s">
        <v>86</v>
      </c>
      <c r="B24" s="33">
        <v>3855.42</v>
      </c>
      <c r="C24" s="9">
        <v>2.52E-2</v>
      </c>
      <c r="D24" s="18">
        <v>66.260000000000005</v>
      </c>
      <c r="E24" s="27">
        <v>1.1000000000000001</v>
      </c>
      <c r="F24" s="10">
        <v>4.8600000000000003</v>
      </c>
      <c r="H24" s="3"/>
      <c r="I24" s="22"/>
      <c r="J24" s="3"/>
    </row>
    <row r="25" spans="1:10" x14ac:dyDescent="0.25">
      <c r="A25" s="8" t="s">
        <v>87</v>
      </c>
      <c r="B25" s="33">
        <v>5662.65</v>
      </c>
      <c r="C25" s="9">
        <v>2.8799999999999999E-2</v>
      </c>
      <c r="D25" s="18">
        <v>71.47</v>
      </c>
      <c r="E25" s="27">
        <v>1.02</v>
      </c>
      <c r="F25" s="10">
        <v>5.29</v>
      </c>
    </row>
    <row r="26" spans="1:10" x14ac:dyDescent="0.25">
      <c r="A26" s="8" t="s">
        <v>88</v>
      </c>
      <c r="B26" s="33">
        <v>5783.13</v>
      </c>
      <c r="C26" s="9">
        <v>2.6599999999999999E-2</v>
      </c>
      <c r="D26" s="18">
        <v>72.94</v>
      </c>
      <c r="E26" s="27">
        <v>1.54</v>
      </c>
      <c r="F26" s="10">
        <v>4.92</v>
      </c>
    </row>
    <row r="27" spans="1:10" ht="19.2" customHeight="1" x14ac:dyDescent="0.25">
      <c r="A27" s="8" t="s">
        <v>89</v>
      </c>
      <c r="B27" s="33">
        <v>6385.54</v>
      </c>
      <c r="C27" s="9">
        <v>2.2100000000000002E-2</v>
      </c>
      <c r="D27" s="18">
        <v>76.349999999999994</v>
      </c>
      <c r="E27" s="27">
        <v>1.92</v>
      </c>
    </row>
    <row r="28" spans="1:10" x14ac:dyDescent="0.25">
      <c r="A28" s="8" t="s">
        <v>90</v>
      </c>
      <c r="B28" s="33">
        <v>7108.43</v>
      </c>
      <c r="C28" s="9">
        <v>1.9699999999999999E-2</v>
      </c>
      <c r="D28" s="18">
        <v>81.36</v>
      </c>
      <c r="E28" s="27">
        <v>2.54</v>
      </c>
    </row>
    <row r="29" spans="1:10" x14ac:dyDescent="0.25">
      <c r="A29" s="8" t="s">
        <v>91</v>
      </c>
      <c r="B29" s="33">
        <v>7469.88</v>
      </c>
      <c r="C29" s="9">
        <v>1.89E-2</v>
      </c>
      <c r="D29" s="18">
        <v>83.57</v>
      </c>
      <c r="E29" s="29"/>
    </row>
    <row r="30" spans="1:10" x14ac:dyDescent="0.25">
      <c r="E30" s="30"/>
    </row>
    <row r="31" spans="1:10" x14ac:dyDescent="0.25">
      <c r="E31" s="3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4508-006D-470F-B53C-783D159ABF93}">
  <sheetPr>
    <tabColor rgb="FFAEC9E4"/>
  </sheetPr>
  <dimension ref="A1:DJ176"/>
  <sheetViews>
    <sheetView workbookViewId="0">
      <pane xSplit="2" ySplit="4" topLeftCell="C73" activePane="bottomRight" state="frozen"/>
      <selection activeCell="B71" sqref="B71"/>
      <selection pane="topRight" activeCell="B71" sqref="B71"/>
      <selection pane="bottomLeft" activeCell="B71" sqref="B71"/>
      <selection pane="bottomRight" activeCell="C83" sqref="C83"/>
    </sheetView>
  </sheetViews>
  <sheetFormatPr defaultRowHeight="13.8" x14ac:dyDescent="0.25"/>
  <cols>
    <col min="1" max="1" width="10.3984375" customWidth="1"/>
    <col min="2" max="2" width="23.09765625" customWidth="1"/>
    <col min="6" max="6" width="2.59765625" customWidth="1"/>
    <col min="8" max="8" width="10.19921875" customWidth="1"/>
    <col min="9" max="9" width="2.59765625" customWidth="1"/>
    <col min="11" max="11" width="10.69921875" customWidth="1"/>
    <col min="12" max="12" width="2.59765625" customWidth="1"/>
    <col min="17" max="17" width="2.59765625" customWidth="1"/>
    <col min="20" max="20" width="2.59765625" customWidth="1"/>
    <col min="29" max="29" width="2.59765625" customWidth="1"/>
    <col min="30" max="33" width="12.8984375" customWidth="1"/>
    <col min="34" max="34" width="17.5" style="209" customWidth="1"/>
    <col min="35" max="35" width="2.59765625" customWidth="1"/>
    <col min="36" max="36" width="17.19921875" customWidth="1"/>
    <col min="37" max="37" width="12.8984375" customWidth="1"/>
    <col min="38" max="38" width="14" style="209" customWidth="1"/>
    <col min="39" max="39" width="2.59765625" customWidth="1"/>
    <col min="41" max="41" width="10.69921875" customWidth="1"/>
    <col min="42" max="42" width="12.8984375" customWidth="1"/>
    <col min="43" max="43" width="2.59765625" customWidth="1"/>
    <col min="44" max="44" width="13.5" customWidth="1"/>
    <col min="45" max="46" width="12.69921875" customWidth="1"/>
    <col min="47" max="47" width="2.59765625" customWidth="1"/>
    <col min="48" max="51" width="12.69921875" customWidth="1"/>
    <col min="52" max="52" width="2.59765625" customWidth="1"/>
    <col min="53" max="53" width="12.69921875" customWidth="1"/>
    <col min="54" max="54" width="2.59765625" customWidth="1"/>
    <col min="55" max="55" width="14.3984375" customWidth="1"/>
    <col min="56" max="56" width="12.69921875" customWidth="1"/>
    <col min="57" max="57" width="2.59765625" customWidth="1"/>
    <col min="58" max="60" width="12.69921875" customWidth="1"/>
    <col min="61" max="61" width="2.59765625" customWidth="1"/>
    <col min="63" max="63" width="10.3984375" bestFit="1" customWidth="1"/>
    <col min="64" max="64" width="2.59765625" customWidth="1"/>
    <col min="75" max="75" width="2.59765625" customWidth="1"/>
    <col min="76" max="85" width="11.59765625" customWidth="1"/>
    <col min="86" max="86" width="2.59765625" customWidth="1"/>
    <col min="87" max="87" width="9.59765625" customWidth="1"/>
    <col min="97" max="97" width="2.59765625" customWidth="1"/>
    <col min="98" max="98" width="9.59765625" customWidth="1"/>
    <col min="108" max="108" width="2.59765625" customWidth="1"/>
    <col min="109" max="110" width="9" customWidth="1"/>
    <col min="112" max="113" width="2.59765625" customWidth="1"/>
  </cols>
  <sheetData>
    <row r="1" spans="1:114" x14ac:dyDescent="0.25">
      <c r="A1" s="189" t="s">
        <v>648</v>
      </c>
      <c r="B1" s="190"/>
      <c r="C1" s="433" t="s">
        <v>649</v>
      </c>
      <c r="D1" s="433"/>
      <c r="E1" s="433"/>
      <c r="F1" s="172"/>
      <c r="G1" s="434" t="s">
        <v>560</v>
      </c>
      <c r="H1" s="434"/>
      <c r="I1" s="172"/>
      <c r="J1" s="433" t="s">
        <v>561</v>
      </c>
      <c r="K1" s="433"/>
      <c r="L1" s="172"/>
      <c r="M1" s="434" t="s">
        <v>437</v>
      </c>
      <c r="N1" s="434"/>
      <c r="O1" s="437" t="s">
        <v>562</v>
      </c>
      <c r="P1" s="437"/>
      <c r="Q1" s="172"/>
      <c r="R1" s="434" t="s">
        <v>563</v>
      </c>
      <c r="S1" s="434"/>
      <c r="T1" s="172"/>
      <c r="U1" s="436" t="s">
        <v>564</v>
      </c>
      <c r="V1" s="436"/>
      <c r="W1" s="436"/>
      <c r="X1" s="435" t="s">
        <v>565</v>
      </c>
      <c r="Y1" s="435"/>
      <c r="Z1" s="435"/>
      <c r="AA1" s="435"/>
      <c r="AB1" s="435"/>
      <c r="AC1" s="172"/>
      <c r="AD1" s="438" t="s">
        <v>650</v>
      </c>
      <c r="AE1" s="438"/>
      <c r="AF1" s="438"/>
      <c r="AG1" s="438"/>
      <c r="AH1" s="438"/>
      <c r="AI1" s="172" t="s">
        <v>277</v>
      </c>
      <c r="AJ1" s="439" t="s">
        <v>651</v>
      </c>
      <c r="AK1" s="439"/>
      <c r="AL1" s="439"/>
      <c r="AM1" s="172" t="s">
        <v>277</v>
      </c>
      <c r="AN1" s="433" t="s">
        <v>566</v>
      </c>
      <c r="AO1" s="433"/>
      <c r="AP1" s="175" t="s">
        <v>495</v>
      </c>
      <c r="AQ1" s="172" t="s">
        <v>277</v>
      </c>
      <c r="AR1" s="436" t="s">
        <v>652</v>
      </c>
      <c r="AS1" s="436"/>
      <c r="AT1" s="436"/>
      <c r="AU1" s="172" t="s">
        <v>277</v>
      </c>
      <c r="AV1" s="434" t="s">
        <v>653</v>
      </c>
      <c r="AW1" s="434"/>
      <c r="AX1" s="434"/>
      <c r="AY1" s="434"/>
      <c r="AZ1" s="172" t="s">
        <v>277</v>
      </c>
      <c r="BA1" s="176" t="s">
        <v>654</v>
      </c>
      <c r="BB1" s="172" t="s">
        <v>277</v>
      </c>
      <c r="BC1" s="191" t="s">
        <v>655</v>
      </c>
      <c r="BD1" s="191" t="s">
        <v>656</v>
      </c>
      <c r="BE1" s="172" t="s">
        <v>277</v>
      </c>
      <c r="BF1" s="433" t="s">
        <v>569</v>
      </c>
      <c r="BG1" s="433"/>
      <c r="BH1" s="433"/>
      <c r="BI1" s="172"/>
      <c r="BJ1" s="434" t="s">
        <v>570</v>
      </c>
      <c r="BK1" s="434"/>
      <c r="BL1" s="172"/>
      <c r="BM1" s="433" t="s">
        <v>571</v>
      </c>
      <c r="BN1" s="433"/>
      <c r="BO1" s="433"/>
      <c r="BP1" s="433"/>
      <c r="BQ1" s="433"/>
      <c r="BR1" s="433"/>
      <c r="BS1" s="434" t="s">
        <v>572</v>
      </c>
      <c r="BT1" s="434"/>
      <c r="BU1" s="434"/>
      <c r="BV1" s="434"/>
      <c r="BW1" s="172"/>
      <c r="BX1" s="433" t="s">
        <v>657</v>
      </c>
      <c r="BY1" s="433"/>
      <c r="BZ1" s="433"/>
      <c r="CA1" s="433"/>
      <c r="CB1" s="433"/>
      <c r="CC1" s="433"/>
      <c r="CD1" s="434" t="s">
        <v>658</v>
      </c>
      <c r="CE1" s="434"/>
      <c r="CF1" s="434"/>
      <c r="CG1" s="434"/>
      <c r="CH1" s="172"/>
      <c r="CI1" s="433" t="s">
        <v>573</v>
      </c>
      <c r="CJ1" s="433"/>
      <c r="CK1" s="433"/>
      <c r="CL1" s="433"/>
      <c r="CM1" s="433"/>
      <c r="CN1" s="433"/>
      <c r="CO1" s="434" t="s">
        <v>574</v>
      </c>
      <c r="CP1" s="434"/>
      <c r="CQ1" s="434"/>
      <c r="CR1" s="434"/>
      <c r="CS1" s="172"/>
      <c r="CT1" s="433" t="s">
        <v>575</v>
      </c>
      <c r="CU1" s="433"/>
      <c r="CV1" s="433"/>
      <c r="CW1" s="433"/>
      <c r="CX1" s="433"/>
      <c r="CY1" s="433"/>
      <c r="CZ1" s="434" t="s">
        <v>576</v>
      </c>
      <c r="DA1" s="434"/>
      <c r="DB1" s="434"/>
      <c r="DC1" s="434"/>
      <c r="DD1" s="172"/>
      <c r="DE1" s="441" t="s">
        <v>1160</v>
      </c>
      <c r="DF1" s="441"/>
      <c r="DG1" s="441"/>
      <c r="DH1" s="172"/>
      <c r="DI1" s="172"/>
      <c r="DJ1" s="172" t="s">
        <v>277</v>
      </c>
    </row>
    <row r="2" spans="1:114" x14ac:dyDescent="0.25">
      <c r="A2" s="190"/>
      <c r="B2" s="190"/>
      <c r="C2" s="440" t="s">
        <v>659</v>
      </c>
      <c r="D2" s="440"/>
      <c r="E2" s="192" t="s">
        <v>660</v>
      </c>
      <c r="F2" s="172" t="s">
        <v>277</v>
      </c>
      <c r="G2" s="178" t="s">
        <v>577</v>
      </c>
      <c r="H2" s="179" t="s">
        <v>578</v>
      </c>
      <c r="I2" s="172" t="s">
        <v>277</v>
      </c>
      <c r="J2" s="178" t="s">
        <v>577</v>
      </c>
      <c r="K2" s="179" t="s">
        <v>578</v>
      </c>
      <c r="L2" s="172" t="s">
        <v>277</v>
      </c>
      <c r="M2" s="180" t="s">
        <v>579</v>
      </c>
      <c r="N2" s="181" t="s">
        <v>580</v>
      </c>
      <c r="O2" s="180" t="s">
        <v>579</v>
      </c>
      <c r="P2" s="181" t="s">
        <v>580</v>
      </c>
      <c r="Q2" s="172" t="s">
        <v>277</v>
      </c>
      <c r="R2" s="180" t="s">
        <v>581</v>
      </c>
      <c r="S2" s="181" t="s">
        <v>582</v>
      </c>
      <c r="T2" s="172"/>
      <c r="U2" s="193" t="s">
        <v>519</v>
      </c>
      <c r="V2" s="171" t="s">
        <v>532</v>
      </c>
      <c r="W2" s="193" t="s">
        <v>527</v>
      </c>
      <c r="X2" s="171" t="s">
        <v>524</v>
      </c>
      <c r="Y2" s="193" t="s">
        <v>530</v>
      </c>
      <c r="Z2" s="171" t="s">
        <v>531</v>
      </c>
      <c r="AA2" s="193" t="s">
        <v>533</v>
      </c>
      <c r="AB2" s="171" t="s">
        <v>535</v>
      </c>
      <c r="AC2" s="172" t="s">
        <v>277</v>
      </c>
      <c r="AD2" s="194" t="s">
        <v>661</v>
      </c>
      <c r="AE2" s="182" t="s">
        <v>662</v>
      </c>
      <c r="AF2" s="194" t="s">
        <v>663</v>
      </c>
      <c r="AG2" s="182" t="s">
        <v>664</v>
      </c>
      <c r="AH2" s="195" t="s">
        <v>665</v>
      </c>
      <c r="AI2" s="172" t="s">
        <v>277</v>
      </c>
      <c r="AJ2" s="182" t="s">
        <v>666</v>
      </c>
      <c r="AK2" s="194" t="s">
        <v>667</v>
      </c>
      <c r="AL2" s="196" t="s">
        <v>668</v>
      </c>
      <c r="AM2" s="172" t="s">
        <v>277</v>
      </c>
      <c r="AN2" s="178" t="s">
        <v>577</v>
      </c>
      <c r="AO2" s="179" t="s">
        <v>578</v>
      </c>
      <c r="AP2" s="194" t="s">
        <v>495</v>
      </c>
      <c r="AQ2" s="172" t="s">
        <v>277</v>
      </c>
      <c r="AR2" s="171" t="s">
        <v>669</v>
      </c>
      <c r="AS2" s="193" t="s">
        <v>670</v>
      </c>
      <c r="AT2" s="171" t="s">
        <v>671</v>
      </c>
      <c r="AU2" s="172" t="s">
        <v>277</v>
      </c>
      <c r="AV2" s="193" t="s">
        <v>672</v>
      </c>
      <c r="AW2" s="171" t="s">
        <v>673</v>
      </c>
      <c r="AX2" s="193" t="s">
        <v>674</v>
      </c>
      <c r="AY2" s="171" t="s">
        <v>568</v>
      </c>
      <c r="AZ2" s="172" t="s">
        <v>277</v>
      </c>
      <c r="BA2" s="193" t="s">
        <v>675</v>
      </c>
      <c r="BB2" s="172" t="s">
        <v>277</v>
      </c>
      <c r="BC2" s="182" t="s">
        <v>676</v>
      </c>
      <c r="BD2" s="194" t="s">
        <v>677</v>
      </c>
      <c r="BE2" s="172" t="s">
        <v>277</v>
      </c>
      <c r="BF2" s="171" t="s">
        <v>583</v>
      </c>
      <c r="BG2" s="193" t="s">
        <v>584</v>
      </c>
      <c r="BH2" s="171" t="s">
        <v>585</v>
      </c>
      <c r="BI2" s="172"/>
      <c r="BJ2" s="178" t="s">
        <v>577</v>
      </c>
      <c r="BK2" s="179" t="s">
        <v>578</v>
      </c>
      <c r="BL2" s="172" t="s">
        <v>277</v>
      </c>
      <c r="BM2" s="193" t="s">
        <v>497</v>
      </c>
      <c r="BN2" s="171" t="s">
        <v>498</v>
      </c>
      <c r="BO2" s="193" t="s">
        <v>499</v>
      </c>
      <c r="BP2" s="171" t="s">
        <v>500</v>
      </c>
      <c r="BQ2" s="193" t="s">
        <v>496</v>
      </c>
      <c r="BR2" s="171" t="s">
        <v>494</v>
      </c>
      <c r="BS2" s="193" t="s">
        <v>586</v>
      </c>
      <c r="BT2" s="171" t="s">
        <v>587</v>
      </c>
      <c r="BU2" s="193" t="s">
        <v>588</v>
      </c>
      <c r="BV2" s="171" t="s">
        <v>589</v>
      </c>
      <c r="BW2" s="172" t="s">
        <v>277</v>
      </c>
      <c r="BX2" s="193" t="s">
        <v>678</v>
      </c>
      <c r="BY2" s="171" t="s">
        <v>679</v>
      </c>
      <c r="BZ2" s="193" t="s">
        <v>680</v>
      </c>
      <c r="CA2" s="171" t="s">
        <v>681</v>
      </c>
      <c r="CB2" s="193" t="s">
        <v>682</v>
      </c>
      <c r="CC2" s="171" t="s">
        <v>683</v>
      </c>
      <c r="CD2" s="193" t="s">
        <v>684</v>
      </c>
      <c r="CE2" s="171" t="s">
        <v>685</v>
      </c>
      <c r="CF2" s="193" t="s">
        <v>686</v>
      </c>
      <c r="CG2" s="171" t="s">
        <v>687</v>
      </c>
      <c r="CH2" s="172"/>
      <c r="CI2" s="193" t="s">
        <v>590</v>
      </c>
      <c r="CJ2" s="171" t="s">
        <v>591</v>
      </c>
      <c r="CK2" s="193" t="s">
        <v>592</v>
      </c>
      <c r="CL2" s="171" t="s">
        <v>593</v>
      </c>
      <c r="CM2" s="193" t="s">
        <v>594</v>
      </c>
      <c r="CN2" s="171" t="s">
        <v>595</v>
      </c>
      <c r="CO2" s="193" t="s">
        <v>596</v>
      </c>
      <c r="CP2" s="171" t="s">
        <v>597</v>
      </c>
      <c r="CQ2" s="193" t="s">
        <v>598</v>
      </c>
      <c r="CR2" s="171" t="s">
        <v>599</v>
      </c>
      <c r="CS2" s="172"/>
      <c r="CT2" s="193" t="s">
        <v>537</v>
      </c>
      <c r="CU2" s="171" t="s">
        <v>538</v>
      </c>
      <c r="CV2" s="193" t="s">
        <v>539</v>
      </c>
      <c r="CW2" s="171" t="s">
        <v>540</v>
      </c>
      <c r="CX2" s="193" t="s">
        <v>541</v>
      </c>
      <c r="CY2" s="171" t="s">
        <v>542</v>
      </c>
      <c r="CZ2" s="193" t="s">
        <v>600</v>
      </c>
      <c r="DA2" s="171" t="s">
        <v>601</v>
      </c>
      <c r="DB2" s="193" t="s">
        <v>602</v>
      </c>
      <c r="DC2" s="171" t="s">
        <v>603</v>
      </c>
      <c r="DD2" s="172" t="s">
        <v>277</v>
      </c>
      <c r="DE2" s="430" t="s">
        <v>1161</v>
      </c>
      <c r="DF2" s="431" t="s">
        <v>1162</v>
      </c>
      <c r="DG2" s="430" t="s">
        <v>1163</v>
      </c>
      <c r="DH2" s="172" t="s">
        <v>277</v>
      </c>
      <c r="DI2" s="172" t="s">
        <v>277</v>
      </c>
      <c r="DJ2" s="172" t="s">
        <v>277</v>
      </c>
    </row>
    <row r="3" spans="1:114" x14ac:dyDescent="0.25">
      <c r="A3" s="197"/>
      <c r="B3" s="167"/>
      <c r="C3" s="198"/>
      <c r="D3" s="199"/>
      <c r="E3" s="198"/>
      <c r="F3" s="172" t="s">
        <v>277</v>
      </c>
      <c r="G3" s="197" t="s">
        <v>492</v>
      </c>
      <c r="H3" s="167" t="s">
        <v>513</v>
      </c>
      <c r="I3" s="172" t="s">
        <v>277</v>
      </c>
      <c r="J3" s="197" t="s">
        <v>604</v>
      </c>
      <c r="K3" s="167" t="s">
        <v>605</v>
      </c>
      <c r="L3" s="172" t="s">
        <v>277</v>
      </c>
      <c r="M3" s="197" t="s">
        <v>606</v>
      </c>
      <c r="N3" s="167" t="s">
        <v>607</v>
      </c>
      <c r="O3" s="197" t="s">
        <v>608</v>
      </c>
      <c r="P3" s="167" t="s">
        <v>609</v>
      </c>
      <c r="Q3" s="172" t="s">
        <v>277</v>
      </c>
      <c r="R3" s="197" t="s">
        <v>610</v>
      </c>
      <c r="S3" s="167" t="s">
        <v>611</v>
      </c>
      <c r="T3" s="172"/>
      <c r="U3" s="197" t="s">
        <v>493</v>
      </c>
      <c r="V3" s="167" t="s">
        <v>518</v>
      </c>
      <c r="W3" s="197" t="s">
        <v>526</v>
      </c>
      <c r="X3" s="167" t="s">
        <v>525</v>
      </c>
      <c r="Y3" s="197" t="s">
        <v>528</v>
      </c>
      <c r="Z3" s="167" t="s">
        <v>529</v>
      </c>
      <c r="AA3" s="197" t="s">
        <v>534</v>
      </c>
      <c r="AB3" s="167" t="s">
        <v>536</v>
      </c>
      <c r="AC3" s="172" t="s">
        <v>277</v>
      </c>
      <c r="AD3" s="197" t="s">
        <v>688</v>
      </c>
      <c r="AE3" s="167" t="s">
        <v>689</v>
      </c>
      <c r="AF3" s="197" t="s">
        <v>690</v>
      </c>
      <c r="AG3" s="167" t="s">
        <v>691</v>
      </c>
      <c r="AH3" s="200" t="s">
        <v>692</v>
      </c>
      <c r="AI3" s="172" t="s">
        <v>277</v>
      </c>
      <c r="AJ3" s="167" t="s">
        <v>693</v>
      </c>
      <c r="AK3" s="197" t="s">
        <v>694</v>
      </c>
      <c r="AL3" s="201" t="s">
        <v>695</v>
      </c>
      <c r="AM3" s="172" t="s">
        <v>277</v>
      </c>
      <c r="AN3" s="197" t="s">
        <v>612</v>
      </c>
      <c r="AO3" s="167" t="s">
        <v>613</v>
      </c>
      <c r="AP3" s="202" t="s">
        <v>614</v>
      </c>
      <c r="AQ3" s="172" t="s">
        <v>277</v>
      </c>
      <c r="AR3" s="167" t="s">
        <v>522</v>
      </c>
      <c r="AS3" s="197" t="s">
        <v>696</v>
      </c>
      <c r="AT3" s="167" t="s">
        <v>697</v>
      </c>
      <c r="AU3" s="172" t="s">
        <v>277</v>
      </c>
      <c r="AV3" s="197" t="s">
        <v>698</v>
      </c>
      <c r="AW3" s="167" t="s">
        <v>699</v>
      </c>
      <c r="AX3" s="197" t="s">
        <v>700</v>
      </c>
      <c r="AY3" s="167" t="s">
        <v>615</v>
      </c>
      <c r="AZ3" s="172" t="s">
        <v>277</v>
      </c>
      <c r="BA3" s="197" t="s">
        <v>701</v>
      </c>
      <c r="BB3" s="172" t="s">
        <v>277</v>
      </c>
      <c r="BC3" s="167" t="s">
        <v>702</v>
      </c>
      <c r="BD3" s="197" t="s">
        <v>703</v>
      </c>
      <c r="BE3" s="172" t="s">
        <v>277</v>
      </c>
      <c r="BF3" s="167" t="s">
        <v>616</v>
      </c>
      <c r="BG3" s="197" t="s">
        <v>617</v>
      </c>
      <c r="BH3" s="167" t="s">
        <v>618</v>
      </c>
      <c r="BI3" s="172"/>
      <c r="BJ3" s="197" t="s">
        <v>619</v>
      </c>
      <c r="BK3" s="167" t="s">
        <v>521</v>
      </c>
      <c r="BL3" s="172" t="s">
        <v>277</v>
      </c>
      <c r="BM3" s="197" t="s">
        <v>501</v>
      </c>
      <c r="BN3" s="167" t="s">
        <v>502</v>
      </c>
      <c r="BO3" s="197" t="s">
        <v>503</v>
      </c>
      <c r="BP3" s="167" t="s">
        <v>504</v>
      </c>
      <c r="BQ3" s="197" t="s">
        <v>505</v>
      </c>
      <c r="BR3" s="167" t="s">
        <v>506</v>
      </c>
      <c r="BS3" s="197" t="s">
        <v>514</v>
      </c>
      <c r="BT3" s="167" t="s">
        <v>515</v>
      </c>
      <c r="BU3" s="197" t="s">
        <v>620</v>
      </c>
      <c r="BV3" s="167" t="s">
        <v>621</v>
      </c>
      <c r="BW3" s="172" t="s">
        <v>277</v>
      </c>
      <c r="BX3" s="197" t="s">
        <v>704</v>
      </c>
      <c r="BY3" s="167" t="s">
        <v>705</v>
      </c>
      <c r="BZ3" s="197" t="s">
        <v>706</v>
      </c>
      <c r="CA3" s="167" t="s">
        <v>707</v>
      </c>
      <c r="CB3" s="197" t="s">
        <v>708</v>
      </c>
      <c r="CC3" s="167" t="s">
        <v>709</v>
      </c>
      <c r="CD3" s="197" t="s">
        <v>710</v>
      </c>
      <c r="CE3" s="167" t="s">
        <v>711</v>
      </c>
      <c r="CF3" s="197" t="s">
        <v>712</v>
      </c>
      <c r="CG3" s="167" t="s">
        <v>713</v>
      </c>
      <c r="CH3" s="172"/>
      <c r="CI3" s="197" t="s">
        <v>622</v>
      </c>
      <c r="CJ3" s="167" t="s">
        <v>623</v>
      </c>
      <c r="CK3" s="197" t="s">
        <v>624</v>
      </c>
      <c r="CL3" s="167" t="s">
        <v>625</v>
      </c>
      <c r="CM3" s="197" t="s">
        <v>626</v>
      </c>
      <c r="CN3" s="167" t="s">
        <v>627</v>
      </c>
      <c r="CO3" s="197" t="s">
        <v>628</v>
      </c>
      <c r="CP3" s="167" t="s">
        <v>629</v>
      </c>
      <c r="CQ3" s="197" t="s">
        <v>630</v>
      </c>
      <c r="CR3" s="167" t="s">
        <v>631</v>
      </c>
      <c r="CS3" s="172"/>
      <c r="CT3" s="197" t="s">
        <v>543</v>
      </c>
      <c r="CU3" s="167" t="s">
        <v>545</v>
      </c>
      <c r="CV3" s="197" t="s">
        <v>546</v>
      </c>
      <c r="CW3" s="167" t="s">
        <v>547</v>
      </c>
      <c r="CX3" s="197" t="s">
        <v>548</v>
      </c>
      <c r="CY3" s="167" t="s">
        <v>549</v>
      </c>
      <c r="CZ3" s="197" t="s">
        <v>555</v>
      </c>
      <c r="DA3" s="167" t="s">
        <v>557</v>
      </c>
      <c r="DB3" s="197" t="s">
        <v>632</v>
      </c>
      <c r="DC3" s="167" t="s">
        <v>633</v>
      </c>
      <c r="DD3" s="172" t="s">
        <v>277</v>
      </c>
      <c r="DE3" s="197" t="s">
        <v>1164</v>
      </c>
      <c r="DF3" s="197" t="s">
        <v>1165</v>
      </c>
      <c r="DG3" s="197" t="s">
        <v>1166</v>
      </c>
      <c r="DH3" s="172" t="s">
        <v>277</v>
      </c>
      <c r="DI3" s="172" t="s">
        <v>277</v>
      </c>
      <c r="DJ3" s="172" t="s">
        <v>277</v>
      </c>
    </row>
    <row r="4" spans="1:114" ht="24" x14ac:dyDescent="0.25">
      <c r="A4" s="203" t="s">
        <v>714</v>
      </c>
      <c r="B4" s="204" t="s">
        <v>715</v>
      </c>
      <c r="C4" s="205" t="s">
        <v>716</v>
      </c>
      <c r="D4" s="206" t="s">
        <v>490</v>
      </c>
      <c r="E4" s="207" t="s">
        <v>717</v>
      </c>
      <c r="F4" s="172" t="s">
        <v>277</v>
      </c>
      <c r="G4" s="168" t="s">
        <v>492</v>
      </c>
      <c r="H4" s="168" t="s">
        <v>513</v>
      </c>
      <c r="I4" s="172" t="s">
        <v>277</v>
      </c>
      <c r="J4" s="168" t="s">
        <v>604</v>
      </c>
      <c r="K4" s="168" t="s">
        <v>605</v>
      </c>
      <c r="L4" s="172" t="s">
        <v>277</v>
      </c>
      <c r="M4" s="168" t="s">
        <v>606</v>
      </c>
      <c r="N4" s="168" t="s">
        <v>607</v>
      </c>
      <c r="O4" s="168" t="s">
        <v>608</v>
      </c>
      <c r="P4" s="168" t="s">
        <v>609</v>
      </c>
      <c r="Q4" s="172" t="s">
        <v>277</v>
      </c>
      <c r="R4" s="168" t="s">
        <v>610</v>
      </c>
      <c r="S4" s="168" t="s">
        <v>611</v>
      </c>
      <c r="T4" s="172"/>
      <c r="U4" s="168" t="s">
        <v>493</v>
      </c>
      <c r="V4" s="168" t="s">
        <v>520</v>
      </c>
      <c r="W4" s="168" t="s">
        <v>526</v>
      </c>
      <c r="X4" s="168" t="s">
        <v>525</v>
      </c>
      <c r="Y4" s="168" t="s">
        <v>528</v>
      </c>
      <c r="Z4" s="168" t="s">
        <v>529</v>
      </c>
      <c r="AA4" s="168" t="s">
        <v>534</v>
      </c>
      <c r="AB4" s="168" t="s">
        <v>536</v>
      </c>
      <c r="AC4" s="172" t="s">
        <v>277</v>
      </c>
      <c r="AD4" s="168" t="s">
        <v>688</v>
      </c>
      <c r="AE4" s="168" t="s">
        <v>689</v>
      </c>
      <c r="AF4" s="168" t="s">
        <v>690</v>
      </c>
      <c r="AG4" s="168" t="s">
        <v>691</v>
      </c>
      <c r="AH4" s="208" t="s">
        <v>692</v>
      </c>
      <c r="AI4" s="172" t="s">
        <v>277</v>
      </c>
      <c r="AJ4" s="168" t="s">
        <v>693</v>
      </c>
      <c r="AK4" s="168" t="s">
        <v>694</v>
      </c>
      <c r="AL4" s="208" t="s">
        <v>695</v>
      </c>
      <c r="AM4" s="172" t="s">
        <v>277</v>
      </c>
      <c r="AN4" s="168" t="s">
        <v>612</v>
      </c>
      <c r="AO4" s="168" t="s">
        <v>613</v>
      </c>
      <c r="AP4" s="168" t="s">
        <v>614</v>
      </c>
      <c r="AQ4" s="172" t="s">
        <v>277</v>
      </c>
      <c r="AR4" s="168" t="s">
        <v>522</v>
      </c>
      <c r="AS4" s="168" t="s">
        <v>696</v>
      </c>
      <c r="AT4" s="168" t="s">
        <v>697</v>
      </c>
      <c r="AU4" s="172" t="s">
        <v>277</v>
      </c>
      <c r="AV4" s="168" t="s">
        <v>698</v>
      </c>
      <c r="AW4" s="168" t="s">
        <v>699</v>
      </c>
      <c r="AX4" s="168" t="s">
        <v>700</v>
      </c>
      <c r="AY4" s="168" t="s">
        <v>615</v>
      </c>
      <c r="AZ4" s="172" t="s">
        <v>277</v>
      </c>
      <c r="BA4" s="168" t="s">
        <v>701</v>
      </c>
      <c r="BB4" s="172" t="s">
        <v>277</v>
      </c>
      <c r="BC4" s="168" t="s">
        <v>702</v>
      </c>
      <c r="BD4" s="168" t="s">
        <v>718</v>
      </c>
      <c r="BE4" s="172" t="s">
        <v>277</v>
      </c>
      <c r="BF4" s="168" t="s">
        <v>616</v>
      </c>
      <c r="BG4" s="168" t="s">
        <v>617</v>
      </c>
      <c r="BH4" s="168" t="s">
        <v>618</v>
      </c>
      <c r="BI4" s="172"/>
      <c r="BJ4" s="168" t="s">
        <v>619</v>
      </c>
      <c r="BK4" s="168" t="s">
        <v>521</v>
      </c>
      <c r="BL4" s="172" t="s">
        <v>277</v>
      </c>
      <c r="BM4" s="168" t="s">
        <v>509</v>
      </c>
      <c r="BN4" s="168" t="s">
        <v>510</v>
      </c>
      <c r="BO4" s="168" t="s">
        <v>508</v>
      </c>
      <c r="BP4" s="168" t="s">
        <v>512</v>
      </c>
      <c r="BQ4" s="168" t="s">
        <v>507</v>
      </c>
      <c r="BR4" s="168" t="s">
        <v>511</v>
      </c>
      <c r="BS4" s="168" t="s">
        <v>516</v>
      </c>
      <c r="BT4" s="168" t="s">
        <v>517</v>
      </c>
      <c r="BU4" s="168" t="s">
        <v>634</v>
      </c>
      <c r="BV4" s="168" t="s">
        <v>635</v>
      </c>
      <c r="BW4" s="172" t="s">
        <v>277</v>
      </c>
      <c r="BX4" s="168" t="s">
        <v>719</v>
      </c>
      <c r="BY4" s="168" t="s">
        <v>720</v>
      </c>
      <c r="BZ4" s="168" t="s">
        <v>721</v>
      </c>
      <c r="CA4" s="168" t="s">
        <v>722</v>
      </c>
      <c r="CB4" s="168" t="s">
        <v>723</v>
      </c>
      <c r="CC4" s="168" t="s">
        <v>724</v>
      </c>
      <c r="CD4" s="168" t="s">
        <v>725</v>
      </c>
      <c r="CE4" s="168" t="s">
        <v>726</v>
      </c>
      <c r="CF4" s="168" t="s">
        <v>727</v>
      </c>
      <c r="CG4" s="168" t="s">
        <v>728</v>
      </c>
      <c r="CH4" s="172"/>
      <c r="CI4" s="168" t="s">
        <v>636</v>
      </c>
      <c r="CJ4" s="168" t="s">
        <v>637</v>
      </c>
      <c r="CK4" s="168" t="s">
        <v>638</v>
      </c>
      <c r="CL4" s="168" t="s">
        <v>639</v>
      </c>
      <c r="CM4" s="168" t="s">
        <v>640</v>
      </c>
      <c r="CN4" s="168" t="s">
        <v>641</v>
      </c>
      <c r="CO4" s="168" t="s">
        <v>642</v>
      </c>
      <c r="CP4" s="168" t="s">
        <v>643</v>
      </c>
      <c r="CQ4" s="168" t="s">
        <v>644</v>
      </c>
      <c r="CR4" s="168" t="s">
        <v>645</v>
      </c>
      <c r="CS4" s="172"/>
      <c r="CT4" s="168" t="s">
        <v>544</v>
      </c>
      <c r="CU4" s="168" t="s">
        <v>550</v>
      </c>
      <c r="CV4" s="168" t="s">
        <v>551</v>
      </c>
      <c r="CW4" s="168" t="s">
        <v>552</v>
      </c>
      <c r="CX4" s="168" t="s">
        <v>554</v>
      </c>
      <c r="CY4" s="168" t="s">
        <v>553</v>
      </c>
      <c r="CZ4" s="168" t="s">
        <v>556</v>
      </c>
      <c r="DA4" s="168" t="s">
        <v>558</v>
      </c>
      <c r="DB4" s="168" t="s">
        <v>646</v>
      </c>
      <c r="DC4" s="168" t="s">
        <v>647</v>
      </c>
      <c r="DD4" s="172" t="s">
        <v>277</v>
      </c>
      <c r="DE4" s="168" t="s">
        <v>1164</v>
      </c>
      <c r="DF4" s="168" t="s">
        <v>1165</v>
      </c>
      <c r="DG4" s="168" t="s">
        <v>1166</v>
      </c>
      <c r="DH4" s="172" t="s">
        <v>277</v>
      </c>
      <c r="DI4" s="172" t="s">
        <v>277</v>
      </c>
      <c r="DJ4" s="172" t="s">
        <v>277</v>
      </c>
    </row>
    <row r="5" spans="1:114" x14ac:dyDescent="0.25">
      <c r="A5" s="225" t="s">
        <v>729</v>
      </c>
      <c r="B5" s="226" t="s">
        <v>730</v>
      </c>
      <c r="C5" s="227" t="s">
        <v>410</v>
      </c>
      <c r="D5" s="228" t="str">
        <f>C5&amp;" IN Equity"</f>
        <v>HNAL IN Equity</v>
      </c>
      <c r="E5" s="229" t="s">
        <v>15</v>
      </c>
      <c r="F5" s="230"/>
      <c r="G5" s="231">
        <v>32941.5311500764</v>
      </c>
      <c r="H5" s="232">
        <v>2956854.7768798829</v>
      </c>
      <c r="I5" s="230"/>
      <c r="J5" s="231">
        <v>27937.948698576402</v>
      </c>
      <c r="K5" s="232">
        <v>2512289.4768798826</v>
      </c>
      <c r="L5" s="230"/>
      <c r="M5" s="233">
        <v>34.857549352845794</v>
      </c>
      <c r="N5" s="233">
        <v>34.750905626531036</v>
      </c>
      <c r="O5" s="233">
        <v>23.7798335497429</v>
      </c>
      <c r="P5" s="233">
        <v>26.442290927772369</v>
      </c>
      <c r="Q5" s="230"/>
      <c r="R5" s="234">
        <v>7.9668946119104129</v>
      </c>
      <c r="S5" s="234">
        <v>8.6547503415966283</v>
      </c>
      <c r="T5" s="230"/>
      <c r="U5" s="234">
        <v>0.24818945260179054</v>
      </c>
      <c r="V5" s="234">
        <v>0.22899999999999998</v>
      </c>
      <c r="W5" s="234">
        <v>0.27041002927013053</v>
      </c>
      <c r="X5" s="234">
        <v>0.19360781331526911</v>
      </c>
      <c r="Y5" s="234">
        <v>0.20684741816848107</v>
      </c>
      <c r="Z5" s="234">
        <v>0.2770581009676043</v>
      </c>
      <c r="AA5" s="234">
        <v>0.19014153052605581</v>
      </c>
      <c r="AB5" s="234">
        <v>0.24808595720982324</v>
      </c>
      <c r="AC5" s="230"/>
      <c r="AD5" s="232">
        <v>-444714.7</v>
      </c>
      <c r="AE5" s="232">
        <v>-444714.7</v>
      </c>
      <c r="AF5" s="232">
        <v>0</v>
      </c>
      <c r="AG5" s="232">
        <v>-15088.3</v>
      </c>
      <c r="AH5" s="235">
        <v>-459803</v>
      </c>
      <c r="AI5" s="230"/>
      <c r="AJ5" s="232">
        <v>25.8</v>
      </c>
      <c r="AK5" s="232">
        <v>88.2</v>
      </c>
      <c r="AL5" s="235">
        <v>114</v>
      </c>
      <c r="AM5" s="230"/>
      <c r="AN5" s="231">
        <v>-5003.9808784999996</v>
      </c>
      <c r="AO5" s="232">
        <v>-444600.7</v>
      </c>
      <c r="AP5" s="236">
        <v>-4.2083250116661102</v>
      </c>
      <c r="AQ5" s="230"/>
      <c r="AR5" s="237">
        <v>668.77499999999998</v>
      </c>
      <c r="AS5" s="237">
        <v>668.77380625000001</v>
      </c>
      <c r="AT5" s="237">
        <v>668.77380625000001</v>
      </c>
      <c r="AU5" s="230"/>
      <c r="AV5" s="234">
        <v>7.1640000000000002E-3</v>
      </c>
      <c r="AW5" s="234">
        <v>0.4944736747865438</v>
      </c>
      <c r="AX5" s="234">
        <v>1.1999999999999999E-3</v>
      </c>
      <c r="AY5" s="234">
        <v>0.26079084894022658</v>
      </c>
      <c r="AZ5" s="230"/>
      <c r="BA5" s="232">
        <v>35.4</v>
      </c>
      <c r="BB5" s="230"/>
      <c r="BC5" s="232" t="e">
        <v>#N/A</v>
      </c>
      <c r="BD5" s="232" t="e">
        <v>#N/A</v>
      </c>
      <c r="BE5" s="230"/>
      <c r="BF5" s="238">
        <v>0.6480448000000002</v>
      </c>
      <c r="BG5" s="238">
        <v>0.75037269999999945</v>
      </c>
      <c r="BH5" s="238">
        <v>1.1232068666666652</v>
      </c>
      <c r="BI5" s="230"/>
      <c r="BJ5" s="239">
        <v>49.256522971218125</v>
      </c>
      <c r="BK5" s="240">
        <v>4421.2998046875</v>
      </c>
      <c r="BL5" s="230"/>
      <c r="BM5" s="241">
        <v>44.574807999999997</v>
      </c>
      <c r="BN5" s="241">
        <v>48.398817000000001</v>
      </c>
      <c r="BO5" s="241">
        <v>75.959999999999994</v>
      </c>
      <c r="BP5" s="241">
        <v>87.14</v>
      </c>
      <c r="BQ5" s="241">
        <v>113.95</v>
      </c>
      <c r="BR5" s="241">
        <v>125.07</v>
      </c>
      <c r="BS5" s="241">
        <v>127.22833333333334</v>
      </c>
      <c r="BT5" s="241">
        <v>151.49</v>
      </c>
      <c r="BU5" s="241">
        <v>175.93</v>
      </c>
      <c r="BV5" s="241">
        <v>205.2</v>
      </c>
      <c r="BW5" s="230"/>
      <c r="BX5" s="232">
        <v>28274.11</v>
      </c>
      <c r="BY5" s="232">
        <v>32906.449999999997</v>
      </c>
      <c r="BZ5" s="232">
        <v>52035.41</v>
      </c>
      <c r="CA5" s="232">
        <v>62459.41</v>
      </c>
      <c r="CB5" s="232">
        <v>76315.149999999994</v>
      </c>
      <c r="CC5" s="232">
        <v>83801.320000000007</v>
      </c>
      <c r="CD5" s="232">
        <v>87001.414483838307</v>
      </c>
      <c r="CE5" s="232">
        <v>101010.82288214676</v>
      </c>
      <c r="CF5" s="232">
        <v>117323.35344394196</v>
      </c>
      <c r="CG5" s="232">
        <v>136885.55861040839</v>
      </c>
      <c r="CH5" s="230"/>
      <c r="CI5" s="232">
        <v>66750.900000000009</v>
      </c>
      <c r="CJ5" s="232">
        <v>56646.5</v>
      </c>
      <c r="CK5" s="232">
        <v>53493.1</v>
      </c>
      <c r="CL5" s="232">
        <v>68540.2</v>
      </c>
      <c r="CM5" s="232">
        <v>90524.7</v>
      </c>
      <c r="CN5" s="232">
        <v>96303.8</v>
      </c>
      <c r="CO5" s="232">
        <v>106084.75</v>
      </c>
      <c r="CP5" s="232">
        <v>124280</v>
      </c>
      <c r="CQ5" s="232">
        <v>145476</v>
      </c>
      <c r="CR5" s="232">
        <v>170161</v>
      </c>
      <c r="CS5" s="230"/>
      <c r="CT5" s="232">
        <v>214381.7</v>
      </c>
      <c r="CU5" s="232">
        <v>228823.2</v>
      </c>
      <c r="CV5" s="232">
        <v>246200.2</v>
      </c>
      <c r="CW5" s="232">
        <v>269274.59999999998</v>
      </c>
      <c r="CX5" s="232">
        <v>303810.8</v>
      </c>
      <c r="CY5" s="232">
        <v>309809.5</v>
      </c>
      <c r="CZ5" s="232">
        <v>441531.77380952379</v>
      </c>
      <c r="DA5" s="232">
        <v>450579.10714285716</v>
      </c>
      <c r="DB5" s="232">
        <v>544522.875</v>
      </c>
      <c r="DC5" s="232">
        <v>644333.5</v>
      </c>
      <c r="DD5" s="230"/>
      <c r="DE5" s="232" t="e">
        <v>#N/A</v>
      </c>
      <c r="DF5" s="232">
        <v>0</v>
      </c>
      <c r="DG5" s="232">
        <v>0</v>
      </c>
      <c r="DH5" s="230"/>
      <c r="DI5" s="230"/>
      <c r="DJ5" s="172" t="s">
        <v>277</v>
      </c>
    </row>
    <row r="6" spans="1:114" x14ac:dyDescent="0.25">
      <c r="A6" s="225" t="s">
        <v>729</v>
      </c>
      <c r="B6" s="226" t="s">
        <v>731</v>
      </c>
      <c r="C6" s="227" t="s">
        <v>411</v>
      </c>
      <c r="D6" s="228" t="str">
        <f t="shared" ref="D6:D69" si="0">C6&amp;" IN Equity"</f>
        <v>BHE IN Equity</v>
      </c>
      <c r="E6" s="229" t="s">
        <v>17</v>
      </c>
      <c r="F6" s="230"/>
      <c r="G6" s="231">
        <v>32574.519232867202</v>
      </c>
      <c r="H6" s="232">
        <v>2923911.5315999999</v>
      </c>
      <c r="I6" s="230"/>
      <c r="J6" s="231">
        <v>31467.595478167201</v>
      </c>
      <c r="K6" s="232">
        <v>2829229.8316000002</v>
      </c>
      <c r="L6" s="230"/>
      <c r="M6" s="233">
        <v>54.961581167743986</v>
      </c>
      <c r="N6" s="233">
        <v>48.548221454579398</v>
      </c>
      <c r="O6" s="233">
        <v>41.401141864582875</v>
      </c>
      <c r="P6" s="233">
        <v>36.624909475049876</v>
      </c>
      <c r="Q6" s="230"/>
      <c r="R6" s="234">
        <v>14.63866843964796</v>
      </c>
      <c r="S6" s="234">
        <v>15.2410813342709</v>
      </c>
      <c r="T6" s="230"/>
      <c r="U6" s="234">
        <v>0.29309103270601172</v>
      </c>
      <c r="V6" s="234">
        <v>0.27542173913043472</v>
      </c>
      <c r="W6" s="234">
        <v>0.30559384016024405</v>
      </c>
      <c r="X6" s="234">
        <v>0.31289340883076594</v>
      </c>
      <c r="Y6" s="234">
        <v>0.340403618652523</v>
      </c>
      <c r="Z6" s="234">
        <v>0.36017316409175976</v>
      </c>
      <c r="AA6" s="234">
        <v>0.32236755812618834</v>
      </c>
      <c r="AB6" s="234">
        <v>0.29235858174291496</v>
      </c>
      <c r="AC6" s="230"/>
      <c r="AD6" s="232">
        <v>-95483.4</v>
      </c>
      <c r="AE6" s="232">
        <v>-95483.4</v>
      </c>
      <c r="AF6" s="232">
        <v>0</v>
      </c>
      <c r="AG6" s="232">
        <v>-5681.9</v>
      </c>
      <c r="AH6" s="235">
        <v>-101165.3</v>
      </c>
      <c r="AI6" s="230"/>
      <c r="AJ6" s="232">
        <v>25.4</v>
      </c>
      <c r="AK6" s="232">
        <v>586.9</v>
      </c>
      <c r="AL6" s="235">
        <v>612.29999999999995</v>
      </c>
      <c r="AM6" s="230"/>
      <c r="AN6" s="231">
        <v>-1109.1380300999999</v>
      </c>
      <c r="AO6" s="232">
        <v>-94871.099999999991</v>
      </c>
      <c r="AP6" s="236">
        <v>-1.3882830677378284</v>
      </c>
      <c r="AQ6" s="230"/>
      <c r="AR6" s="237">
        <v>7309.7788289999999</v>
      </c>
      <c r="AS6" s="237">
        <v>7309.4160000000002</v>
      </c>
      <c r="AT6" s="237">
        <v>7309.4160000000002</v>
      </c>
      <c r="AU6" s="230"/>
      <c r="AV6" s="234">
        <v>5.1139999999999996E-3</v>
      </c>
      <c r="AW6" s="234">
        <v>0.62885720772625364</v>
      </c>
      <c r="AX6" s="234">
        <v>1.8140000000000001E-3</v>
      </c>
      <c r="AY6" s="234">
        <v>0.47341338225870966</v>
      </c>
      <c r="AZ6" s="230"/>
      <c r="BA6" s="232">
        <v>189.4</v>
      </c>
      <c r="BB6" s="230"/>
      <c r="BC6" s="232" t="e">
        <v>#N/A</v>
      </c>
      <c r="BD6" s="232">
        <v>16807.8</v>
      </c>
      <c r="BE6" s="230"/>
      <c r="BF6" s="238">
        <v>8.9677954</v>
      </c>
      <c r="BG6" s="238">
        <v>9.4169273000000029</v>
      </c>
      <c r="BH6" s="238">
        <v>12.06128796666667</v>
      </c>
      <c r="BI6" s="230"/>
      <c r="BJ6" s="239">
        <v>4.4562934111815657</v>
      </c>
      <c r="BK6" s="240">
        <v>400</v>
      </c>
      <c r="BL6" s="230"/>
      <c r="BM6" s="241">
        <v>2.4966666666666666</v>
      </c>
      <c r="BN6" s="241">
        <v>2.8733333333333331</v>
      </c>
      <c r="BO6" s="241">
        <v>3.2816666666666667</v>
      </c>
      <c r="BP6" s="241">
        <v>4.09</v>
      </c>
      <c r="BQ6" s="241">
        <v>5.45</v>
      </c>
      <c r="BR6" s="241">
        <v>7.28</v>
      </c>
      <c r="BS6" s="241">
        <v>8.2392307692307707</v>
      </c>
      <c r="BT6" s="241">
        <v>9.7715384615384622</v>
      </c>
      <c r="BU6" s="241">
        <v>11.444347826086958</v>
      </c>
      <c r="BV6" s="241">
        <v>12.74</v>
      </c>
      <c r="BW6" s="230"/>
      <c r="BX6" s="232">
        <v>18237.03</v>
      </c>
      <c r="BY6" s="232">
        <v>20980.93</v>
      </c>
      <c r="BZ6" s="232">
        <v>23985.55</v>
      </c>
      <c r="CA6" s="232">
        <v>29833.56</v>
      </c>
      <c r="CB6" s="232">
        <v>39796.06</v>
      </c>
      <c r="CC6" s="232">
        <v>53196.55</v>
      </c>
      <c r="CD6" s="232">
        <v>60003.560005345345</v>
      </c>
      <c r="CE6" s="232">
        <v>71382.121005197958</v>
      </c>
      <c r="CF6" s="232">
        <v>83745.866466004474</v>
      </c>
      <c r="CG6" s="232" t="e">
        <v>#N/A</v>
      </c>
      <c r="CH6" s="230"/>
      <c r="CI6" s="232">
        <v>27727.3</v>
      </c>
      <c r="CJ6" s="232">
        <v>32105.100000000002</v>
      </c>
      <c r="CK6" s="232">
        <v>33408.800000000003</v>
      </c>
      <c r="CL6" s="232">
        <v>40858.799999999996</v>
      </c>
      <c r="CM6" s="232">
        <v>50464.1</v>
      </c>
      <c r="CN6" s="232">
        <v>68337</v>
      </c>
      <c r="CO6" s="232">
        <v>77146.600000000006</v>
      </c>
      <c r="CP6" s="232">
        <v>90871.76</v>
      </c>
      <c r="CQ6" s="232">
        <v>105929</v>
      </c>
      <c r="CR6" s="232">
        <v>115862</v>
      </c>
      <c r="CS6" s="230"/>
      <c r="CT6" s="232">
        <v>126365.8</v>
      </c>
      <c r="CU6" s="232">
        <v>138497.1</v>
      </c>
      <c r="CV6" s="232">
        <v>150847.4</v>
      </c>
      <c r="CW6" s="232">
        <v>174041.8</v>
      </c>
      <c r="CX6" s="232">
        <v>199054.9</v>
      </c>
      <c r="CY6" s="232">
        <v>230241</v>
      </c>
      <c r="CZ6" s="232">
        <v>275774.24</v>
      </c>
      <c r="DA6" s="232">
        <v>323953.88461538462</v>
      </c>
      <c r="DB6" s="232">
        <v>379137.45454545453</v>
      </c>
      <c r="DC6" s="232">
        <v>423792.5</v>
      </c>
      <c r="DD6" s="230"/>
      <c r="DE6" s="232">
        <v>716500</v>
      </c>
      <c r="DF6" s="232">
        <v>814.3</v>
      </c>
      <c r="DG6" s="232" t="e">
        <v>#N/A</v>
      </c>
      <c r="DH6" s="230"/>
      <c r="DI6" s="230"/>
      <c r="DJ6" s="172" t="s">
        <v>277</v>
      </c>
    </row>
    <row r="7" spans="1:114" x14ac:dyDescent="0.25">
      <c r="A7" s="225" t="s">
        <v>729</v>
      </c>
      <c r="B7" s="226" t="s">
        <v>732</v>
      </c>
      <c r="C7" s="227" t="s">
        <v>19</v>
      </c>
      <c r="D7" s="228" t="str">
        <f t="shared" si="0"/>
        <v>BDL IN Equity</v>
      </c>
      <c r="E7" s="229" t="s">
        <v>19</v>
      </c>
      <c r="F7" s="230"/>
      <c r="G7" s="231">
        <v>6048.8875288416239</v>
      </c>
      <c r="H7" s="232">
        <v>542952.35710144043</v>
      </c>
      <c r="I7" s="230"/>
      <c r="J7" s="231">
        <v>5559.7627677036244</v>
      </c>
      <c r="K7" s="232">
        <v>501114.63910144044</v>
      </c>
      <c r="L7" s="230"/>
      <c r="M7" s="233">
        <v>98.93203566441727</v>
      </c>
      <c r="N7" s="233">
        <v>58.607225712419208</v>
      </c>
      <c r="O7" s="233">
        <v>106.08607160874594</v>
      </c>
      <c r="P7" s="233">
        <v>55.35333996499206</v>
      </c>
      <c r="Q7" s="230"/>
      <c r="R7" s="234">
        <v>13.543502631697061</v>
      </c>
      <c r="S7" s="234">
        <v>14.451727914270055</v>
      </c>
      <c r="T7" s="230"/>
      <c r="U7" s="234">
        <v>0.14356014782074192</v>
      </c>
      <c r="V7" s="234">
        <v>0.20745000000000002</v>
      </c>
      <c r="W7" s="234">
        <v>0.15068123302105599</v>
      </c>
      <c r="X7" s="234">
        <v>7.937623710171425E-2</v>
      </c>
      <c r="Y7" s="234">
        <v>7.8055529362345791E-2</v>
      </c>
      <c r="Z7" s="234">
        <v>0.10633234149907318</v>
      </c>
      <c r="AA7" s="234">
        <v>6.0938308571755292E-2</v>
      </c>
      <c r="AB7" s="234">
        <v>0.14395137875202085</v>
      </c>
      <c r="AC7" s="230"/>
      <c r="AD7" s="232">
        <v>-41903.667999999998</v>
      </c>
      <c r="AE7" s="232">
        <v>-41903.667999999998</v>
      </c>
      <c r="AF7" s="232">
        <v>0</v>
      </c>
      <c r="AG7" s="232">
        <v>-39.06</v>
      </c>
      <c r="AH7" s="235">
        <v>-41942.728000000003</v>
      </c>
      <c r="AI7" s="230"/>
      <c r="AJ7" s="232">
        <v>62.798000000000002</v>
      </c>
      <c r="AK7" s="232">
        <v>3.1520000000000001</v>
      </c>
      <c r="AL7" s="235">
        <v>65.95</v>
      </c>
      <c r="AM7" s="230"/>
      <c r="AN7" s="231">
        <v>-489.124761138</v>
      </c>
      <c r="AO7" s="232">
        <v>-41837.718000000001</v>
      </c>
      <c r="AP7" s="236">
        <v>-8.857053459170757</v>
      </c>
      <c r="AQ7" s="230"/>
      <c r="AR7" s="237">
        <v>366.5625</v>
      </c>
      <c r="AS7" s="237">
        <v>366.56299999999999</v>
      </c>
      <c r="AT7" s="237">
        <v>366.56299999999999</v>
      </c>
      <c r="AU7" s="230"/>
      <c r="AV7" s="234">
        <v>7.4929999999999997E-3</v>
      </c>
      <c r="AW7" s="234">
        <v>0.47248641189946178</v>
      </c>
      <c r="AX7" s="234">
        <v>2.43E-4</v>
      </c>
      <c r="AY7" s="234">
        <v>0.23201353657289001</v>
      </c>
      <c r="AZ7" s="230"/>
      <c r="BA7" s="232">
        <v>0</v>
      </c>
      <c r="BB7" s="230"/>
      <c r="BC7" s="232" t="e">
        <v>#N/A</v>
      </c>
      <c r="BD7" s="232">
        <v>2167.0419999999999</v>
      </c>
      <c r="BE7" s="230"/>
      <c r="BF7" s="238">
        <v>1.1928802000000014</v>
      </c>
      <c r="BG7" s="238">
        <v>1.1320581999999999</v>
      </c>
      <c r="BH7" s="238">
        <v>1.5243868333333317</v>
      </c>
      <c r="BI7" s="230"/>
      <c r="BJ7" s="239">
        <v>16.50165395762421</v>
      </c>
      <c r="BK7" s="240">
        <v>1481.199951171875</v>
      </c>
      <c r="BL7" s="230"/>
      <c r="BM7" s="241">
        <v>14.59</v>
      </c>
      <c r="BN7" s="241">
        <v>7.03</v>
      </c>
      <c r="BO7" s="241">
        <v>6.3603199999999998</v>
      </c>
      <c r="BP7" s="241">
        <v>9.61</v>
      </c>
      <c r="BQ7" s="241">
        <v>16.72</v>
      </c>
      <c r="BR7" s="241">
        <v>14.99</v>
      </c>
      <c r="BS7" s="241">
        <v>25.273333333333337</v>
      </c>
      <c r="BT7" s="241">
        <v>33.506666666666668</v>
      </c>
      <c r="BU7" s="241">
        <v>43.482000000000006</v>
      </c>
      <c r="BV7" s="241">
        <v>37.06</v>
      </c>
      <c r="BW7" s="230"/>
      <c r="BX7" s="232">
        <v>5337.7618000000002</v>
      </c>
      <c r="BY7" s="232">
        <v>2562.8883000000001</v>
      </c>
      <c r="BZ7" s="232">
        <v>5021.5375999999997</v>
      </c>
      <c r="CA7" s="232">
        <v>3511.9279999999999</v>
      </c>
      <c r="CB7" s="232">
        <v>6118.862000000001</v>
      </c>
      <c r="CC7" s="232">
        <v>5488.1423000000004</v>
      </c>
      <c r="CD7" s="232">
        <v>9283.4944576349462</v>
      </c>
      <c r="CE7" s="232">
        <v>12272.392948592373</v>
      </c>
      <c r="CF7" s="232">
        <v>15849.269976820959</v>
      </c>
      <c r="CG7" s="232">
        <v>13585.231787600982</v>
      </c>
      <c r="CH7" s="230"/>
      <c r="CI7" s="232">
        <v>7554.9780000000001</v>
      </c>
      <c r="CJ7" s="232">
        <v>3447.1869999999999</v>
      </c>
      <c r="CK7" s="232">
        <v>7260.6679999999997</v>
      </c>
      <c r="CL7" s="232">
        <v>4081.9560000000001</v>
      </c>
      <c r="CM7" s="232">
        <v>5365.5029999999997</v>
      </c>
      <c r="CN7" s="232">
        <v>4723.6610000000001</v>
      </c>
      <c r="CO7" s="232">
        <v>9236</v>
      </c>
      <c r="CP7" s="232">
        <v>12744.181818181802</v>
      </c>
      <c r="CQ7" s="232">
        <v>17181.444444444402</v>
      </c>
      <c r="CR7" s="232">
        <v>17378</v>
      </c>
      <c r="CS7" s="230"/>
      <c r="CT7" s="232">
        <v>31048.720000000001</v>
      </c>
      <c r="CU7" s="232">
        <v>19137.595000000001</v>
      </c>
      <c r="CV7" s="232">
        <v>28174.027999999998</v>
      </c>
      <c r="CW7" s="232">
        <v>24893.924999999999</v>
      </c>
      <c r="CX7" s="232">
        <v>23505.760999999999</v>
      </c>
      <c r="CY7" s="232">
        <v>33230.728999999999</v>
      </c>
      <c r="CZ7" s="232">
        <v>46361</v>
      </c>
      <c r="DA7" s="232">
        <v>61326.923076923078</v>
      </c>
      <c r="DB7" s="232">
        <v>79706.727272727279</v>
      </c>
      <c r="DC7" s="232">
        <v>89346.5</v>
      </c>
      <c r="DD7" s="230"/>
      <c r="DE7" s="232" t="e">
        <v>#N/A</v>
      </c>
      <c r="DF7" s="232">
        <v>0</v>
      </c>
      <c r="DG7" s="232">
        <v>264.57499999999999</v>
      </c>
      <c r="DH7" s="230"/>
      <c r="DI7" s="230"/>
      <c r="DJ7" s="172" t="s">
        <v>277</v>
      </c>
    </row>
    <row r="8" spans="1:114" x14ac:dyDescent="0.25">
      <c r="A8" s="225" t="s">
        <v>729</v>
      </c>
      <c r="B8" s="226" t="s">
        <v>733</v>
      </c>
      <c r="C8" s="227" t="s">
        <v>412</v>
      </c>
      <c r="D8" s="228" t="str">
        <f t="shared" si="0"/>
        <v>MAZDOCKS IN Equity</v>
      </c>
      <c r="E8" s="229" t="s">
        <v>42</v>
      </c>
      <c r="F8" s="230"/>
      <c r="G8" s="231">
        <v>11415.979094043627</v>
      </c>
      <c r="H8" s="232">
        <v>1024706.233696289</v>
      </c>
      <c r="I8" s="230"/>
      <c r="J8" s="231">
        <v>9530.3049692436252</v>
      </c>
      <c r="K8" s="232">
        <v>863413.43369628908</v>
      </c>
      <c r="L8" s="230"/>
      <c r="M8" s="233">
        <v>42.466825312703641</v>
      </c>
      <c r="N8" s="233">
        <v>37.053118495122767</v>
      </c>
      <c r="O8" s="233">
        <v>41.912663101813521</v>
      </c>
      <c r="P8" s="233">
        <v>42.010856627743124</v>
      </c>
      <c r="Q8" s="230"/>
      <c r="R8" s="234">
        <v>12.905815121844274</v>
      </c>
      <c r="S8" s="234">
        <v>12.940693588874245</v>
      </c>
      <c r="T8" s="230"/>
      <c r="U8" s="234">
        <v>0.34025205610804221</v>
      </c>
      <c r="V8" s="234">
        <v>0.30385000000000001</v>
      </c>
      <c r="W8" s="234">
        <v>0.34136689044834362</v>
      </c>
      <c r="X8" s="234">
        <v>0.45989298985846894</v>
      </c>
      <c r="Y8" s="234">
        <v>0.33704182274607819</v>
      </c>
      <c r="Z8" s="234">
        <v>0.28138209023677951</v>
      </c>
      <c r="AA8" s="234">
        <v>0.29956226706507572</v>
      </c>
      <c r="AB8" s="234">
        <v>0.34027414526852995</v>
      </c>
      <c r="AC8" s="230"/>
      <c r="AD8" s="232">
        <v>-161496.1</v>
      </c>
      <c r="AE8" s="232">
        <v>-161496.1</v>
      </c>
      <c r="AF8" s="232">
        <v>0</v>
      </c>
      <c r="AG8" s="232">
        <v>-7827.7</v>
      </c>
      <c r="AH8" s="235">
        <v>-169323.8</v>
      </c>
      <c r="AI8" s="230"/>
      <c r="AJ8" s="232">
        <v>3</v>
      </c>
      <c r="AK8" s="232">
        <v>200.3</v>
      </c>
      <c r="AL8" s="235">
        <v>203.3</v>
      </c>
      <c r="AM8" s="230"/>
      <c r="AN8" s="231">
        <v>-1885.6741248000005</v>
      </c>
      <c r="AO8" s="232">
        <v>-161292.80000000002</v>
      </c>
      <c r="AP8" s="236">
        <v>-7.8296335490259867</v>
      </c>
      <c r="AQ8" s="230"/>
      <c r="AR8" s="237">
        <v>403.38</v>
      </c>
      <c r="AS8" s="237">
        <v>403.38</v>
      </c>
      <c r="AT8" s="237">
        <v>403.38</v>
      </c>
      <c r="AU8" s="230"/>
      <c r="AV8" s="234">
        <v>8.1220000000000007E-3</v>
      </c>
      <c r="AW8" s="234">
        <v>0.20406007901833964</v>
      </c>
      <c r="AX8" s="234">
        <v>1.9699999999999999E-4</v>
      </c>
      <c r="AY8" s="234">
        <v>0.15508929793247062</v>
      </c>
      <c r="AZ8" s="230"/>
      <c r="BA8" s="232">
        <v>0</v>
      </c>
      <c r="BB8" s="230"/>
      <c r="BC8" s="232" t="e">
        <v>#N/A</v>
      </c>
      <c r="BD8" s="232">
        <v>7119.7</v>
      </c>
      <c r="BE8" s="230"/>
      <c r="BF8" s="238">
        <v>1.1843555999999997</v>
      </c>
      <c r="BG8" s="238">
        <v>0.91740729999999959</v>
      </c>
      <c r="BH8" s="238">
        <v>0.87835286666666679</v>
      </c>
      <c r="BI8" s="230"/>
      <c r="BJ8" s="239">
        <v>28.300805925042461</v>
      </c>
      <c r="BK8" s="240">
        <v>2540.300048828125</v>
      </c>
      <c r="BL8" s="230"/>
      <c r="BM8" s="241">
        <v>8.4425264999999996</v>
      </c>
      <c r="BN8" s="241">
        <v>12.74</v>
      </c>
      <c r="BO8" s="241">
        <v>15.1255145</v>
      </c>
      <c r="BP8" s="241">
        <v>27.741335500000002</v>
      </c>
      <c r="BQ8" s="241">
        <v>48.02</v>
      </c>
      <c r="BR8" s="241">
        <v>59.83</v>
      </c>
      <c r="BS8" s="241">
        <v>68.558333333333337</v>
      </c>
      <c r="BT8" s="241">
        <v>83.571666666666673</v>
      </c>
      <c r="BU8" s="241">
        <v>89.88</v>
      </c>
      <c r="BV8" s="241" t="e">
        <v>#N/A</v>
      </c>
      <c r="BW8" s="230"/>
      <c r="BX8" s="232">
        <v>3771.5</v>
      </c>
      <c r="BY8" s="232">
        <v>5138.32</v>
      </c>
      <c r="BZ8" s="232">
        <v>6101.33</v>
      </c>
      <c r="CA8" s="232">
        <v>11184</v>
      </c>
      <c r="CB8" s="232">
        <v>19359.34</v>
      </c>
      <c r="CC8" s="232">
        <v>24129.57</v>
      </c>
      <c r="CD8" s="232">
        <v>27698.9114158333</v>
      </c>
      <c r="CE8" s="232">
        <v>34439.932024042668</v>
      </c>
      <c r="CF8" s="232">
        <v>38509.347150116482</v>
      </c>
      <c r="CG8" s="232" t="e">
        <v>#N/A</v>
      </c>
      <c r="CH8" s="230"/>
      <c r="CI8" s="232">
        <v>2534.1999999999998</v>
      </c>
      <c r="CJ8" s="232">
        <v>2353</v>
      </c>
      <c r="CK8" s="232">
        <v>4347</v>
      </c>
      <c r="CL8" s="232">
        <v>7978</v>
      </c>
      <c r="CM8" s="232">
        <v>14116.099999999999</v>
      </c>
      <c r="CN8" s="232">
        <v>20600.3</v>
      </c>
      <c r="CO8" s="232">
        <v>23929.714285714297</v>
      </c>
      <c r="CP8" s="232">
        <v>30160.833333333303</v>
      </c>
      <c r="CQ8" s="232">
        <v>33139</v>
      </c>
      <c r="CR8" s="232" t="e">
        <v>#N/A</v>
      </c>
      <c r="CS8" s="230"/>
      <c r="CT8" s="232">
        <v>49048.4</v>
      </c>
      <c r="CU8" s="232">
        <v>40478.199999999997</v>
      </c>
      <c r="CV8" s="232">
        <v>57332.800000000003</v>
      </c>
      <c r="CW8" s="232">
        <v>78271.8</v>
      </c>
      <c r="CX8" s="232">
        <v>94665.8</v>
      </c>
      <c r="CY8" s="232">
        <v>114318.8</v>
      </c>
      <c r="CZ8" s="232">
        <v>134032.71428571429</v>
      </c>
      <c r="DA8" s="232">
        <v>158424.16666666666</v>
      </c>
      <c r="DB8" s="232">
        <v>163706.75</v>
      </c>
      <c r="DC8" s="232" t="e">
        <v>#N/A</v>
      </c>
      <c r="DD8" s="230"/>
      <c r="DE8" s="232" t="e">
        <v>#N/A</v>
      </c>
      <c r="DF8" s="232">
        <v>154943.9</v>
      </c>
      <c r="DG8" s="232">
        <v>0</v>
      </c>
      <c r="DH8" s="230"/>
      <c r="DI8" s="230"/>
      <c r="DJ8" s="172" t="s">
        <v>277</v>
      </c>
    </row>
    <row r="9" spans="1:114" x14ac:dyDescent="0.25">
      <c r="A9" s="225" t="s">
        <v>729</v>
      </c>
      <c r="B9" s="226" t="s">
        <v>734</v>
      </c>
      <c r="C9" s="227" t="s">
        <v>22</v>
      </c>
      <c r="D9" s="228" t="str">
        <f t="shared" si="0"/>
        <v>GRSE IN Equity</v>
      </c>
      <c r="E9" s="229" t="s">
        <v>22</v>
      </c>
      <c r="F9" s="230"/>
      <c r="G9" s="231">
        <v>3131.5231992618174</v>
      </c>
      <c r="H9" s="232">
        <v>281087.70319335937</v>
      </c>
      <c r="I9" s="230"/>
      <c r="J9" s="231">
        <v>2696.3625275298177</v>
      </c>
      <c r="K9" s="232">
        <v>243865.85119335938</v>
      </c>
      <c r="L9" s="230"/>
      <c r="M9" s="233">
        <v>53.595497000441618</v>
      </c>
      <c r="N9" s="233">
        <v>38.480116184106834</v>
      </c>
      <c r="O9" s="233">
        <v>57.888625866132827</v>
      </c>
      <c r="P9" s="233" t="e">
        <v>#N/A</v>
      </c>
      <c r="Q9" s="230"/>
      <c r="R9" s="234">
        <v>13.51862579698259</v>
      </c>
      <c r="S9" s="234">
        <v>13.666376238687276</v>
      </c>
      <c r="T9" s="230"/>
      <c r="U9" s="234">
        <v>0.27951141221924591</v>
      </c>
      <c r="V9" s="234">
        <v>0.29627999999999999</v>
      </c>
      <c r="W9" s="234">
        <v>0.28435374472420849</v>
      </c>
      <c r="X9" s="234">
        <v>0.3163314538600685</v>
      </c>
      <c r="Y9" s="234">
        <v>0.14727526085727571</v>
      </c>
      <c r="Z9" s="234">
        <v>0.19634143250273733</v>
      </c>
      <c r="AA9" s="234">
        <v>0.14388458482660141</v>
      </c>
      <c r="AB9" s="234">
        <v>0.2794440782303329</v>
      </c>
      <c r="AC9" s="230"/>
      <c r="AD9" s="232">
        <v>-37318.54</v>
      </c>
      <c r="AE9" s="232">
        <v>-37318.54</v>
      </c>
      <c r="AF9" s="232">
        <v>0</v>
      </c>
      <c r="AG9" s="232">
        <v>-4.3999999999999997E-2</v>
      </c>
      <c r="AH9" s="235">
        <v>-37318.584000000003</v>
      </c>
      <c r="AI9" s="230"/>
      <c r="AJ9" s="232">
        <v>20.48</v>
      </c>
      <c r="AK9" s="232">
        <v>76.207999999999998</v>
      </c>
      <c r="AL9" s="235">
        <v>96.688000000000002</v>
      </c>
      <c r="AM9" s="230"/>
      <c r="AN9" s="231">
        <v>-435.16067173199997</v>
      </c>
      <c r="AO9" s="232">
        <v>-37221.851999999999</v>
      </c>
      <c r="AP9" s="236">
        <v>-8.8356850864047605</v>
      </c>
      <c r="AQ9" s="230"/>
      <c r="AR9" s="237">
        <v>114.55200000000001</v>
      </c>
      <c r="AS9" s="237">
        <v>114.55200000000001</v>
      </c>
      <c r="AT9" s="237">
        <v>114.55200000000001</v>
      </c>
      <c r="AU9" s="230"/>
      <c r="AV9" s="234">
        <v>7.45E-3</v>
      </c>
      <c r="AW9" s="234">
        <v>0.15459240537380745</v>
      </c>
      <c r="AX9" s="234">
        <v>3.2599999999999996E-4</v>
      </c>
      <c r="AY9" s="234">
        <v>0.255</v>
      </c>
      <c r="AZ9" s="230"/>
      <c r="BA9" s="232">
        <v>0</v>
      </c>
      <c r="BB9" s="230"/>
      <c r="BC9" s="232" t="e">
        <v>#N/A</v>
      </c>
      <c r="BD9" s="232">
        <v>1190.1949999999999</v>
      </c>
      <c r="BE9" s="230"/>
      <c r="BF9" s="238">
        <v>1.5982823999999998</v>
      </c>
      <c r="BG9" s="238">
        <v>1.2666619000000001</v>
      </c>
      <c r="BH9" s="238">
        <v>1.594636366666667</v>
      </c>
      <c r="BI9" s="230"/>
      <c r="BJ9" s="239">
        <v>27.337132474874448</v>
      </c>
      <c r="BK9" s="240">
        <v>2453.800048828125</v>
      </c>
      <c r="BL9" s="230"/>
      <c r="BM9" s="241">
        <v>14.245792</v>
      </c>
      <c r="BN9" s="241">
        <v>13.4</v>
      </c>
      <c r="BO9" s="241">
        <v>16.55</v>
      </c>
      <c r="BP9" s="241">
        <v>19.914449000000001</v>
      </c>
      <c r="BQ9" s="241">
        <v>31.19</v>
      </c>
      <c r="BR9" s="241">
        <v>46.04</v>
      </c>
      <c r="BS9" s="241">
        <v>63.768000000000008</v>
      </c>
      <c r="BT9" s="241">
        <v>85.412000000000006</v>
      </c>
      <c r="BU9" s="241">
        <v>92.39500000000001</v>
      </c>
      <c r="BV9" s="241" t="e">
        <v>#N/A</v>
      </c>
      <c r="BW9" s="230"/>
      <c r="BX9" s="232">
        <v>1631.884</v>
      </c>
      <c r="BY9" s="232">
        <v>1535.1369</v>
      </c>
      <c r="BZ9" s="232">
        <v>1797.4912999999999</v>
      </c>
      <c r="CA9" s="232">
        <v>2239.0454</v>
      </c>
      <c r="CB9" s="232">
        <v>3537.2492999999999</v>
      </c>
      <c r="CC9" s="232">
        <v>5244.6142</v>
      </c>
      <c r="CD9" s="232">
        <v>7297.8520179588859</v>
      </c>
      <c r="CE9" s="232">
        <v>9765.4227323176274</v>
      </c>
      <c r="CF9" s="232">
        <v>10559.777688441838</v>
      </c>
      <c r="CG9" s="232" t="e">
        <v>#N/A</v>
      </c>
      <c r="CH9" s="230"/>
      <c r="CI9" s="232">
        <v>404.03399999999999</v>
      </c>
      <c r="CJ9" s="232">
        <v>720.59799999999996</v>
      </c>
      <c r="CK9" s="232">
        <v>1413.3330000000001</v>
      </c>
      <c r="CL9" s="232">
        <v>1490.2940000000001</v>
      </c>
      <c r="CM9" s="232">
        <v>2341.1480000000001</v>
      </c>
      <c r="CN9" s="232">
        <v>4212.6729999999998</v>
      </c>
      <c r="CO9" s="232">
        <v>6090.6666666666697</v>
      </c>
      <c r="CP9" s="232">
        <v>8837.6</v>
      </c>
      <c r="CQ9" s="232">
        <v>10194</v>
      </c>
      <c r="CR9" s="232" t="e">
        <v>#N/A</v>
      </c>
      <c r="CS9" s="230"/>
      <c r="CT9" s="232">
        <v>14332.953</v>
      </c>
      <c r="CU9" s="232">
        <v>11408.352999999999</v>
      </c>
      <c r="CV9" s="232">
        <v>17544.487000000001</v>
      </c>
      <c r="CW9" s="232">
        <v>25611.451000000001</v>
      </c>
      <c r="CX9" s="232">
        <v>35926.423000000003</v>
      </c>
      <c r="CY9" s="232">
        <v>50756.877</v>
      </c>
      <c r="CZ9" s="232">
        <v>66004.166666666657</v>
      </c>
      <c r="DA9" s="232">
        <v>88181.4</v>
      </c>
      <c r="DB9" s="232">
        <v>90324.25</v>
      </c>
      <c r="DC9" s="232" t="e">
        <v>#N/A</v>
      </c>
      <c r="DD9" s="230"/>
      <c r="DE9" s="232" t="e">
        <v>#N/A</v>
      </c>
      <c r="DF9" s="232">
        <v>69000.403000000006</v>
      </c>
      <c r="DG9" s="232" t="e">
        <v>#N/A</v>
      </c>
      <c r="DH9" s="230"/>
      <c r="DI9" s="230"/>
      <c r="DJ9" s="172" t="s">
        <v>277</v>
      </c>
    </row>
    <row r="10" spans="1:114" x14ac:dyDescent="0.25">
      <c r="A10" s="225" t="s">
        <v>729</v>
      </c>
      <c r="B10" s="226" t="s">
        <v>735</v>
      </c>
      <c r="C10" s="227" t="s">
        <v>413</v>
      </c>
      <c r="D10" s="228" t="str">
        <f t="shared" si="0"/>
        <v>COCHIN IN Equity</v>
      </c>
      <c r="E10" s="229" t="s">
        <v>132</v>
      </c>
      <c r="F10" s="230"/>
      <c r="G10" s="231">
        <v>4833.9547335099069</v>
      </c>
      <c r="H10" s="232">
        <v>433899.1432997412</v>
      </c>
      <c r="I10" s="230"/>
      <c r="J10" s="231">
        <v>4535.5752661689075</v>
      </c>
      <c r="K10" s="232">
        <v>408376.99229974119</v>
      </c>
      <c r="L10" s="230"/>
      <c r="M10" s="233">
        <v>52.453787963817511</v>
      </c>
      <c r="N10" s="233">
        <v>59.974547230113636</v>
      </c>
      <c r="O10" s="233">
        <v>46.519741395326989</v>
      </c>
      <c r="P10" s="233" t="e">
        <v>#N/A</v>
      </c>
      <c r="Q10" s="230"/>
      <c r="R10" s="234">
        <v>7.7770012505016339</v>
      </c>
      <c r="S10" s="234">
        <v>7.7960094073303692</v>
      </c>
      <c r="T10" s="230"/>
      <c r="U10" s="234">
        <v>0.15633265634134985</v>
      </c>
      <c r="V10" s="234">
        <v>0.12066666666666669</v>
      </c>
      <c r="W10" s="234">
        <v>0.15683579626406755</v>
      </c>
      <c r="X10" s="234">
        <v>0.14829363003071691</v>
      </c>
      <c r="Y10" s="234">
        <v>0.12039218491591618</v>
      </c>
      <c r="Z10" s="234">
        <v>0.13368314412657839</v>
      </c>
      <c r="AA10" s="234">
        <v>0.11435578661535492</v>
      </c>
      <c r="AB10" s="234">
        <v>0.14245867256134581</v>
      </c>
      <c r="AC10" s="230"/>
      <c r="AD10" s="232">
        <v>-31126.222000000002</v>
      </c>
      <c r="AE10" s="232">
        <v>-31126.222000000002</v>
      </c>
      <c r="AF10" s="232">
        <v>0</v>
      </c>
      <c r="AG10" s="232">
        <v>-1.9259999999999999</v>
      </c>
      <c r="AH10" s="235">
        <v>-31128.148000000001</v>
      </c>
      <c r="AI10" s="230"/>
      <c r="AJ10" s="232">
        <v>772.47900000000004</v>
      </c>
      <c r="AK10" s="232">
        <v>4831.5919999999996</v>
      </c>
      <c r="AL10" s="235">
        <v>5604.0709999999999</v>
      </c>
      <c r="AM10" s="230"/>
      <c r="AN10" s="231">
        <v>-298.37946734100001</v>
      </c>
      <c r="AO10" s="232">
        <v>-25522.151000000002</v>
      </c>
      <c r="AP10" s="236">
        <v>-2.9073231028182938</v>
      </c>
      <c r="AQ10" s="230"/>
      <c r="AR10" s="237">
        <v>263.08078</v>
      </c>
      <c r="AS10" s="237">
        <v>263.08080000000001</v>
      </c>
      <c r="AT10" s="237">
        <v>263.08080000000001</v>
      </c>
      <c r="AU10" s="230"/>
      <c r="AV10" s="234">
        <v>6.7910000000000002E-3</v>
      </c>
      <c r="AW10" s="234">
        <v>0.1750032769252127</v>
      </c>
      <c r="AX10" s="234">
        <v>3.2200000000000002E-4</v>
      </c>
      <c r="AY10" s="234">
        <v>0.28749931484922614</v>
      </c>
      <c r="AZ10" s="230"/>
      <c r="BA10" s="232">
        <v>0</v>
      </c>
      <c r="BB10" s="230"/>
      <c r="BC10" s="232" t="e">
        <v>#N/A</v>
      </c>
      <c r="BD10" s="232">
        <v>2565.038</v>
      </c>
      <c r="BE10" s="230"/>
      <c r="BF10" s="238">
        <v>1.5405568000000001</v>
      </c>
      <c r="BG10" s="238">
        <v>0.9772031000000001</v>
      </c>
      <c r="BH10" s="238">
        <v>0.95933500000000105</v>
      </c>
      <c r="BI10" s="230"/>
      <c r="BJ10" s="239">
        <v>18.37441235163552</v>
      </c>
      <c r="BK10" s="240">
        <v>1649.300048828125</v>
      </c>
      <c r="BL10" s="230"/>
      <c r="BM10" s="241">
        <v>23.6815</v>
      </c>
      <c r="BN10" s="241">
        <v>23.135999999999999</v>
      </c>
      <c r="BO10" s="241">
        <v>21.5105</v>
      </c>
      <c r="BP10" s="241">
        <v>9.9375</v>
      </c>
      <c r="BQ10" s="241">
        <v>29.77</v>
      </c>
      <c r="BR10" s="241">
        <v>31.45</v>
      </c>
      <c r="BS10" s="241">
        <v>27.5</v>
      </c>
      <c r="BT10" s="241">
        <v>36.200000000000003</v>
      </c>
      <c r="BU10" s="241">
        <v>43.833333333333336</v>
      </c>
      <c r="BV10" s="241" t="e">
        <v>#N/A</v>
      </c>
      <c r="BW10" s="230"/>
      <c r="BX10" s="232">
        <v>6303.7589000000007</v>
      </c>
      <c r="BY10" s="232">
        <v>6078.0522000000001</v>
      </c>
      <c r="BZ10" s="232">
        <v>5640.2034000000003</v>
      </c>
      <c r="CA10" s="232">
        <v>3050.1170999999999</v>
      </c>
      <c r="CB10" s="232">
        <v>7831.9114</v>
      </c>
      <c r="CC10" s="232">
        <v>8272.0275000000001</v>
      </c>
      <c r="CD10" s="232" t="e">
        <v>#N/A</v>
      </c>
      <c r="CE10" s="232" t="e">
        <v>#N/A</v>
      </c>
      <c r="CF10" s="232" t="e">
        <v>#N/A</v>
      </c>
      <c r="CG10" s="232" t="e">
        <v>#N/A</v>
      </c>
      <c r="CH10" s="230"/>
      <c r="CI10" s="232">
        <v>7115.2179999999998</v>
      </c>
      <c r="CJ10" s="232">
        <v>7157.5910000000003</v>
      </c>
      <c r="CK10" s="232">
        <v>6226.5519999999997</v>
      </c>
      <c r="CL10" s="232">
        <v>2589.8589999999999</v>
      </c>
      <c r="CM10" s="232">
        <v>8685.76</v>
      </c>
      <c r="CN10" s="232">
        <v>8778.5740000000005</v>
      </c>
      <c r="CO10" s="232">
        <v>8200.6666666666697</v>
      </c>
      <c r="CP10" s="232">
        <v>14981</v>
      </c>
      <c r="CQ10" s="232">
        <v>13516.666666666701</v>
      </c>
      <c r="CR10" s="232" t="e">
        <v>#N/A</v>
      </c>
      <c r="CS10" s="230"/>
      <c r="CT10" s="232">
        <v>34224.938999999998</v>
      </c>
      <c r="CU10" s="232">
        <v>28188.97</v>
      </c>
      <c r="CV10" s="232">
        <v>31909.47</v>
      </c>
      <c r="CW10" s="232">
        <v>23645.547999999999</v>
      </c>
      <c r="CX10" s="232">
        <v>38304.542000000001</v>
      </c>
      <c r="CY10" s="232">
        <v>48199.588000000003</v>
      </c>
      <c r="CZ10" s="232">
        <v>50502.333333333336</v>
      </c>
      <c r="DA10" s="232">
        <v>60877.333333333336</v>
      </c>
      <c r="DB10" s="232">
        <v>70329</v>
      </c>
      <c r="DC10" s="232" t="e">
        <v>#N/A</v>
      </c>
      <c r="DD10" s="230"/>
      <c r="DE10" s="232" t="e">
        <v>#N/A</v>
      </c>
      <c r="DF10" s="232">
        <v>47238.32</v>
      </c>
      <c r="DG10" s="232">
        <v>0</v>
      </c>
      <c r="DH10" s="230"/>
      <c r="DI10" s="230"/>
      <c r="DJ10" s="172" t="s">
        <v>277</v>
      </c>
    </row>
    <row r="11" spans="1:114" x14ac:dyDescent="0.25">
      <c r="A11" s="225" t="s">
        <v>729</v>
      </c>
      <c r="B11" s="226" t="s">
        <v>736</v>
      </c>
      <c r="C11" s="227" t="s">
        <v>43</v>
      </c>
      <c r="D11" s="228" t="str">
        <f t="shared" si="0"/>
        <v>BEML IN Equity</v>
      </c>
      <c r="E11" s="229" t="s">
        <v>43</v>
      </c>
      <c r="F11" s="230"/>
      <c r="G11" s="231">
        <v>1733.225468982961</v>
      </c>
      <c r="H11" s="232">
        <v>155575.5251334229</v>
      </c>
      <c r="I11" s="230"/>
      <c r="J11" s="231">
        <v>1759.3170920529608</v>
      </c>
      <c r="K11" s="232">
        <v>157807.29513342289</v>
      </c>
      <c r="L11" s="230"/>
      <c r="M11" s="233">
        <v>53.540470691044476</v>
      </c>
      <c r="N11" s="233">
        <v>38.804099946279258</v>
      </c>
      <c r="O11" s="233">
        <v>31.206645706332722</v>
      </c>
      <c r="P11" s="233" t="e">
        <v>#N/A</v>
      </c>
      <c r="Q11" s="230"/>
      <c r="R11" s="234">
        <v>5.3881192167414724</v>
      </c>
      <c r="S11" s="234">
        <v>5.4579343216493017</v>
      </c>
      <c r="T11" s="230"/>
      <c r="U11" s="234">
        <v>0.10461099912264818</v>
      </c>
      <c r="V11" s="234">
        <v>0.13400000000000001</v>
      </c>
      <c r="W11" s="234">
        <v>0.10670607281956532</v>
      </c>
      <c r="X11" s="234">
        <v>9.3857401776916052E-2</v>
      </c>
      <c r="Y11" s="234">
        <v>0.1140429128412425</v>
      </c>
      <c r="Z11" s="234">
        <v>0.13870090918898803</v>
      </c>
      <c r="AA11" s="234">
        <v>0.11117401566190149</v>
      </c>
      <c r="AB11" s="234">
        <v>0.11338242066560643</v>
      </c>
      <c r="AC11" s="230"/>
      <c r="AD11" s="232">
        <v>-49.636000000000003</v>
      </c>
      <c r="AE11" s="232">
        <v>-49.636000000000003</v>
      </c>
      <c r="AF11" s="232">
        <v>0</v>
      </c>
      <c r="AG11" s="232">
        <v>-58.134999999999998</v>
      </c>
      <c r="AH11" s="235">
        <v>-107.771</v>
      </c>
      <c r="AI11" s="230"/>
      <c r="AJ11" s="232">
        <v>2195.6080000000002</v>
      </c>
      <c r="AK11" s="232">
        <v>90.716999999999999</v>
      </c>
      <c r="AL11" s="235">
        <v>2286.3249999999998</v>
      </c>
      <c r="AM11" s="230"/>
      <c r="AN11" s="231">
        <v>26.149131099000005</v>
      </c>
      <c r="AO11" s="232">
        <v>2236.6890000000003</v>
      </c>
      <c r="AP11" s="236">
        <v>0.44230883698524531</v>
      </c>
      <c r="AQ11" s="230"/>
      <c r="AR11" s="237">
        <v>83.289000000000001</v>
      </c>
      <c r="AS11" s="237">
        <v>83.289000000000001</v>
      </c>
      <c r="AT11" s="237">
        <v>83.289000000000001</v>
      </c>
      <c r="AU11" s="230"/>
      <c r="AV11" s="234">
        <v>5.4029999999999998E-3</v>
      </c>
      <c r="AW11" s="234">
        <v>0.46331788620183334</v>
      </c>
      <c r="AX11" s="234">
        <v>5.8200000000000005E-4</v>
      </c>
      <c r="AY11" s="234">
        <v>0.45971257909207691</v>
      </c>
      <c r="AZ11" s="230"/>
      <c r="BA11" s="232">
        <v>-4.9189999999999996</v>
      </c>
      <c r="BB11" s="230"/>
      <c r="BC11" s="232" t="e">
        <v>#N/A</v>
      </c>
      <c r="BD11" s="232">
        <v>851.2</v>
      </c>
      <c r="BE11" s="230"/>
      <c r="BF11" s="238">
        <v>0.32628660000000032</v>
      </c>
      <c r="BG11" s="238">
        <v>0.28700479999999984</v>
      </c>
      <c r="BH11" s="238">
        <v>0.26239003333333327</v>
      </c>
      <c r="BI11" s="230"/>
      <c r="BJ11" s="239">
        <v>20.809776428855685</v>
      </c>
      <c r="BK11" s="240">
        <v>1867.9000244140625</v>
      </c>
      <c r="BL11" s="230"/>
      <c r="BM11" s="241">
        <v>7.6449999999999996</v>
      </c>
      <c r="BN11" s="241">
        <v>8.25</v>
      </c>
      <c r="BO11" s="241">
        <v>15.44</v>
      </c>
      <c r="BP11" s="241">
        <v>18.954999999999998</v>
      </c>
      <c r="BQ11" s="241">
        <v>33.83</v>
      </c>
      <c r="BR11" s="241">
        <v>35.119999999999997</v>
      </c>
      <c r="BS11" s="241">
        <v>48.136666666666663</v>
      </c>
      <c r="BT11" s="241">
        <v>67.236666666666665</v>
      </c>
      <c r="BU11" s="241">
        <v>81.800000000000011</v>
      </c>
      <c r="BV11" s="241" t="e">
        <v>#N/A</v>
      </c>
      <c r="BW11" s="230"/>
      <c r="BX11" s="232">
        <v>636.82060000000001</v>
      </c>
      <c r="BY11" s="232">
        <v>687.44069999999999</v>
      </c>
      <c r="BZ11" s="232">
        <v>1284.4041335999998</v>
      </c>
      <c r="CA11" s="232">
        <v>1480.9626386</v>
      </c>
      <c r="CB11" s="232">
        <v>2813.1502948000002</v>
      </c>
      <c r="CC11" s="232">
        <v>2905.7556620999999</v>
      </c>
      <c r="CD11" s="232" t="e">
        <v>#N/A</v>
      </c>
      <c r="CE11" s="232" t="e">
        <v>#N/A</v>
      </c>
      <c r="CF11" s="232" t="e">
        <v>#N/A</v>
      </c>
      <c r="CG11" s="232" t="e">
        <v>#N/A</v>
      </c>
      <c r="CH11" s="230"/>
      <c r="CI11" s="232">
        <v>839.19500000000005</v>
      </c>
      <c r="CJ11" s="232">
        <v>1779.231</v>
      </c>
      <c r="CK11" s="232">
        <v>3098.2750000000001</v>
      </c>
      <c r="CL11" s="232">
        <v>3644.462</v>
      </c>
      <c r="CM11" s="232">
        <v>4422.41</v>
      </c>
      <c r="CN11" s="232">
        <v>5056.8489999999993</v>
      </c>
      <c r="CO11" s="232">
        <v>6155.75</v>
      </c>
      <c r="CP11" s="232">
        <v>8291.75</v>
      </c>
      <c r="CQ11" s="232">
        <v>10046</v>
      </c>
      <c r="CR11" s="232" t="e">
        <v>#N/A</v>
      </c>
      <c r="CS11" s="230"/>
      <c r="CT11" s="232">
        <v>30254.35</v>
      </c>
      <c r="CU11" s="232">
        <v>35566.411999999997</v>
      </c>
      <c r="CV11" s="232">
        <v>41429.709000000003</v>
      </c>
      <c r="CW11" s="232">
        <v>38391.932000000001</v>
      </c>
      <c r="CX11" s="232">
        <v>40543.245000000003</v>
      </c>
      <c r="CY11" s="232">
        <v>40222.226999999999</v>
      </c>
      <c r="CZ11" s="232">
        <v>44935.5</v>
      </c>
      <c r="DA11" s="232">
        <v>54966</v>
      </c>
      <c r="DB11" s="232">
        <v>66612.666666666657</v>
      </c>
      <c r="DC11" s="232" t="e">
        <v>#N/A</v>
      </c>
      <c r="DD11" s="230"/>
      <c r="DE11" s="232" t="e">
        <v>#N/A</v>
      </c>
      <c r="DF11" s="232" t="e">
        <v>#N/A</v>
      </c>
      <c r="DG11" s="232" t="e">
        <v>#N/A</v>
      </c>
      <c r="DH11" s="230"/>
      <c r="DI11" s="230"/>
      <c r="DJ11" s="172" t="s">
        <v>277</v>
      </c>
    </row>
    <row r="12" spans="1:114" x14ac:dyDescent="0.25">
      <c r="A12" s="225" t="s">
        <v>729</v>
      </c>
      <c r="B12" s="226" t="s">
        <v>737</v>
      </c>
      <c r="C12" s="227" t="s">
        <v>44</v>
      </c>
      <c r="D12" s="228" t="str">
        <f t="shared" si="0"/>
        <v>MIDHANI IN Equity</v>
      </c>
      <c r="E12" s="229" t="s">
        <v>44</v>
      </c>
      <c r="F12" s="230"/>
      <c r="G12" s="231">
        <v>649.8201604438342</v>
      </c>
      <c r="H12" s="232">
        <v>58328.310143432616</v>
      </c>
      <c r="I12" s="230"/>
      <c r="J12" s="231">
        <v>684.7461227368342</v>
      </c>
      <c r="K12" s="232">
        <v>61315.733143432619</v>
      </c>
      <c r="L12" s="230"/>
      <c r="M12" s="233">
        <v>52.592906436404668</v>
      </c>
      <c r="N12" s="233">
        <v>39.336703234809299</v>
      </c>
      <c r="O12" s="233">
        <v>28.120497813049248</v>
      </c>
      <c r="P12" s="233">
        <v>25.52350141216343</v>
      </c>
      <c r="Q12" s="230"/>
      <c r="R12" s="234">
        <v>4.1222341179797812</v>
      </c>
      <c r="S12" s="234">
        <v>4.1305265907206996</v>
      </c>
      <c r="T12" s="230"/>
      <c r="U12" s="234">
        <v>8.1076852257085788E-2</v>
      </c>
      <c r="V12" s="234">
        <v>0.1008</v>
      </c>
      <c r="W12" s="234">
        <v>8.1272214226674078E-2</v>
      </c>
      <c r="X12" s="234">
        <v>6.1232177305141813E-2</v>
      </c>
      <c r="Y12" s="234">
        <v>6.009153753504938E-2</v>
      </c>
      <c r="Z12" s="234">
        <v>8.5014767491250823E-2</v>
      </c>
      <c r="AA12" s="234">
        <v>7.1632641608738806E-2</v>
      </c>
      <c r="AB12" s="234">
        <v>7.4875993408589608E-2</v>
      </c>
      <c r="AC12" s="230"/>
      <c r="AD12" s="232">
        <v>-510.18099999999998</v>
      </c>
      <c r="AE12" s="232">
        <v>-510.18099999999998</v>
      </c>
      <c r="AF12" s="232">
        <v>0</v>
      </c>
      <c r="AG12" s="232">
        <v>-21.010999999999999</v>
      </c>
      <c r="AH12" s="235">
        <v>-531.19200000000001</v>
      </c>
      <c r="AI12" s="230"/>
      <c r="AJ12" s="232">
        <v>2300.3910000000001</v>
      </c>
      <c r="AK12" s="232">
        <v>1197.213</v>
      </c>
      <c r="AL12" s="235">
        <v>3497.6039999999998</v>
      </c>
      <c r="AM12" s="230"/>
      <c r="AN12" s="231">
        <v>34.925962292999998</v>
      </c>
      <c r="AO12" s="232">
        <v>2987.4229999999998</v>
      </c>
      <c r="AP12" s="236">
        <v>1.3700859083204309</v>
      </c>
      <c r="AQ12" s="230"/>
      <c r="AR12" s="237">
        <v>187.34</v>
      </c>
      <c r="AS12" s="237">
        <v>187.34</v>
      </c>
      <c r="AT12" s="237">
        <v>187.34</v>
      </c>
      <c r="AU12" s="230"/>
      <c r="AV12" s="234">
        <v>7.4000000000000003E-3</v>
      </c>
      <c r="AW12" s="234">
        <v>0.30343105977452028</v>
      </c>
      <c r="AX12" s="234">
        <v>1.37E-4</v>
      </c>
      <c r="AY12" s="234">
        <v>0.24841046226112948</v>
      </c>
      <c r="AZ12" s="230"/>
      <c r="BA12" s="232">
        <v>0</v>
      </c>
      <c r="BB12" s="230"/>
      <c r="BC12" s="232" t="e">
        <v>#N/A</v>
      </c>
      <c r="BD12" s="232">
        <v>140.52600000000001</v>
      </c>
      <c r="BE12" s="230"/>
      <c r="BF12" s="238">
        <v>0.63248879999999996</v>
      </c>
      <c r="BG12" s="238">
        <v>0.47262000000000021</v>
      </c>
      <c r="BH12" s="238">
        <v>0.41406646666666658</v>
      </c>
      <c r="BI12" s="230"/>
      <c r="BJ12" s="239">
        <v>3.4686674519260925</v>
      </c>
      <c r="BK12" s="240">
        <v>311.35000610351563</v>
      </c>
      <c r="BL12" s="230"/>
      <c r="BM12" s="241">
        <v>8.44</v>
      </c>
      <c r="BN12" s="241">
        <v>8.8800000000000008</v>
      </c>
      <c r="BO12" s="241">
        <v>9.4280000000000008</v>
      </c>
      <c r="BP12" s="241">
        <v>8.343</v>
      </c>
      <c r="BQ12" s="241">
        <v>4.9000000000000004</v>
      </c>
      <c r="BR12" s="241">
        <v>5.92</v>
      </c>
      <c r="BS12" s="241">
        <v>7.9150000000000009</v>
      </c>
      <c r="BT12" s="241">
        <v>10.190000000000001</v>
      </c>
      <c r="BU12" s="241">
        <v>12.934999999999999</v>
      </c>
      <c r="BV12" s="241" t="e">
        <v>#N/A</v>
      </c>
      <c r="BW12" s="230"/>
      <c r="BX12" s="232">
        <v>1580.2734</v>
      </c>
      <c r="BY12" s="232">
        <v>1665.3661999999999</v>
      </c>
      <c r="BZ12" s="232">
        <v>1766.9290000000001</v>
      </c>
      <c r="CA12" s="232">
        <v>1562.9663</v>
      </c>
      <c r="CB12" s="232">
        <v>919.60649999999998</v>
      </c>
      <c r="CC12" s="232">
        <v>1108.374</v>
      </c>
      <c r="CD12" s="232" t="e">
        <v>#N/A</v>
      </c>
      <c r="CE12" s="232" t="e">
        <v>#N/A</v>
      </c>
      <c r="CF12" s="232" t="e">
        <v>#N/A</v>
      </c>
      <c r="CG12" s="232" t="e">
        <v>#N/A</v>
      </c>
      <c r="CH12" s="230"/>
      <c r="CI12" s="232">
        <v>1976.8030000000001</v>
      </c>
      <c r="CJ12" s="232">
        <v>2454.134</v>
      </c>
      <c r="CK12" s="232">
        <v>2619.076</v>
      </c>
      <c r="CL12" s="232">
        <v>2575.0439999999999</v>
      </c>
      <c r="CM12" s="232">
        <v>1941.5139999999999</v>
      </c>
      <c r="CN12" s="232">
        <v>2180.4639999999999</v>
      </c>
      <c r="CO12" s="232">
        <v>2655.5</v>
      </c>
      <c r="CP12" s="232">
        <v>3264.5</v>
      </c>
      <c r="CQ12" s="232">
        <v>4016.5</v>
      </c>
      <c r="CR12" s="232" t="e">
        <v>#N/A</v>
      </c>
      <c r="CS12" s="230"/>
      <c r="CT12" s="232">
        <v>7128.7569999999996</v>
      </c>
      <c r="CU12" s="232">
        <v>8043.4949999999999</v>
      </c>
      <c r="CV12" s="232">
        <v>8369.7739999999994</v>
      </c>
      <c r="CW12" s="232">
        <v>8498.76</v>
      </c>
      <c r="CX12" s="232">
        <v>10311.877</v>
      </c>
      <c r="CY12" s="232">
        <v>10527.857</v>
      </c>
      <c r="CZ12" s="232">
        <v>12192.5</v>
      </c>
      <c r="DA12" s="232">
        <v>14379</v>
      </c>
      <c r="DB12" s="232">
        <v>16997</v>
      </c>
      <c r="DC12" s="232" t="e">
        <v>#N/A</v>
      </c>
      <c r="DD12" s="230"/>
      <c r="DE12" s="232" t="e">
        <v>#N/A</v>
      </c>
      <c r="DF12" s="232">
        <v>0</v>
      </c>
      <c r="DG12" s="232">
        <v>3776.4050000000002</v>
      </c>
      <c r="DH12" s="230"/>
      <c r="DI12" s="230"/>
      <c r="DJ12" s="172" t="s">
        <v>277</v>
      </c>
    </row>
    <row r="13" spans="1:114" x14ac:dyDescent="0.25">
      <c r="A13" s="225" t="s">
        <v>729</v>
      </c>
      <c r="B13" s="242" t="s">
        <v>738</v>
      </c>
      <c r="C13" s="227" t="s">
        <v>26</v>
      </c>
      <c r="D13" s="228" t="str">
        <f t="shared" si="0"/>
        <v>DATAPATT IN Equity</v>
      </c>
      <c r="E13" s="229" t="s">
        <v>26</v>
      </c>
      <c r="F13" s="230"/>
      <c r="G13" s="231">
        <v>1666.7201690041356</v>
      </c>
      <c r="H13" s="232">
        <v>149605.96309229219</v>
      </c>
      <c r="I13" s="230"/>
      <c r="J13" s="231">
        <v>1630.7469380041357</v>
      </c>
      <c r="K13" s="232">
        <v>146409.76309229221</v>
      </c>
      <c r="L13" s="230"/>
      <c r="M13" s="233">
        <v>64.104796523303179</v>
      </c>
      <c r="N13" s="233">
        <v>48.318592954235541</v>
      </c>
      <c r="O13" s="233">
        <v>61.501202676758886</v>
      </c>
      <c r="P13" s="233">
        <v>42.928637648646095</v>
      </c>
      <c r="Q13" s="230"/>
      <c r="R13" s="234">
        <v>9.7283811014411388</v>
      </c>
      <c r="S13" s="234">
        <v>10.57809256114631</v>
      </c>
      <c r="T13" s="230"/>
      <c r="U13" s="234">
        <v>0.1557633898422483</v>
      </c>
      <c r="V13" s="234">
        <v>0.16355454545454542</v>
      </c>
      <c r="W13" s="234">
        <v>0.17328141992331761</v>
      </c>
      <c r="X13" s="234">
        <v>0.17331524032275708</v>
      </c>
      <c r="Y13" s="234">
        <v>0.14569630307932827</v>
      </c>
      <c r="Z13" s="234">
        <v>0.15066527390105655</v>
      </c>
      <c r="AA13" s="234">
        <v>0.16299191340010033</v>
      </c>
      <c r="AB13" s="234">
        <v>0.16737796952614747</v>
      </c>
      <c r="AC13" s="230"/>
      <c r="AD13" s="232">
        <v>-733.4</v>
      </c>
      <c r="AE13" s="232">
        <v>-3254.3</v>
      </c>
      <c r="AF13" s="232">
        <v>-2520.9</v>
      </c>
      <c r="AG13" s="232">
        <v>0</v>
      </c>
      <c r="AH13" s="235">
        <v>-3254.3</v>
      </c>
      <c r="AI13" s="230"/>
      <c r="AJ13" s="232">
        <v>12.2</v>
      </c>
      <c r="AK13" s="232">
        <v>45.9</v>
      </c>
      <c r="AL13" s="235">
        <v>58.1</v>
      </c>
      <c r="AM13" s="230"/>
      <c r="AN13" s="231">
        <v>-35.973230999999998</v>
      </c>
      <c r="AO13" s="232">
        <v>-3196.2000000000003</v>
      </c>
      <c r="AP13" s="236">
        <v>-1.34260270520037</v>
      </c>
      <c r="AQ13" s="230"/>
      <c r="AR13" s="237">
        <v>55.983968999999988</v>
      </c>
      <c r="AS13" s="237">
        <v>55.991984500000001</v>
      </c>
      <c r="AT13" s="237">
        <v>55.991984500000001</v>
      </c>
      <c r="AU13" s="230"/>
      <c r="AV13" s="234">
        <v>4.241E-3</v>
      </c>
      <c r="AW13" s="234">
        <v>0.30007260153918414</v>
      </c>
      <c r="AX13" s="234">
        <v>1.14E-3</v>
      </c>
      <c r="AY13" s="234">
        <v>0.41339385923138106</v>
      </c>
      <c r="AZ13" s="230"/>
      <c r="BA13" s="232">
        <v>0</v>
      </c>
      <c r="BB13" s="230"/>
      <c r="BC13" s="232" t="e">
        <v>#N/A</v>
      </c>
      <c r="BD13" s="232">
        <v>624.25</v>
      </c>
      <c r="BE13" s="230"/>
      <c r="BF13" s="238">
        <v>0.30494360000000026</v>
      </c>
      <c r="BG13" s="238">
        <v>0.27633000000000019</v>
      </c>
      <c r="BH13" s="238">
        <v>0.79031823333333384</v>
      </c>
      <c r="BI13" s="230"/>
      <c r="BJ13" s="239">
        <v>29.771382750732378</v>
      </c>
      <c r="BK13" s="240">
        <v>2672.300048828125</v>
      </c>
      <c r="BL13" s="230"/>
      <c r="BM13" s="241">
        <v>123.09402900000001</v>
      </c>
      <c r="BN13" s="241">
        <v>326.41796900000003</v>
      </c>
      <c r="BO13" s="241">
        <v>19.48</v>
      </c>
      <c r="BP13" s="241">
        <v>23.8</v>
      </c>
      <c r="BQ13" s="241">
        <v>32.450000000000003</v>
      </c>
      <c r="BR13" s="241">
        <v>39.619999999999997</v>
      </c>
      <c r="BS13" s="241">
        <v>55.305833333333332</v>
      </c>
      <c r="BT13" s="241">
        <v>70.137222222222221</v>
      </c>
      <c r="BU13" s="241">
        <v>91.75555555555556</v>
      </c>
      <c r="BV13" s="241">
        <v>111.4825</v>
      </c>
      <c r="BW13" s="230"/>
      <c r="BX13" s="232">
        <v>209.23400000000001</v>
      </c>
      <c r="BY13" s="232">
        <v>554.84199999999998</v>
      </c>
      <c r="BZ13" s="232">
        <v>939.7</v>
      </c>
      <c r="CA13" s="232">
        <v>1234.3</v>
      </c>
      <c r="CB13" s="232">
        <v>1703.5</v>
      </c>
      <c r="CC13" s="232">
        <v>2047.09</v>
      </c>
      <c r="CD13" s="232">
        <v>3070.0788132005309</v>
      </c>
      <c r="CE13" s="232">
        <v>3878.9070811362208</v>
      </c>
      <c r="CF13" s="232">
        <v>5098.5368010128659</v>
      </c>
      <c r="CG13" s="232">
        <v>6242.1157794115998</v>
      </c>
      <c r="CH13" s="230"/>
      <c r="CI13" s="232">
        <v>431.55999999999995</v>
      </c>
      <c r="CJ13" s="232">
        <v>919.88</v>
      </c>
      <c r="CK13" s="232">
        <v>1410.3999999999999</v>
      </c>
      <c r="CL13" s="232">
        <v>1745.8999999999999</v>
      </c>
      <c r="CM13" s="232">
        <v>2216.2000000000003</v>
      </c>
      <c r="CN13" s="232">
        <v>2750</v>
      </c>
      <c r="CO13" s="232">
        <v>3997.5833333333303</v>
      </c>
      <c r="CP13" s="232">
        <v>5069.2166666666653</v>
      </c>
      <c r="CQ13" s="232">
        <v>6518.05</v>
      </c>
      <c r="CR13" s="232">
        <v>7833.75</v>
      </c>
      <c r="CS13" s="230"/>
      <c r="CT13" s="232">
        <v>1560.98</v>
      </c>
      <c r="CU13" s="232">
        <v>2239.5</v>
      </c>
      <c r="CV13" s="232">
        <v>3108.5</v>
      </c>
      <c r="CW13" s="232">
        <v>4534.5</v>
      </c>
      <c r="CX13" s="232">
        <v>5198</v>
      </c>
      <c r="CY13" s="232">
        <v>7083.5</v>
      </c>
      <c r="CZ13" s="232">
        <v>10351.166666666668</v>
      </c>
      <c r="DA13" s="232">
        <v>12836.375</v>
      </c>
      <c r="DB13" s="232">
        <v>16673.25</v>
      </c>
      <c r="DC13" s="232">
        <v>20095</v>
      </c>
      <c r="DD13" s="230"/>
      <c r="DE13" s="232" t="e">
        <v>#N/A</v>
      </c>
      <c r="DF13" s="232">
        <v>1550.1</v>
      </c>
      <c r="DG13" s="232">
        <v>143.19999999999999</v>
      </c>
      <c r="DH13" s="230"/>
      <c r="DI13" s="230"/>
      <c r="DJ13" s="172" t="s">
        <v>277</v>
      </c>
    </row>
    <row r="14" spans="1:114" x14ac:dyDescent="0.25">
      <c r="A14" s="225" t="s">
        <v>729</v>
      </c>
      <c r="B14" s="226" t="s">
        <v>739</v>
      </c>
      <c r="C14" s="227" t="s">
        <v>28</v>
      </c>
      <c r="D14" s="228" t="str">
        <f t="shared" si="0"/>
        <v>PARAS IN Equity</v>
      </c>
      <c r="E14" s="229" t="s">
        <v>28</v>
      </c>
      <c r="F14" s="230"/>
      <c r="G14" s="231">
        <v>602.33536309504859</v>
      </c>
      <c r="H14" s="232">
        <v>54066.041664464108</v>
      </c>
      <c r="I14" s="230"/>
      <c r="J14" s="231">
        <v>591.79884934504855</v>
      </c>
      <c r="K14" s="232">
        <v>53164.791664464108</v>
      </c>
      <c r="L14" s="230"/>
      <c r="M14" s="233">
        <v>85.181874457495653</v>
      </c>
      <c r="N14" s="233">
        <v>59.901787894112729</v>
      </c>
      <c r="O14" s="233">
        <v>54.69437454293174</v>
      </c>
      <c r="P14" s="233">
        <v>40.046958410891087</v>
      </c>
      <c r="Q14" s="230"/>
      <c r="R14" s="234">
        <v>8.4486269100207885</v>
      </c>
      <c r="S14" s="234">
        <v>8.6226307223946144</v>
      </c>
      <c r="T14" s="230"/>
      <c r="U14" s="234">
        <v>0.1170460196086332</v>
      </c>
      <c r="V14" s="234">
        <v>0.13300000000000001</v>
      </c>
      <c r="W14" s="234">
        <v>0.11929412852603066</v>
      </c>
      <c r="X14" s="234">
        <v>0.13163286618086034</v>
      </c>
      <c r="Y14" s="234">
        <v>9.6592835191948043E-2</v>
      </c>
      <c r="Z14" s="234">
        <v>0.13132268097267902</v>
      </c>
      <c r="AA14" s="234">
        <v>8.9541676294423458E-2</v>
      </c>
      <c r="AB14" s="234">
        <v>0.11346680091422524</v>
      </c>
      <c r="AC14" s="230"/>
      <c r="AD14" s="232">
        <v>-1108.3</v>
      </c>
      <c r="AE14" s="232">
        <v>-1108.3</v>
      </c>
      <c r="AF14" s="232">
        <v>0</v>
      </c>
      <c r="AG14" s="232">
        <v>-291.16399999999999</v>
      </c>
      <c r="AH14" s="235">
        <v>-1399.4639999999999</v>
      </c>
      <c r="AI14" s="230"/>
      <c r="AJ14" s="232">
        <v>227.43199999999999</v>
      </c>
      <c r="AK14" s="232">
        <v>12.798999999999999</v>
      </c>
      <c r="AL14" s="235">
        <v>240.23099999999999</v>
      </c>
      <c r="AM14" s="230"/>
      <c r="AN14" s="231">
        <v>-10.148594679</v>
      </c>
      <c r="AO14" s="232">
        <v>-868.06899999999996</v>
      </c>
      <c r="AP14" s="236">
        <v>-0.89304386472078134</v>
      </c>
      <c r="AQ14" s="230"/>
      <c r="AR14" s="237">
        <v>80.587329999999994</v>
      </c>
      <c r="AS14" s="237">
        <v>80.587329999999994</v>
      </c>
      <c r="AT14" s="237">
        <v>80.587329999999994</v>
      </c>
      <c r="AU14" s="230"/>
      <c r="AV14" s="234">
        <v>5.3200000000000001E-3</v>
      </c>
      <c r="AW14" s="234">
        <v>5.4879908184461333E-2</v>
      </c>
      <c r="AX14" s="234">
        <v>5.6999999999999998E-4</v>
      </c>
      <c r="AY14" s="234">
        <v>0.39994759722154832</v>
      </c>
      <c r="AZ14" s="230"/>
      <c r="BA14" s="232">
        <v>-33.180999999999997</v>
      </c>
      <c r="BB14" s="230"/>
      <c r="BC14" s="232" t="e">
        <v>#N/A</v>
      </c>
      <c r="BD14" s="232">
        <v>0</v>
      </c>
      <c r="BE14" s="230"/>
      <c r="BF14" s="238">
        <v>0.59366760000000007</v>
      </c>
      <c r="BG14" s="238">
        <v>0.43394510000000036</v>
      </c>
      <c r="BH14" s="238">
        <v>0.97329083333333322</v>
      </c>
      <c r="BI14" s="230"/>
      <c r="BJ14" s="239">
        <v>7.474318395894846</v>
      </c>
      <c r="BK14" s="240">
        <v>670.9000244140625</v>
      </c>
      <c r="BL14" s="230"/>
      <c r="BM14" s="241">
        <v>3.468928</v>
      </c>
      <c r="BN14" s="241">
        <v>2.7749999999999999</v>
      </c>
      <c r="BO14" s="241">
        <v>3.4664999999999999</v>
      </c>
      <c r="BP14" s="241">
        <v>4.6245000000000003</v>
      </c>
      <c r="BQ14" s="241">
        <v>4.1100000000000003</v>
      </c>
      <c r="BR14" s="241">
        <v>8.01</v>
      </c>
      <c r="BS14" s="241">
        <v>11.2</v>
      </c>
      <c r="BT14" s="241">
        <v>14.9</v>
      </c>
      <c r="BU14" s="241" t="e">
        <v>#N/A</v>
      </c>
      <c r="BV14" s="241" t="e">
        <v>#N/A</v>
      </c>
      <c r="BW14" s="230"/>
      <c r="BX14" s="232">
        <v>197.12299999999999</v>
      </c>
      <c r="BY14" s="232">
        <v>157.256</v>
      </c>
      <c r="BZ14" s="232">
        <v>270.81810000000002</v>
      </c>
      <c r="CA14" s="232">
        <v>361.02769999999998</v>
      </c>
      <c r="CB14" s="232">
        <v>320.5163</v>
      </c>
      <c r="CC14" s="232">
        <v>634.71299999999997</v>
      </c>
      <c r="CD14" s="232" t="e">
        <v>#N/A</v>
      </c>
      <c r="CE14" s="232" t="e">
        <v>#N/A</v>
      </c>
      <c r="CF14" s="232" t="e">
        <v>#N/A</v>
      </c>
      <c r="CG14" s="232" t="e">
        <v>#N/A</v>
      </c>
      <c r="CH14" s="230"/>
      <c r="CI14" s="232">
        <v>392.7</v>
      </c>
      <c r="CJ14" s="232">
        <v>433.97500000000002</v>
      </c>
      <c r="CK14" s="232">
        <v>518.59300000000007</v>
      </c>
      <c r="CL14" s="232">
        <v>567.41200000000003</v>
      </c>
      <c r="CM14" s="232">
        <v>510.54700000000003</v>
      </c>
      <c r="CN14" s="232">
        <v>972.03399999999999</v>
      </c>
      <c r="CO14" s="232">
        <v>1313</v>
      </c>
      <c r="CP14" s="232">
        <v>1774</v>
      </c>
      <c r="CQ14" s="232" t="e">
        <v>#N/A</v>
      </c>
      <c r="CR14" s="232" t="e">
        <v>#N/A</v>
      </c>
      <c r="CS14" s="230"/>
      <c r="CT14" s="232">
        <v>1470.43</v>
      </c>
      <c r="CU14" s="232">
        <v>1433.299</v>
      </c>
      <c r="CV14" s="232">
        <v>1825.624</v>
      </c>
      <c r="CW14" s="232">
        <v>2224.259</v>
      </c>
      <c r="CX14" s="232">
        <v>2534.982</v>
      </c>
      <c r="CY14" s="232">
        <v>3646.6120000000001</v>
      </c>
      <c r="CZ14" s="232">
        <v>4780</v>
      </c>
      <c r="DA14" s="232">
        <v>6469</v>
      </c>
      <c r="DB14" s="232" t="e">
        <v>#N/A</v>
      </c>
      <c r="DC14" s="232" t="e">
        <v>#N/A</v>
      </c>
      <c r="DD14" s="230"/>
      <c r="DE14" s="232" t="e">
        <v>#N/A</v>
      </c>
      <c r="DF14" s="232">
        <v>0</v>
      </c>
      <c r="DG14" s="232" t="e">
        <v>#N/A</v>
      </c>
      <c r="DH14" s="230"/>
      <c r="DI14" s="230"/>
      <c r="DJ14" s="172" t="s">
        <v>277</v>
      </c>
    </row>
    <row r="15" spans="1:114" x14ac:dyDescent="0.25">
      <c r="A15" s="225" t="s">
        <v>729</v>
      </c>
      <c r="B15" s="242" t="s">
        <v>740</v>
      </c>
      <c r="C15" s="227" t="s">
        <v>30</v>
      </c>
      <c r="D15" s="228" t="str">
        <f t="shared" si="0"/>
        <v>ASTM IN Equity</v>
      </c>
      <c r="E15" s="229" t="s">
        <v>30</v>
      </c>
      <c r="F15" s="230"/>
      <c r="G15" s="231">
        <v>1026.2887621778134</v>
      </c>
      <c r="H15" s="232">
        <v>92120.394012000004</v>
      </c>
      <c r="I15" s="230"/>
      <c r="J15" s="231">
        <v>1064.3236185728133</v>
      </c>
      <c r="K15" s="232">
        <v>95373.739012000005</v>
      </c>
      <c r="L15" s="230"/>
      <c r="M15" s="233">
        <v>60.003092145949282</v>
      </c>
      <c r="N15" s="233">
        <v>54.403636654918287</v>
      </c>
      <c r="O15" s="233">
        <v>35.452391134907842</v>
      </c>
      <c r="P15" s="233">
        <v>32.539703730968704</v>
      </c>
      <c r="Q15" s="230"/>
      <c r="R15" s="234">
        <v>8.3862251662694955</v>
      </c>
      <c r="S15" s="234">
        <v>8.4326886313526632</v>
      </c>
      <c r="T15" s="230"/>
      <c r="U15" s="234">
        <v>0.14870125136796097</v>
      </c>
      <c r="V15" s="234">
        <v>0.13679999999999998</v>
      </c>
      <c r="W15" s="234">
        <v>0.14934458026509428</v>
      </c>
      <c r="X15" s="234">
        <v>0.17858639664929782</v>
      </c>
      <c r="Y15" s="234">
        <v>0.12862438733414044</v>
      </c>
      <c r="Z15" s="234">
        <v>0.17070929868901483</v>
      </c>
      <c r="AA15" s="234">
        <v>0.11486996616567845</v>
      </c>
      <c r="AB15" s="234">
        <v>0.13889242192077414</v>
      </c>
      <c r="AC15" s="230"/>
      <c r="AD15" s="232">
        <v>-981.69100000000003</v>
      </c>
      <c r="AE15" s="232">
        <v>-981.69100000000003</v>
      </c>
      <c r="AF15" s="232">
        <v>0</v>
      </c>
      <c r="AG15" s="232">
        <v>-316.56099999999998</v>
      </c>
      <c r="AH15" s="235">
        <v>-1298.252</v>
      </c>
      <c r="AI15" s="230"/>
      <c r="AJ15" s="232">
        <v>3841.373</v>
      </c>
      <c r="AK15" s="232">
        <v>393.64699999999999</v>
      </c>
      <c r="AL15" s="235">
        <v>4235.0200000000004</v>
      </c>
      <c r="AM15" s="230"/>
      <c r="AN15" s="231">
        <v>38.034669339000011</v>
      </c>
      <c r="AO15" s="232">
        <v>3253.3290000000006</v>
      </c>
      <c r="AP15" s="236">
        <v>1.2093296686630548</v>
      </c>
      <c r="AQ15" s="230"/>
      <c r="AR15" s="237">
        <v>94.945008000000001</v>
      </c>
      <c r="AS15" s="237">
        <v>94.945008000000001</v>
      </c>
      <c r="AT15" s="237">
        <v>94.945008000000001</v>
      </c>
      <c r="AU15" s="230"/>
      <c r="AV15" s="234">
        <v>6.5399999999999996E-4</v>
      </c>
      <c r="AW15" s="234">
        <v>0.33651464542885007</v>
      </c>
      <c r="AX15" s="234">
        <v>6.469999999999999E-4</v>
      </c>
      <c r="AY15" s="234">
        <v>0.74996101954091154</v>
      </c>
      <c r="AZ15" s="230"/>
      <c r="BA15" s="232">
        <v>1.6E-2</v>
      </c>
      <c r="BB15" s="230"/>
      <c r="BC15" s="232" t="e">
        <v>#N/A</v>
      </c>
      <c r="BD15" s="232">
        <v>190.64699999999999</v>
      </c>
      <c r="BE15" s="230"/>
      <c r="BF15" s="238">
        <v>0.19711860000000009</v>
      </c>
      <c r="BG15" s="238">
        <v>0.18570199999999998</v>
      </c>
      <c r="BH15" s="238">
        <v>0.24766560000000012</v>
      </c>
      <c r="BI15" s="230"/>
      <c r="BJ15" s="239">
        <v>10.809296705497287</v>
      </c>
      <c r="BK15" s="240">
        <v>970.25</v>
      </c>
      <c r="BL15" s="230"/>
      <c r="BM15" s="241">
        <v>5.0849479999999998</v>
      </c>
      <c r="BN15" s="241">
        <v>3.33</v>
      </c>
      <c r="BO15" s="241">
        <v>4.3719999999999999</v>
      </c>
      <c r="BP15" s="241">
        <v>8.06</v>
      </c>
      <c r="BQ15" s="241">
        <v>12.86</v>
      </c>
      <c r="BR15" s="241">
        <v>16.170000000000002</v>
      </c>
      <c r="BS15" s="241">
        <v>17.834285714285716</v>
      </c>
      <c r="BT15" s="241">
        <v>22.970000000000002</v>
      </c>
      <c r="BU15" s="241">
        <v>30.207999999999998</v>
      </c>
      <c r="BV15" s="241">
        <v>35.159999999999997</v>
      </c>
      <c r="BW15" s="230"/>
      <c r="BX15" s="232">
        <v>416.8082</v>
      </c>
      <c r="BY15" s="232">
        <v>280.83046239999999</v>
      </c>
      <c r="BZ15" s="232">
        <v>374.94903739999995</v>
      </c>
      <c r="CA15" s="232">
        <v>696.9271076</v>
      </c>
      <c r="CB15" s="232">
        <v>1210.663</v>
      </c>
      <c r="CC15" s="232">
        <v>1535.088</v>
      </c>
      <c r="CD15" s="232">
        <v>1732.778828965364</v>
      </c>
      <c r="CE15" s="232">
        <v>2219.9946938468934</v>
      </c>
      <c r="CF15" s="232">
        <v>2820.664967486905</v>
      </c>
      <c r="CG15" s="232">
        <v>3243.6058434051565</v>
      </c>
      <c r="CH15" s="230"/>
      <c r="CI15" s="232">
        <v>824.90700000000004</v>
      </c>
      <c r="CJ15" s="232">
        <v>789.74</v>
      </c>
      <c r="CK15" s="232">
        <v>892.15599999999995</v>
      </c>
      <c r="CL15" s="232">
        <v>1476.2060000000001</v>
      </c>
      <c r="CM15" s="232">
        <v>1915.828</v>
      </c>
      <c r="CN15" s="232">
        <v>2690.192</v>
      </c>
      <c r="CO15" s="232">
        <v>2996.5714285714303</v>
      </c>
      <c r="CP15" s="232">
        <v>3718.8571428571399</v>
      </c>
      <c r="CQ15" s="232">
        <v>4687.3999999999996</v>
      </c>
      <c r="CR15" s="232">
        <v>5559</v>
      </c>
      <c r="CS15" s="230"/>
      <c r="CT15" s="232">
        <v>4672.2430000000004</v>
      </c>
      <c r="CU15" s="232">
        <v>6409.1220000000003</v>
      </c>
      <c r="CV15" s="232">
        <v>7504.6310000000003</v>
      </c>
      <c r="CW15" s="232">
        <v>8155.1570000000002</v>
      </c>
      <c r="CX15" s="232">
        <v>9088.2019999999993</v>
      </c>
      <c r="CY15" s="232">
        <v>10511.791999999999</v>
      </c>
      <c r="CZ15" s="232">
        <v>12188</v>
      </c>
      <c r="DA15" s="232">
        <v>14563.571428571428</v>
      </c>
      <c r="DB15" s="232">
        <v>17827.400000000001</v>
      </c>
      <c r="DC15" s="232">
        <v>22430</v>
      </c>
      <c r="DD15" s="230"/>
      <c r="DE15" s="232" t="e">
        <v>#N/A</v>
      </c>
      <c r="DF15" s="232">
        <v>1030.588</v>
      </c>
      <c r="DG15" s="232">
        <v>527.68100000000004</v>
      </c>
      <c r="DH15" s="230"/>
      <c r="DI15" s="230"/>
      <c r="DJ15" s="172" t="s">
        <v>277</v>
      </c>
    </row>
    <row r="16" spans="1:114" x14ac:dyDescent="0.25">
      <c r="A16" s="225" t="s">
        <v>729</v>
      </c>
      <c r="B16" s="226" t="s">
        <v>741</v>
      </c>
      <c r="C16" s="227" t="s">
        <v>32</v>
      </c>
      <c r="D16" s="228" t="str">
        <f t="shared" si="0"/>
        <v>CTE IN Equity</v>
      </c>
      <c r="E16" s="229" t="s">
        <v>32</v>
      </c>
      <c r="F16" s="230"/>
      <c r="G16" s="231">
        <v>393.71613215423162</v>
      </c>
      <c r="H16" s="232">
        <v>35340.234210461429</v>
      </c>
      <c r="I16" s="230"/>
      <c r="J16" s="231">
        <v>399.25556177423164</v>
      </c>
      <c r="K16" s="232">
        <v>35814.054210461429</v>
      </c>
      <c r="L16" s="230"/>
      <c r="M16" s="233">
        <v>1275.6382718999337</v>
      </c>
      <c r="N16" s="233">
        <v>65.524588829832652</v>
      </c>
      <c r="O16" s="233">
        <v>36.268498496624126</v>
      </c>
      <c r="P16" s="233">
        <v>23.355857438214407</v>
      </c>
      <c r="Q16" s="230"/>
      <c r="R16" s="234">
        <v>8.7040555694702455</v>
      </c>
      <c r="S16" s="234">
        <v>10.59823950801367</v>
      </c>
      <c r="T16" s="230"/>
      <c r="U16" s="234">
        <v>8.072375286567679E-3</v>
      </c>
      <c r="V16" s="234">
        <v>0.1305</v>
      </c>
      <c r="W16" s="234">
        <v>1.0837357996853812E-2</v>
      </c>
      <c r="X16" s="234">
        <v>-2.0942271838304646E-2</v>
      </c>
      <c r="Y16" s="234">
        <v>-1.407992237149772E-2</v>
      </c>
      <c r="Z16" s="234">
        <v>0.1085914694164984</v>
      </c>
      <c r="AA16" s="234">
        <v>1.0986008593147531E-2</v>
      </c>
      <c r="AB16" s="234">
        <v>-1.1108989969487859E-2</v>
      </c>
      <c r="AC16" s="230"/>
      <c r="AD16" s="232">
        <v>-1290.03</v>
      </c>
      <c r="AE16" s="232">
        <v>-1290.03</v>
      </c>
      <c r="AF16" s="232">
        <v>0</v>
      </c>
      <c r="AG16" s="232">
        <v>-53.79</v>
      </c>
      <c r="AH16" s="235">
        <v>-1343.82</v>
      </c>
      <c r="AI16" s="230"/>
      <c r="AJ16" s="232">
        <v>1341.84</v>
      </c>
      <c r="AK16" s="232">
        <v>531.59</v>
      </c>
      <c r="AL16" s="235">
        <v>1873.43</v>
      </c>
      <c r="AM16" s="230"/>
      <c r="AN16" s="231">
        <v>6.8205293999999981</v>
      </c>
      <c r="AO16" s="232">
        <v>583.39999999999986</v>
      </c>
      <c r="AP16" s="236">
        <v>0.59080275856481701</v>
      </c>
      <c r="AQ16" s="230"/>
      <c r="AR16" s="237">
        <v>14.736150000000002</v>
      </c>
      <c r="AS16" s="237">
        <v>12.984951000000001</v>
      </c>
      <c r="AT16" s="237">
        <v>13.09859</v>
      </c>
      <c r="AU16" s="230"/>
      <c r="AV16" s="234">
        <v>4.6990000000000001E-3</v>
      </c>
      <c r="AW16" s="234">
        <v>0.43645856251178894</v>
      </c>
      <c r="AX16" s="234">
        <v>2.8499999999999999E-4</v>
      </c>
      <c r="AY16" s="234">
        <v>0.45834210428096889</v>
      </c>
      <c r="AZ16" s="230"/>
      <c r="BA16" s="232">
        <v>-109.58</v>
      </c>
      <c r="BB16" s="230"/>
      <c r="BC16" s="232" t="e">
        <v>#N/A</v>
      </c>
      <c r="BD16" s="232">
        <v>38.93</v>
      </c>
      <c r="BE16" s="230"/>
      <c r="BF16" s="238">
        <v>4.7660399999999992E-2</v>
      </c>
      <c r="BG16" s="238">
        <v>4.9635799999999994E-2</v>
      </c>
      <c r="BH16" s="238">
        <v>3.0627866666666684E-2</v>
      </c>
      <c r="BI16" s="230"/>
      <c r="BJ16" s="239">
        <v>26.71770660275795</v>
      </c>
      <c r="BK16" s="240">
        <v>2398.199951171875</v>
      </c>
      <c r="BL16" s="230"/>
      <c r="BM16" s="241">
        <v>13.041</v>
      </c>
      <c r="BN16" s="241">
        <v>9.343</v>
      </c>
      <c r="BO16" s="241">
        <v>-88.263000000000005</v>
      </c>
      <c r="BP16" s="241">
        <v>5.1950000000000003</v>
      </c>
      <c r="BQ16" s="241">
        <v>-1.36</v>
      </c>
      <c r="BR16" s="241">
        <v>-1.2793129999999999</v>
      </c>
      <c r="BS16" s="241">
        <v>36.6</v>
      </c>
      <c r="BT16" s="241">
        <v>66.7</v>
      </c>
      <c r="BU16" s="241">
        <v>104.5</v>
      </c>
      <c r="BV16" s="241" t="e">
        <v>#N/A</v>
      </c>
      <c r="BW16" s="230"/>
      <c r="BX16" s="232">
        <v>206.15</v>
      </c>
      <c r="BY16" s="232">
        <v>171.56</v>
      </c>
      <c r="BZ16" s="232">
        <v>-304.786</v>
      </c>
      <c r="CA16" s="232">
        <v>97.754000000000005</v>
      </c>
      <c r="CB16" s="232">
        <v>26.283000000000001</v>
      </c>
      <c r="CC16" s="232">
        <v>24.56</v>
      </c>
      <c r="CD16" s="232" t="e">
        <v>#N/A</v>
      </c>
      <c r="CE16" s="232" t="e">
        <v>#N/A</v>
      </c>
      <c r="CF16" s="232" t="e">
        <v>#N/A</v>
      </c>
      <c r="CG16" s="232" t="e">
        <v>#N/A</v>
      </c>
      <c r="CH16" s="230"/>
      <c r="CI16" s="232">
        <v>980.18000000000006</v>
      </c>
      <c r="CJ16" s="232">
        <v>873.89</v>
      </c>
      <c r="CK16" s="232">
        <v>742.43000000000006</v>
      </c>
      <c r="CL16" s="232">
        <v>762.08999999999992</v>
      </c>
      <c r="CM16" s="232">
        <v>858.48</v>
      </c>
      <c r="CN16" s="232">
        <v>987.47</v>
      </c>
      <c r="CO16" s="232">
        <v>1478.5</v>
      </c>
      <c r="CP16" s="232">
        <v>2018</v>
      </c>
      <c r="CQ16" s="232">
        <v>2624.5</v>
      </c>
      <c r="CR16" s="232" t="e">
        <v>#N/A</v>
      </c>
      <c r="CS16" s="230"/>
      <c r="CT16" s="232">
        <v>8832.64</v>
      </c>
      <c r="CU16" s="232">
        <v>7668.12</v>
      </c>
      <c r="CV16" s="232">
        <v>7333.76</v>
      </c>
      <c r="CW16" s="232">
        <v>8841.9599999999991</v>
      </c>
      <c r="CX16" s="232">
        <v>10482.459999999999</v>
      </c>
      <c r="CY16" s="232">
        <v>11308.64</v>
      </c>
      <c r="CZ16" s="232">
        <v>13709</v>
      </c>
      <c r="DA16" s="232">
        <v>16397.5</v>
      </c>
      <c r="DB16" s="232">
        <v>19648</v>
      </c>
      <c r="DC16" s="232" t="e">
        <v>#N/A</v>
      </c>
      <c r="DD16" s="230"/>
      <c r="DE16" s="232" t="e">
        <v>#N/A</v>
      </c>
      <c r="DF16" s="232" t="e">
        <v>#N/A</v>
      </c>
      <c r="DG16" s="232">
        <v>0</v>
      </c>
      <c r="DH16" s="230"/>
      <c r="DI16" s="230"/>
      <c r="DJ16" s="172" t="s">
        <v>277</v>
      </c>
    </row>
    <row r="17" spans="1:114" x14ac:dyDescent="0.25">
      <c r="A17" s="225" t="s">
        <v>729</v>
      </c>
      <c r="B17" s="242" t="s">
        <v>742</v>
      </c>
      <c r="C17" s="227" t="s">
        <v>34</v>
      </c>
      <c r="D17" s="228" t="str">
        <f t="shared" si="0"/>
        <v>DCXINDIA IN Equity</v>
      </c>
      <c r="E17" s="229" t="s">
        <v>34</v>
      </c>
      <c r="F17" s="230"/>
      <c r="G17" s="231">
        <v>251.06425894065927</v>
      </c>
      <c r="H17" s="232">
        <v>22535.702726458556</v>
      </c>
      <c r="I17" s="230"/>
      <c r="J17" s="231">
        <v>133.74811360065928</v>
      </c>
      <c r="K17" s="232">
        <v>12500.962726458558</v>
      </c>
      <c r="L17" s="230"/>
      <c r="M17" s="233">
        <v>57.971348803501073</v>
      </c>
      <c r="N17" s="233">
        <v>39.670589671415442</v>
      </c>
      <c r="O17" s="233">
        <v>271.05296458062782</v>
      </c>
      <c r="P17" s="233">
        <v>27.158481295384618</v>
      </c>
      <c r="Q17" s="230"/>
      <c r="R17" s="234">
        <v>1.6387374641674544</v>
      </c>
      <c r="S17" s="234">
        <v>2.052404318186305</v>
      </c>
      <c r="T17" s="230"/>
      <c r="U17" s="234">
        <v>3.108234951732651E-2</v>
      </c>
      <c r="V17" s="234">
        <v>4.0500000000000001E-2</v>
      </c>
      <c r="W17" s="234">
        <v>3.4956077862604337E-2</v>
      </c>
      <c r="X17" s="234">
        <v>4.0054217543119774E-2</v>
      </c>
      <c r="Y17" s="234">
        <v>-4.26179766157772E-3</v>
      </c>
      <c r="Z17" s="234">
        <v>-6.2504906053534844E-3</v>
      </c>
      <c r="AA17" s="234">
        <v>-3.7402233762442436E-3</v>
      </c>
      <c r="AB17" s="234">
        <v>3.2118283533986762E-2</v>
      </c>
      <c r="AC17" s="230"/>
      <c r="AD17" s="232">
        <v>-10034.969999999999</v>
      </c>
      <c r="AE17" s="232">
        <v>-10034.969999999999</v>
      </c>
      <c r="AF17" s="232">
        <v>0</v>
      </c>
      <c r="AG17" s="232">
        <v>0</v>
      </c>
      <c r="AH17" s="235">
        <v>-10034.969999999999</v>
      </c>
      <c r="AI17" s="230"/>
      <c r="AJ17" s="232">
        <v>0.23</v>
      </c>
      <c r="AK17" s="232">
        <v>0</v>
      </c>
      <c r="AL17" s="235">
        <v>0.23</v>
      </c>
      <c r="AM17" s="230"/>
      <c r="AN17" s="231">
        <v>-117.31614534000001</v>
      </c>
      <c r="AO17" s="232">
        <v>-10034.74</v>
      </c>
      <c r="AP17" s="236">
        <v>-217.57892454466605</v>
      </c>
      <c r="AQ17" s="230"/>
      <c r="AR17" s="237">
        <v>111.386427</v>
      </c>
      <c r="AS17" s="237">
        <v>111.39</v>
      </c>
      <c r="AT17" s="237">
        <v>111.39</v>
      </c>
      <c r="AU17" s="230"/>
      <c r="AV17" s="234">
        <v>5.2159999999999993E-3</v>
      </c>
      <c r="AW17" s="234">
        <v>6.2476345100602508E-2</v>
      </c>
      <c r="AX17" s="234">
        <v>1.4800000000000002E-4</v>
      </c>
      <c r="AY17" s="234">
        <v>0.42578571983460789</v>
      </c>
      <c r="AZ17" s="230"/>
      <c r="BA17" s="232">
        <v>0</v>
      </c>
      <c r="BB17" s="230"/>
      <c r="BC17" s="232" t="e">
        <v>#N/A</v>
      </c>
      <c r="BD17" s="232">
        <v>0</v>
      </c>
      <c r="BE17" s="230"/>
      <c r="BF17" s="238">
        <v>11.8665842</v>
      </c>
      <c r="BG17" s="238">
        <v>6.2268086000000027</v>
      </c>
      <c r="BH17" s="238">
        <v>2.5497806666666651</v>
      </c>
      <c r="BI17" s="230"/>
      <c r="BJ17" s="239">
        <v>2.2539932889728056</v>
      </c>
      <c r="BK17" s="240">
        <v>202.32000732421875</v>
      </c>
      <c r="BL17" s="230"/>
      <c r="BM17" s="241">
        <v>27.84</v>
      </c>
      <c r="BN17" s="241">
        <v>84.451429000000005</v>
      </c>
      <c r="BO17" s="241">
        <v>9.19</v>
      </c>
      <c r="BP17" s="241">
        <v>7.4109999999999996</v>
      </c>
      <c r="BQ17" s="241">
        <v>7.61</v>
      </c>
      <c r="BR17" s="241">
        <v>3.49</v>
      </c>
      <c r="BS17" s="241">
        <v>5.0999999999999996</v>
      </c>
      <c r="BT17" s="241">
        <v>7.4</v>
      </c>
      <c r="BU17" s="241">
        <v>9.3000000000000007</v>
      </c>
      <c r="BV17" s="241" t="e">
        <v>#N/A</v>
      </c>
      <c r="BW17" s="230"/>
      <c r="BX17" s="232">
        <v>97.439999999999984</v>
      </c>
      <c r="BY17" s="232">
        <v>295.58</v>
      </c>
      <c r="BZ17" s="232">
        <v>656.08</v>
      </c>
      <c r="CA17" s="232">
        <v>715.89300000000003</v>
      </c>
      <c r="CB17" s="232">
        <v>757.78099999999995</v>
      </c>
      <c r="CC17" s="232">
        <v>388.76</v>
      </c>
      <c r="CD17" s="232" t="e">
        <v>#N/A</v>
      </c>
      <c r="CE17" s="232" t="e">
        <v>#N/A</v>
      </c>
      <c r="CF17" s="232" t="e">
        <v>#N/A</v>
      </c>
      <c r="CG17" s="232" t="e">
        <v>#N/A</v>
      </c>
      <c r="CH17" s="230"/>
      <c r="CI17" s="232">
        <v>74.61</v>
      </c>
      <c r="CJ17" s="232">
        <v>101.58</v>
      </c>
      <c r="CK17" s="232">
        <v>670.28</v>
      </c>
      <c r="CL17" s="232">
        <v>838.14</v>
      </c>
      <c r="CM17" s="232">
        <v>798.92</v>
      </c>
      <c r="CN17" s="232">
        <v>46.120000000000005</v>
      </c>
      <c r="CO17" s="232">
        <v>214.5</v>
      </c>
      <c r="CP17" s="232">
        <v>478</v>
      </c>
      <c r="CQ17" s="232">
        <v>717.5</v>
      </c>
      <c r="CR17" s="232" t="e">
        <v>#N/A</v>
      </c>
      <c r="CS17" s="230"/>
      <c r="CT17" s="232">
        <v>4492.62</v>
      </c>
      <c r="CU17" s="232">
        <v>6411.63</v>
      </c>
      <c r="CV17" s="232">
        <v>11022.73</v>
      </c>
      <c r="CW17" s="232">
        <v>12536.34</v>
      </c>
      <c r="CX17" s="232">
        <v>14235.83</v>
      </c>
      <c r="CY17" s="232">
        <v>10836.71</v>
      </c>
      <c r="CZ17" s="232">
        <v>13267</v>
      </c>
      <c r="DA17" s="232">
        <v>15713</v>
      </c>
      <c r="DB17" s="232">
        <v>18486.5</v>
      </c>
      <c r="DC17" s="232" t="e">
        <v>#N/A</v>
      </c>
      <c r="DD17" s="230"/>
      <c r="DE17" s="232" t="e">
        <v>#N/A</v>
      </c>
      <c r="DF17" s="232">
        <v>0</v>
      </c>
      <c r="DG17" s="232">
        <v>0</v>
      </c>
      <c r="DH17" s="230"/>
      <c r="DI17" s="230"/>
      <c r="DJ17" s="172" t="s">
        <v>277</v>
      </c>
    </row>
    <row r="18" spans="1:114" x14ac:dyDescent="0.25">
      <c r="A18" s="225" t="s">
        <v>729</v>
      </c>
      <c r="B18" s="242" t="s">
        <v>743</v>
      </c>
      <c r="C18" s="227" t="s">
        <v>36</v>
      </c>
      <c r="D18" s="228" t="str">
        <f t="shared" si="0"/>
        <v>AVTS IN Equity</v>
      </c>
      <c r="E18" s="229" t="s">
        <v>36</v>
      </c>
      <c r="F18" s="230"/>
      <c r="G18" s="231">
        <v>476.85876105258313</v>
      </c>
      <c r="H18" s="232">
        <v>42803.174481829839</v>
      </c>
      <c r="I18" s="230"/>
      <c r="J18" s="231">
        <v>479.02879770858317</v>
      </c>
      <c r="K18" s="232">
        <v>42988.790481829841</v>
      </c>
      <c r="L18" s="230"/>
      <c r="M18" s="233">
        <v>73.902797224254385</v>
      </c>
      <c r="N18" s="233" t="e">
        <v>#N/A</v>
      </c>
      <c r="O18" s="233">
        <v>46.473714944362776</v>
      </c>
      <c r="P18" s="233" t="e">
        <v>#N/A</v>
      </c>
      <c r="Q18" s="230"/>
      <c r="R18" s="234">
        <v>17.534241586012644</v>
      </c>
      <c r="S18" s="234">
        <v>17.534241586012644</v>
      </c>
      <c r="T18" s="230"/>
      <c r="U18" s="234">
        <v>0.28126290905992396</v>
      </c>
      <c r="V18" s="234" t="e">
        <v>#N/A</v>
      </c>
      <c r="W18" s="234">
        <v>0.28126290905992396</v>
      </c>
      <c r="X18" s="234">
        <v>0.2721091296051808</v>
      </c>
      <c r="Y18" s="234">
        <v>0.25281196492898828</v>
      </c>
      <c r="Z18" s="234">
        <v>0.35580742489370676</v>
      </c>
      <c r="AA18" s="234">
        <v>0.21642444797486143</v>
      </c>
      <c r="AB18" s="234">
        <v>0.2565617705692983</v>
      </c>
      <c r="AC18" s="230"/>
      <c r="AD18" s="232">
        <v>-77.664000000000001</v>
      </c>
      <c r="AE18" s="232">
        <v>-77.664000000000001</v>
      </c>
      <c r="AF18" s="232">
        <v>0</v>
      </c>
      <c r="AG18" s="232">
        <v>0</v>
      </c>
      <c r="AH18" s="235">
        <v>-77.664000000000001</v>
      </c>
      <c r="AI18" s="230"/>
      <c r="AJ18" s="232">
        <v>91.093000000000004</v>
      </c>
      <c r="AK18" s="232">
        <v>172.18700000000001</v>
      </c>
      <c r="AL18" s="235">
        <v>263.27999999999997</v>
      </c>
      <c r="AM18" s="230"/>
      <c r="AN18" s="231">
        <v>2.1700366560000006</v>
      </c>
      <c r="AO18" s="232">
        <v>185.61600000000004</v>
      </c>
      <c r="AP18" s="236">
        <v>0.20066312581552914</v>
      </c>
      <c r="AQ18" s="230"/>
      <c r="AR18" s="237">
        <v>264.96952000000005</v>
      </c>
      <c r="AS18" s="237">
        <v>257.51735908338566</v>
      </c>
      <c r="AT18" s="237">
        <v>257.84378140234247</v>
      </c>
      <c r="AU18" s="230"/>
      <c r="AV18" s="234">
        <v>3.715E-3</v>
      </c>
      <c r="AW18" s="234">
        <v>8.0331767827934112E-3</v>
      </c>
      <c r="AX18" s="234">
        <v>6.6000000000000005E-5</v>
      </c>
      <c r="AY18" s="234">
        <v>0.54382965255777349</v>
      </c>
      <c r="AZ18" s="230"/>
      <c r="BA18" s="232">
        <v>0</v>
      </c>
      <c r="BB18" s="230"/>
      <c r="BC18" s="232" t="e">
        <v>#N/A</v>
      </c>
      <c r="BD18" s="232">
        <v>48.654000000000003</v>
      </c>
      <c r="BE18" s="230"/>
      <c r="BF18" s="238">
        <v>1.7019290000000002</v>
      </c>
      <c r="BG18" s="238">
        <v>1.5172882000000021</v>
      </c>
      <c r="BH18" s="238">
        <v>1.3121929000000008</v>
      </c>
      <c r="BI18" s="230"/>
      <c r="BJ18" s="239">
        <v>1.7996740193082701</v>
      </c>
      <c r="BK18" s="240">
        <v>161.53999328613281</v>
      </c>
      <c r="BL18" s="230"/>
      <c r="BM18" s="241" t="e">
        <v>#N/A</v>
      </c>
      <c r="BN18" s="241" t="e">
        <v>#N/A</v>
      </c>
      <c r="BO18" s="241">
        <v>0.70232121300000006</v>
      </c>
      <c r="BP18" s="241">
        <v>1.0485715900000001</v>
      </c>
      <c r="BQ18" s="241">
        <v>2.0527927200000002</v>
      </c>
      <c r="BR18" s="241">
        <v>2.1858440999999997</v>
      </c>
      <c r="BS18" s="241" t="e">
        <v>#N/A</v>
      </c>
      <c r="BT18" s="241" t="e">
        <v>#N/A</v>
      </c>
      <c r="BU18" s="241" t="e">
        <v>#N/A</v>
      </c>
      <c r="BV18" s="241" t="e">
        <v>#N/A</v>
      </c>
      <c r="BW18" s="230"/>
      <c r="BX18" s="232" t="e">
        <v>#N/A</v>
      </c>
      <c r="BY18" s="232" t="e">
        <v>#N/A</v>
      </c>
      <c r="BZ18" s="232">
        <v>179.77</v>
      </c>
      <c r="CA18" s="232">
        <v>268.37900000000002</v>
      </c>
      <c r="CB18" s="232">
        <v>525.548</v>
      </c>
      <c r="CC18" s="232">
        <v>564.44600000000003</v>
      </c>
      <c r="CD18" s="232" t="e">
        <v>#N/A</v>
      </c>
      <c r="CE18" s="232" t="e">
        <v>#N/A</v>
      </c>
      <c r="CF18" s="232" t="e">
        <v>#N/A</v>
      </c>
      <c r="CG18" s="232" t="e">
        <v>#N/A</v>
      </c>
      <c r="CH18" s="230"/>
      <c r="CI18" s="232" t="e">
        <v>#N/A</v>
      </c>
      <c r="CJ18" s="232" t="e">
        <v>#N/A</v>
      </c>
      <c r="CK18" s="232">
        <v>261.14699999999999</v>
      </c>
      <c r="CL18" s="232">
        <v>468.202</v>
      </c>
      <c r="CM18" s="232">
        <v>817.96600000000001</v>
      </c>
      <c r="CN18" s="232">
        <v>925.01299999999992</v>
      </c>
      <c r="CO18" s="232" t="e">
        <v>#N/A</v>
      </c>
      <c r="CP18" s="232" t="e">
        <v>#N/A</v>
      </c>
      <c r="CQ18" s="232" t="e">
        <v>#N/A</v>
      </c>
      <c r="CR18" s="232" t="e">
        <v>#N/A</v>
      </c>
      <c r="CS18" s="230"/>
      <c r="CT18" s="232" t="e">
        <v>#N/A</v>
      </c>
      <c r="CU18" s="232" t="e">
        <v>#N/A</v>
      </c>
      <c r="CV18" s="232">
        <v>1049.5350000000001</v>
      </c>
      <c r="CW18" s="232">
        <v>1544.511</v>
      </c>
      <c r="CX18" s="232">
        <v>2243.67</v>
      </c>
      <c r="CY18" s="232">
        <v>2491.2620000000002</v>
      </c>
      <c r="CZ18" s="232" t="e">
        <v>#N/A</v>
      </c>
      <c r="DA18" s="232" t="e">
        <v>#N/A</v>
      </c>
      <c r="DB18" s="232" t="e">
        <v>#N/A</v>
      </c>
      <c r="DC18" s="232" t="e">
        <v>#N/A</v>
      </c>
      <c r="DD18" s="230"/>
      <c r="DE18" s="232" t="e">
        <v>#N/A</v>
      </c>
      <c r="DF18" s="232">
        <v>0</v>
      </c>
      <c r="DG18" s="232">
        <v>0</v>
      </c>
      <c r="DH18" s="230"/>
      <c r="DI18" s="230"/>
      <c r="DJ18" s="172" t="s">
        <v>277</v>
      </c>
    </row>
    <row r="19" spans="1:114" x14ac:dyDescent="0.25">
      <c r="A19" s="225" t="s">
        <v>729</v>
      </c>
      <c r="B19" s="226" t="s">
        <v>744</v>
      </c>
      <c r="C19" s="227" t="s">
        <v>38</v>
      </c>
      <c r="D19" s="228" t="str">
        <f t="shared" si="0"/>
        <v>APOLLO IN Equity</v>
      </c>
      <c r="E19" s="229" t="s">
        <v>38</v>
      </c>
      <c r="F19" s="230"/>
      <c r="G19" s="231">
        <v>983.42850438325775</v>
      </c>
      <c r="H19" s="232">
        <v>88273.227423999997</v>
      </c>
      <c r="I19" s="230"/>
      <c r="J19" s="231">
        <v>1015.4073877052577</v>
      </c>
      <c r="K19" s="232">
        <v>91008.569424000001</v>
      </c>
      <c r="L19" s="230"/>
      <c r="M19" s="233">
        <v>141.39784946236557</v>
      </c>
      <c r="N19" s="233">
        <v>84.838709677419359</v>
      </c>
      <c r="O19" s="233">
        <v>70.434781153427338</v>
      </c>
      <c r="P19" s="233" t="e">
        <v>#N/A</v>
      </c>
      <c r="Q19" s="230"/>
      <c r="R19" s="234">
        <v>13.281640491175203</v>
      </c>
      <c r="S19" s="234">
        <v>13.392173259599478</v>
      </c>
      <c r="T19" s="230"/>
      <c r="U19" s="234">
        <v>0.10022236073797995</v>
      </c>
      <c r="V19" s="234">
        <v>0.121</v>
      </c>
      <c r="W19" s="234">
        <v>0.100836911877955</v>
      </c>
      <c r="X19" s="234">
        <v>0.12635030966125801</v>
      </c>
      <c r="Y19" s="234">
        <v>8.766508200886175E-2</v>
      </c>
      <c r="Z19" s="234">
        <v>0.12840199297039093</v>
      </c>
      <c r="AA19" s="234">
        <v>8.4466406078016684E-2</v>
      </c>
      <c r="AB19" s="234">
        <v>9.5394713831295608E-2</v>
      </c>
      <c r="AC19" s="230"/>
      <c r="AD19" s="232">
        <v>-624.78499999999997</v>
      </c>
      <c r="AE19" s="232">
        <v>-624.78499999999997</v>
      </c>
      <c r="AF19" s="232">
        <v>0</v>
      </c>
      <c r="AG19" s="232">
        <v>0</v>
      </c>
      <c r="AH19" s="235">
        <v>-624.78499999999997</v>
      </c>
      <c r="AI19" s="230"/>
      <c r="AJ19" s="232">
        <v>2628.913</v>
      </c>
      <c r="AK19" s="232">
        <v>724.56100000000004</v>
      </c>
      <c r="AL19" s="235">
        <v>3353.4740000000002</v>
      </c>
      <c r="AM19" s="230"/>
      <c r="AN19" s="231">
        <v>31.901103099000007</v>
      </c>
      <c r="AO19" s="232">
        <v>2728.6890000000003</v>
      </c>
      <c r="AP19" s="236">
        <v>2.1118298394006025</v>
      </c>
      <c r="AQ19" s="230"/>
      <c r="AR19" s="237">
        <v>335.63964799999997</v>
      </c>
      <c r="AS19" s="237">
        <v>303.660303</v>
      </c>
      <c r="AT19" s="237">
        <v>303.660303</v>
      </c>
      <c r="AU19" s="230"/>
      <c r="AV19" s="234">
        <v>5.241E-3</v>
      </c>
      <c r="AW19" s="234">
        <v>3.1133874922873218E-2</v>
      </c>
      <c r="AX19" s="234">
        <v>7.8299999999999995E-4</v>
      </c>
      <c r="AY19" s="234">
        <v>0.44665596538821295</v>
      </c>
      <c r="AZ19" s="230"/>
      <c r="BA19" s="232">
        <v>6.6529999999999996</v>
      </c>
      <c r="BB19" s="230"/>
      <c r="BC19" s="232" t="e">
        <v>#N/A</v>
      </c>
      <c r="BD19" s="232">
        <v>15.324999999999999</v>
      </c>
      <c r="BE19" s="230"/>
      <c r="BF19" s="238">
        <v>2.7778177999999976</v>
      </c>
      <c r="BG19" s="238">
        <v>3.1008751000000014</v>
      </c>
      <c r="BH19" s="238">
        <v>3.115296766666666</v>
      </c>
      <c r="BI19" s="230"/>
      <c r="BJ19" s="239">
        <v>2.9300129178518799</v>
      </c>
      <c r="BK19" s="240">
        <v>263</v>
      </c>
      <c r="BL19" s="230"/>
      <c r="BM19" s="241">
        <v>0.67500000000000004</v>
      </c>
      <c r="BN19" s="241">
        <v>0.49379999999999996</v>
      </c>
      <c r="BO19" s="241">
        <v>0.70399999999999996</v>
      </c>
      <c r="BP19" s="241">
        <v>1.0109999999999999</v>
      </c>
      <c r="BQ19" s="241">
        <v>1.1599999999999999</v>
      </c>
      <c r="BR19" s="241">
        <v>1.86</v>
      </c>
      <c r="BS19" s="241">
        <v>3.1</v>
      </c>
      <c r="BT19" s="241">
        <v>4.5999999999999996</v>
      </c>
      <c r="BU19" s="241">
        <v>7.5</v>
      </c>
      <c r="BV19" s="241" t="e">
        <v>#N/A</v>
      </c>
      <c r="BW19" s="230"/>
      <c r="BX19" s="232">
        <v>140.11277699999999</v>
      </c>
      <c r="BY19" s="232">
        <v>102.5382</v>
      </c>
      <c r="BZ19" s="232">
        <v>145.441</v>
      </c>
      <c r="CA19" s="232">
        <v>187.50200000000001</v>
      </c>
      <c r="CB19" s="232">
        <v>311.19400000000002</v>
      </c>
      <c r="CC19" s="232">
        <v>563.96299999999997</v>
      </c>
      <c r="CD19" s="232" t="e">
        <v>#N/A</v>
      </c>
      <c r="CE19" s="232" t="e">
        <v>#N/A</v>
      </c>
      <c r="CF19" s="232" t="e">
        <v>#N/A</v>
      </c>
      <c r="CG19" s="232" t="e">
        <v>#N/A</v>
      </c>
      <c r="CH19" s="230"/>
      <c r="CI19" s="232">
        <v>486.65046500000005</v>
      </c>
      <c r="CJ19" s="232">
        <v>385.25102700000002</v>
      </c>
      <c r="CK19" s="232">
        <v>456.464</v>
      </c>
      <c r="CL19" s="232">
        <v>640.91099999999994</v>
      </c>
      <c r="CM19" s="232">
        <v>838.65600000000006</v>
      </c>
      <c r="CN19" s="232">
        <v>1292.097</v>
      </c>
      <c r="CO19" s="232">
        <v>2022</v>
      </c>
      <c r="CP19" s="232">
        <v>3097</v>
      </c>
      <c r="CQ19" s="232">
        <v>4740</v>
      </c>
      <c r="CR19" s="232" t="e">
        <v>#N/A</v>
      </c>
      <c r="CS19" s="230"/>
      <c r="CT19" s="232">
        <v>2459.04126</v>
      </c>
      <c r="CU19" s="232">
        <v>2030.7208000000001</v>
      </c>
      <c r="CV19" s="232">
        <v>2431.9110000000001</v>
      </c>
      <c r="CW19" s="232">
        <v>2975.26</v>
      </c>
      <c r="CX19" s="232">
        <v>3716.3420000000001</v>
      </c>
      <c r="CY19" s="232">
        <v>5620.692</v>
      </c>
      <c r="CZ19" s="232">
        <v>8426</v>
      </c>
      <c r="DA19" s="232">
        <v>12639</v>
      </c>
      <c r="DB19" s="232">
        <v>18958</v>
      </c>
      <c r="DC19" s="232" t="e">
        <v>#N/A</v>
      </c>
      <c r="DD19" s="230"/>
      <c r="DE19" s="232" t="e">
        <v>#N/A</v>
      </c>
      <c r="DF19" s="232" t="e">
        <v>#N/A</v>
      </c>
      <c r="DG19" s="232" t="e">
        <v>#N/A</v>
      </c>
      <c r="DH19" s="230"/>
      <c r="DI19" s="230"/>
      <c r="DJ19" s="172" t="s">
        <v>277</v>
      </c>
    </row>
    <row r="20" spans="1:114" x14ac:dyDescent="0.25">
      <c r="A20" s="225" t="s">
        <v>729</v>
      </c>
      <c r="B20" s="226" t="s">
        <v>745</v>
      </c>
      <c r="C20" s="227" t="s">
        <v>414</v>
      </c>
      <c r="D20" s="228" t="str">
        <f t="shared" si="0"/>
        <v>ADE IN Equity</v>
      </c>
      <c r="E20" s="229" t="s">
        <v>109</v>
      </c>
      <c r="F20" s="230"/>
      <c r="G20" s="231">
        <v>31344.866794862148</v>
      </c>
      <c r="H20" s="232">
        <v>2813537.072421019</v>
      </c>
      <c r="I20" s="230"/>
      <c r="J20" s="231">
        <v>41721.517810862155</v>
      </c>
      <c r="K20" s="232">
        <v>3701113.072421019</v>
      </c>
      <c r="L20" s="230"/>
      <c r="M20" s="233">
        <v>37.050678437691104</v>
      </c>
      <c r="N20" s="233">
        <v>66.283298742700055</v>
      </c>
      <c r="O20" s="233">
        <v>25.969023868326261</v>
      </c>
      <c r="P20" s="233">
        <v>20.975140701261903</v>
      </c>
      <c r="Q20" s="230"/>
      <c r="R20" s="234">
        <v>5.0987776356980357</v>
      </c>
      <c r="S20" s="234">
        <v>12.350005343579374</v>
      </c>
      <c r="T20" s="230"/>
      <c r="U20" s="234">
        <v>0.15387198531917307</v>
      </c>
      <c r="V20" s="234">
        <v>7.6000000000000012E-2</v>
      </c>
      <c r="W20" s="234">
        <v>0.35888454094349886</v>
      </c>
      <c r="X20" s="234">
        <v>0.14254630531346454</v>
      </c>
      <c r="Y20" s="234">
        <v>5.9745812932420143E-2</v>
      </c>
      <c r="Z20" s="234">
        <v>7.6913263093081816E-2</v>
      </c>
      <c r="AA20" s="234">
        <v>4.9443830385793502E-2</v>
      </c>
      <c r="AB20" s="234">
        <v>9.1355938699060737E-2</v>
      </c>
      <c r="AC20" s="230"/>
      <c r="AD20" s="232">
        <v>-69624.600000000006</v>
      </c>
      <c r="AE20" s="232">
        <v>-92180.5</v>
      </c>
      <c r="AF20" s="232">
        <v>-22555.9</v>
      </c>
      <c r="AG20" s="232">
        <v>-4565.5</v>
      </c>
      <c r="AH20" s="235">
        <v>-96746</v>
      </c>
      <c r="AI20" s="230"/>
      <c r="AJ20" s="232">
        <v>129876.5</v>
      </c>
      <c r="AK20" s="232">
        <v>788315.2</v>
      </c>
      <c r="AL20" s="235">
        <v>918191.7</v>
      </c>
      <c r="AM20" s="230"/>
      <c r="AN20" s="231">
        <v>9656.8969391999999</v>
      </c>
      <c r="AO20" s="232">
        <v>826011.2</v>
      </c>
      <c r="AP20" s="236">
        <v>5.7957441852143168</v>
      </c>
      <c r="AQ20" s="230"/>
      <c r="AR20" s="237">
        <v>1154.1807289999999</v>
      </c>
      <c r="AS20" s="237">
        <v>1146.5276260000001</v>
      </c>
      <c r="AT20" s="237">
        <v>1146.5276260000001</v>
      </c>
      <c r="AU20" s="230"/>
      <c r="AV20" s="234">
        <v>7.3969999999999999E-3</v>
      </c>
      <c r="AW20" s="234">
        <v>0.61959926160831547</v>
      </c>
      <c r="AX20" s="234">
        <v>1.1799999999999998E-3</v>
      </c>
      <c r="AY20" s="234">
        <v>0.25788579944311307</v>
      </c>
      <c r="AZ20" s="230"/>
      <c r="BA20" s="232">
        <v>61564.800000000003</v>
      </c>
      <c r="BB20" s="230"/>
      <c r="BC20" s="232" t="e">
        <v>#N/A</v>
      </c>
      <c r="BD20" s="232">
        <v>1482</v>
      </c>
      <c r="BE20" s="230"/>
      <c r="BF20" s="238">
        <v>0.64541900000000019</v>
      </c>
      <c r="BG20" s="238">
        <v>0.8058821000000006</v>
      </c>
      <c r="BH20" s="238">
        <v>1.6569000999999999</v>
      </c>
      <c r="BI20" s="230"/>
      <c r="BJ20" s="239">
        <v>24.762507868602039</v>
      </c>
      <c r="BK20" s="240">
        <v>2222.699951171875</v>
      </c>
      <c r="BL20" s="230"/>
      <c r="BM20" s="241">
        <v>8.5417349999999992</v>
      </c>
      <c r="BN20" s="241">
        <v>8.39</v>
      </c>
      <c r="BO20" s="241">
        <v>7.06</v>
      </c>
      <c r="BP20" s="241">
        <v>21.78</v>
      </c>
      <c r="BQ20" s="241">
        <v>27.23</v>
      </c>
      <c r="BR20" s="241">
        <v>95.691648000000001</v>
      </c>
      <c r="BS20" s="241">
        <v>33.533333333333331</v>
      </c>
      <c r="BT20" s="241">
        <v>42.696666666666665</v>
      </c>
      <c r="BU20" s="241">
        <v>47.946666666666665</v>
      </c>
      <c r="BV20" s="241">
        <v>44.094999999999999</v>
      </c>
      <c r="BW20" s="230"/>
      <c r="BX20" s="232">
        <v>10800.49</v>
      </c>
      <c r="BY20" s="232">
        <v>9193.85</v>
      </c>
      <c r="BZ20" s="232">
        <v>7744.04</v>
      </c>
      <c r="CA20" s="232">
        <v>27057.11</v>
      </c>
      <c r="CB20" s="232">
        <v>35765.32</v>
      </c>
      <c r="CC20" s="232">
        <v>68773.13</v>
      </c>
      <c r="CD20" s="232" t="e">
        <v>#N/A</v>
      </c>
      <c r="CE20" s="232" t="e">
        <v>#N/A</v>
      </c>
      <c r="CF20" s="232" t="e">
        <v>#N/A</v>
      </c>
      <c r="CG20" s="232" t="e">
        <v>#N/A</v>
      </c>
      <c r="CH20" s="230"/>
      <c r="CI20" s="232">
        <v>34205.5</v>
      </c>
      <c r="CJ20" s="232">
        <v>37638.5</v>
      </c>
      <c r="CK20" s="232">
        <v>35046.6</v>
      </c>
      <c r="CL20" s="232">
        <v>88176.9</v>
      </c>
      <c r="CM20" s="232">
        <v>113766</v>
      </c>
      <c r="CN20" s="232">
        <v>142520.29999999999</v>
      </c>
      <c r="CO20" s="232">
        <v>160748.5</v>
      </c>
      <c r="CP20" s="232">
        <v>223359.33333333299</v>
      </c>
      <c r="CQ20" s="232">
        <v>267045.66666666698</v>
      </c>
      <c r="CR20" s="232">
        <v>319966.5</v>
      </c>
      <c r="CS20" s="230"/>
      <c r="CT20" s="232">
        <v>432971.1</v>
      </c>
      <c r="CU20" s="232">
        <v>394429.5</v>
      </c>
      <c r="CV20" s="232">
        <v>693043.6</v>
      </c>
      <c r="CW20" s="232">
        <v>1273896.5</v>
      </c>
      <c r="CX20" s="232">
        <v>963161.5</v>
      </c>
      <c r="CY20" s="232">
        <v>977110.8</v>
      </c>
      <c r="CZ20" s="232">
        <v>979130.66666666663</v>
      </c>
      <c r="DA20" s="232">
        <v>1340984.6666666667</v>
      </c>
      <c r="DB20" s="232">
        <v>1561435</v>
      </c>
      <c r="DC20" s="232">
        <v>1676658.5</v>
      </c>
      <c r="DD20" s="230"/>
      <c r="DE20" s="232" t="e">
        <v>#N/A</v>
      </c>
      <c r="DF20" s="232">
        <v>32208.5</v>
      </c>
      <c r="DG20" s="232">
        <v>12413.7</v>
      </c>
      <c r="DH20" s="230"/>
      <c r="DI20" s="230"/>
      <c r="DJ20" s="172" t="s">
        <v>277</v>
      </c>
    </row>
    <row r="21" spans="1:114" x14ac:dyDescent="0.25">
      <c r="A21" s="225" t="s">
        <v>729</v>
      </c>
      <c r="B21" s="226" t="s">
        <v>746</v>
      </c>
      <c r="C21" s="227" t="s">
        <v>110</v>
      </c>
      <c r="D21" s="228" t="str">
        <f t="shared" si="0"/>
        <v>NIBE IN Equity</v>
      </c>
      <c r="E21" s="229" t="s">
        <v>110</v>
      </c>
      <c r="F21" s="230"/>
      <c r="G21" s="231">
        <v>183.75245428899439</v>
      </c>
      <c r="H21" s="232">
        <v>16493.748264234986</v>
      </c>
      <c r="I21" s="230"/>
      <c r="J21" s="231">
        <v>192.11033849799438</v>
      </c>
      <c r="K21" s="232">
        <v>17208.647264234984</v>
      </c>
      <c r="L21" s="230"/>
      <c r="M21" s="233">
        <v>63.055618692030166</v>
      </c>
      <c r="N21" s="233" t="e">
        <v>#N/A</v>
      </c>
      <c r="O21" s="233">
        <v>28.811064693935784</v>
      </c>
      <c r="P21" s="233" t="e">
        <v>#N/A</v>
      </c>
      <c r="Q21" s="230"/>
      <c r="R21" s="234">
        <v>7.0094751001950586</v>
      </c>
      <c r="S21" s="234">
        <v>7.3026025134793269</v>
      </c>
      <c r="T21" s="230"/>
      <c r="U21" s="234">
        <v>0.13130587334065008</v>
      </c>
      <c r="V21" s="234" t="e">
        <v>#N/A</v>
      </c>
      <c r="W21" s="234">
        <v>0.14262148958858858</v>
      </c>
      <c r="X21" s="234">
        <v>0.14835488828544391</v>
      </c>
      <c r="Y21" s="234">
        <v>9.7938177319700698E-2</v>
      </c>
      <c r="Z21" s="234">
        <v>0.14134644599933216</v>
      </c>
      <c r="AA21" s="234">
        <v>9.6807056506371711E-2</v>
      </c>
      <c r="AB21" s="234">
        <v>0.11223801907520199</v>
      </c>
      <c r="AC21" s="230"/>
      <c r="AD21" s="232">
        <v>-93.143000000000001</v>
      </c>
      <c r="AE21" s="232">
        <v>-189.636</v>
      </c>
      <c r="AF21" s="232">
        <v>-96.492999999999995</v>
      </c>
      <c r="AG21" s="232">
        <v>-1.0369999999999999</v>
      </c>
      <c r="AH21" s="235">
        <v>-190.673</v>
      </c>
      <c r="AI21" s="230"/>
      <c r="AJ21" s="232">
        <v>184.202</v>
      </c>
      <c r="AK21" s="232">
        <v>588.58500000000004</v>
      </c>
      <c r="AL21" s="235">
        <v>772.78700000000003</v>
      </c>
      <c r="AM21" s="230"/>
      <c r="AN21" s="231">
        <v>6.8176183410000011</v>
      </c>
      <c r="AO21" s="232">
        <v>583.15100000000007</v>
      </c>
      <c r="AP21" s="236">
        <v>0.97632317807173385</v>
      </c>
      <c r="AQ21" s="230"/>
      <c r="AR21" s="237">
        <v>14.501272999999999</v>
      </c>
      <c r="AS21" s="237">
        <v>14.2966</v>
      </c>
      <c r="AT21" s="237">
        <v>14.2966</v>
      </c>
      <c r="AU21" s="230"/>
      <c r="AV21" s="234">
        <v>5.4930000000000005E-3</v>
      </c>
      <c r="AW21" s="234">
        <v>5.3985805890412547E-2</v>
      </c>
      <c r="AX21" s="234">
        <v>4.7699999999999999E-4</v>
      </c>
      <c r="AY21" s="234">
        <v>0.40526124844349876</v>
      </c>
      <c r="AZ21" s="230"/>
      <c r="BA21" s="232">
        <v>131.74799999999999</v>
      </c>
      <c r="BB21" s="230"/>
      <c r="BC21" s="232" t="e">
        <v>#N/A</v>
      </c>
      <c r="BD21" s="232">
        <v>13.132</v>
      </c>
      <c r="BE21" s="230"/>
      <c r="BF21" s="238">
        <v>3.0421799999999985E-2</v>
      </c>
      <c r="BG21" s="238">
        <v>5.1385099999999954E-2</v>
      </c>
      <c r="BH21" s="238">
        <v>5.2907500000000059E-2</v>
      </c>
      <c r="BI21" s="230"/>
      <c r="BJ21" s="239">
        <v>12.671470586685349</v>
      </c>
      <c r="BK21" s="240">
        <v>1137.4000244140625</v>
      </c>
      <c r="BL21" s="230"/>
      <c r="BM21" s="241">
        <v>-0.45950000000000002</v>
      </c>
      <c r="BN21" s="241">
        <v>0.12</v>
      </c>
      <c r="BO21" s="241">
        <v>0.2</v>
      </c>
      <c r="BP21" s="241">
        <v>1.32</v>
      </c>
      <c r="BQ21" s="241">
        <v>15.351727</v>
      </c>
      <c r="BR21" s="241">
        <v>19.46</v>
      </c>
      <c r="BS21" s="241" t="e">
        <v>#N/A</v>
      </c>
      <c r="BT21" s="241" t="e">
        <v>#N/A</v>
      </c>
      <c r="BU21" s="241" t="e">
        <v>#N/A</v>
      </c>
      <c r="BV21" s="241" t="e">
        <v>#N/A</v>
      </c>
      <c r="BW21" s="230"/>
      <c r="BX21" s="232">
        <v>-4.7877700000000001</v>
      </c>
      <c r="BY21" s="232">
        <v>1.25</v>
      </c>
      <c r="BZ21" s="232">
        <v>2.1249900000000004</v>
      </c>
      <c r="CA21" s="232">
        <v>45.719000000000001</v>
      </c>
      <c r="CB21" s="232">
        <v>190.071</v>
      </c>
      <c r="CC21" s="232">
        <v>257.8827</v>
      </c>
      <c r="CD21" s="232" t="e">
        <v>#N/A</v>
      </c>
      <c r="CE21" s="232" t="e">
        <v>#N/A</v>
      </c>
      <c r="CF21" s="232" t="e">
        <v>#N/A</v>
      </c>
      <c r="CG21" s="232" t="e">
        <v>#N/A</v>
      </c>
      <c r="CH21" s="230"/>
      <c r="CI21" s="232">
        <v>-7.233562</v>
      </c>
      <c r="CJ21" s="232">
        <v>1.345</v>
      </c>
      <c r="CK21" s="232">
        <v>-4.9379500000000007</v>
      </c>
      <c r="CL21" s="232">
        <v>118.82299999999999</v>
      </c>
      <c r="CM21" s="232">
        <v>356.14699999999999</v>
      </c>
      <c r="CN21" s="232">
        <v>597.29300000000001</v>
      </c>
      <c r="CO21" s="232" t="e">
        <v>#N/A</v>
      </c>
      <c r="CP21" s="232" t="e">
        <v>#N/A</v>
      </c>
      <c r="CQ21" s="232" t="e">
        <v>#N/A</v>
      </c>
      <c r="CR21" s="232" t="e">
        <v>#N/A</v>
      </c>
      <c r="CS21" s="230"/>
      <c r="CT21" s="232">
        <v>14.425157</v>
      </c>
      <c r="CU21" s="232">
        <v>25.132000000000001</v>
      </c>
      <c r="CV21" s="232">
        <v>212.43677</v>
      </c>
      <c r="CW21" s="232">
        <v>1049.528</v>
      </c>
      <c r="CX21" s="232">
        <v>2818.3789999999999</v>
      </c>
      <c r="CY21" s="232">
        <v>5073.1509999999998</v>
      </c>
      <c r="CZ21" s="232" t="e">
        <v>#N/A</v>
      </c>
      <c r="DA21" s="232" t="e">
        <v>#N/A</v>
      </c>
      <c r="DB21" s="232" t="e">
        <v>#N/A</v>
      </c>
      <c r="DC21" s="232" t="e">
        <v>#N/A</v>
      </c>
      <c r="DD21" s="230"/>
      <c r="DE21" s="232" t="e">
        <v>#N/A</v>
      </c>
      <c r="DF21" s="232" t="e">
        <v>#N/A</v>
      </c>
      <c r="DG21" s="232" t="e">
        <v>#N/A</v>
      </c>
      <c r="DH21" s="230"/>
      <c r="DI21" s="230"/>
      <c r="DJ21" s="172" t="s">
        <v>277</v>
      </c>
    </row>
    <row r="22" spans="1:114" x14ac:dyDescent="0.25">
      <c r="A22" s="225" t="s">
        <v>729</v>
      </c>
      <c r="B22" s="226" t="s">
        <v>116</v>
      </c>
      <c r="C22" s="227" t="s">
        <v>111</v>
      </c>
      <c r="D22" s="228" t="str">
        <f t="shared" si="0"/>
        <v>ROSSTECH IN Equity</v>
      </c>
      <c r="E22" s="229" t="s">
        <v>111</v>
      </c>
      <c r="F22" s="230"/>
      <c r="G22" s="231">
        <v>266.42668357637672</v>
      </c>
      <c r="H22" s="232">
        <v>23914.644660324091</v>
      </c>
      <c r="I22" s="230"/>
      <c r="J22" s="231" t="e">
        <v>#N/A</v>
      </c>
      <c r="K22" s="232" t="e">
        <v>#N/A</v>
      </c>
      <c r="L22" s="230"/>
      <c r="M22" s="233">
        <v>323.67348184390943</v>
      </c>
      <c r="N22" s="233" t="e">
        <v>#N/A</v>
      </c>
      <c r="O22" s="233" t="e">
        <v>#N/A</v>
      </c>
      <c r="P22" s="233" t="e">
        <v>#N/A</v>
      </c>
      <c r="Q22" s="230"/>
      <c r="R22" s="234" t="e">
        <v>#N/A</v>
      </c>
      <c r="S22" s="234" t="e">
        <v>#N/A</v>
      </c>
      <c r="T22" s="230"/>
      <c r="U22" s="234" t="e">
        <v>#N/A</v>
      </c>
      <c r="V22" s="234" t="e">
        <v>#N/A</v>
      </c>
      <c r="W22" s="234" t="e">
        <v>#N/A</v>
      </c>
      <c r="X22" s="234" t="e">
        <v>#N/A</v>
      </c>
      <c r="Y22" s="234" t="e">
        <v>#N/A</v>
      </c>
      <c r="Z22" s="234" t="e">
        <v>#N/A</v>
      </c>
      <c r="AA22" s="234" t="e">
        <v>#N/A</v>
      </c>
      <c r="AB22" s="234" t="e">
        <v>#N/A</v>
      </c>
      <c r="AC22" s="230"/>
      <c r="AD22" s="232" t="e">
        <v>#N/A</v>
      </c>
      <c r="AE22" s="232" t="e">
        <v>#N/A</v>
      </c>
      <c r="AF22" s="232" t="e">
        <v>#N/A</v>
      </c>
      <c r="AG22" s="232" t="e">
        <v>#N/A</v>
      </c>
      <c r="AH22" s="235" t="e">
        <v>#N/A</v>
      </c>
      <c r="AI22" s="230"/>
      <c r="AJ22" s="232" t="e">
        <v>#N/A</v>
      </c>
      <c r="AK22" s="232" t="e">
        <v>#N/A</v>
      </c>
      <c r="AL22" s="235" t="e">
        <v>#N/A</v>
      </c>
      <c r="AM22" s="230"/>
      <c r="AN22" s="231" t="e">
        <v>#N/A</v>
      </c>
      <c r="AO22" s="232" t="e">
        <v>#N/A</v>
      </c>
      <c r="AP22" s="236" t="e">
        <v>#N/A</v>
      </c>
      <c r="AQ22" s="230"/>
      <c r="AR22" s="237">
        <v>37.696475</v>
      </c>
      <c r="AS22" s="237">
        <v>37.746938775509996</v>
      </c>
      <c r="AT22" s="237">
        <v>37.746938775509996</v>
      </c>
      <c r="AU22" s="230"/>
      <c r="AV22" s="234">
        <v>7.4799999999999997E-3</v>
      </c>
      <c r="AW22" s="234">
        <v>0.16711874556385134</v>
      </c>
      <c r="AX22" s="234">
        <v>1.4999999999999999E-4</v>
      </c>
      <c r="AY22" s="234">
        <v>0.23310357268153059</v>
      </c>
      <c r="AZ22" s="230"/>
      <c r="BA22" s="232" t="e">
        <v>#N/A</v>
      </c>
      <c r="BB22" s="230"/>
      <c r="BC22" s="232" t="e">
        <v>#N/A</v>
      </c>
      <c r="BD22" s="232" t="e">
        <v>#N/A</v>
      </c>
      <c r="BE22" s="230"/>
      <c r="BF22" s="238">
        <v>6.733119999999998E-2</v>
      </c>
      <c r="BG22" s="238">
        <v>6.7843899999999999E-2</v>
      </c>
      <c r="BH22" s="238">
        <v>0.35284143333333345</v>
      </c>
      <c r="BI22" s="230"/>
      <c r="BJ22" s="239">
        <v>7.0676816221245282</v>
      </c>
      <c r="BK22" s="240">
        <v>634.4000244140625</v>
      </c>
      <c r="BL22" s="230"/>
      <c r="BM22" s="241" t="e">
        <v>#N/A</v>
      </c>
      <c r="BN22" s="241" t="e">
        <v>#N/A</v>
      </c>
      <c r="BO22" s="241" t="e">
        <v>#N/A</v>
      </c>
      <c r="BP22" s="241" t="e">
        <v>#N/A</v>
      </c>
      <c r="BQ22" s="241" t="e">
        <v>#N/A</v>
      </c>
      <c r="BR22" s="241" t="e">
        <v>#N/A</v>
      </c>
      <c r="BS22" s="241" t="e">
        <v>#N/A</v>
      </c>
      <c r="BT22" s="241" t="e">
        <v>#N/A</v>
      </c>
      <c r="BU22" s="241" t="e">
        <v>#N/A</v>
      </c>
      <c r="BV22" s="241" t="e">
        <v>#N/A</v>
      </c>
      <c r="BW22" s="230"/>
      <c r="BX22" s="232" t="e">
        <v>#N/A</v>
      </c>
      <c r="BY22" s="232" t="e">
        <v>#N/A</v>
      </c>
      <c r="BZ22" s="232" t="e">
        <v>#N/A</v>
      </c>
      <c r="CA22" s="232">
        <v>-1.78</v>
      </c>
      <c r="CB22" s="232">
        <v>-6.9390000000000001</v>
      </c>
      <c r="CC22" s="232">
        <v>73.983999999999995</v>
      </c>
      <c r="CD22" s="232" t="e">
        <v>#N/A</v>
      </c>
      <c r="CE22" s="232" t="e">
        <v>#N/A</v>
      </c>
      <c r="CF22" s="232" t="e">
        <v>#N/A</v>
      </c>
      <c r="CG22" s="232" t="e">
        <v>#N/A</v>
      </c>
      <c r="CH22" s="230"/>
      <c r="CI22" s="232" t="e">
        <v>#N/A</v>
      </c>
      <c r="CJ22" s="232" t="e">
        <v>#N/A</v>
      </c>
      <c r="CK22" s="232" t="e">
        <v>#N/A</v>
      </c>
      <c r="CL22" s="232" t="e">
        <v>#N/A</v>
      </c>
      <c r="CM22" s="232" t="e">
        <v>#N/A</v>
      </c>
      <c r="CN22" s="232" t="e">
        <v>#N/A</v>
      </c>
      <c r="CO22" s="232" t="e">
        <v>#N/A</v>
      </c>
      <c r="CP22" s="232" t="e">
        <v>#N/A</v>
      </c>
      <c r="CQ22" s="232" t="e">
        <v>#N/A</v>
      </c>
      <c r="CR22" s="232" t="e">
        <v>#N/A</v>
      </c>
      <c r="CS22" s="230"/>
      <c r="CT22" s="232" t="e">
        <v>#N/A</v>
      </c>
      <c r="CU22" s="232" t="e">
        <v>#N/A</v>
      </c>
      <c r="CV22" s="232" t="e">
        <v>#N/A</v>
      </c>
      <c r="CW22" s="232">
        <v>0</v>
      </c>
      <c r="CX22" s="232">
        <v>0</v>
      </c>
      <c r="CY22" s="232">
        <v>7593.8190000000004</v>
      </c>
      <c r="CZ22" s="232" t="e">
        <v>#N/A</v>
      </c>
      <c r="DA22" s="232" t="e">
        <v>#N/A</v>
      </c>
      <c r="DB22" s="232" t="e">
        <v>#N/A</v>
      </c>
      <c r="DC22" s="232" t="e">
        <v>#N/A</v>
      </c>
      <c r="DD22" s="230"/>
      <c r="DE22" s="232" t="e">
        <v>#N/A</v>
      </c>
      <c r="DF22" s="232" t="e">
        <v>#N/A</v>
      </c>
      <c r="DG22" s="232" t="e">
        <v>#N/A</v>
      </c>
      <c r="DH22" s="230"/>
      <c r="DI22" s="230"/>
      <c r="DJ22" s="172" t="s">
        <v>277</v>
      </c>
    </row>
    <row r="23" spans="1:114" x14ac:dyDescent="0.25">
      <c r="A23" s="225" t="s">
        <v>729</v>
      </c>
      <c r="B23" s="242" t="s">
        <v>747</v>
      </c>
      <c r="C23" s="227" t="s">
        <v>415</v>
      </c>
      <c r="D23" s="228" t="str">
        <f t="shared" si="0"/>
        <v>ZEN IN Equity</v>
      </c>
      <c r="E23" s="229" t="s">
        <v>112</v>
      </c>
      <c r="F23" s="230"/>
      <c r="G23" s="231">
        <v>1399.8115236287513</v>
      </c>
      <c r="H23" s="232">
        <v>125648.05720524561</v>
      </c>
      <c r="I23" s="230"/>
      <c r="J23" s="231">
        <v>1298.4734212247513</v>
      </c>
      <c r="K23" s="232">
        <v>116980.0132052456</v>
      </c>
      <c r="L23" s="230"/>
      <c r="M23" s="233">
        <v>43.397246525926164</v>
      </c>
      <c r="N23" s="233">
        <v>46.506808441338045</v>
      </c>
      <c r="O23" s="233">
        <v>31.31795435933282</v>
      </c>
      <c r="P23" s="233">
        <v>37.251827148094925</v>
      </c>
      <c r="Q23" s="230"/>
      <c r="R23" s="234">
        <v>7.3880552500570875</v>
      </c>
      <c r="S23" s="234">
        <v>7.7571619007535677</v>
      </c>
      <c r="T23" s="230"/>
      <c r="U23" s="234">
        <v>0.26077327095081243</v>
      </c>
      <c r="V23" s="234">
        <v>0.14047499999999999</v>
      </c>
      <c r="W23" s="234">
        <v>0.27198029161656606</v>
      </c>
      <c r="X23" s="234">
        <v>0.3148580637296326</v>
      </c>
      <c r="Y23" s="234">
        <v>0.23439093402977407</v>
      </c>
      <c r="Z23" s="234">
        <v>0.31161738477881629</v>
      </c>
      <c r="AA23" s="234">
        <v>0.14789000472576871</v>
      </c>
      <c r="AB23" s="234">
        <v>0.26879284588704466</v>
      </c>
      <c r="AC23" s="230"/>
      <c r="AD23" s="232">
        <v>-9657.7810000000009</v>
      </c>
      <c r="AE23" s="232">
        <v>-9657.7810000000009</v>
      </c>
      <c r="AF23" s="232">
        <v>0</v>
      </c>
      <c r="AG23" s="232">
        <v>-40.271999999999998</v>
      </c>
      <c r="AH23" s="235">
        <v>-9698.0529999999999</v>
      </c>
      <c r="AI23" s="230"/>
      <c r="AJ23" s="232">
        <v>63.777000000000001</v>
      </c>
      <c r="AK23" s="232">
        <v>573.77800000000002</v>
      </c>
      <c r="AL23" s="235">
        <v>637.55499999999995</v>
      </c>
      <c r="AM23" s="230"/>
      <c r="AN23" s="231">
        <v>-105.45546216599999</v>
      </c>
      <c r="AO23" s="232">
        <v>-9020.2260000000006</v>
      </c>
      <c r="AP23" s="236">
        <v>-2.4148999340871988</v>
      </c>
      <c r="AQ23" s="230"/>
      <c r="AR23" s="237">
        <v>90.290356000000003</v>
      </c>
      <c r="AS23" s="237">
        <v>87.394062000000005</v>
      </c>
      <c r="AT23" s="237">
        <v>87.394062000000005</v>
      </c>
      <c r="AU23" s="230"/>
      <c r="AV23" s="234">
        <v>4.8509999999999994E-3</v>
      </c>
      <c r="AW23" s="234">
        <v>0.18439250526894443</v>
      </c>
      <c r="AX23" s="234">
        <v>5.9400000000000002E-4</v>
      </c>
      <c r="AY23" s="234">
        <v>0.50368393718593818</v>
      </c>
      <c r="AZ23" s="230"/>
      <c r="BA23" s="232">
        <v>352.18200000000002</v>
      </c>
      <c r="BB23" s="230"/>
      <c r="BC23" s="232" t="e">
        <v>#N/A</v>
      </c>
      <c r="BD23" s="232">
        <v>89.826999999999998</v>
      </c>
      <c r="BE23" s="230"/>
      <c r="BF23" s="238">
        <v>0.3143876000000001</v>
      </c>
      <c r="BG23" s="238">
        <v>0.27308719999999997</v>
      </c>
      <c r="BH23" s="238">
        <v>0.4551684333333334</v>
      </c>
      <c r="BI23" s="230"/>
      <c r="BJ23" s="239">
        <v>15.503444505510103</v>
      </c>
      <c r="BK23" s="240">
        <v>1391.5999755859375</v>
      </c>
      <c r="BL23" s="230"/>
      <c r="BM23" s="241">
        <v>7.6164719999999999</v>
      </c>
      <c r="BN23" s="241">
        <v>0.391322</v>
      </c>
      <c r="BO23" s="241">
        <v>0.25</v>
      </c>
      <c r="BP23" s="241">
        <v>5.2</v>
      </c>
      <c r="BQ23" s="241">
        <v>15.45</v>
      </c>
      <c r="BR23" s="241">
        <v>32.07</v>
      </c>
      <c r="BS23" s="241">
        <v>29.922499999999996</v>
      </c>
      <c r="BT23" s="241">
        <v>46.265000000000001</v>
      </c>
      <c r="BU23" s="241">
        <v>60.002499999999998</v>
      </c>
      <c r="BV23" s="241" t="e">
        <v>#N/A</v>
      </c>
      <c r="BW23" s="230"/>
      <c r="BX23" s="232">
        <v>588.47550000000001</v>
      </c>
      <c r="BY23" s="232">
        <v>31.113</v>
      </c>
      <c r="BZ23" s="232">
        <v>19.850999999999996</v>
      </c>
      <c r="CA23" s="232">
        <v>427.31508160000004</v>
      </c>
      <c r="CB23" s="232">
        <v>1278.846</v>
      </c>
      <c r="CC23" s="232">
        <v>2802.4260335999998</v>
      </c>
      <c r="CD23" s="232">
        <v>2324.5889412672573</v>
      </c>
      <c r="CE23" s="232">
        <v>3709.0826984544924</v>
      </c>
      <c r="CF23" s="232">
        <v>4816.50766623035</v>
      </c>
      <c r="CG23" s="232" t="e">
        <v>#N/A</v>
      </c>
      <c r="CH23" s="230"/>
      <c r="CI23" s="232">
        <v>626.13</v>
      </c>
      <c r="CJ23" s="232">
        <v>73.831999999999994</v>
      </c>
      <c r="CK23" s="232">
        <v>45.685000000000002</v>
      </c>
      <c r="CL23" s="232">
        <v>726.11200000000008</v>
      </c>
      <c r="CM23" s="232">
        <v>1808.05</v>
      </c>
      <c r="CN23" s="232">
        <v>3735.2379999999998</v>
      </c>
      <c r="CO23" s="232">
        <v>3180.1666666666697</v>
      </c>
      <c r="CP23" s="232">
        <v>4905.2</v>
      </c>
      <c r="CQ23" s="232">
        <v>6719.8</v>
      </c>
      <c r="CR23" s="232" t="e">
        <v>#N/A</v>
      </c>
      <c r="CS23" s="230"/>
      <c r="CT23" s="232">
        <v>1492.8579999999999</v>
      </c>
      <c r="CU23" s="232">
        <v>546.39599999999996</v>
      </c>
      <c r="CV23" s="232">
        <v>697.524</v>
      </c>
      <c r="CW23" s="232">
        <v>2188.462</v>
      </c>
      <c r="CX23" s="232">
        <v>4398.5200000000004</v>
      </c>
      <c r="CY23" s="232">
        <v>9736.4159999999993</v>
      </c>
      <c r="CZ23" s="232">
        <v>8883</v>
      </c>
      <c r="DA23" s="232">
        <v>14309.25</v>
      </c>
      <c r="DB23" s="232">
        <v>19186</v>
      </c>
      <c r="DC23" s="232" t="e">
        <v>#N/A</v>
      </c>
      <c r="DD23" s="230"/>
      <c r="DE23" s="232" t="e">
        <v>#N/A</v>
      </c>
      <c r="DF23" s="232">
        <v>0</v>
      </c>
      <c r="DG23" s="232">
        <v>0</v>
      </c>
      <c r="DH23" s="230"/>
      <c r="DI23" s="230"/>
      <c r="DJ23" s="172" t="s">
        <v>277</v>
      </c>
    </row>
    <row r="24" spans="1:114" x14ac:dyDescent="0.25">
      <c r="A24" s="225" t="s">
        <v>729</v>
      </c>
      <c r="B24" s="242" t="s">
        <v>748</v>
      </c>
      <c r="C24" s="227" t="s">
        <v>113</v>
      </c>
      <c r="D24" s="228" t="str">
        <f t="shared" si="0"/>
        <v>UNIMECH IN Equity</v>
      </c>
      <c r="E24" s="229" t="s">
        <v>113</v>
      </c>
      <c r="F24" s="230"/>
      <c r="G24" s="231">
        <v>528.31030807688762</v>
      </c>
      <c r="H24" s="232">
        <v>47421.50117416156</v>
      </c>
      <c r="I24" s="230"/>
      <c r="J24" s="231">
        <v>483.63551018188764</v>
      </c>
      <c r="K24" s="232">
        <v>43452.172174161562</v>
      </c>
      <c r="L24" s="230"/>
      <c r="M24" s="233">
        <v>59.603628505921961</v>
      </c>
      <c r="N24" s="233">
        <v>53.435530785503225</v>
      </c>
      <c r="O24" s="233">
        <v>53.28606154650808</v>
      </c>
      <c r="P24" s="233" t="e">
        <v>#N/A</v>
      </c>
      <c r="Q24" s="230"/>
      <c r="R24" s="234">
        <v>6.7142973541352147</v>
      </c>
      <c r="S24" s="234">
        <v>6.731053622518254</v>
      </c>
      <c r="T24" s="230"/>
      <c r="U24" s="234">
        <v>0.19529611031350633</v>
      </c>
      <c r="V24" s="234">
        <v>9.3000000000000013E-2</v>
      </c>
      <c r="W24" s="234">
        <v>0.1958732953659407</v>
      </c>
      <c r="X24" s="234">
        <v>0.21960921550350926</v>
      </c>
      <c r="Y24" s="234">
        <v>0.10634575523039452</v>
      </c>
      <c r="Z24" s="234">
        <v>0.12978125460519352</v>
      </c>
      <c r="AA24" s="234">
        <v>6.6045430167875632E-2</v>
      </c>
      <c r="AB24" s="234">
        <v>0.17420632483015155</v>
      </c>
      <c r="AC24" s="230"/>
      <c r="AD24" s="232">
        <v>-728.86800000000005</v>
      </c>
      <c r="AE24" s="232">
        <v>-5104.5240000000003</v>
      </c>
      <c r="AF24" s="232">
        <v>-4375.6559999999999</v>
      </c>
      <c r="AG24" s="232">
        <v>-47.88</v>
      </c>
      <c r="AH24" s="235">
        <v>-5152.4040000000005</v>
      </c>
      <c r="AI24" s="230"/>
      <c r="AJ24" s="232">
        <v>669.71699999999998</v>
      </c>
      <c r="AK24" s="232">
        <v>465.47800000000001</v>
      </c>
      <c r="AL24" s="235">
        <v>1135.1949999999999</v>
      </c>
      <c r="AM24" s="230"/>
      <c r="AN24" s="231">
        <v>-44.674797895000005</v>
      </c>
      <c r="AO24" s="232">
        <v>-3969.3290000000006</v>
      </c>
      <c r="AP24" s="236">
        <v>-4.867648699921884</v>
      </c>
      <c r="AQ24" s="230"/>
      <c r="AR24" s="237">
        <v>50.856883000000003</v>
      </c>
      <c r="AS24" s="237">
        <v>50.856841500000002</v>
      </c>
      <c r="AT24" s="237">
        <v>50.856841500000002</v>
      </c>
      <c r="AU24" s="230"/>
      <c r="AV24" s="234">
        <v>7.9819999999999995E-3</v>
      </c>
      <c r="AW24" s="234">
        <v>0.21991723269410876</v>
      </c>
      <c r="AX24" s="234">
        <v>2.0999999999999999E-5</v>
      </c>
      <c r="AY24" s="234">
        <v>0.172998412034021</v>
      </c>
      <c r="AZ24" s="230"/>
      <c r="BA24" s="232">
        <v>0</v>
      </c>
      <c r="BB24" s="230"/>
      <c r="BC24" s="232" t="e">
        <v>#N/A</v>
      </c>
      <c r="BD24" s="232" t="e">
        <v>#N/A</v>
      </c>
      <c r="BE24" s="230"/>
      <c r="BF24" s="238">
        <v>9.1289800000000115E-2</v>
      </c>
      <c r="BG24" s="238">
        <v>7.1870100000000062E-2</v>
      </c>
      <c r="BH24" s="238">
        <v>7.9318833333333269E-2</v>
      </c>
      <c r="BI24" s="230"/>
      <c r="BJ24" s="239">
        <v>10.38817711413591</v>
      </c>
      <c r="BK24" s="240">
        <v>932.45001220703125</v>
      </c>
      <c r="BL24" s="230"/>
      <c r="BM24" s="241" t="e">
        <v>#N/A</v>
      </c>
      <c r="BN24" s="241" t="e">
        <v>#N/A</v>
      </c>
      <c r="BO24" s="241" t="e">
        <v>#N/A</v>
      </c>
      <c r="BP24" s="241" t="e">
        <v>#N/A</v>
      </c>
      <c r="BQ24" s="241" t="e">
        <v>#N/A</v>
      </c>
      <c r="BR24" s="241">
        <v>17.59</v>
      </c>
      <c r="BS24" s="241">
        <v>17.45</v>
      </c>
      <c r="BT24" s="241">
        <v>27.550000000000004</v>
      </c>
      <c r="BU24" s="241" t="e">
        <v>#N/A</v>
      </c>
      <c r="BV24" s="241" t="e">
        <v>#N/A</v>
      </c>
      <c r="BW24" s="230"/>
      <c r="BX24" s="232" t="e">
        <v>#N/A</v>
      </c>
      <c r="BY24" s="232" t="e">
        <v>#N/A</v>
      </c>
      <c r="BZ24" s="232">
        <v>34.332999999999998</v>
      </c>
      <c r="CA24" s="232">
        <v>227.92</v>
      </c>
      <c r="CB24" s="232">
        <v>580.59799999999996</v>
      </c>
      <c r="CC24" s="232">
        <v>820.04660000000001</v>
      </c>
      <c r="CD24" s="232" t="e">
        <v>#N/A</v>
      </c>
      <c r="CE24" s="232" t="e">
        <v>#N/A</v>
      </c>
      <c r="CF24" s="232" t="e">
        <v>#N/A</v>
      </c>
      <c r="CG24" s="232" t="e">
        <v>#N/A</v>
      </c>
      <c r="CH24" s="230"/>
      <c r="CI24" s="232" t="e">
        <v>#N/A</v>
      </c>
      <c r="CJ24" s="232" t="e">
        <v>#N/A</v>
      </c>
      <c r="CK24" s="232">
        <v>78.91</v>
      </c>
      <c r="CL24" s="232">
        <v>345.63</v>
      </c>
      <c r="CM24" s="232">
        <v>791.86</v>
      </c>
      <c r="CN24" s="232">
        <v>920.61599999999999</v>
      </c>
      <c r="CO24" s="232">
        <v>1139</v>
      </c>
      <c r="CP24" s="232">
        <v>1881.5</v>
      </c>
      <c r="CQ24" s="232" t="e">
        <v>#N/A</v>
      </c>
      <c r="CR24" s="232" t="e">
        <v>#N/A</v>
      </c>
      <c r="CS24" s="230"/>
      <c r="CT24" s="232" t="e">
        <v>#N/A</v>
      </c>
      <c r="CU24" s="232" t="e">
        <v>#N/A</v>
      </c>
      <c r="CV24" s="232">
        <v>363.49</v>
      </c>
      <c r="CW24" s="232">
        <v>941.66</v>
      </c>
      <c r="CX24" s="232">
        <v>2087.75</v>
      </c>
      <c r="CY24" s="232">
        <v>2429.2579999999998</v>
      </c>
      <c r="CZ24" s="232">
        <v>3546</v>
      </c>
      <c r="DA24" s="232">
        <v>5280.5</v>
      </c>
      <c r="DB24" s="232" t="e">
        <v>#N/A</v>
      </c>
      <c r="DC24" s="232" t="e">
        <v>#N/A</v>
      </c>
      <c r="DD24" s="230"/>
      <c r="DE24" s="232" t="e">
        <v>#N/A</v>
      </c>
      <c r="DF24" s="232" t="e">
        <v>#N/A</v>
      </c>
      <c r="DG24" s="232" t="e">
        <v>#N/A</v>
      </c>
      <c r="DH24" s="230"/>
      <c r="DI24" s="230"/>
      <c r="DJ24" s="172" t="s">
        <v>277</v>
      </c>
    </row>
    <row r="25" spans="1:114" x14ac:dyDescent="0.25">
      <c r="A25" s="225" t="s">
        <v>729</v>
      </c>
      <c r="B25" s="226" t="s">
        <v>107</v>
      </c>
      <c r="C25" s="227" t="s">
        <v>114</v>
      </c>
      <c r="D25" s="228" t="str">
        <f t="shared" si="0"/>
        <v>MTARTECH IN Equity</v>
      </c>
      <c r="E25" s="229" t="s">
        <v>114</v>
      </c>
      <c r="F25" s="230"/>
      <c r="G25" s="231">
        <v>839.8166589137262</v>
      </c>
      <c r="H25" s="232">
        <v>75382.528161766852</v>
      </c>
      <c r="I25" s="230"/>
      <c r="J25" s="231">
        <v>858.56130685372625</v>
      </c>
      <c r="K25" s="232">
        <v>76985.868161766848</v>
      </c>
      <c r="L25" s="230"/>
      <c r="M25" s="233">
        <v>145.0950335587037</v>
      </c>
      <c r="N25" s="233">
        <v>85.628929111526034</v>
      </c>
      <c r="O25" s="233">
        <v>63.712091101649229</v>
      </c>
      <c r="P25" s="233">
        <v>43.792393975880515</v>
      </c>
      <c r="Q25" s="230"/>
      <c r="R25" s="234">
        <v>10.341702106652168</v>
      </c>
      <c r="S25" s="234">
        <v>10.377893565008597</v>
      </c>
      <c r="T25" s="230"/>
      <c r="U25" s="234">
        <v>7.3942677733752335E-2</v>
      </c>
      <c r="V25" s="234">
        <v>0.113</v>
      </c>
      <c r="W25" s="234">
        <v>7.5446369980655875E-2</v>
      </c>
      <c r="X25" s="234">
        <v>8.2754675674488798E-2</v>
      </c>
      <c r="Y25" s="234">
        <v>7.2069290691364807E-2</v>
      </c>
      <c r="Z25" s="234">
        <v>9.7528676891882299E-2</v>
      </c>
      <c r="AA25" s="234">
        <v>7.2129216518290601E-2</v>
      </c>
      <c r="AB25" s="234">
        <v>7.4054576520365845E-2</v>
      </c>
      <c r="AC25" s="230"/>
      <c r="AD25" s="232">
        <v>-169.24</v>
      </c>
      <c r="AE25" s="232">
        <v>-169.24</v>
      </c>
      <c r="AF25" s="232">
        <v>0</v>
      </c>
      <c r="AG25" s="232">
        <v>-0.1</v>
      </c>
      <c r="AH25" s="235">
        <v>-169.34</v>
      </c>
      <c r="AI25" s="230"/>
      <c r="AJ25" s="232">
        <v>962.12</v>
      </c>
      <c r="AK25" s="232">
        <v>810.46</v>
      </c>
      <c r="AL25" s="235">
        <v>1772.58</v>
      </c>
      <c r="AM25" s="230"/>
      <c r="AN25" s="231">
        <v>18.74464794</v>
      </c>
      <c r="AO25" s="232">
        <v>1603.34</v>
      </c>
      <c r="AP25" s="236">
        <v>1.3268947481669064</v>
      </c>
      <c r="AQ25" s="230"/>
      <c r="AR25" s="237">
        <v>30.759591</v>
      </c>
      <c r="AS25" s="237">
        <v>30.759591</v>
      </c>
      <c r="AT25" s="237">
        <v>30.759591</v>
      </c>
      <c r="AU25" s="230"/>
      <c r="AV25" s="234">
        <v>3.1409999999999997E-3</v>
      </c>
      <c r="AW25" s="234">
        <v>0.48626482662759574</v>
      </c>
      <c r="AX25" s="234">
        <v>9.2100000000000005E-4</v>
      </c>
      <c r="AY25" s="234">
        <v>0.69445367462785834</v>
      </c>
      <c r="AZ25" s="230"/>
      <c r="BA25" s="232">
        <v>0</v>
      </c>
      <c r="BB25" s="230"/>
      <c r="BC25" s="232" t="e">
        <v>#N/A</v>
      </c>
      <c r="BD25" s="232">
        <v>0</v>
      </c>
      <c r="BE25" s="230"/>
      <c r="BF25" s="238">
        <v>0.23324580000000011</v>
      </c>
      <c r="BG25" s="238">
        <v>0.20563390000000004</v>
      </c>
      <c r="BH25" s="238">
        <v>0.3100016000000001</v>
      </c>
      <c r="BI25" s="230"/>
      <c r="BJ25" s="239">
        <v>27.302595112975531</v>
      </c>
      <c r="BK25" s="240">
        <v>2450.699951171875</v>
      </c>
      <c r="BL25" s="230"/>
      <c r="BM25" s="241" t="e">
        <v>#N/A</v>
      </c>
      <c r="BN25" s="241" t="e">
        <v>#N/A</v>
      </c>
      <c r="BO25" s="241">
        <v>19.79</v>
      </c>
      <c r="BP25" s="241">
        <v>33.619999999999997</v>
      </c>
      <c r="BQ25" s="241">
        <v>18.239999999999998</v>
      </c>
      <c r="BR25" s="241">
        <v>17.190000000000001</v>
      </c>
      <c r="BS25" s="241">
        <v>28.619999999999997</v>
      </c>
      <c r="BT25" s="241">
        <v>48.92</v>
      </c>
      <c r="BU25" s="241">
        <v>75.62</v>
      </c>
      <c r="BV25" s="241">
        <v>116.58</v>
      </c>
      <c r="BW25" s="230"/>
      <c r="BX25" s="232">
        <v>313.18</v>
      </c>
      <c r="BY25" s="232">
        <v>460.66</v>
      </c>
      <c r="BZ25" s="232">
        <v>594.99199999999996</v>
      </c>
      <c r="CA25" s="232">
        <v>1055.0150000000001</v>
      </c>
      <c r="CB25" s="232">
        <v>542.88099999999997</v>
      </c>
      <c r="CC25" s="232">
        <v>519.53899999999999</v>
      </c>
      <c r="CD25" s="232">
        <v>860.65763336897203</v>
      </c>
      <c r="CE25" s="232">
        <v>1471.6426067967286</v>
      </c>
      <c r="CF25" s="232">
        <v>2162.1591379705778</v>
      </c>
      <c r="CG25" s="232">
        <v>3585.8093468043776</v>
      </c>
      <c r="CH25" s="230"/>
      <c r="CI25" s="232">
        <v>579.58000000000004</v>
      </c>
      <c r="CJ25" s="232">
        <v>830.75</v>
      </c>
      <c r="CK25" s="232">
        <v>944.26</v>
      </c>
      <c r="CL25" s="232">
        <v>1539.7400000000002</v>
      </c>
      <c r="CM25" s="232">
        <v>1127.02</v>
      </c>
      <c r="CN25" s="232">
        <v>1208.3400000000001</v>
      </c>
      <c r="CO25" s="232">
        <v>1720.6</v>
      </c>
      <c r="CP25" s="232">
        <v>2663</v>
      </c>
      <c r="CQ25" s="232">
        <v>3797.2</v>
      </c>
      <c r="CR25" s="232">
        <v>5264</v>
      </c>
      <c r="CS25" s="230"/>
      <c r="CT25" s="232">
        <v>2137.66</v>
      </c>
      <c r="CU25" s="232">
        <v>2464.3200000000002</v>
      </c>
      <c r="CV25" s="232">
        <v>3159.28</v>
      </c>
      <c r="CW25" s="232">
        <v>5630.24</v>
      </c>
      <c r="CX25" s="232">
        <v>5725.98</v>
      </c>
      <c r="CY25" s="232">
        <v>6646.46</v>
      </c>
      <c r="CZ25" s="232">
        <v>8657.4</v>
      </c>
      <c r="DA25" s="232">
        <v>12049</v>
      </c>
      <c r="DB25" s="232">
        <v>16648</v>
      </c>
      <c r="DC25" s="232">
        <v>21487</v>
      </c>
      <c r="DD25" s="230"/>
      <c r="DE25" s="232" t="e">
        <v>#N/A</v>
      </c>
      <c r="DF25" s="232" t="e">
        <v>#N/A</v>
      </c>
      <c r="DG25" s="232" t="e">
        <v>#N/A</v>
      </c>
      <c r="DH25" s="230"/>
      <c r="DI25" s="230"/>
      <c r="DJ25" s="172" t="s">
        <v>277</v>
      </c>
    </row>
    <row r="26" spans="1:114" x14ac:dyDescent="0.25">
      <c r="A26" s="225" t="s">
        <v>729</v>
      </c>
      <c r="B26" s="226" t="s">
        <v>749</v>
      </c>
      <c r="C26" s="227" t="s">
        <v>416</v>
      </c>
      <c r="D26" s="228" t="str">
        <f t="shared" si="0"/>
        <v>IDEAFORG IN Equity</v>
      </c>
      <c r="E26" s="229" t="s">
        <v>115</v>
      </c>
      <c r="F26" s="230"/>
      <c r="G26" s="231">
        <v>231.34957797546713</v>
      </c>
      <c r="H26" s="232">
        <v>20766.099233499604</v>
      </c>
      <c r="I26" s="230"/>
      <c r="J26" s="231">
        <v>211.10848203546712</v>
      </c>
      <c r="K26" s="232">
        <v>19034.759233499604</v>
      </c>
      <c r="L26" s="230"/>
      <c r="M26" s="233" t="e">
        <v>#N/A</v>
      </c>
      <c r="N26" s="233">
        <v>75.015625953674316</v>
      </c>
      <c r="O26" s="233" t="e">
        <v>#N/A</v>
      </c>
      <c r="P26" s="233" t="e">
        <v>#N/A</v>
      </c>
      <c r="Q26" s="230"/>
      <c r="R26" s="234">
        <v>3.3979756521832263</v>
      </c>
      <c r="S26" s="234">
        <v>4.4865629469577124</v>
      </c>
      <c r="T26" s="230"/>
      <c r="U26" s="234">
        <v>-0.10656266717299484</v>
      </c>
      <c r="V26" s="234">
        <v>4.4000000000000004E-2</v>
      </c>
      <c r="W26" s="234">
        <v>-0.12030676505814628</v>
      </c>
      <c r="X26" s="234">
        <v>-0.1232570974077621</v>
      </c>
      <c r="Y26" s="234">
        <v>-0.12076530234166585</v>
      </c>
      <c r="Z26" s="234">
        <v>-0.12663181750815136</v>
      </c>
      <c r="AA26" s="234">
        <v>-0.12717015999610953</v>
      </c>
      <c r="AB26" s="234">
        <v>-9.4034070816538265E-2</v>
      </c>
      <c r="AC26" s="230"/>
      <c r="AD26" s="232">
        <v>-967.61</v>
      </c>
      <c r="AE26" s="232">
        <v>-1896.07</v>
      </c>
      <c r="AF26" s="232">
        <v>-928.46</v>
      </c>
      <c r="AG26" s="232">
        <v>-268.66000000000003</v>
      </c>
      <c r="AH26" s="235">
        <v>-2164.73</v>
      </c>
      <c r="AI26" s="230"/>
      <c r="AJ26" s="232">
        <v>64.069999999999993</v>
      </c>
      <c r="AK26" s="232">
        <v>100.66</v>
      </c>
      <c r="AL26" s="235">
        <v>164.73</v>
      </c>
      <c r="AM26" s="230"/>
      <c r="AN26" s="231">
        <v>-20.241095940000001</v>
      </c>
      <c r="AO26" s="232">
        <v>-1731.3400000000001</v>
      </c>
      <c r="AP26" s="236" t="e">
        <v>#N/A</v>
      </c>
      <c r="AQ26" s="230"/>
      <c r="AR26" s="237">
        <v>43.253695</v>
      </c>
      <c r="AS26" s="237">
        <v>43.212370999999997</v>
      </c>
      <c r="AT26" s="237">
        <v>43.212370999999997</v>
      </c>
      <c r="AU26" s="230"/>
      <c r="AV26" s="234">
        <v>3.336E-3</v>
      </c>
      <c r="AW26" s="234">
        <v>3.2041058975393763E-2</v>
      </c>
      <c r="AX26" s="234">
        <v>2.5000000000000001E-5</v>
      </c>
      <c r="AY26" s="234">
        <v>0.49038316842064011</v>
      </c>
      <c r="AZ26" s="230"/>
      <c r="BA26" s="232">
        <v>0</v>
      </c>
      <c r="BB26" s="230"/>
      <c r="BC26" s="232" t="e">
        <v>#N/A</v>
      </c>
      <c r="BD26" s="232">
        <v>0</v>
      </c>
      <c r="BE26" s="230"/>
      <c r="BF26" s="238">
        <v>3.1309565999999993</v>
      </c>
      <c r="BG26" s="238">
        <v>1.6212639</v>
      </c>
      <c r="BH26" s="238">
        <v>0.91276739999999956</v>
      </c>
      <c r="BI26" s="230"/>
      <c r="BJ26" s="239">
        <v>5.3486662347683156</v>
      </c>
      <c r="BK26" s="240">
        <v>480.10000610351563</v>
      </c>
      <c r="BL26" s="230"/>
      <c r="BM26" s="241">
        <v>-1527</v>
      </c>
      <c r="BN26" s="241">
        <v>-5.03</v>
      </c>
      <c r="BO26" s="241">
        <v>13.13</v>
      </c>
      <c r="BP26" s="241">
        <v>8.1199999999999992</v>
      </c>
      <c r="BQ26" s="241">
        <v>10.77</v>
      </c>
      <c r="BR26" s="241">
        <v>-14.41</v>
      </c>
      <c r="BS26" s="241">
        <v>6.4</v>
      </c>
      <c r="BT26" s="241">
        <v>14.2</v>
      </c>
      <c r="BU26" s="241">
        <v>17.2</v>
      </c>
      <c r="BV26" s="241" t="e">
        <v>#N/A</v>
      </c>
      <c r="BW26" s="230"/>
      <c r="BX26" s="232">
        <v>-135.36894000000001</v>
      </c>
      <c r="BY26" s="232">
        <v>-146.26</v>
      </c>
      <c r="BZ26" s="232">
        <v>440.06</v>
      </c>
      <c r="CA26" s="232">
        <v>319.88</v>
      </c>
      <c r="CB26" s="232">
        <v>399.019407</v>
      </c>
      <c r="CC26" s="232">
        <v>-676.28345000000002</v>
      </c>
      <c r="CD26" s="232" t="e">
        <v>#N/A</v>
      </c>
      <c r="CE26" s="232" t="e">
        <v>#N/A</v>
      </c>
      <c r="CF26" s="232" t="e">
        <v>#N/A</v>
      </c>
      <c r="CG26" s="232" t="e">
        <v>#N/A</v>
      </c>
      <c r="CH26" s="230"/>
      <c r="CI26" s="232">
        <v>-132.40671599999999</v>
      </c>
      <c r="CJ26" s="232">
        <v>-108.68</v>
      </c>
      <c r="CK26" s="232">
        <v>731.22</v>
      </c>
      <c r="CL26" s="232">
        <v>470.93</v>
      </c>
      <c r="CM26" s="232">
        <v>854.31</v>
      </c>
      <c r="CN26" s="232">
        <v>-526.9</v>
      </c>
      <c r="CO26" s="232">
        <v>471</v>
      </c>
      <c r="CP26" s="232">
        <v>923</v>
      </c>
      <c r="CQ26" s="232">
        <v>1129</v>
      </c>
      <c r="CR26" s="232" t="e">
        <v>#N/A</v>
      </c>
      <c r="CS26" s="230"/>
      <c r="CT26" s="232">
        <v>140.95000200000001</v>
      </c>
      <c r="CU26" s="232">
        <v>347.18</v>
      </c>
      <c r="CV26" s="232">
        <v>1594.28</v>
      </c>
      <c r="CW26" s="232">
        <v>1685.76</v>
      </c>
      <c r="CX26" s="232">
        <v>3013.73</v>
      </c>
      <c r="CY26" s="232">
        <v>1611.48</v>
      </c>
      <c r="CZ26" s="232">
        <v>2791</v>
      </c>
      <c r="DA26" s="232">
        <v>4498</v>
      </c>
      <c r="DB26" s="232">
        <v>5250</v>
      </c>
      <c r="DC26" s="232" t="e">
        <v>#N/A</v>
      </c>
      <c r="DD26" s="230"/>
      <c r="DE26" s="232" t="e">
        <v>#N/A</v>
      </c>
      <c r="DF26" s="232">
        <v>6.91</v>
      </c>
      <c r="DG26" s="232">
        <v>0</v>
      </c>
      <c r="DH26" s="230"/>
      <c r="DI26" s="230"/>
      <c r="DJ26" s="172" t="s">
        <v>277</v>
      </c>
    </row>
    <row r="27" spans="1:114" x14ac:dyDescent="0.25">
      <c r="A27" s="225" t="s">
        <v>729</v>
      </c>
      <c r="B27" s="242" t="s">
        <v>750</v>
      </c>
      <c r="C27" s="227" t="s">
        <v>157</v>
      </c>
      <c r="D27" s="228" t="str">
        <f t="shared" si="0"/>
        <v>AZAD IN Equity</v>
      </c>
      <c r="E27" s="229" t="s">
        <v>157</v>
      </c>
      <c r="F27" s="230"/>
      <c r="G27" s="231">
        <v>1191.4721106679779</v>
      </c>
      <c r="H27" s="232">
        <v>106947.366408</v>
      </c>
      <c r="I27" s="230"/>
      <c r="J27" s="231">
        <v>1140.6833670079777</v>
      </c>
      <c r="K27" s="232">
        <v>102603.10640800001</v>
      </c>
      <c r="L27" s="230"/>
      <c r="M27" s="233">
        <v>112.96043656207367</v>
      </c>
      <c r="N27" s="233">
        <v>84.532924961715167</v>
      </c>
      <c r="O27" s="233">
        <v>63.6065603332734</v>
      </c>
      <c r="P27" s="233">
        <v>45.317726617072715</v>
      </c>
      <c r="Q27" s="230"/>
      <c r="R27" s="234">
        <v>7.6731334281347978</v>
      </c>
      <c r="S27" s="234">
        <v>7.6731334281347978</v>
      </c>
      <c r="T27" s="230"/>
      <c r="U27" s="234">
        <v>8.5654041757792246E-2</v>
      </c>
      <c r="V27" s="234" t="e">
        <v>#N/A</v>
      </c>
      <c r="W27" s="234">
        <v>8.5654041757792246E-2</v>
      </c>
      <c r="X27" s="234">
        <v>9.3680135246129032E-2</v>
      </c>
      <c r="Y27" s="234">
        <v>7.8938091475596966E-2</v>
      </c>
      <c r="Z27" s="234">
        <v>0.10890481774775776</v>
      </c>
      <c r="AA27" s="234">
        <v>5.9640853242991169E-2</v>
      </c>
      <c r="AB27" s="234">
        <v>8.4396109756752796E-2</v>
      </c>
      <c r="AC27" s="230"/>
      <c r="AD27" s="232">
        <v>-6970.27</v>
      </c>
      <c r="AE27" s="232">
        <v>-6970.27</v>
      </c>
      <c r="AF27" s="232">
        <v>0</v>
      </c>
      <c r="AG27" s="232">
        <v>0</v>
      </c>
      <c r="AH27" s="235">
        <v>-6970.27</v>
      </c>
      <c r="AI27" s="230"/>
      <c r="AJ27" s="232">
        <v>749.84</v>
      </c>
      <c r="AK27" s="232">
        <v>1883.81</v>
      </c>
      <c r="AL27" s="235">
        <v>2633.65</v>
      </c>
      <c r="AM27" s="230"/>
      <c r="AN27" s="231">
        <v>-50.699424420000007</v>
      </c>
      <c r="AO27" s="232">
        <v>-4336.6200000000008</v>
      </c>
      <c r="AP27" s="236">
        <v>-2.6883930840808636</v>
      </c>
      <c r="AQ27" s="230"/>
      <c r="AR27" s="237">
        <v>64.581743000000003</v>
      </c>
      <c r="AS27" s="237">
        <v>59.547496000000002</v>
      </c>
      <c r="AT27" s="237">
        <v>59.547496000000002</v>
      </c>
      <c r="AU27" s="230"/>
      <c r="AV27" s="234">
        <v>5.5420000000000001E-3</v>
      </c>
      <c r="AW27" s="234">
        <v>0.45308852873730471</v>
      </c>
      <c r="AX27" s="234">
        <v>1.5759999999999999E-3</v>
      </c>
      <c r="AY27" s="234">
        <v>0.41990718646289871</v>
      </c>
      <c r="AZ27" s="230"/>
      <c r="BA27" s="232">
        <v>-7.64</v>
      </c>
      <c r="BB27" s="230"/>
      <c r="BC27" s="232" t="e">
        <v>#N/A</v>
      </c>
      <c r="BD27" s="232">
        <v>0</v>
      </c>
      <c r="BE27" s="230"/>
      <c r="BF27" s="238">
        <v>0.17086160000000011</v>
      </c>
      <c r="BG27" s="238">
        <v>0.12114240000000009</v>
      </c>
      <c r="BH27" s="238">
        <v>0.17872280000000015</v>
      </c>
      <c r="BI27" s="230"/>
      <c r="BJ27" s="239">
        <v>18.449054722291685</v>
      </c>
      <c r="BK27" s="240">
        <v>1656</v>
      </c>
      <c r="BL27" s="230"/>
      <c r="BM27" s="241" t="e">
        <v>#N/A</v>
      </c>
      <c r="BN27" s="241">
        <v>88.51</v>
      </c>
      <c r="BO27" s="241">
        <v>6.49</v>
      </c>
      <c r="BP27" s="241" t="e">
        <v>#N/A</v>
      </c>
      <c r="BQ27" s="241">
        <v>11.2</v>
      </c>
      <c r="BR27" s="241">
        <v>14.66</v>
      </c>
      <c r="BS27" s="241">
        <v>19.59</v>
      </c>
      <c r="BT27" s="241">
        <v>26.826000000000001</v>
      </c>
      <c r="BU27" s="241">
        <v>36.8125</v>
      </c>
      <c r="BV27" s="241">
        <v>53.59</v>
      </c>
      <c r="BW27" s="230"/>
      <c r="BX27" s="232" t="e">
        <v>#N/A</v>
      </c>
      <c r="BY27" s="232">
        <v>133.935</v>
      </c>
      <c r="BZ27" s="232">
        <v>304.66399999999999</v>
      </c>
      <c r="CA27" s="232">
        <v>106.983</v>
      </c>
      <c r="CB27" s="232">
        <v>516.31633599999998</v>
      </c>
      <c r="CC27" s="232">
        <v>873.18</v>
      </c>
      <c r="CD27" s="232">
        <v>1206.7033606993236</v>
      </c>
      <c r="CE27" s="232">
        <v>1677.2358465084376</v>
      </c>
      <c r="CF27" s="232">
        <v>2320.7652852447068</v>
      </c>
      <c r="CG27" s="232">
        <v>3460.4840529436879</v>
      </c>
      <c r="CH27" s="230"/>
      <c r="CI27" s="232" t="e">
        <v>#N/A</v>
      </c>
      <c r="CJ27" s="232">
        <v>284.52300000000002</v>
      </c>
      <c r="CK27" s="232">
        <v>624.27</v>
      </c>
      <c r="CL27" s="232">
        <v>722.78000000000009</v>
      </c>
      <c r="CM27" s="232">
        <v>1165.8800000000001</v>
      </c>
      <c r="CN27" s="232">
        <v>1613.0900000000001</v>
      </c>
      <c r="CO27" s="232">
        <v>2150.8000000000002</v>
      </c>
      <c r="CP27" s="232">
        <v>2879.6</v>
      </c>
      <c r="CQ27" s="232">
        <v>3835</v>
      </c>
      <c r="CR27" s="232">
        <v>5437</v>
      </c>
      <c r="CS27" s="230"/>
      <c r="CT27" s="232" t="e">
        <v>#N/A</v>
      </c>
      <c r="CU27" s="232">
        <v>1163.4100000000001</v>
      </c>
      <c r="CV27" s="232">
        <v>1853.48</v>
      </c>
      <c r="CW27" s="232">
        <v>2416.15</v>
      </c>
      <c r="CX27" s="232">
        <v>3281.22</v>
      </c>
      <c r="CY27" s="232">
        <v>4437.9399999999996</v>
      </c>
      <c r="CZ27" s="232">
        <v>6056.4</v>
      </c>
      <c r="DA27" s="232">
        <v>8039</v>
      </c>
      <c r="DB27" s="232">
        <v>10632.75</v>
      </c>
      <c r="DC27" s="232">
        <v>14003</v>
      </c>
      <c r="DD27" s="230"/>
      <c r="DE27" s="232" t="e">
        <v>#N/A</v>
      </c>
      <c r="DF27" s="232">
        <v>0</v>
      </c>
      <c r="DG27" s="232">
        <v>0</v>
      </c>
      <c r="DH27" s="230"/>
      <c r="DI27" s="230"/>
      <c r="DJ27" s="172" t="s">
        <v>277</v>
      </c>
    </row>
    <row r="28" spans="1:114" x14ac:dyDescent="0.25">
      <c r="A28" s="225" t="s">
        <v>729</v>
      </c>
      <c r="B28" s="226" t="s">
        <v>751</v>
      </c>
      <c r="C28" s="227" t="s">
        <v>417</v>
      </c>
      <c r="D28" s="228" t="str">
        <f t="shared" si="0"/>
        <v>JEL IN Equity</v>
      </c>
      <c r="E28" s="229" t="s">
        <v>158</v>
      </c>
      <c r="F28" s="230"/>
      <c r="G28" s="231">
        <v>288.03437059694005</v>
      </c>
      <c r="H28" s="232">
        <v>25854.165695123655</v>
      </c>
      <c r="I28" s="230"/>
      <c r="J28" s="231">
        <v>275.23878153494007</v>
      </c>
      <c r="K28" s="232">
        <v>24759.683695123655</v>
      </c>
      <c r="L28" s="230"/>
      <c r="M28" s="233">
        <v>1254.3853704015009</v>
      </c>
      <c r="N28" s="233" t="e">
        <v>#N/A</v>
      </c>
      <c r="O28" s="233" t="e">
        <v>#N/A</v>
      </c>
      <c r="P28" s="233" t="e">
        <v>#N/A</v>
      </c>
      <c r="Q28" s="230"/>
      <c r="R28" s="234">
        <v>5.29201868021753</v>
      </c>
      <c r="S28" s="234">
        <v>5.7423817877681591</v>
      </c>
      <c r="T28" s="230"/>
      <c r="U28" s="234">
        <v>4.479746138733527E-3</v>
      </c>
      <c r="V28" s="234" t="e">
        <v>#N/A</v>
      </c>
      <c r="W28" s="234">
        <v>2.5751274589362196E-2</v>
      </c>
      <c r="X28" s="234" t="e">
        <v>#N/A</v>
      </c>
      <c r="Y28" s="234">
        <v>-3.5443971920335782E-3</v>
      </c>
      <c r="Z28" s="234">
        <v>-1.3182126189052915E-2</v>
      </c>
      <c r="AA28" s="234">
        <v>-9.8456593653947766E-3</v>
      </c>
      <c r="AB28" s="234">
        <v>2.8859257587348041E-2</v>
      </c>
      <c r="AC28" s="230"/>
      <c r="AD28" s="232">
        <v>-1528.5640000000001</v>
      </c>
      <c r="AE28" s="232">
        <v>-1714.3679999999999</v>
      </c>
      <c r="AF28" s="232">
        <v>-185.804</v>
      </c>
      <c r="AG28" s="232">
        <v>-727.16899999999998</v>
      </c>
      <c r="AH28" s="235">
        <v>-2441.5369999999998</v>
      </c>
      <c r="AI28" s="230"/>
      <c r="AJ28" s="232">
        <v>317.38299999999998</v>
      </c>
      <c r="AK28" s="232">
        <v>54.768000000000001</v>
      </c>
      <c r="AL28" s="235">
        <v>372.15100000000001</v>
      </c>
      <c r="AM28" s="230"/>
      <c r="AN28" s="231">
        <v>-15.691858947</v>
      </c>
      <c r="AO28" s="232">
        <v>-1342.2170000000001</v>
      </c>
      <c r="AP28" s="236" t="e">
        <v>#N/A</v>
      </c>
      <c r="AQ28" s="230"/>
      <c r="AR28" s="237">
        <v>130.28706599999998</v>
      </c>
      <c r="AS28" s="237">
        <v>90.344082</v>
      </c>
      <c r="AT28" s="237">
        <v>90.344082</v>
      </c>
      <c r="AU28" s="230"/>
      <c r="AV28" s="234">
        <v>6.5190000000000005E-3</v>
      </c>
      <c r="AW28" s="234">
        <v>6.5189053614729514E-2</v>
      </c>
      <c r="AX28" s="234">
        <v>1.5E-5</v>
      </c>
      <c r="AY28" s="234">
        <v>0.37236449856043263</v>
      </c>
      <c r="AZ28" s="230"/>
      <c r="BA28" s="232">
        <v>247.73500000000001</v>
      </c>
      <c r="BB28" s="230"/>
      <c r="BC28" s="232" t="e">
        <v>#N/A</v>
      </c>
      <c r="BD28" s="232">
        <v>0</v>
      </c>
      <c r="BE28" s="230"/>
      <c r="BF28" s="238">
        <v>0.17505479999999993</v>
      </c>
      <c r="BG28" s="238">
        <v>0.17773609999999992</v>
      </c>
      <c r="BH28" s="238">
        <v>0.18368753333333326</v>
      </c>
      <c r="BI28" s="230"/>
      <c r="BJ28" s="239">
        <v>2.2107671884862312</v>
      </c>
      <c r="BK28" s="240">
        <v>198.44000244140625</v>
      </c>
      <c r="BL28" s="230"/>
      <c r="BM28" s="241">
        <v>-8.1603675794999997E-2</v>
      </c>
      <c r="BN28" s="241">
        <v>1.7366908541999999</v>
      </c>
      <c r="BO28" s="241">
        <v>1.0957808250000001</v>
      </c>
      <c r="BP28" s="241">
        <v>0.152333355</v>
      </c>
      <c r="BQ28" s="241">
        <v>0.85510544999999993</v>
      </c>
      <c r="BR28" s="241">
        <v>0.79</v>
      </c>
      <c r="BS28" s="241" t="e">
        <v>#N/A</v>
      </c>
      <c r="BT28" s="241" t="e">
        <v>#N/A</v>
      </c>
      <c r="BU28" s="241" t="e">
        <v>#N/A</v>
      </c>
      <c r="BV28" s="241" t="e">
        <v>#N/A</v>
      </c>
      <c r="BW28" s="230"/>
      <c r="BX28" s="232">
        <v>-5.351146</v>
      </c>
      <c r="BY28" s="232">
        <v>143.790359</v>
      </c>
      <c r="BZ28" s="232">
        <v>170.02600000000001</v>
      </c>
      <c r="CA28" s="232">
        <v>14.276199999999999</v>
      </c>
      <c r="CB28" s="232">
        <v>43.090899999999998</v>
      </c>
      <c r="CC28" s="232">
        <v>14.292199999999999</v>
      </c>
      <c r="CD28" s="232" t="e">
        <v>#N/A</v>
      </c>
      <c r="CE28" s="232" t="e">
        <v>#N/A</v>
      </c>
      <c r="CF28" s="232" t="e">
        <v>#N/A</v>
      </c>
      <c r="CG28" s="232" t="e">
        <v>#N/A</v>
      </c>
      <c r="CH28" s="230"/>
      <c r="CI28" s="232">
        <v>-54.94314</v>
      </c>
      <c r="CJ28" s="232">
        <v>-49.238597000000006</v>
      </c>
      <c r="CK28" s="232">
        <v>-12.629</v>
      </c>
      <c r="CL28" s="232">
        <v>22.390999999999998</v>
      </c>
      <c r="CM28" s="232">
        <v>38.923999999999999</v>
      </c>
      <c r="CN28" s="232">
        <v>-4.6299999999999955</v>
      </c>
      <c r="CO28" s="232" t="e">
        <v>#N/A</v>
      </c>
      <c r="CP28" s="232" t="e">
        <v>#N/A</v>
      </c>
      <c r="CQ28" s="232" t="e">
        <v>#N/A</v>
      </c>
      <c r="CR28" s="232" t="e">
        <v>#N/A</v>
      </c>
      <c r="CS28" s="230"/>
      <c r="CT28" s="232">
        <v>3.08</v>
      </c>
      <c r="CU28" s="232">
        <v>3.08</v>
      </c>
      <c r="CV28" s="232">
        <v>107.015</v>
      </c>
      <c r="CW28" s="232">
        <v>469.553</v>
      </c>
      <c r="CX28" s="232">
        <v>526.61900000000003</v>
      </c>
      <c r="CY28" s="232">
        <v>806.39800000000002</v>
      </c>
      <c r="CZ28" s="232" t="e">
        <v>#N/A</v>
      </c>
      <c r="DA28" s="232" t="e">
        <v>#N/A</v>
      </c>
      <c r="DB28" s="232" t="e">
        <v>#N/A</v>
      </c>
      <c r="DC28" s="232" t="e">
        <v>#N/A</v>
      </c>
      <c r="DD28" s="230"/>
      <c r="DE28" s="232" t="e">
        <v>#N/A</v>
      </c>
      <c r="DF28" s="232">
        <v>0</v>
      </c>
      <c r="DG28" s="232">
        <v>0</v>
      </c>
      <c r="DH28" s="230"/>
      <c r="DI28" s="230"/>
      <c r="DJ28" s="172" t="s">
        <v>277</v>
      </c>
    </row>
    <row r="29" spans="1:114" x14ac:dyDescent="0.25">
      <c r="A29" s="225" t="s">
        <v>729</v>
      </c>
      <c r="B29" s="242" t="s">
        <v>752</v>
      </c>
      <c r="C29" s="227" t="s">
        <v>159</v>
      </c>
      <c r="D29" s="228" t="str">
        <f t="shared" si="0"/>
        <v>SIKA IN Equity</v>
      </c>
      <c r="E29" s="229" t="s">
        <v>159</v>
      </c>
      <c r="F29" s="230"/>
      <c r="G29" s="231">
        <v>213.04635563888289</v>
      </c>
      <c r="H29" s="232">
        <v>19123.189249999999</v>
      </c>
      <c r="I29" s="230"/>
      <c r="J29" s="231">
        <v>210.02715686888286</v>
      </c>
      <c r="K29" s="232">
        <v>18854.935249999999</v>
      </c>
      <c r="L29" s="230"/>
      <c r="M29" s="233">
        <v>55.679012345679013</v>
      </c>
      <c r="N29" s="233" t="e">
        <v>#N/A</v>
      </c>
      <c r="O29" s="233">
        <v>48.426574607487844</v>
      </c>
      <c r="P29" s="233" t="e">
        <v>#N/A</v>
      </c>
      <c r="Q29" s="230"/>
      <c r="R29" s="234">
        <v>13.861784469073697</v>
      </c>
      <c r="S29" s="234">
        <v>13.898687920041107</v>
      </c>
      <c r="T29" s="230"/>
      <c r="U29" s="234">
        <v>0.2773212526446695</v>
      </c>
      <c r="V29" s="234" t="e">
        <v>#N/A</v>
      </c>
      <c r="W29" s="234">
        <v>0.27814017076295827</v>
      </c>
      <c r="X29" s="234">
        <v>0.3168687231415605</v>
      </c>
      <c r="Y29" s="234">
        <v>0.2315701688632594</v>
      </c>
      <c r="Z29" s="234">
        <v>0.29785955553035443</v>
      </c>
      <c r="AA29" s="234">
        <v>0.20896562633814372</v>
      </c>
      <c r="AB29" s="234">
        <v>0.27456472324434134</v>
      </c>
      <c r="AC29" s="230"/>
      <c r="AD29" s="232">
        <v>-306.43099999999998</v>
      </c>
      <c r="AE29" s="232">
        <v>-306.43099999999998</v>
      </c>
      <c r="AF29" s="232">
        <v>0</v>
      </c>
      <c r="AG29" s="232">
        <v>-489.209</v>
      </c>
      <c r="AH29" s="235">
        <v>-795.64</v>
      </c>
      <c r="AI29" s="230"/>
      <c r="AJ29" s="232">
        <v>0</v>
      </c>
      <c r="AK29" s="232">
        <v>38.177</v>
      </c>
      <c r="AL29" s="235">
        <v>38.177</v>
      </c>
      <c r="AM29" s="230"/>
      <c r="AN29" s="231">
        <v>-3.0191987699999996</v>
      </c>
      <c r="AO29" s="232">
        <v>-268.25399999999996</v>
      </c>
      <c r="AP29" s="236">
        <v>-0.68897729811917774</v>
      </c>
      <c r="AQ29" s="230"/>
      <c r="AR29" s="237">
        <v>21.200875</v>
      </c>
      <c r="AS29" s="237">
        <v>21.200968750000001</v>
      </c>
      <c r="AT29" s="237">
        <v>21.200968750000001</v>
      </c>
      <c r="AU29" s="230"/>
      <c r="AV29" s="234">
        <v>7.1719999999999996E-3</v>
      </c>
      <c r="AW29" s="234">
        <v>1.3928926543321735E-3</v>
      </c>
      <c r="AX29" s="234">
        <v>3.1399999999999999E-4</v>
      </c>
      <c r="AY29" s="234">
        <v>0.21266117554110384</v>
      </c>
      <c r="AZ29" s="230"/>
      <c r="BA29" s="232">
        <v>0</v>
      </c>
      <c r="BB29" s="230"/>
      <c r="BC29" s="232" t="e">
        <v>#N/A</v>
      </c>
      <c r="BD29" s="232" t="e">
        <v>#N/A</v>
      </c>
      <c r="BE29" s="230"/>
      <c r="BF29" s="238">
        <v>1.057099999999999E-2</v>
      </c>
      <c r="BG29" s="238">
        <v>1.4607700000000001E-2</v>
      </c>
      <c r="BH29" s="238">
        <v>2.0541166666666676E-2</v>
      </c>
      <c r="BI29" s="230"/>
      <c r="BJ29" s="239">
        <v>10.048941642214432</v>
      </c>
      <c r="BK29" s="240">
        <v>902</v>
      </c>
      <c r="BL29" s="230"/>
      <c r="BM29" s="241">
        <v>3.3024</v>
      </c>
      <c r="BN29" s="241">
        <v>5.5868000000000002</v>
      </c>
      <c r="BO29" s="241">
        <v>7.6963999999999997</v>
      </c>
      <c r="BP29" s="241">
        <v>4.1457999999999995</v>
      </c>
      <c r="BQ29" s="241">
        <v>9.1319999999999997</v>
      </c>
      <c r="BR29" s="241">
        <v>11.95</v>
      </c>
      <c r="BS29" s="241" t="e">
        <v>#N/A</v>
      </c>
      <c r="BT29" s="241" t="e">
        <v>#N/A</v>
      </c>
      <c r="BU29" s="241" t="e">
        <v>#N/A</v>
      </c>
      <c r="BV29" s="241" t="e">
        <v>#N/A</v>
      </c>
      <c r="BW29" s="230"/>
      <c r="BX29" s="232">
        <v>71.531452999999999</v>
      </c>
      <c r="BY29" s="232">
        <v>116.35917509999999</v>
      </c>
      <c r="BZ29" s="232">
        <v>165.09450000000001</v>
      </c>
      <c r="CA29" s="232">
        <v>85.853200000000001</v>
      </c>
      <c r="CB29" s="232">
        <v>191.69980000000001</v>
      </c>
      <c r="CC29" s="232">
        <v>234.72720000000001</v>
      </c>
      <c r="CD29" s="232" t="e">
        <v>#N/A</v>
      </c>
      <c r="CE29" s="232" t="e">
        <v>#N/A</v>
      </c>
      <c r="CF29" s="232" t="e">
        <v>#N/A</v>
      </c>
      <c r="CG29" s="232" t="e">
        <v>#N/A</v>
      </c>
      <c r="CH29" s="230"/>
      <c r="CI29" s="232">
        <v>93.406299000000004</v>
      </c>
      <c r="CJ29" s="232">
        <v>145.43733400000002</v>
      </c>
      <c r="CK29" s="232">
        <v>199.08699999999999</v>
      </c>
      <c r="CL29" s="232">
        <v>101.80000000000001</v>
      </c>
      <c r="CM29" s="232">
        <v>199.02799999999999</v>
      </c>
      <c r="CN29" s="232">
        <v>294.73099999999999</v>
      </c>
      <c r="CO29" s="232" t="e">
        <v>#N/A</v>
      </c>
      <c r="CP29" s="232" t="e">
        <v>#N/A</v>
      </c>
      <c r="CQ29" s="232" t="e">
        <v>#N/A</v>
      </c>
      <c r="CR29" s="232" t="e">
        <v>#N/A</v>
      </c>
      <c r="CS29" s="230"/>
      <c r="CT29" s="232">
        <v>627.68036400000005</v>
      </c>
      <c r="CU29" s="232">
        <v>797.24095999999997</v>
      </c>
      <c r="CV29" s="232">
        <v>984.41300000000001</v>
      </c>
      <c r="CW29" s="232">
        <v>600.11599999999999</v>
      </c>
      <c r="CX29" s="232">
        <v>1060.338</v>
      </c>
      <c r="CY29" s="232">
        <v>1476.605</v>
      </c>
      <c r="CZ29" s="232" t="e">
        <v>#N/A</v>
      </c>
      <c r="DA29" s="232" t="e">
        <v>#N/A</v>
      </c>
      <c r="DB29" s="232" t="e">
        <v>#N/A</v>
      </c>
      <c r="DC29" s="232" t="e">
        <v>#N/A</v>
      </c>
      <c r="DD29" s="230"/>
      <c r="DE29" s="232" t="e">
        <v>#N/A</v>
      </c>
      <c r="DF29" s="232">
        <v>0</v>
      </c>
      <c r="DG29" s="232">
        <v>0</v>
      </c>
      <c r="DH29" s="230"/>
      <c r="DI29" s="230"/>
      <c r="DJ29" s="172" t="s">
        <v>277</v>
      </c>
    </row>
    <row r="30" spans="1:114" x14ac:dyDescent="0.25">
      <c r="A30" s="225" t="s">
        <v>729</v>
      </c>
      <c r="B30" s="226" t="s">
        <v>164</v>
      </c>
      <c r="C30" s="227" t="s">
        <v>418</v>
      </c>
      <c r="D30" s="228" t="str">
        <f t="shared" si="0"/>
        <v>CYIENTDL IN Equity</v>
      </c>
      <c r="E30" s="229" t="s">
        <v>165</v>
      </c>
      <c r="F30" s="230"/>
      <c r="G30" s="231">
        <v>376.5270310091982</v>
      </c>
      <c r="H30" s="232">
        <v>33797.328521001829</v>
      </c>
      <c r="I30" s="230"/>
      <c r="J30" s="231">
        <v>378.10075651919817</v>
      </c>
      <c r="K30" s="232">
        <v>33931.93852100183</v>
      </c>
      <c r="L30" s="230"/>
      <c r="M30" s="233">
        <v>49.74678682646644</v>
      </c>
      <c r="N30" s="233">
        <v>39.887601555182357</v>
      </c>
      <c r="O30" s="233">
        <v>24.736421275899104</v>
      </c>
      <c r="P30" s="233">
        <v>20.007515319533965</v>
      </c>
      <c r="Q30" s="230"/>
      <c r="R30" s="234">
        <v>3.5571169579219393</v>
      </c>
      <c r="S30" s="234">
        <v>4.0791360399266807</v>
      </c>
      <c r="T30" s="230"/>
      <c r="U30" s="234">
        <v>7.3265522787453602E-2</v>
      </c>
      <c r="V30" s="234">
        <v>8.7660000000000016E-2</v>
      </c>
      <c r="W30" s="234">
        <v>7.8626223987027302E-2</v>
      </c>
      <c r="X30" s="234">
        <v>9.7703794691369653E-2</v>
      </c>
      <c r="Y30" s="234">
        <v>7.5159041715228414E-2</v>
      </c>
      <c r="Z30" s="234">
        <v>8.743006302965449E-2</v>
      </c>
      <c r="AA30" s="234">
        <v>6.5164818550411507E-2</v>
      </c>
      <c r="AB30" s="234">
        <v>8.0994058017321124E-2</v>
      </c>
      <c r="AC30" s="230"/>
      <c r="AD30" s="232">
        <v>-471.17</v>
      </c>
      <c r="AE30" s="232">
        <v>-2877.82</v>
      </c>
      <c r="AF30" s="232">
        <v>-2406.65</v>
      </c>
      <c r="AG30" s="232">
        <v>-309.49</v>
      </c>
      <c r="AH30" s="235">
        <v>-3187.31</v>
      </c>
      <c r="AI30" s="230"/>
      <c r="AJ30" s="232">
        <v>1066.75</v>
      </c>
      <c r="AK30" s="232">
        <v>1945.68</v>
      </c>
      <c r="AL30" s="235">
        <v>3012.43</v>
      </c>
      <c r="AM30" s="230"/>
      <c r="AN30" s="231">
        <v>1.5737255100000014</v>
      </c>
      <c r="AO30" s="232">
        <v>134.61000000000013</v>
      </c>
      <c r="AP30" s="236">
        <v>9.8130841121495435E-2</v>
      </c>
      <c r="AQ30" s="230"/>
      <c r="AR30" s="237">
        <v>79.364395999999999</v>
      </c>
      <c r="AS30" s="237">
        <v>79.306123999999997</v>
      </c>
      <c r="AT30" s="237">
        <v>79.565466999999998</v>
      </c>
      <c r="AU30" s="230"/>
      <c r="AV30" s="234">
        <v>5.2119999999999996E-3</v>
      </c>
      <c r="AW30" s="234">
        <v>0.64255778412959241</v>
      </c>
      <c r="AX30" s="234">
        <v>2.1899999999999998E-4</v>
      </c>
      <c r="AY30" s="234">
        <v>0.47877758686653399</v>
      </c>
      <c r="AZ30" s="230"/>
      <c r="BA30" s="232">
        <v>0</v>
      </c>
      <c r="BB30" s="230"/>
      <c r="BC30" s="232" t="e">
        <v>#N/A</v>
      </c>
      <c r="BD30" s="232">
        <v>0</v>
      </c>
      <c r="BE30" s="230"/>
      <c r="BF30" s="238">
        <v>6.377559999999996E-2</v>
      </c>
      <c r="BG30" s="238">
        <v>7.1429600000000149E-2</v>
      </c>
      <c r="BH30" s="238">
        <v>0.15448363333333345</v>
      </c>
      <c r="BI30" s="230"/>
      <c r="BJ30" s="239">
        <v>4.7442814408768159</v>
      </c>
      <c r="BK30" s="240">
        <v>425.85000610351563</v>
      </c>
      <c r="BL30" s="230"/>
      <c r="BM30" s="241" t="e">
        <v>#N/A</v>
      </c>
      <c r="BN30" s="241" t="e">
        <v>#N/A</v>
      </c>
      <c r="BO30" s="241" t="e">
        <v>#N/A</v>
      </c>
      <c r="BP30" s="241">
        <v>7.75</v>
      </c>
      <c r="BQ30" s="241">
        <v>8.42</v>
      </c>
      <c r="BR30" s="241">
        <v>8.56</v>
      </c>
      <c r="BS30" s="241">
        <v>10.67625</v>
      </c>
      <c r="BT30" s="241">
        <v>15.880000000000003</v>
      </c>
      <c r="BU30" s="241">
        <v>21.163333333333334</v>
      </c>
      <c r="BV30" s="241">
        <v>28.38</v>
      </c>
      <c r="BW30" s="230"/>
      <c r="BX30" s="232">
        <v>-67.040000000000006</v>
      </c>
      <c r="BY30" s="232">
        <v>118.14</v>
      </c>
      <c r="BZ30" s="232">
        <v>397.95</v>
      </c>
      <c r="CA30" s="232">
        <v>317.27</v>
      </c>
      <c r="CB30" s="232">
        <v>611.96</v>
      </c>
      <c r="CC30" s="232">
        <v>680.78800000000001</v>
      </c>
      <c r="CD30" s="232">
        <v>908.14429001504186</v>
      </c>
      <c r="CE30" s="232">
        <v>1262.0745733666076</v>
      </c>
      <c r="CF30" s="232">
        <v>1627.4969062285395</v>
      </c>
      <c r="CG30" s="232">
        <v>2398.5479228648815</v>
      </c>
      <c r="CH30" s="230"/>
      <c r="CI30" s="232">
        <v>137.32</v>
      </c>
      <c r="CJ30" s="232">
        <v>459.44</v>
      </c>
      <c r="CK30" s="232">
        <v>840.4</v>
      </c>
      <c r="CL30" s="232">
        <v>940.91</v>
      </c>
      <c r="CM30" s="232">
        <v>1110.1199999999999</v>
      </c>
      <c r="CN30" s="232">
        <v>1371.7399999999998</v>
      </c>
      <c r="CO30" s="232">
        <v>1613.6</v>
      </c>
      <c r="CP30" s="232">
        <v>2179.8000000000002</v>
      </c>
      <c r="CQ30" s="232">
        <v>2725.5555555555602</v>
      </c>
      <c r="CR30" s="232">
        <v>3438.3333333333303</v>
      </c>
      <c r="CS30" s="230"/>
      <c r="CT30" s="232">
        <v>4570.87</v>
      </c>
      <c r="CU30" s="232">
        <v>6279.56</v>
      </c>
      <c r="CV30" s="232">
        <v>7200.01</v>
      </c>
      <c r="CW30" s="232">
        <v>8383.44</v>
      </c>
      <c r="CX30" s="232">
        <v>11918.71</v>
      </c>
      <c r="CY30" s="232">
        <v>15196.26</v>
      </c>
      <c r="CZ30" s="232">
        <v>15228</v>
      </c>
      <c r="DA30" s="232">
        <v>19270.5</v>
      </c>
      <c r="DB30" s="232">
        <v>23468.555555555558</v>
      </c>
      <c r="DC30" s="232">
        <v>28645.75</v>
      </c>
      <c r="DD30" s="230"/>
      <c r="DE30" s="232">
        <v>19061</v>
      </c>
      <c r="DF30" s="232">
        <v>141.83000000000001</v>
      </c>
      <c r="DG30" s="232">
        <v>0</v>
      </c>
      <c r="DH30" s="230"/>
      <c r="DI30" s="230"/>
      <c r="DJ30" s="172" t="s">
        <v>277</v>
      </c>
    </row>
    <row r="31" spans="1:114" x14ac:dyDescent="0.25">
      <c r="A31" s="225" t="s">
        <v>729</v>
      </c>
      <c r="B31" s="226" t="s">
        <v>753</v>
      </c>
      <c r="C31" s="227" t="s">
        <v>169</v>
      </c>
      <c r="D31" s="228" t="str">
        <f t="shared" si="0"/>
        <v>KAYNES IN Equity</v>
      </c>
      <c r="E31" s="229" t="s">
        <v>169</v>
      </c>
      <c r="F31" s="230"/>
      <c r="G31" s="231">
        <v>3075.7584726666423</v>
      </c>
      <c r="H31" s="232">
        <v>276082.22249900002</v>
      </c>
      <c r="I31" s="230"/>
      <c r="J31" s="231">
        <v>3058.2971457966423</v>
      </c>
      <c r="K31" s="232">
        <v>274588.65249900002</v>
      </c>
      <c r="L31" s="230"/>
      <c r="M31" s="233">
        <v>92.552731067382098</v>
      </c>
      <c r="N31" s="233">
        <v>58.586448959396357</v>
      </c>
      <c r="O31" s="233">
        <v>66.858855877175259</v>
      </c>
      <c r="P31" s="233">
        <v>38.056206607585182</v>
      </c>
      <c r="Q31" s="230"/>
      <c r="R31" s="234">
        <v>9.2925017478153418</v>
      </c>
      <c r="S31" s="234">
        <v>10.142809166051471</v>
      </c>
      <c r="T31" s="230"/>
      <c r="U31" s="234">
        <v>0.10788795282429682</v>
      </c>
      <c r="V31" s="234">
        <v>0.12113809523809524</v>
      </c>
      <c r="W31" s="234">
        <v>0.11664449639059153</v>
      </c>
      <c r="X31" s="234">
        <v>0.1773098429920526</v>
      </c>
      <c r="Y31" s="234">
        <v>8.6906014948285926E-2</v>
      </c>
      <c r="Z31" s="234">
        <v>0.11006383364905042</v>
      </c>
      <c r="AA31" s="234">
        <v>7.6478904633137237E-2</v>
      </c>
      <c r="AB31" s="234">
        <v>0.11387765972843365</v>
      </c>
      <c r="AC31" s="230"/>
      <c r="AD31" s="232">
        <v>-10563.06</v>
      </c>
      <c r="AE31" s="232">
        <v>-10563.06</v>
      </c>
      <c r="AF31" s="232">
        <v>0</v>
      </c>
      <c r="AG31" s="232">
        <v>-1323.84</v>
      </c>
      <c r="AH31" s="235">
        <v>-11886.9</v>
      </c>
      <c r="AI31" s="230"/>
      <c r="AJ31" s="232">
        <v>8111.79</v>
      </c>
      <c r="AK31" s="232">
        <v>917.98</v>
      </c>
      <c r="AL31" s="235">
        <v>9029.77</v>
      </c>
      <c r="AM31" s="230"/>
      <c r="AN31" s="231">
        <v>-17.925693389999989</v>
      </c>
      <c r="AO31" s="232">
        <v>-1533.2899999999991</v>
      </c>
      <c r="AP31" s="236">
        <v>-0.37333667722590003</v>
      </c>
      <c r="AQ31" s="230"/>
      <c r="AR31" s="237">
        <v>67.034654000000003</v>
      </c>
      <c r="AS31" s="237">
        <v>63.981914000000003</v>
      </c>
      <c r="AT31" s="237">
        <v>64.574060000000003</v>
      </c>
      <c r="AU31" s="230"/>
      <c r="AV31" s="234">
        <v>5.3460000000000001E-3</v>
      </c>
      <c r="AW31" s="234">
        <v>0.58362167015701816</v>
      </c>
      <c r="AX31" s="234">
        <v>1.0709999999999999E-3</v>
      </c>
      <c r="AY31" s="234">
        <v>0.44942497950388466</v>
      </c>
      <c r="AZ31" s="230"/>
      <c r="BA31" s="232">
        <v>39.72</v>
      </c>
      <c r="BB31" s="230"/>
      <c r="BC31" s="232" t="e">
        <v>#N/A</v>
      </c>
      <c r="BD31" s="232">
        <v>0</v>
      </c>
      <c r="BE31" s="230"/>
      <c r="BF31" s="238">
        <v>2.1268757999999996</v>
      </c>
      <c r="BG31" s="238">
        <v>5.3614179999999978</v>
      </c>
      <c r="BH31" s="238">
        <v>3.7058841666666691</v>
      </c>
      <c r="BI31" s="230"/>
      <c r="BJ31" s="239">
        <v>45.883111034878198</v>
      </c>
      <c r="BK31" s="240">
        <v>4118.5</v>
      </c>
      <c r="BL31" s="230"/>
      <c r="BM31" s="241">
        <v>2.3199999999999998</v>
      </c>
      <c r="BN31" s="241">
        <v>2.15</v>
      </c>
      <c r="BO31" s="241">
        <v>8.9499999999999993</v>
      </c>
      <c r="BP31" s="241">
        <v>16.373017999999998</v>
      </c>
      <c r="BQ31" s="241">
        <v>30.24</v>
      </c>
      <c r="BR31" s="241">
        <v>45.4</v>
      </c>
      <c r="BS31" s="241">
        <v>70.297826086956519</v>
      </c>
      <c r="BT31" s="241">
        <v>97.682608695652164</v>
      </c>
      <c r="BU31" s="241">
        <v>133.1521739130435</v>
      </c>
      <c r="BV31" s="241">
        <v>198.72749999999999</v>
      </c>
      <c r="BW31" s="230"/>
      <c r="BX31" s="232">
        <v>93.55</v>
      </c>
      <c r="BY31" s="232">
        <v>97.33</v>
      </c>
      <c r="BZ31" s="232">
        <v>416.75</v>
      </c>
      <c r="CA31" s="232">
        <v>950.21</v>
      </c>
      <c r="CB31" s="232">
        <v>1814.203</v>
      </c>
      <c r="CC31" s="232">
        <v>2873.6759999999999</v>
      </c>
      <c r="CD31" s="232">
        <v>4668.4644268174707</v>
      </c>
      <c r="CE31" s="232">
        <v>6470.8170475075976</v>
      </c>
      <c r="CF31" s="232">
        <v>8908.4715265783088</v>
      </c>
      <c r="CG31" s="232">
        <v>13163.865923019532</v>
      </c>
      <c r="CH31" s="230"/>
      <c r="CI31" s="232">
        <v>413.33000000000004</v>
      </c>
      <c r="CJ31" s="232">
        <v>408.90999999999997</v>
      </c>
      <c r="CK31" s="232">
        <v>936.71</v>
      </c>
      <c r="CL31" s="232">
        <v>1683.18</v>
      </c>
      <c r="CM31" s="232">
        <v>2541.6799999999998</v>
      </c>
      <c r="CN31" s="232">
        <v>4106.99</v>
      </c>
      <c r="CO31" s="232">
        <v>6760.6521739130403</v>
      </c>
      <c r="CP31" s="232">
        <v>10135.739130434798</v>
      </c>
      <c r="CQ31" s="232">
        <v>14265.956521739099</v>
      </c>
      <c r="CR31" s="232">
        <v>19637.444444444402</v>
      </c>
      <c r="CS31" s="230"/>
      <c r="CT31" s="232">
        <v>3682.38</v>
      </c>
      <c r="CU31" s="232">
        <v>4206.2700000000004</v>
      </c>
      <c r="CV31" s="232">
        <v>7062.49</v>
      </c>
      <c r="CW31" s="232">
        <v>11261.14</v>
      </c>
      <c r="CX31" s="232">
        <v>18046.189999999999</v>
      </c>
      <c r="CY31" s="232">
        <v>27217.52</v>
      </c>
      <c r="CZ31" s="232">
        <v>41898.17391304348</v>
      </c>
      <c r="DA31" s="232">
        <v>63451.34782608696</v>
      </c>
      <c r="DB31" s="232">
        <v>86918.782608695648</v>
      </c>
      <c r="DC31" s="232">
        <v>115628.9</v>
      </c>
      <c r="DD31" s="230"/>
      <c r="DE31" s="232" t="e">
        <v>#N/A</v>
      </c>
      <c r="DF31" s="232">
        <v>0</v>
      </c>
      <c r="DG31" s="232">
        <v>0</v>
      </c>
      <c r="DH31" s="230"/>
      <c r="DI31" s="230"/>
      <c r="DJ31" s="172" t="s">
        <v>277</v>
      </c>
    </row>
    <row r="32" spans="1:114" x14ac:dyDescent="0.25">
      <c r="A32" s="225" t="s">
        <v>729</v>
      </c>
      <c r="B32" s="226" t="s">
        <v>168</v>
      </c>
      <c r="C32" s="227" t="s">
        <v>170</v>
      </c>
      <c r="D32" s="228" t="str">
        <f t="shared" si="0"/>
        <v>SYRMA IN Equity</v>
      </c>
      <c r="E32" s="229" t="s">
        <v>170</v>
      </c>
      <c r="F32" s="230"/>
      <c r="G32" s="231">
        <v>1576.5101248916276</v>
      </c>
      <c r="H32" s="232">
        <v>141508.64670947447</v>
      </c>
      <c r="I32" s="230"/>
      <c r="J32" s="231">
        <v>1622.3746193516276</v>
      </c>
      <c r="K32" s="232">
        <v>145431.7067094745</v>
      </c>
      <c r="L32" s="230"/>
      <c r="M32" s="233">
        <v>86.282100867928179</v>
      </c>
      <c r="N32" s="233">
        <v>52.869448605837071</v>
      </c>
      <c r="O32" s="233">
        <v>44.981011483887222</v>
      </c>
      <c r="P32" s="233">
        <v>34.25468535048762</v>
      </c>
      <c r="Q32" s="230"/>
      <c r="R32" s="234">
        <v>7.4664318119885147</v>
      </c>
      <c r="S32" s="234">
        <v>9.3062982316410672</v>
      </c>
      <c r="T32" s="230"/>
      <c r="U32" s="234">
        <v>9.0267093165588716E-2</v>
      </c>
      <c r="V32" s="234">
        <v>0.11339999999999999</v>
      </c>
      <c r="W32" s="234">
        <v>0.12741283781604565</v>
      </c>
      <c r="X32" s="234">
        <v>0.16339369506267321</v>
      </c>
      <c r="Y32" s="234">
        <v>8.0122842124310173E-2</v>
      </c>
      <c r="Z32" s="234">
        <v>0.10195108258522703</v>
      </c>
      <c r="AA32" s="234">
        <v>7.5400684655704389E-2</v>
      </c>
      <c r="AB32" s="234">
        <v>9.4363312630424828E-2</v>
      </c>
      <c r="AC32" s="230"/>
      <c r="AD32" s="232">
        <v>-2957.89</v>
      </c>
      <c r="AE32" s="232">
        <v>-3471.5</v>
      </c>
      <c r="AF32" s="232">
        <v>-513.61</v>
      </c>
      <c r="AG32" s="232">
        <v>-80.31</v>
      </c>
      <c r="AH32" s="235">
        <v>-3551.81</v>
      </c>
      <c r="AI32" s="230"/>
      <c r="AJ32" s="232">
        <v>5579.31</v>
      </c>
      <c r="AK32" s="232">
        <v>1066.7</v>
      </c>
      <c r="AL32" s="235">
        <v>6646.01</v>
      </c>
      <c r="AM32" s="230"/>
      <c r="AN32" s="231">
        <v>37.113196409999993</v>
      </c>
      <c r="AO32" s="232">
        <v>3174.51</v>
      </c>
      <c r="AP32" s="236">
        <v>0.9818537786328011</v>
      </c>
      <c r="AQ32" s="230"/>
      <c r="AR32" s="237">
        <v>192.83048499999998</v>
      </c>
      <c r="AS32" s="237">
        <v>177.81425300000001</v>
      </c>
      <c r="AT32" s="237">
        <v>178.428336</v>
      </c>
      <c r="AU32" s="230"/>
      <c r="AV32" s="234">
        <v>4.2970000000000005E-3</v>
      </c>
      <c r="AW32" s="234">
        <v>0.40713459539361141</v>
      </c>
      <c r="AX32" s="234">
        <v>7.0199999999999993E-4</v>
      </c>
      <c r="AY32" s="234">
        <v>0.39677582618744123</v>
      </c>
      <c r="AZ32" s="230"/>
      <c r="BA32" s="232">
        <v>748.55</v>
      </c>
      <c r="BB32" s="230"/>
      <c r="BC32" s="232" t="e">
        <v>#N/A</v>
      </c>
      <c r="BD32" s="232">
        <v>266.14</v>
      </c>
      <c r="BE32" s="230"/>
      <c r="BF32" s="238">
        <v>0.96606620000000032</v>
      </c>
      <c r="BG32" s="238">
        <v>0.8788752000000003</v>
      </c>
      <c r="BH32" s="238">
        <v>1.9329917000000025</v>
      </c>
      <c r="BI32" s="230"/>
      <c r="BJ32" s="239">
        <v>8.1756270274984164</v>
      </c>
      <c r="BK32" s="240">
        <v>733.8499755859375</v>
      </c>
      <c r="BL32" s="230"/>
      <c r="BM32" s="241" t="e">
        <v>#N/A</v>
      </c>
      <c r="BN32" s="241">
        <v>3.7910840000000001</v>
      </c>
      <c r="BO32" s="241">
        <v>5.25</v>
      </c>
      <c r="BP32" s="241">
        <v>7.39</v>
      </c>
      <c r="BQ32" s="241">
        <v>6.13</v>
      </c>
      <c r="BR32" s="241">
        <v>9.6417599999999997</v>
      </c>
      <c r="BS32" s="241">
        <v>13.880416666666664</v>
      </c>
      <c r="BT32" s="241">
        <v>20.026800000000001</v>
      </c>
      <c r="BU32" s="241">
        <v>26.917727272727269</v>
      </c>
      <c r="BV32" s="241">
        <v>37.731999999999999</v>
      </c>
      <c r="BW32" s="230"/>
      <c r="BX32" s="232" t="e">
        <v>#N/A</v>
      </c>
      <c r="BY32" s="232">
        <v>326.28800000000001</v>
      </c>
      <c r="BZ32" s="232">
        <v>543.32600000000002</v>
      </c>
      <c r="CA32" s="232">
        <v>1193.53</v>
      </c>
      <c r="CB32" s="232">
        <v>1058.181</v>
      </c>
      <c r="CC32" s="232">
        <v>1517.6479999999999</v>
      </c>
      <c r="CD32" s="232">
        <v>2562.3508225100431</v>
      </c>
      <c r="CE32" s="232">
        <v>3657.3552036040892</v>
      </c>
      <c r="CF32" s="232">
        <v>5008.4388398444407</v>
      </c>
      <c r="CG32" s="232">
        <v>6585.4202163099817</v>
      </c>
      <c r="CH32" s="230"/>
      <c r="CI32" s="232" t="e">
        <v>#N/A</v>
      </c>
      <c r="CJ32" s="232">
        <v>467.57</v>
      </c>
      <c r="CK32" s="232">
        <v>944.28</v>
      </c>
      <c r="CL32" s="232">
        <v>1949.68</v>
      </c>
      <c r="CM32" s="232">
        <v>2022.5500000000002</v>
      </c>
      <c r="CN32" s="232">
        <v>3233.18</v>
      </c>
      <c r="CO32" s="232">
        <v>4528.12</v>
      </c>
      <c r="CP32" s="232">
        <v>6198.16</v>
      </c>
      <c r="CQ32" s="232">
        <v>8350.9090909090901</v>
      </c>
      <c r="CR32" s="232">
        <v>10455.5714285714</v>
      </c>
      <c r="CS32" s="230"/>
      <c r="CT32" s="232" t="e">
        <v>#N/A</v>
      </c>
      <c r="CU32" s="232">
        <v>4293.47</v>
      </c>
      <c r="CV32" s="232">
        <v>10132.799999999999</v>
      </c>
      <c r="CW32" s="232">
        <v>20098.240000000002</v>
      </c>
      <c r="CX32" s="232">
        <v>31302.65</v>
      </c>
      <c r="CY32" s="232">
        <v>37159.89</v>
      </c>
      <c r="CZ32" s="232">
        <v>48189.24</v>
      </c>
      <c r="DA32" s="232">
        <v>63799.360000000001</v>
      </c>
      <c r="DB32" s="232">
        <v>82443.590909090912</v>
      </c>
      <c r="DC32" s="232">
        <v>96926.875</v>
      </c>
      <c r="DD32" s="230"/>
      <c r="DE32" s="232" t="e">
        <v>#N/A</v>
      </c>
      <c r="DF32" s="232">
        <v>11.89</v>
      </c>
      <c r="DG32" s="232" t="e">
        <v>#N/A</v>
      </c>
      <c r="DH32" s="230"/>
      <c r="DI32" s="230"/>
      <c r="DJ32" s="172" t="s">
        <v>277</v>
      </c>
    </row>
    <row r="33" spans="1:114" x14ac:dyDescent="0.25">
      <c r="A33" s="225" t="s">
        <v>729</v>
      </c>
      <c r="B33" s="226" t="s">
        <v>172</v>
      </c>
      <c r="C33" s="227" t="s">
        <v>419</v>
      </c>
      <c r="D33" s="228" t="str">
        <f t="shared" si="0"/>
        <v>SOIL IN Equity</v>
      </c>
      <c r="E33" s="229" t="s">
        <v>173</v>
      </c>
      <c r="F33" s="230"/>
      <c r="G33" s="231">
        <v>12586.447987215897</v>
      </c>
      <c r="H33" s="232">
        <v>1129768.3366749999</v>
      </c>
      <c r="I33" s="230"/>
      <c r="J33" s="231">
        <v>12571.340877015897</v>
      </c>
      <c r="K33" s="232">
        <v>1128476.136675</v>
      </c>
      <c r="L33" s="230"/>
      <c r="M33" s="233">
        <v>91.82189555870913</v>
      </c>
      <c r="N33" s="233">
        <v>66.813535739131979</v>
      </c>
      <c r="O33" s="233">
        <v>57.564739980156709</v>
      </c>
      <c r="P33" s="233">
        <v>47.358677478046268</v>
      </c>
      <c r="Q33" s="230"/>
      <c r="R33" s="234">
        <v>25.756515378994788</v>
      </c>
      <c r="S33" s="234">
        <v>26.882028811903805</v>
      </c>
      <c r="T33" s="230"/>
      <c r="U33" s="234">
        <v>0.31991695203030707</v>
      </c>
      <c r="V33" s="234">
        <v>0.31854285714285713</v>
      </c>
      <c r="W33" s="234">
        <v>0.32536098837170202</v>
      </c>
      <c r="X33" s="234">
        <v>0.31166466915060537</v>
      </c>
      <c r="Y33" s="234">
        <v>0.26466313798901209</v>
      </c>
      <c r="Z33" s="234">
        <v>0.35730232586166549</v>
      </c>
      <c r="AA33" s="234">
        <v>0.24447274497982049</v>
      </c>
      <c r="AB33" s="234">
        <v>0.27275398475469254</v>
      </c>
      <c r="AC33" s="230"/>
      <c r="AD33" s="232">
        <v>-7254.8</v>
      </c>
      <c r="AE33" s="232">
        <v>-12544.5</v>
      </c>
      <c r="AF33" s="232">
        <v>-5289.7</v>
      </c>
      <c r="AG33" s="232">
        <v>-1109.5</v>
      </c>
      <c r="AH33" s="235">
        <v>-13654</v>
      </c>
      <c r="AI33" s="230"/>
      <c r="AJ33" s="232">
        <v>5572.9</v>
      </c>
      <c r="AK33" s="232">
        <v>4176.6000000000004</v>
      </c>
      <c r="AL33" s="235">
        <v>9749.5</v>
      </c>
      <c r="AM33" s="230"/>
      <c r="AN33" s="231">
        <v>-32.676344999999998</v>
      </c>
      <c r="AO33" s="232">
        <v>-2795</v>
      </c>
      <c r="AP33" s="236">
        <v>-0.14257585341467893</v>
      </c>
      <c r="AQ33" s="230"/>
      <c r="AR33" s="237">
        <v>90.490054999999998</v>
      </c>
      <c r="AS33" s="237">
        <v>90.490054999999998</v>
      </c>
      <c r="AT33" s="237">
        <v>90.490054999999998</v>
      </c>
      <c r="AU33" s="230"/>
      <c r="AV33" s="234">
        <v>7.3150000000000003E-3</v>
      </c>
      <c r="AW33" s="234">
        <v>0.62044915545541801</v>
      </c>
      <c r="AX33" s="234">
        <v>7.1099999999999994E-4</v>
      </c>
      <c r="AY33" s="234">
        <v>0.26852435883700149</v>
      </c>
      <c r="AZ33" s="230"/>
      <c r="BA33" s="232">
        <v>1502.8</v>
      </c>
      <c r="BB33" s="230"/>
      <c r="BC33" s="232" t="e">
        <v>#N/A</v>
      </c>
      <c r="BD33" s="232">
        <v>1007.3</v>
      </c>
      <c r="BE33" s="230"/>
      <c r="BF33" s="238">
        <v>0.13065779999999994</v>
      </c>
      <c r="BG33" s="238">
        <v>0.10048820000000008</v>
      </c>
      <c r="BH33" s="238">
        <v>0.10491343333333331</v>
      </c>
      <c r="BI33" s="230"/>
      <c r="BJ33" s="239">
        <v>139.09205809650464</v>
      </c>
      <c r="BK33" s="240">
        <v>12485</v>
      </c>
      <c r="BL33" s="230"/>
      <c r="BM33" s="241">
        <v>29.550276</v>
      </c>
      <c r="BN33" s="241">
        <v>30.54</v>
      </c>
      <c r="BO33" s="241">
        <v>48.760221000000001</v>
      </c>
      <c r="BP33" s="241">
        <v>83.68</v>
      </c>
      <c r="BQ33" s="241">
        <v>92.38</v>
      </c>
      <c r="BR33" s="241">
        <v>133.65</v>
      </c>
      <c r="BS33" s="241">
        <v>186.86333333333334</v>
      </c>
      <c r="BT33" s="241">
        <v>239.76777777777781</v>
      </c>
      <c r="BU33" s="241">
        <v>287.33625000000006</v>
      </c>
      <c r="BV33" s="241">
        <v>365.68</v>
      </c>
      <c r="BW33" s="230"/>
      <c r="BX33" s="232">
        <v>2790.64</v>
      </c>
      <c r="BY33" s="232">
        <v>3000.31</v>
      </c>
      <c r="BZ33" s="232">
        <v>4322.71</v>
      </c>
      <c r="CA33" s="232">
        <v>7710.01</v>
      </c>
      <c r="CB33" s="232">
        <v>9273.7099999999991</v>
      </c>
      <c r="CC33" s="232">
        <v>12303.91</v>
      </c>
      <c r="CD33" s="232">
        <v>16903.923741107501</v>
      </c>
      <c r="CE33" s="232">
        <v>21778.706891924219</v>
      </c>
      <c r="CF33" s="232">
        <v>26224.407729805022</v>
      </c>
      <c r="CG33" s="232">
        <v>-8999.0174748233039</v>
      </c>
      <c r="CH33" s="230"/>
      <c r="CI33" s="232">
        <v>4343.2</v>
      </c>
      <c r="CJ33" s="232">
        <v>5146</v>
      </c>
      <c r="CK33" s="232">
        <v>7472.6</v>
      </c>
      <c r="CL33" s="232">
        <v>12889.2</v>
      </c>
      <c r="CM33" s="232">
        <v>15370.699999999999</v>
      </c>
      <c r="CN33" s="232">
        <v>19603.599999999999</v>
      </c>
      <c r="CO33" s="232">
        <v>26482.555555555598</v>
      </c>
      <c r="CP33" s="232">
        <v>34144.777777777803</v>
      </c>
      <c r="CQ33" s="232">
        <v>41641.25</v>
      </c>
      <c r="CR33" s="232">
        <v>25915.179499999998</v>
      </c>
      <c r="CS33" s="230"/>
      <c r="CT33" s="232">
        <v>21654.3</v>
      </c>
      <c r="CU33" s="232">
        <v>25156.3</v>
      </c>
      <c r="CV33" s="232">
        <v>39476.1</v>
      </c>
      <c r="CW33" s="232">
        <v>69225.3</v>
      </c>
      <c r="CX33" s="232">
        <v>60695.199999999997</v>
      </c>
      <c r="CY33" s="232">
        <v>75402.600000000006</v>
      </c>
      <c r="CZ33" s="232">
        <v>100312.11111111111</v>
      </c>
      <c r="DA33" s="232">
        <v>127392.33333333333</v>
      </c>
      <c r="DB33" s="232">
        <v>154324.75</v>
      </c>
      <c r="DC33" s="232">
        <v>94836.179499999998</v>
      </c>
      <c r="DD33" s="230"/>
      <c r="DE33" s="232" t="e">
        <v>#N/A</v>
      </c>
      <c r="DF33" s="232" t="e">
        <v>#N/A</v>
      </c>
      <c r="DG33" s="232">
        <v>0</v>
      </c>
      <c r="DH33" s="230"/>
      <c r="DI33" s="230"/>
      <c r="DJ33" s="172" t="s">
        <v>277</v>
      </c>
    </row>
    <row r="34" spans="1:114" x14ac:dyDescent="0.25">
      <c r="A34" s="225" t="s">
        <v>729</v>
      </c>
      <c r="B34" s="226" t="s">
        <v>174</v>
      </c>
      <c r="C34" s="227" t="s">
        <v>420</v>
      </c>
      <c r="D34" s="228" t="str">
        <f t="shared" si="0"/>
        <v>BHFC IN Equity</v>
      </c>
      <c r="E34" s="229" t="s">
        <v>175</v>
      </c>
      <c r="F34" s="230"/>
      <c r="G34" s="231">
        <v>7725.7373042171575</v>
      </c>
      <c r="H34" s="232">
        <v>693467.56071599992</v>
      </c>
      <c r="I34" s="230"/>
      <c r="J34" s="231">
        <v>8198.1141466871577</v>
      </c>
      <c r="K34" s="232">
        <v>733872.73071599985</v>
      </c>
      <c r="L34" s="230"/>
      <c r="M34" s="233">
        <v>75.920880236263883</v>
      </c>
      <c r="N34" s="233">
        <v>54.214165576527755</v>
      </c>
      <c r="O34" s="233">
        <v>27.049043212479798</v>
      </c>
      <c r="P34" s="233">
        <v>24.191465140159099</v>
      </c>
      <c r="Q34" s="230"/>
      <c r="R34" s="234">
        <v>7.4942454332243917</v>
      </c>
      <c r="S34" s="234">
        <v>7.7544089059890196</v>
      </c>
      <c r="T34" s="230"/>
      <c r="U34" s="234">
        <v>0.10922385812832548</v>
      </c>
      <c r="V34" s="234">
        <v>0.12896249999999998</v>
      </c>
      <c r="W34" s="234">
        <v>0.11964892499696</v>
      </c>
      <c r="X34" s="234">
        <v>0.1339788791507118</v>
      </c>
      <c r="Y34" s="234">
        <v>7.4802035368687972E-2</v>
      </c>
      <c r="Z34" s="234">
        <v>0.11809285211796111</v>
      </c>
      <c r="AA34" s="234">
        <v>6.8179441416098108E-2</v>
      </c>
      <c r="AB34" s="234">
        <v>7.4400607243082714E-2</v>
      </c>
      <c r="AC34" s="230"/>
      <c r="AD34" s="232">
        <v>-12720.3</v>
      </c>
      <c r="AE34" s="232">
        <v>-26249.89</v>
      </c>
      <c r="AF34" s="232">
        <v>-13529.59</v>
      </c>
      <c r="AG34" s="232">
        <v>-6386.38</v>
      </c>
      <c r="AH34" s="235">
        <v>-32636.27</v>
      </c>
      <c r="AI34" s="230"/>
      <c r="AJ34" s="232">
        <v>50164.95</v>
      </c>
      <c r="AK34" s="232">
        <v>16817.64</v>
      </c>
      <c r="AL34" s="235">
        <v>66982.59</v>
      </c>
      <c r="AM34" s="230"/>
      <c r="AN34" s="231">
        <v>476.20599569999996</v>
      </c>
      <c r="AO34" s="232">
        <v>40732.699999999997</v>
      </c>
      <c r="AP34" s="236">
        <v>1.5013237532153951</v>
      </c>
      <c r="AQ34" s="230"/>
      <c r="AR34" s="237">
        <v>478.08863199999996</v>
      </c>
      <c r="AS34" s="237">
        <v>469.45849500000003</v>
      </c>
      <c r="AT34" s="237">
        <v>469.45849500000003</v>
      </c>
      <c r="AU34" s="230"/>
      <c r="AV34" s="234">
        <v>4.4069999999999995E-3</v>
      </c>
      <c r="AW34" s="234">
        <v>0.81542381933308616</v>
      </c>
      <c r="AX34" s="234">
        <v>1.3619999999999999E-3</v>
      </c>
      <c r="AY34" s="234">
        <v>0.5346441389553892</v>
      </c>
      <c r="AZ34" s="230"/>
      <c r="BA34" s="232">
        <v>-327.52999999999997</v>
      </c>
      <c r="BB34" s="230"/>
      <c r="BC34" s="232" t="e">
        <v>#N/A</v>
      </c>
      <c r="BD34" s="232">
        <v>4220.93</v>
      </c>
      <c r="BE34" s="230"/>
      <c r="BF34" s="238">
        <v>0.48133560000000014</v>
      </c>
      <c r="BG34" s="238">
        <v>0.50728560000000034</v>
      </c>
      <c r="BH34" s="238">
        <v>0.97966836666666712</v>
      </c>
      <c r="BI34" s="230"/>
      <c r="BJ34" s="239">
        <v>16.159633982297155</v>
      </c>
      <c r="BK34" s="240">
        <v>1450.5</v>
      </c>
      <c r="BL34" s="230"/>
      <c r="BM34" s="241">
        <v>9.19</v>
      </c>
      <c r="BN34" s="241">
        <v>3.843</v>
      </c>
      <c r="BO34" s="241">
        <v>20.341999999999999</v>
      </c>
      <c r="BP34" s="241">
        <v>12.33</v>
      </c>
      <c r="BQ34" s="241">
        <v>20.43</v>
      </c>
      <c r="BR34" s="241">
        <v>22.797443999999999</v>
      </c>
      <c r="BS34" s="241">
        <v>26.754999999999999</v>
      </c>
      <c r="BT34" s="241">
        <v>35.406538461538453</v>
      </c>
      <c r="BU34" s="241">
        <v>42.499600000000008</v>
      </c>
      <c r="BV34" s="241">
        <v>56.297500000000007</v>
      </c>
      <c r="BW34" s="230"/>
      <c r="BX34" s="232">
        <v>2855.5030000000002</v>
      </c>
      <c r="BY34" s="232">
        <v>-1914.7049999999999</v>
      </c>
      <c r="BZ34" s="232">
        <v>11181.138000000001</v>
      </c>
      <c r="CA34" s="232">
        <v>4726.7340000000004</v>
      </c>
      <c r="CB34" s="232">
        <v>8969.7739999999994</v>
      </c>
      <c r="CC34" s="232">
        <v>8969.2000000000007</v>
      </c>
      <c r="CD34" s="232">
        <v>13029.348514463732</v>
      </c>
      <c r="CE34" s="232">
        <v>17098.610296649724</v>
      </c>
      <c r="CF34" s="232">
        <v>20424.412246786229</v>
      </c>
      <c r="CG34" s="232">
        <v>29770.457456636566</v>
      </c>
      <c r="CH34" s="230"/>
      <c r="CI34" s="232">
        <v>11147.09</v>
      </c>
      <c r="CJ34" s="232">
        <v>8633.5600000000013</v>
      </c>
      <c r="CK34" s="232">
        <v>19810.02</v>
      </c>
      <c r="CL34" s="232">
        <v>17764.400000000001</v>
      </c>
      <c r="CM34" s="232">
        <v>25660.85</v>
      </c>
      <c r="CN34" s="232">
        <v>27131.190000000002</v>
      </c>
      <c r="CO34" s="232">
        <v>28795.439999999999</v>
      </c>
      <c r="CP34" s="232">
        <v>34502.32</v>
      </c>
      <c r="CQ34" s="232">
        <v>39353.875</v>
      </c>
      <c r="CR34" s="232">
        <v>46346</v>
      </c>
      <c r="CS34" s="230"/>
      <c r="CT34" s="232">
        <v>80558.44</v>
      </c>
      <c r="CU34" s="232">
        <v>63362.61</v>
      </c>
      <c r="CV34" s="232">
        <v>104610.78</v>
      </c>
      <c r="CW34" s="232">
        <v>129102.59</v>
      </c>
      <c r="CX34" s="232">
        <v>156820.71</v>
      </c>
      <c r="CY34" s="232">
        <v>151228.03</v>
      </c>
      <c r="CZ34" s="232">
        <v>161946.34615384616</v>
      </c>
      <c r="DA34" s="232">
        <v>185101.88461538462</v>
      </c>
      <c r="DB34" s="232">
        <v>204364.88</v>
      </c>
      <c r="DC34" s="232">
        <v>223901.5</v>
      </c>
      <c r="DD34" s="230"/>
      <c r="DE34" s="232" t="e">
        <v>#N/A</v>
      </c>
      <c r="DF34" s="232" t="e">
        <v>#N/A</v>
      </c>
      <c r="DG34" s="232" t="e">
        <v>#N/A</v>
      </c>
      <c r="DH34" s="230"/>
      <c r="DI34" s="230"/>
      <c r="DJ34" s="172" t="s">
        <v>277</v>
      </c>
    </row>
    <row r="35" spans="1:114" x14ac:dyDescent="0.25">
      <c r="A35" s="225" t="s">
        <v>729</v>
      </c>
      <c r="B35" s="226" t="s">
        <v>754</v>
      </c>
      <c r="C35" s="227" t="s">
        <v>177</v>
      </c>
      <c r="D35" s="228" t="str">
        <f t="shared" si="0"/>
        <v>LT IN Equity</v>
      </c>
      <c r="E35" s="229" t="s">
        <v>177</v>
      </c>
      <c r="F35" s="230"/>
      <c r="G35" s="231">
        <v>62121.340185833091</v>
      </c>
      <c r="H35" s="232">
        <v>5576054.7570732692</v>
      </c>
      <c r="I35" s="230"/>
      <c r="J35" s="231">
        <v>71922.02707223309</v>
      </c>
      <c r="K35" s="232">
        <v>6414365.1570732696</v>
      </c>
      <c r="L35" s="230"/>
      <c r="M35" s="233">
        <v>39.432868069629343</v>
      </c>
      <c r="N35" s="233">
        <v>30.839424932853397</v>
      </c>
      <c r="O35" s="233">
        <v>24.264907304075127</v>
      </c>
      <c r="P35" s="233">
        <v>20.921670339375353</v>
      </c>
      <c r="Q35" s="230"/>
      <c r="R35" s="234">
        <v>5.7083045870796045</v>
      </c>
      <c r="S35" s="234">
        <v>7.7360422433484084</v>
      </c>
      <c r="T35" s="230"/>
      <c r="U35" s="234">
        <v>0.15373859523503647</v>
      </c>
      <c r="V35" s="234">
        <v>0.17318571428571428</v>
      </c>
      <c r="W35" s="234">
        <v>0.22597853497641082</v>
      </c>
      <c r="X35" s="234">
        <v>0.32874051793693304</v>
      </c>
      <c r="Y35" s="234">
        <v>7.0768419699622581E-2</v>
      </c>
      <c r="Z35" s="234">
        <v>9.4155683589480871E-2</v>
      </c>
      <c r="AA35" s="234">
        <v>6.6387767409193804E-2</v>
      </c>
      <c r="AB35" s="234">
        <v>8.6447810815789089E-2</v>
      </c>
      <c r="AC35" s="230"/>
      <c r="AD35" s="232">
        <v>-229653.4</v>
      </c>
      <c r="AE35" s="232">
        <v>-663259.6</v>
      </c>
      <c r="AF35" s="232">
        <v>-433606.2</v>
      </c>
      <c r="AG35" s="232">
        <v>-739811.7</v>
      </c>
      <c r="AH35" s="235">
        <v>-1403071.3</v>
      </c>
      <c r="AI35" s="230"/>
      <c r="AJ35" s="232">
        <v>726403.4</v>
      </c>
      <c r="AK35" s="232">
        <v>597685.80000000005</v>
      </c>
      <c r="AL35" s="235">
        <v>1324089.2</v>
      </c>
      <c r="AM35" s="230"/>
      <c r="AN35" s="231">
        <v>7725.758853600003</v>
      </c>
      <c r="AO35" s="232">
        <v>660829.60000000021</v>
      </c>
      <c r="AP35" s="236">
        <v>2.4998528451575472</v>
      </c>
      <c r="AQ35" s="230"/>
      <c r="AR35" s="237">
        <v>1375.580872</v>
      </c>
      <c r="AS35" s="237">
        <v>1374.9931220000001</v>
      </c>
      <c r="AT35" s="237">
        <v>1376.0400059999999</v>
      </c>
      <c r="AU35" s="230"/>
      <c r="AV35" s="234" t="e">
        <v>#N/A</v>
      </c>
      <c r="AW35" s="234">
        <v>0.57347988789992321</v>
      </c>
      <c r="AX35" s="234">
        <v>1.9450000000000001E-3</v>
      </c>
      <c r="AY35" s="234">
        <v>0.69383113448818012</v>
      </c>
      <c r="AZ35" s="230"/>
      <c r="BA35" s="232">
        <v>177480.8</v>
      </c>
      <c r="BB35" s="230"/>
      <c r="BC35" s="232" t="e">
        <v>#N/A</v>
      </c>
      <c r="BD35" s="232">
        <v>38495.699999999997</v>
      </c>
      <c r="BE35" s="230"/>
      <c r="BF35" s="238">
        <v>1.3220675999999996</v>
      </c>
      <c r="BG35" s="238">
        <v>1.4555409999999989</v>
      </c>
      <c r="BH35" s="238">
        <v>1.5330650333333329</v>
      </c>
      <c r="BI35" s="230"/>
      <c r="BJ35" s="239">
        <v>45.160078516876247</v>
      </c>
      <c r="BK35" s="240">
        <v>4053.60009765625</v>
      </c>
      <c r="BL35" s="230"/>
      <c r="BM35" s="241">
        <v>63.38</v>
      </c>
      <c r="BN35" s="241">
        <v>44.413165999999997</v>
      </c>
      <c r="BO35" s="241">
        <v>61.71</v>
      </c>
      <c r="BP35" s="241">
        <v>74.510000000000005</v>
      </c>
      <c r="BQ35" s="241">
        <v>93.88</v>
      </c>
      <c r="BR35" s="241">
        <v>105.8</v>
      </c>
      <c r="BS35" s="241">
        <v>131.44214285714287</v>
      </c>
      <c r="BT35" s="241">
        <v>159.81392857142851</v>
      </c>
      <c r="BU35" s="241">
        <v>188.47541666666669</v>
      </c>
      <c r="BV35" s="241">
        <v>218.14499999999998</v>
      </c>
      <c r="BW35" s="230"/>
      <c r="BX35" s="232">
        <v>84040.68</v>
      </c>
      <c r="BY35" s="232">
        <v>62423.29</v>
      </c>
      <c r="BZ35" s="232">
        <v>85894.65</v>
      </c>
      <c r="CA35" s="232">
        <v>102961.96</v>
      </c>
      <c r="CB35" s="232">
        <v>124650.3463</v>
      </c>
      <c r="CC35" s="232">
        <v>141450.91501999999</v>
      </c>
      <c r="CD35" s="232">
        <v>183719.61479180766</v>
      </c>
      <c r="CE35" s="232">
        <v>223467.93691878155</v>
      </c>
      <c r="CF35" s="232">
        <v>263526.7780771153</v>
      </c>
      <c r="CG35" s="232">
        <v>310202.75506198249</v>
      </c>
      <c r="CH35" s="230"/>
      <c r="CI35" s="232">
        <v>163289.80000000002</v>
      </c>
      <c r="CJ35" s="232">
        <v>232778.30000000002</v>
      </c>
      <c r="CK35" s="232">
        <v>235038.4</v>
      </c>
      <c r="CL35" s="232">
        <v>207532.79999999999</v>
      </c>
      <c r="CM35" s="232">
        <v>234936.5</v>
      </c>
      <c r="CN35" s="232">
        <v>264347.40000000002</v>
      </c>
      <c r="CO35" s="232">
        <v>310057.310344828</v>
      </c>
      <c r="CP35" s="232">
        <v>364838.75862069003</v>
      </c>
      <c r="CQ35" s="232">
        <v>420120.33333333302</v>
      </c>
      <c r="CR35" s="232">
        <v>469814.75</v>
      </c>
      <c r="CS35" s="230"/>
      <c r="CT35" s="232">
        <v>1443080.5</v>
      </c>
      <c r="CU35" s="232">
        <v>1344767.5</v>
      </c>
      <c r="CV35" s="232">
        <v>1556724.6</v>
      </c>
      <c r="CW35" s="232">
        <v>1816614.2</v>
      </c>
      <c r="CX35" s="232">
        <v>2191156.9</v>
      </c>
      <c r="CY35" s="232">
        <v>2542086.5</v>
      </c>
      <c r="CZ35" s="232">
        <v>2951636.8484848486</v>
      </c>
      <c r="DA35" s="232">
        <v>3412764.6666666665</v>
      </c>
      <c r="DB35" s="232">
        <v>3899596.8571428568</v>
      </c>
      <c r="DC35" s="232">
        <v>4333492.75</v>
      </c>
      <c r="DD35" s="230"/>
      <c r="DE35" s="232">
        <v>5791370</v>
      </c>
      <c r="DF35" s="232">
        <v>576113.69999999995</v>
      </c>
      <c r="DG35" s="232">
        <v>0</v>
      </c>
      <c r="DH35" s="230"/>
      <c r="DI35" s="230"/>
      <c r="DJ35" s="172" t="s">
        <v>277</v>
      </c>
    </row>
    <row r="36" spans="1:114" x14ac:dyDescent="0.25">
      <c r="A36" s="225" t="s">
        <v>729</v>
      </c>
      <c r="B36" s="226" t="s">
        <v>178</v>
      </c>
      <c r="C36" s="227" t="s">
        <v>179</v>
      </c>
      <c r="D36" s="228" t="str">
        <f t="shared" si="0"/>
        <v>BHEL IN Equity</v>
      </c>
      <c r="E36" s="229" t="s">
        <v>179</v>
      </c>
      <c r="F36" s="230"/>
      <c r="G36" s="231">
        <v>10792.140731948568</v>
      </c>
      <c r="H36" s="232">
        <v>968710.06786665611</v>
      </c>
      <c r="I36" s="230"/>
      <c r="J36" s="231">
        <v>10956.070764848568</v>
      </c>
      <c r="K36" s="232">
        <v>982731.96786665614</v>
      </c>
      <c r="L36" s="230"/>
      <c r="M36" s="233">
        <v>186.46550837789843</v>
      </c>
      <c r="N36" s="233">
        <v>55.684550081471421</v>
      </c>
      <c r="O36" s="233">
        <v>79.152360951590012</v>
      </c>
      <c r="P36" s="233">
        <v>34.360722576327298</v>
      </c>
      <c r="Q36" s="230"/>
      <c r="R36" s="234">
        <v>3.9183876646161013</v>
      </c>
      <c r="S36" s="234">
        <v>3.9371800047904744</v>
      </c>
      <c r="T36" s="230"/>
      <c r="U36" s="234">
        <v>2.1135424318679853E-2</v>
      </c>
      <c r="V36" s="234">
        <v>6.7566666666666664E-2</v>
      </c>
      <c r="W36" s="234">
        <v>2.1812572032760932E-2</v>
      </c>
      <c r="X36" s="234">
        <v>7.028018700966307E-2</v>
      </c>
      <c r="Y36" s="234">
        <v>2.2674095164918563E-2</v>
      </c>
      <c r="Z36" s="234">
        <v>3.166474125297486E-2</v>
      </c>
      <c r="AA36" s="234">
        <v>2.6666526082219887E-2</v>
      </c>
      <c r="AB36" s="234">
        <v>3.1082854852917174E-2</v>
      </c>
      <c r="AC36" s="230"/>
      <c r="AD36" s="232">
        <v>-76124.100000000006</v>
      </c>
      <c r="AE36" s="232">
        <v>-76124.100000000006</v>
      </c>
      <c r="AF36" s="232">
        <v>0</v>
      </c>
      <c r="AG36" s="232">
        <v>-30465.8</v>
      </c>
      <c r="AH36" s="235">
        <v>-106589.9</v>
      </c>
      <c r="AI36" s="230"/>
      <c r="AJ36" s="232">
        <v>88522.1</v>
      </c>
      <c r="AK36" s="232">
        <v>1623.9</v>
      </c>
      <c r="AL36" s="235">
        <v>90146</v>
      </c>
      <c r="AM36" s="230"/>
      <c r="AN36" s="231">
        <v>163.93003289999996</v>
      </c>
      <c r="AO36" s="232">
        <v>14021.899999999994</v>
      </c>
      <c r="AP36" s="236">
        <v>1.1293684609003112</v>
      </c>
      <c r="AQ36" s="230"/>
      <c r="AR36" s="237">
        <v>3482.0633549999998</v>
      </c>
      <c r="AS36" s="237">
        <v>3482.1</v>
      </c>
      <c r="AT36" s="237">
        <v>3482.1</v>
      </c>
      <c r="AU36" s="230"/>
      <c r="AV36" s="234">
        <v>6.3170000000000006E-3</v>
      </c>
      <c r="AW36" s="234">
        <v>0.67853984446558913</v>
      </c>
      <c r="AX36" s="234">
        <v>6.2299999999999996E-4</v>
      </c>
      <c r="AY36" s="234">
        <v>0.29948109143465029</v>
      </c>
      <c r="AZ36" s="230"/>
      <c r="BA36" s="232">
        <v>0</v>
      </c>
      <c r="BB36" s="230"/>
      <c r="BC36" s="232" t="e">
        <v>#N/A</v>
      </c>
      <c r="BD36" s="232">
        <v>874.4</v>
      </c>
      <c r="BE36" s="230"/>
      <c r="BF36" s="238">
        <v>5.2228010000000049</v>
      </c>
      <c r="BG36" s="238">
        <v>5.660804800000002</v>
      </c>
      <c r="BH36" s="238">
        <v>8.7266233999999923</v>
      </c>
      <c r="BI36" s="230"/>
      <c r="BJ36" s="239">
        <v>3.0993522034720615</v>
      </c>
      <c r="BK36" s="240">
        <v>278.20001220703125</v>
      </c>
      <c r="BL36" s="230"/>
      <c r="BM36" s="241">
        <v>-4.22</v>
      </c>
      <c r="BN36" s="241">
        <v>-7.7460000000000004</v>
      </c>
      <c r="BO36" s="241">
        <v>1.2809410000000001</v>
      </c>
      <c r="BP36" s="241">
        <v>1.37</v>
      </c>
      <c r="BQ36" s="241">
        <v>0.81</v>
      </c>
      <c r="BR36" s="241">
        <v>1.53</v>
      </c>
      <c r="BS36" s="241">
        <v>4.9960000000000004</v>
      </c>
      <c r="BT36" s="241">
        <v>8.8460000000000001</v>
      </c>
      <c r="BU36" s="241">
        <v>12.112500000000001</v>
      </c>
      <c r="BV36" s="241" t="e">
        <v>#N/A</v>
      </c>
      <c r="BW36" s="230"/>
      <c r="BX36" s="232">
        <v>-14777.810735999999</v>
      </c>
      <c r="BY36" s="232">
        <v>-26995.794559999998</v>
      </c>
      <c r="BZ36" s="232">
        <v>4408.6659200000004</v>
      </c>
      <c r="CA36" s="232">
        <v>6292.907424</v>
      </c>
      <c r="CB36" s="232">
        <v>2749.4632959999999</v>
      </c>
      <c r="CC36" s="232">
        <v>5195.172896</v>
      </c>
      <c r="CD36" s="232">
        <v>17843.235028534207</v>
      </c>
      <c r="CE36" s="232">
        <v>33104.000269440643</v>
      </c>
      <c r="CF36" s="232">
        <v>47816.955516103546</v>
      </c>
      <c r="CG36" s="232" t="e">
        <v>#N/A</v>
      </c>
      <c r="CH36" s="230"/>
      <c r="CI36" s="232">
        <v>-7114.8</v>
      </c>
      <c r="CJ36" s="232">
        <v>-31412.9</v>
      </c>
      <c r="CK36" s="232">
        <v>7355.8</v>
      </c>
      <c r="CL36" s="232">
        <v>9527.2999999999993</v>
      </c>
      <c r="CM36" s="232">
        <v>6126</v>
      </c>
      <c r="CN36" s="232">
        <v>12415.7</v>
      </c>
      <c r="CO36" s="232">
        <v>27038.6</v>
      </c>
      <c r="CP36" s="232">
        <v>46378.1875</v>
      </c>
      <c r="CQ36" s="232">
        <v>57339.8461538462</v>
      </c>
      <c r="CR36" s="232">
        <v>88977</v>
      </c>
      <c r="CS36" s="230"/>
      <c r="CT36" s="232">
        <v>204945.9</v>
      </c>
      <c r="CU36" s="232">
        <v>162958</v>
      </c>
      <c r="CV36" s="232">
        <v>201533.8</v>
      </c>
      <c r="CW36" s="232">
        <v>221363</v>
      </c>
      <c r="CX36" s="232">
        <v>229205.2</v>
      </c>
      <c r="CY36" s="232">
        <v>273551.7</v>
      </c>
      <c r="CZ36" s="232">
        <v>363978</v>
      </c>
      <c r="DA36" s="232">
        <v>449808.875</v>
      </c>
      <c r="DB36" s="232">
        <v>523184.69230769231</v>
      </c>
      <c r="DC36" s="232">
        <v>900435.5</v>
      </c>
      <c r="DD36" s="230"/>
      <c r="DE36" s="232" t="e">
        <v>#N/A</v>
      </c>
      <c r="DF36" s="232">
        <v>55558.8</v>
      </c>
      <c r="DG36" s="232">
        <v>97939</v>
      </c>
      <c r="DH36" s="230"/>
      <c r="DI36" s="230"/>
      <c r="DJ36" s="172" t="s">
        <v>277</v>
      </c>
    </row>
    <row r="37" spans="1:114" x14ac:dyDescent="0.25">
      <c r="A37" s="225" t="s">
        <v>729</v>
      </c>
      <c r="B37" s="242" t="s">
        <v>755</v>
      </c>
      <c r="C37" s="227" t="s">
        <v>421</v>
      </c>
      <c r="D37" s="228" t="str">
        <f t="shared" si="0"/>
        <v>AXET IN Equity</v>
      </c>
      <c r="E37" s="229" t="s">
        <v>181</v>
      </c>
      <c r="F37" s="230"/>
      <c r="G37" s="231">
        <v>637.04538612548106</v>
      </c>
      <c r="H37" s="232">
        <v>57181.637504122191</v>
      </c>
      <c r="I37" s="230"/>
      <c r="J37" s="231">
        <v>651.43114993448103</v>
      </c>
      <c r="K37" s="232">
        <v>58412.136504122194</v>
      </c>
      <c r="L37" s="230"/>
      <c r="M37" s="233">
        <v>82.76683221965591</v>
      </c>
      <c r="N37" s="233" t="e">
        <v>#N/A</v>
      </c>
      <c r="O37" s="233">
        <v>41.006828959213138</v>
      </c>
      <c r="P37" s="233" t="e">
        <v>#N/A</v>
      </c>
      <c r="Q37" s="230"/>
      <c r="R37" s="234">
        <v>8.8058653941602909</v>
      </c>
      <c r="S37" s="234">
        <v>12.343134591070578</v>
      </c>
      <c r="T37" s="230"/>
      <c r="U37" s="234">
        <v>0.11456781826450711</v>
      </c>
      <c r="V37" s="234">
        <v>0.13</v>
      </c>
      <c r="W37" s="234">
        <v>0.17515258430629871</v>
      </c>
      <c r="X37" s="234">
        <v>0.17188451412046468</v>
      </c>
      <c r="Y37" s="234">
        <v>0.10045077665802257</v>
      </c>
      <c r="Z37" s="234">
        <v>0.11392923889613059</v>
      </c>
      <c r="AA37" s="234">
        <v>8.8527348587793514E-2</v>
      </c>
      <c r="AB37" s="234">
        <v>0.10477799011922004</v>
      </c>
      <c r="AC37" s="230"/>
      <c r="AD37" s="232">
        <v>-892.62199999999996</v>
      </c>
      <c r="AE37" s="232">
        <v>-1415.8420000000001</v>
      </c>
      <c r="AF37" s="232">
        <v>-523.22</v>
      </c>
      <c r="AG37" s="232">
        <v>-10.137</v>
      </c>
      <c r="AH37" s="235">
        <v>-1425.979</v>
      </c>
      <c r="AI37" s="230"/>
      <c r="AJ37" s="232">
        <v>985.12400000000002</v>
      </c>
      <c r="AK37" s="232">
        <v>1593.894</v>
      </c>
      <c r="AL37" s="235">
        <v>2579.018</v>
      </c>
      <c r="AM37" s="230"/>
      <c r="AN37" s="231">
        <v>13.598690616000001</v>
      </c>
      <c r="AO37" s="232">
        <v>1163.1759999999999</v>
      </c>
      <c r="AP37" s="236">
        <v>0.81657960376257765</v>
      </c>
      <c r="AQ37" s="230"/>
      <c r="AR37" s="237">
        <v>42.517389000000001</v>
      </c>
      <c r="AS37" s="237">
        <v>42.195270200000003</v>
      </c>
      <c r="AT37" s="237">
        <v>43.518466799999999</v>
      </c>
      <c r="AU37" s="230"/>
      <c r="AV37" s="234">
        <v>5.8079999999999998E-3</v>
      </c>
      <c r="AW37" s="234">
        <v>1.339628905622226E-2</v>
      </c>
      <c r="AX37" s="234">
        <v>2.1700000000000002E-4</v>
      </c>
      <c r="AY37" s="234">
        <v>0.4024599676146623</v>
      </c>
      <c r="AZ37" s="230"/>
      <c r="BA37" s="232">
        <v>67.322999999999993</v>
      </c>
      <c r="BB37" s="230"/>
      <c r="BC37" s="232" t="e">
        <v>#N/A</v>
      </c>
      <c r="BD37" s="232">
        <v>0</v>
      </c>
      <c r="BE37" s="230"/>
      <c r="BF37" s="238">
        <v>8.3582600000000035E-2</v>
      </c>
      <c r="BG37" s="238">
        <v>6.0293299999999987E-2</v>
      </c>
      <c r="BH37" s="238">
        <v>6.1383699999999999E-2</v>
      </c>
      <c r="BI37" s="230"/>
      <c r="BJ37" s="239">
        <v>14.983172793735786</v>
      </c>
      <c r="BK37" s="240">
        <v>1344.9000244140625</v>
      </c>
      <c r="BL37" s="230"/>
      <c r="BM37" s="241">
        <v>7.8730000000000002</v>
      </c>
      <c r="BN37" s="241">
        <v>1.8149999999999999</v>
      </c>
      <c r="BO37" s="241">
        <v>5.5469999999999997</v>
      </c>
      <c r="BP37" s="241">
        <v>-13.826000000000001</v>
      </c>
      <c r="BQ37" s="241">
        <v>7.74</v>
      </c>
      <c r="BR37" s="241">
        <v>17.22</v>
      </c>
      <c r="BS37" s="241" t="e">
        <v>#N/A</v>
      </c>
      <c r="BT37" s="241" t="e">
        <v>#N/A</v>
      </c>
      <c r="BU37" s="241" t="e">
        <v>#N/A</v>
      </c>
      <c r="BV37" s="241" t="e">
        <v>#N/A</v>
      </c>
      <c r="BW37" s="230"/>
      <c r="BX37" s="232">
        <v>297.7629</v>
      </c>
      <c r="BY37" s="232">
        <v>-217.05619999999999</v>
      </c>
      <c r="BZ37" s="232">
        <v>223.92869999999999</v>
      </c>
      <c r="CA37" s="232">
        <v>-38.658199999999972</v>
      </c>
      <c r="CB37" s="232">
        <v>328.07799999999997</v>
      </c>
      <c r="CC37" s="232">
        <v>707.12300000000005</v>
      </c>
      <c r="CD37" s="232" t="e">
        <v>#N/A</v>
      </c>
      <c r="CE37" s="232" t="e">
        <v>#N/A</v>
      </c>
      <c r="CF37" s="232" t="e">
        <v>#N/A</v>
      </c>
      <c r="CG37" s="232" t="e">
        <v>#N/A</v>
      </c>
      <c r="CH37" s="230"/>
      <c r="CI37" s="232">
        <v>837.66399999999999</v>
      </c>
      <c r="CJ37" s="232">
        <v>640.00099999999998</v>
      </c>
      <c r="CK37" s="232">
        <v>706.36</v>
      </c>
      <c r="CL37" s="232">
        <v>1455.652</v>
      </c>
      <c r="CM37" s="232">
        <v>1332.4590000000001</v>
      </c>
      <c r="CN37" s="232">
        <v>1424.4490000000001</v>
      </c>
      <c r="CO37" s="232">
        <v>1944</v>
      </c>
      <c r="CP37" s="232">
        <v>2641</v>
      </c>
      <c r="CQ37" s="232">
        <v>3790</v>
      </c>
      <c r="CR37" s="232" t="e">
        <v>#N/A</v>
      </c>
      <c r="CS37" s="230"/>
      <c r="CT37" s="232">
        <v>6649.7830000000004</v>
      </c>
      <c r="CU37" s="232">
        <v>5173.8609999999999</v>
      </c>
      <c r="CV37" s="232">
        <v>6084.0770000000002</v>
      </c>
      <c r="CW37" s="232">
        <v>8136.0469999999996</v>
      </c>
      <c r="CX37" s="232">
        <v>9551.2049999999999</v>
      </c>
      <c r="CY37" s="232">
        <v>10307.236999999999</v>
      </c>
      <c r="CZ37" s="232">
        <v>12609</v>
      </c>
      <c r="DA37" s="232">
        <v>15996</v>
      </c>
      <c r="DB37" s="232">
        <v>20551</v>
      </c>
      <c r="DC37" s="232" t="e">
        <v>#N/A</v>
      </c>
      <c r="DD37" s="230"/>
      <c r="DE37" s="232" t="e">
        <v>#N/A</v>
      </c>
      <c r="DF37" s="232">
        <v>0</v>
      </c>
      <c r="DG37" s="232">
        <v>0</v>
      </c>
      <c r="DH37" s="230"/>
      <c r="DI37" s="230"/>
      <c r="DJ37" s="172" t="s">
        <v>277</v>
      </c>
    </row>
    <row r="38" spans="1:114" x14ac:dyDescent="0.25">
      <c r="A38" s="225" t="s">
        <v>729</v>
      </c>
      <c r="B38" s="226" t="s">
        <v>756</v>
      </c>
      <c r="C38" s="227" t="s">
        <v>422</v>
      </c>
      <c r="D38" s="228" t="str">
        <f t="shared" si="0"/>
        <v>TAA IN Equity</v>
      </c>
      <c r="E38" s="229" t="s">
        <v>182</v>
      </c>
      <c r="F38" s="230"/>
      <c r="G38" s="231">
        <v>83.637470997004883</v>
      </c>
      <c r="H38" s="232">
        <v>7507.3576427570806</v>
      </c>
      <c r="I38" s="230"/>
      <c r="J38" s="231">
        <v>81.404665362004877</v>
      </c>
      <c r="K38" s="232">
        <v>7316.3726427570809</v>
      </c>
      <c r="L38" s="230"/>
      <c r="M38" s="233">
        <v>41.790471019568898</v>
      </c>
      <c r="N38" s="233" t="e">
        <v>#N/A</v>
      </c>
      <c r="O38" s="233">
        <v>28.313368611365334</v>
      </c>
      <c r="P38" s="233" t="e">
        <v>#N/A</v>
      </c>
      <c r="Q38" s="230"/>
      <c r="R38" s="234">
        <v>5.2743579793834767</v>
      </c>
      <c r="S38" s="234">
        <v>5.2743579793834767</v>
      </c>
      <c r="T38" s="230"/>
      <c r="U38" s="234">
        <v>0.13172489335492046</v>
      </c>
      <c r="V38" s="234" t="e">
        <v>#N/A</v>
      </c>
      <c r="W38" s="234">
        <v>0.13254082781923132</v>
      </c>
      <c r="X38" s="234">
        <v>0.1548490137888274</v>
      </c>
      <c r="Y38" s="234">
        <v>0.12261492298040996</v>
      </c>
      <c r="Z38" s="234">
        <v>0.15815395666482127</v>
      </c>
      <c r="AA38" s="234">
        <v>0.11200025432845362</v>
      </c>
      <c r="AB38" s="234">
        <v>0.13467772144571893</v>
      </c>
      <c r="AC38" s="230"/>
      <c r="AD38" s="232">
        <v>-152.74700000000001</v>
      </c>
      <c r="AE38" s="232">
        <v>-193.19</v>
      </c>
      <c r="AF38" s="232">
        <v>-40.442999999999998</v>
      </c>
      <c r="AG38" s="232">
        <v>-341.5</v>
      </c>
      <c r="AH38" s="235">
        <v>-534.69000000000005</v>
      </c>
      <c r="AI38" s="230"/>
      <c r="AJ38" s="232">
        <v>2.2050000000000001</v>
      </c>
      <c r="AK38" s="232">
        <v>0</v>
      </c>
      <c r="AL38" s="235">
        <v>2.2050000000000001</v>
      </c>
      <c r="AM38" s="230"/>
      <c r="AN38" s="231">
        <v>-2.2328056349999996</v>
      </c>
      <c r="AO38" s="232">
        <v>-190.98500000000001</v>
      </c>
      <c r="AP38" s="236">
        <v>-0.73908601547171715</v>
      </c>
      <c r="AQ38" s="230"/>
      <c r="AR38" s="237">
        <v>25.500536</v>
      </c>
      <c r="AS38" s="237">
        <v>25.500599999999999</v>
      </c>
      <c r="AT38" s="237">
        <v>25.500599999999999</v>
      </c>
      <c r="AU38" s="230"/>
      <c r="AV38" s="234">
        <v>5.2030000000000002E-3</v>
      </c>
      <c r="AW38" s="234">
        <v>0</v>
      </c>
      <c r="AX38" s="234">
        <v>0</v>
      </c>
      <c r="AY38" s="234">
        <v>0.4403690181257367</v>
      </c>
      <c r="AZ38" s="230"/>
      <c r="BA38" s="232">
        <v>0</v>
      </c>
      <c r="BB38" s="230"/>
      <c r="BC38" s="232" t="e">
        <v>#N/A</v>
      </c>
      <c r="BD38" s="232">
        <v>63.750999999999998</v>
      </c>
      <c r="BE38" s="230"/>
      <c r="BF38" s="238">
        <v>6.7149999999999831E-3</v>
      </c>
      <c r="BG38" s="238">
        <v>8.2653000000000049E-3</v>
      </c>
      <c r="BH38" s="238">
        <v>9.9250999999999905E-3</v>
      </c>
      <c r="BI38" s="230"/>
      <c r="BJ38" s="239">
        <v>3.2798318826319917</v>
      </c>
      <c r="BK38" s="240">
        <v>294.39999389648438</v>
      </c>
      <c r="BL38" s="230"/>
      <c r="BM38" s="241">
        <v>2.34</v>
      </c>
      <c r="BN38" s="241">
        <v>2.4900000000000002</v>
      </c>
      <c r="BO38" s="241">
        <v>4.1029999999999998</v>
      </c>
      <c r="BP38" s="241">
        <v>4.5419999999999998</v>
      </c>
      <c r="BQ38" s="241">
        <v>4.45</v>
      </c>
      <c r="BR38" s="241">
        <v>7.09</v>
      </c>
      <c r="BS38" s="241" t="e">
        <v>#N/A</v>
      </c>
      <c r="BT38" s="241" t="e">
        <v>#N/A</v>
      </c>
      <c r="BU38" s="241" t="e">
        <v>#N/A</v>
      </c>
      <c r="BV38" s="241" t="e">
        <v>#N/A</v>
      </c>
      <c r="BW38" s="230"/>
      <c r="BX38" s="232">
        <v>58.396000000000001</v>
      </c>
      <c r="BY38" s="232">
        <v>62.185000000000002</v>
      </c>
      <c r="BZ38" s="232">
        <v>54.667000000000002</v>
      </c>
      <c r="CA38" s="232">
        <v>109.85899999999999</v>
      </c>
      <c r="CB38" s="232">
        <v>111.30800000000001</v>
      </c>
      <c r="CC38" s="232">
        <v>179.64324815999998</v>
      </c>
      <c r="CD38" s="232" t="e">
        <v>#N/A</v>
      </c>
      <c r="CE38" s="232" t="e">
        <v>#N/A</v>
      </c>
      <c r="CF38" s="232" t="e">
        <v>#N/A</v>
      </c>
      <c r="CG38" s="232" t="e">
        <v>#N/A</v>
      </c>
      <c r="CH38" s="230"/>
      <c r="CI38" s="232">
        <v>136.22200000000001</v>
      </c>
      <c r="CJ38" s="232">
        <v>146.291</v>
      </c>
      <c r="CK38" s="232">
        <v>161.94499999999999</v>
      </c>
      <c r="CL38" s="232">
        <v>186.70000000000002</v>
      </c>
      <c r="CM38" s="232">
        <v>191.87899999999999</v>
      </c>
      <c r="CN38" s="232">
        <v>258.40699999999998</v>
      </c>
      <c r="CO38" s="232" t="e">
        <v>#N/A</v>
      </c>
      <c r="CP38" s="232" t="e">
        <v>#N/A</v>
      </c>
      <c r="CQ38" s="232" t="e">
        <v>#N/A</v>
      </c>
      <c r="CR38" s="232" t="e">
        <v>#N/A</v>
      </c>
      <c r="CS38" s="230"/>
      <c r="CT38" s="232">
        <v>322.48099999999999</v>
      </c>
      <c r="CU38" s="232">
        <v>345.20100000000002</v>
      </c>
      <c r="CV38" s="232">
        <v>311.97199999999998</v>
      </c>
      <c r="CW38" s="232">
        <v>318.57100000000003</v>
      </c>
      <c r="CX38" s="232">
        <v>303.52</v>
      </c>
      <c r="CY38" s="232">
        <v>406.16899999999998</v>
      </c>
      <c r="CZ38" s="232" t="e">
        <v>#N/A</v>
      </c>
      <c r="DA38" s="232" t="e">
        <v>#N/A</v>
      </c>
      <c r="DB38" s="232" t="e">
        <v>#N/A</v>
      </c>
      <c r="DC38" s="232" t="e">
        <v>#N/A</v>
      </c>
      <c r="DD38" s="230"/>
      <c r="DE38" s="232" t="e">
        <v>#N/A</v>
      </c>
      <c r="DF38" s="232">
        <v>3.64</v>
      </c>
      <c r="DG38" s="232">
        <v>0</v>
      </c>
      <c r="DH38" s="230"/>
      <c r="DI38" s="230"/>
      <c r="DJ38" s="172" t="s">
        <v>277</v>
      </c>
    </row>
    <row r="39" spans="1:114" x14ac:dyDescent="0.25">
      <c r="A39" s="225" t="s">
        <v>729</v>
      </c>
      <c r="B39" s="226" t="s">
        <v>183</v>
      </c>
      <c r="C39" s="227" t="s">
        <v>423</v>
      </c>
      <c r="D39" s="228" t="str">
        <f t="shared" si="0"/>
        <v>PRE IN Equity</v>
      </c>
      <c r="E39" s="229" t="s">
        <v>184</v>
      </c>
      <c r="F39" s="230"/>
      <c r="G39" s="231">
        <v>308.39378174204847</v>
      </c>
      <c r="H39" s="232">
        <v>27681.640618029174</v>
      </c>
      <c r="I39" s="230"/>
      <c r="J39" s="231">
        <v>301.46017699004852</v>
      </c>
      <c r="K39" s="232">
        <v>27088.568618029174</v>
      </c>
      <c r="L39" s="230"/>
      <c r="M39" s="233">
        <v>96.464448742714126</v>
      </c>
      <c r="N39" s="233" t="e">
        <v>#N/A</v>
      </c>
      <c r="O39" s="233">
        <v>46.723843214213446</v>
      </c>
      <c r="P39" s="233" t="e">
        <v>#N/A</v>
      </c>
      <c r="Q39" s="230"/>
      <c r="R39" s="234">
        <v>11.26168589733563</v>
      </c>
      <c r="S39" s="234">
        <v>11.550693237540525</v>
      </c>
      <c r="T39" s="230"/>
      <c r="U39" s="234">
        <v>0.12316591072725772</v>
      </c>
      <c r="V39" s="234" t="e">
        <v>#N/A</v>
      </c>
      <c r="W39" s="234">
        <v>0.12671182821243912</v>
      </c>
      <c r="X39" s="234">
        <v>0.14389872401857551</v>
      </c>
      <c r="Y39" s="234">
        <v>0.11542229137831088</v>
      </c>
      <c r="Z39" s="234">
        <v>0.15183779875239606</v>
      </c>
      <c r="AA39" s="234">
        <v>0.11363489048560274</v>
      </c>
      <c r="AB39" s="234">
        <v>0.12948953024707227</v>
      </c>
      <c r="AC39" s="230"/>
      <c r="AD39" s="232">
        <v>-1013.0940000000001</v>
      </c>
      <c r="AE39" s="232">
        <v>-1013.0940000000001</v>
      </c>
      <c r="AF39" s="232">
        <v>0</v>
      </c>
      <c r="AG39" s="232">
        <v>0</v>
      </c>
      <c r="AH39" s="235">
        <v>-1013.0940000000001</v>
      </c>
      <c r="AI39" s="230"/>
      <c r="AJ39" s="232">
        <v>331.49099999999999</v>
      </c>
      <c r="AK39" s="232">
        <v>75</v>
      </c>
      <c r="AL39" s="235">
        <v>406.49099999999999</v>
      </c>
      <c r="AM39" s="230"/>
      <c r="AN39" s="231">
        <v>-7.0917956730000009</v>
      </c>
      <c r="AO39" s="232">
        <v>-606.60300000000007</v>
      </c>
      <c r="AP39" s="236">
        <v>-1.0463019978991273</v>
      </c>
      <c r="AQ39" s="230"/>
      <c r="AR39" s="237">
        <v>53.761195000000001</v>
      </c>
      <c r="AS39" s="237">
        <v>53.761195000000001</v>
      </c>
      <c r="AT39" s="237">
        <v>53.761195000000001</v>
      </c>
      <c r="AU39" s="230"/>
      <c r="AV39" s="234">
        <v>4.1330000000000004E-3</v>
      </c>
      <c r="AW39" s="234">
        <v>0.18616083279638132</v>
      </c>
      <c r="AX39" s="234">
        <v>1.06E-4</v>
      </c>
      <c r="AY39" s="234">
        <v>0.57389276782259024</v>
      </c>
      <c r="AZ39" s="230"/>
      <c r="BA39" s="232">
        <v>13.531000000000001</v>
      </c>
      <c r="BB39" s="230"/>
      <c r="BC39" s="232" t="e">
        <v>#N/A</v>
      </c>
      <c r="BD39" s="232">
        <v>26.881</v>
      </c>
      <c r="BE39" s="230"/>
      <c r="BF39" s="238">
        <v>0.27956699999999995</v>
      </c>
      <c r="BG39" s="238">
        <v>0.2130679999999999</v>
      </c>
      <c r="BH39" s="238">
        <v>0.30465296666666686</v>
      </c>
      <c r="BI39" s="230"/>
      <c r="BJ39" s="239">
        <v>5.7363639655340357</v>
      </c>
      <c r="BK39" s="240">
        <v>514.9000244140625</v>
      </c>
      <c r="BL39" s="230"/>
      <c r="BM39" s="241">
        <v>-1.847</v>
      </c>
      <c r="BN39" s="241">
        <v>-2.0316939999999999</v>
      </c>
      <c r="BO39" s="241">
        <v>0.98580000000000001</v>
      </c>
      <c r="BP39" s="241">
        <v>1.2848000000000002</v>
      </c>
      <c r="BQ39" s="241">
        <v>5.274</v>
      </c>
      <c r="BR39" s="241">
        <v>5.34</v>
      </c>
      <c r="BS39" s="241" t="e">
        <v>#N/A</v>
      </c>
      <c r="BT39" s="241" t="e">
        <v>#N/A</v>
      </c>
      <c r="BU39" s="241" t="e">
        <v>#N/A</v>
      </c>
      <c r="BV39" s="241" t="e">
        <v>#N/A</v>
      </c>
      <c r="BW39" s="230"/>
      <c r="BX39" s="232">
        <v>-100.3625</v>
      </c>
      <c r="BY39" s="232">
        <v>-109.22629999999999</v>
      </c>
      <c r="BZ39" s="232">
        <v>46.920099999999998</v>
      </c>
      <c r="CA39" s="232">
        <v>72.068299999999994</v>
      </c>
      <c r="CB39" s="232">
        <v>283.56599999999997</v>
      </c>
      <c r="CC39" s="232">
        <v>286.96210000000002</v>
      </c>
      <c r="CD39" s="232" t="e">
        <v>#N/A</v>
      </c>
      <c r="CE39" s="232" t="e">
        <v>#N/A</v>
      </c>
      <c r="CF39" s="232" t="e">
        <v>#N/A</v>
      </c>
      <c r="CG39" s="232" t="e">
        <v>#N/A</v>
      </c>
      <c r="CH39" s="230"/>
      <c r="CI39" s="232">
        <v>-54.56</v>
      </c>
      <c r="CJ39" s="232">
        <v>63.210999999999999</v>
      </c>
      <c r="CK39" s="232">
        <v>209.31200000000001</v>
      </c>
      <c r="CL39" s="232">
        <v>259.20400000000001</v>
      </c>
      <c r="CM39" s="232">
        <v>584.89599999999996</v>
      </c>
      <c r="CN39" s="232">
        <v>579.75900000000001</v>
      </c>
      <c r="CO39" s="232" t="e">
        <v>#N/A</v>
      </c>
      <c r="CP39" s="232" t="e">
        <v>#N/A</v>
      </c>
      <c r="CQ39" s="232" t="e">
        <v>#N/A</v>
      </c>
      <c r="CR39" s="232" t="e">
        <v>#N/A</v>
      </c>
      <c r="CS39" s="230"/>
      <c r="CT39" s="232">
        <v>1645.2090000000001</v>
      </c>
      <c r="CU39" s="232">
        <v>1536.3440000000001</v>
      </c>
      <c r="CV39" s="232">
        <v>1991.277</v>
      </c>
      <c r="CW39" s="232">
        <v>2020.3009999999999</v>
      </c>
      <c r="CX39" s="232">
        <v>2717.1669999999999</v>
      </c>
      <c r="CY39" s="232">
        <v>4174.5230000000001</v>
      </c>
      <c r="CZ39" s="232" t="e">
        <v>#N/A</v>
      </c>
      <c r="DA39" s="232" t="e">
        <v>#N/A</v>
      </c>
      <c r="DB39" s="232" t="e">
        <v>#N/A</v>
      </c>
      <c r="DC39" s="232" t="e">
        <v>#N/A</v>
      </c>
      <c r="DD39" s="230"/>
      <c r="DE39" s="232" t="e">
        <v>#N/A</v>
      </c>
      <c r="DF39" s="232">
        <v>0</v>
      </c>
      <c r="DG39" s="232">
        <v>0</v>
      </c>
      <c r="DH39" s="230"/>
      <c r="DI39" s="230"/>
      <c r="DJ39" s="172" t="s">
        <v>277</v>
      </c>
    </row>
    <row r="40" spans="1:114" x14ac:dyDescent="0.25">
      <c r="A40" s="225" t="s">
        <v>729</v>
      </c>
      <c r="B40" s="226" t="s">
        <v>757</v>
      </c>
      <c r="C40" s="227" t="s">
        <v>257</v>
      </c>
      <c r="D40" s="228" t="str">
        <f t="shared" si="0"/>
        <v>HBLENGINE IN Equity</v>
      </c>
      <c r="E40" s="229" t="s">
        <v>257</v>
      </c>
      <c r="F40" s="230"/>
      <c r="G40" s="231">
        <v>2722.5173978912667</v>
      </c>
      <c r="H40" s="232">
        <v>244375.05762614528</v>
      </c>
      <c r="I40" s="230"/>
      <c r="J40" s="231">
        <v>2705.0398672952665</v>
      </c>
      <c r="K40" s="232">
        <v>242880.1016261453</v>
      </c>
      <c r="L40" s="230"/>
      <c r="M40" s="233">
        <v>88.082722586068996</v>
      </c>
      <c r="N40" s="233">
        <v>39.533631192194505</v>
      </c>
      <c r="O40" s="233">
        <v>62.460936632353281</v>
      </c>
      <c r="P40" s="233">
        <v>27.710659947280828</v>
      </c>
      <c r="Q40" s="230"/>
      <c r="R40" s="234">
        <v>16.481226589153739</v>
      </c>
      <c r="S40" s="234">
        <v>16.543118184695231</v>
      </c>
      <c r="T40" s="230"/>
      <c r="U40" s="234">
        <v>0.20525969603031388</v>
      </c>
      <c r="V40" s="234">
        <v>0.29699999999999999</v>
      </c>
      <c r="W40" s="234">
        <v>0.20603259684196307</v>
      </c>
      <c r="X40" s="234">
        <v>0.24316444574242155</v>
      </c>
      <c r="Y40" s="234">
        <v>0.17806605920013027</v>
      </c>
      <c r="Z40" s="234">
        <v>0.24077733797645948</v>
      </c>
      <c r="AA40" s="234">
        <v>0.16515879141616613</v>
      </c>
      <c r="AB40" s="234">
        <v>0.19826910665093414</v>
      </c>
      <c r="AC40" s="230"/>
      <c r="AD40" s="232">
        <v>-1425.9290000000001</v>
      </c>
      <c r="AE40" s="232">
        <v>-2233.663</v>
      </c>
      <c r="AF40" s="232">
        <v>-807.73400000000004</v>
      </c>
      <c r="AG40" s="232">
        <v>-910.31399999999996</v>
      </c>
      <c r="AH40" s="235">
        <v>-3143.9769999999999</v>
      </c>
      <c r="AI40" s="230"/>
      <c r="AJ40" s="232">
        <v>537.78399999999999</v>
      </c>
      <c r="AK40" s="232">
        <v>205.16900000000001</v>
      </c>
      <c r="AL40" s="235">
        <v>742.95299999999997</v>
      </c>
      <c r="AM40" s="230"/>
      <c r="AN40" s="231">
        <v>-17.427890609999999</v>
      </c>
      <c r="AO40" s="232">
        <v>-1490.71</v>
      </c>
      <c r="AP40" s="236">
        <v>-0.38336258188222133</v>
      </c>
      <c r="AQ40" s="230"/>
      <c r="AR40" s="237">
        <v>277.19494600000002</v>
      </c>
      <c r="AS40" s="237">
        <v>277.19499999999999</v>
      </c>
      <c r="AT40" s="237">
        <v>277.19499999999999</v>
      </c>
      <c r="AU40" s="230"/>
      <c r="AV40" s="234">
        <v>5.9109999999999996E-3</v>
      </c>
      <c r="AW40" s="234">
        <v>0.10374574309155797</v>
      </c>
      <c r="AX40" s="234">
        <v>7.0999999999999991E-4</v>
      </c>
      <c r="AY40" s="234">
        <v>0.40980462897761494</v>
      </c>
      <c r="AZ40" s="230"/>
      <c r="BA40" s="232">
        <v>-4.2460000000000004</v>
      </c>
      <c r="BB40" s="230"/>
      <c r="BC40" s="232" t="e">
        <v>#N/A</v>
      </c>
      <c r="BD40" s="232">
        <v>0</v>
      </c>
      <c r="BE40" s="230"/>
      <c r="BF40" s="238">
        <v>4.5634480000000002</v>
      </c>
      <c r="BG40" s="238">
        <v>2.7082337999999981</v>
      </c>
      <c r="BH40" s="238">
        <v>3.2129862666666638</v>
      </c>
      <c r="BI40" s="230"/>
      <c r="BJ40" s="239">
        <v>9.8216704062536078</v>
      </c>
      <c r="BK40" s="240">
        <v>881.5999755859375</v>
      </c>
      <c r="BL40" s="230"/>
      <c r="BM40" s="241">
        <v>0.82199999999999995</v>
      </c>
      <c r="BN40" s="241">
        <v>0.44700000000000001</v>
      </c>
      <c r="BO40" s="241">
        <v>3.3879999999999999</v>
      </c>
      <c r="BP40" s="241">
        <v>3.6070000000000002</v>
      </c>
      <c r="BQ40" s="241">
        <v>10.07</v>
      </c>
      <c r="BR40" s="241">
        <v>10.025531000000001</v>
      </c>
      <c r="BS40" s="241">
        <v>22.3</v>
      </c>
      <c r="BT40" s="241">
        <v>28.3</v>
      </c>
      <c r="BU40" s="241">
        <v>30.7</v>
      </c>
      <c r="BV40" s="241" t="e">
        <v>#N/A</v>
      </c>
      <c r="BW40" s="230"/>
      <c r="BX40" s="232">
        <v>227.91159999999999</v>
      </c>
      <c r="BY40" s="232">
        <v>175.04470000000001</v>
      </c>
      <c r="BZ40" s="232">
        <v>801.6857</v>
      </c>
      <c r="CA40" s="232">
        <v>977.19979999999998</v>
      </c>
      <c r="CB40" s="232">
        <v>3002.1442000000002</v>
      </c>
      <c r="CC40" s="232">
        <v>2774.3816999999999</v>
      </c>
      <c r="CD40" s="232" t="e">
        <v>#N/A</v>
      </c>
      <c r="CE40" s="232" t="e">
        <v>#N/A</v>
      </c>
      <c r="CF40" s="232" t="e">
        <v>#N/A</v>
      </c>
      <c r="CG40" s="232" t="e">
        <v>#N/A</v>
      </c>
      <c r="CH40" s="230"/>
      <c r="CI40" s="232">
        <v>783.6579999999999</v>
      </c>
      <c r="CJ40" s="232">
        <v>649.13200000000018</v>
      </c>
      <c r="CK40" s="232">
        <v>1372.741</v>
      </c>
      <c r="CL40" s="232">
        <v>1488.546</v>
      </c>
      <c r="CM40" s="232">
        <v>4202.4080000000004</v>
      </c>
      <c r="CN40" s="232">
        <v>3888.5119999999997</v>
      </c>
      <c r="CO40" s="232">
        <v>8532</v>
      </c>
      <c r="CP40" s="232">
        <v>10842</v>
      </c>
      <c r="CQ40" s="232">
        <v>11903</v>
      </c>
      <c r="CR40" s="232" t="e">
        <v>#N/A</v>
      </c>
      <c r="CS40" s="230"/>
      <c r="CT40" s="232">
        <v>10917.813</v>
      </c>
      <c r="CU40" s="232">
        <v>9120.3860000000004</v>
      </c>
      <c r="CV40" s="232">
        <v>12362.102000000001</v>
      </c>
      <c r="CW40" s="232">
        <v>13686.784</v>
      </c>
      <c r="CX40" s="232">
        <v>22333.556</v>
      </c>
      <c r="CY40" s="232">
        <v>19672.014999999999</v>
      </c>
      <c r="CZ40" s="232">
        <v>33459</v>
      </c>
      <c r="DA40" s="232">
        <v>40912</v>
      </c>
      <c r="DB40" s="232">
        <v>44580</v>
      </c>
      <c r="DC40" s="232" t="e">
        <v>#N/A</v>
      </c>
      <c r="DD40" s="230"/>
      <c r="DE40" s="232" t="e">
        <v>#N/A</v>
      </c>
      <c r="DF40" s="232">
        <v>0</v>
      </c>
      <c r="DG40" s="232" t="e">
        <v>#N/A</v>
      </c>
      <c r="DH40" s="230"/>
      <c r="DI40" s="230"/>
      <c r="DJ40" s="172" t="s">
        <v>277</v>
      </c>
    </row>
    <row r="41" spans="1:114" x14ac:dyDescent="0.25">
      <c r="A41" s="225" t="s">
        <v>729</v>
      </c>
      <c r="B41" s="226" t="s">
        <v>758</v>
      </c>
      <c r="C41" s="227" t="s">
        <v>440</v>
      </c>
      <c r="D41" s="228" t="str">
        <f t="shared" si="0"/>
        <v>4624679Z IN Equity</v>
      </c>
      <c r="E41" s="229"/>
      <c r="F41" s="230"/>
      <c r="G41" s="231" t="e">
        <v>#N/A</v>
      </c>
      <c r="H41" s="232" t="e">
        <v>#N/A</v>
      </c>
      <c r="I41" s="230"/>
      <c r="J41" s="231" t="e">
        <v>#N/A</v>
      </c>
      <c r="K41" s="232" t="e">
        <v>#N/A</v>
      </c>
      <c r="L41" s="230"/>
      <c r="M41" s="233" t="e">
        <v>#N/A</v>
      </c>
      <c r="N41" s="233" t="e">
        <v>#N/A</v>
      </c>
      <c r="O41" s="233" t="e">
        <v>#N/A</v>
      </c>
      <c r="P41" s="233" t="e">
        <v>#N/A</v>
      </c>
      <c r="Q41" s="230"/>
      <c r="R41" s="234" t="e">
        <v>#N/A</v>
      </c>
      <c r="S41" s="234" t="e">
        <v>#N/A</v>
      </c>
      <c r="T41" s="230"/>
      <c r="U41" s="234">
        <v>6.4953226377656353E-2</v>
      </c>
      <c r="V41" s="234" t="e">
        <v>#N/A</v>
      </c>
      <c r="W41" s="234">
        <v>0.14935588797296276</v>
      </c>
      <c r="X41" s="234">
        <v>0.20937549082189333</v>
      </c>
      <c r="Y41" s="234">
        <v>6.6944453995486125E-2</v>
      </c>
      <c r="Z41" s="234">
        <v>6.7980301092547518E-2</v>
      </c>
      <c r="AA41" s="234">
        <v>9.1206294924808903E-2</v>
      </c>
      <c r="AB41" s="234">
        <v>8.3704767232935129E-2</v>
      </c>
      <c r="AC41" s="230"/>
      <c r="AD41" s="232">
        <v>-1591.3</v>
      </c>
      <c r="AE41" s="232">
        <v>-1591.3</v>
      </c>
      <c r="AF41" s="232">
        <v>0</v>
      </c>
      <c r="AG41" s="232">
        <v>-4010</v>
      </c>
      <c r="AH41" s="235">
        <v>-5601.3</v>
      </c>
      <c r="AI41" s="230"/>
      <c r="AJ41" s="232">
        <v>22883.200000000001</v>
      </c>
      <c r="AK41" s="232">
        <v>14243.7</v>
      </c>
      <c r="AL41" s="235">
        <v>37126.9</v>
      </c>
      <c r="AM41" s="230"/>
      <c r="AN41" s="231">
        <v>426.32059320000008</v>
      </c>
      <c r="AO41" s="232">
        <v>35535.599999999999</v>
      </c>
      <c r="AP41" s="236">
        <v>5.0335136972718777</v>
      </c>
      <c r="AQ41" s="230"/>
      <c r="AR41" s="237" t="e">
        <v>#N/A</v>
      </c>
      <c r="AS41" s="237" t="e">
        <v>#N/A</v>
      </c>
      <c r="AT41" s="237" t="e">
        <v>#N/A</v>
      </c>
      <c r="AU41" s="230"/>
      <c r="AV41" s="234" t="e">
        <v>#N/A</v>
      </c>
      <c r="AW41" s="234" t="e">
        <v>#N/A</v>
      </c>
      <c r="AX41" s="234" t="e">
        <v>#N/A</v>
      </c>
      <c r="AY41" s="234" t="e">
        <v>#N/A</v>
      </c>
      <c r="AZ41" s="230"/>
      <c r="BA41" s="232">
        <v>0</v>
      </c>
      <c r="BB41" s="230"/>
      <c r="BC41" s="232" t="e">
        <v>#N/A</v>
      </c>
      <c r="BD41" s="232" t="e">
        <v>#N/A</v>
      </c>
      <c r="BE41" s="230"/>
      <c r="BF41" s="238" t="e">
        <v>#N/A</v>
      </c>
      <c r="BG41" s="238" t="e">
        <v>#N/A</v>
      </c>
      <c r="BH41" s="238" t="e">
        <v>#N/A</v>
      </c>
      <c r="BI41" s="230"/>
      <c r="BJ41" s="239" t="e">
        <v>#N/A</v>
      </c>
      <c r="BK41" s="240" t="e">
        <v>#N/A</v>
      </c>
      <c r="BL41" s="230"/>
      <c r="BM41" s="241">
        <v>0.44</v>
      </c>
      <c r="BN41" s="241" t="e">
        <v>#N/A</v>
      </c>
      <c r="BO41" s="241">
        <v>0.48</v>
      </c>
      <c r="BP41" s="241">
        <v>0.28000000000000003</v>
      </c>
      <c r="BQ41" s="241">
        <v>0</v>
      </c>
      <c r="BR41" s="241" t="e">
        <v>#N/A</v>
      </c>
      <c r="BS41" s="241" t="e">
        <v>#N/A</v>
      </c>
      <c r="BT41" s="241" t="e">
        <v>#N/A</v>
      </c>
      <c r="BU41" s="241" t="e">
        <v>#N/A</v>
      </c>
      <c r="BV41" s="241" t="e">
        <v>#N/A</v>
      </c>
      <c r="BW41" s="230"/>
      <c r="BX41" s="232">
        <v>625.5</v>
      </c>
      <c r="BY41" s="232">
        <v>-820.6</v>
      </c>
      <c r="BZ41" s="232">
        <v>805.3</v>
      </c>
      <c r="CA41" s="232">
        <v>589</v>
      </c>
      <c r="CB41" s="232">
        <v>1770.8</v>
      </c>
      <c r="CC41" s="232" t="e">
        <v>#N/A</v>
      </c>
      <c r="CD41" s="232" t="e">
        <v>#N/A</v>
      </c>
      <c r="CE41" s="232" t="e">
        <v>#N/A</v>
      </c>
      <c r="CF41" s="232" t="e">
        <v>#N/A</v>
      </c>
      <c r="CG41" s="232" t="e">
        <v>#N/A</v>
      </c>
      <c r="CH41" s="230"/>
      <c r="CI41" s="232">
        <v>1849.1</v>
      </c>
      <c r="CJ41" s="232">
        <v>658.5</v>
      </c>
      <c r="CK41" s="232">
        <v>3035.6</v>
      </c>
      <c r="CL41" s="232">
        <v>3123.4</v>
      </c>
      <c r="CM41" s="232">
        <v>7059.7999999999993</v>
      </c>
      <c r="CN41" s="232" t="e">
        <v>#N/A</v>
      </c>
      <c r="CO41" s="232" t="e">
        <v>#N/A</v>
      </c>
      <c r="CP41" s="232" t="e">
        <v>#N/A</v>
      </c>
      <c r="CQ41" s="232" t="e">
        <v>#N/A</v>
      </c>
      <c r="CR41" s="232" t="e">
        <v>#N/A</v>
      </c>
      <c r="CS41" s="230"/>
      <c r="CT41" s="232">
        <v>12708</v>
      </c>
      <c r="CU41" s="232">
        <v>15731.3</v>
      </c>
      <c r="CV41" s="232">
        <v>29237.200000000001</v>
      </c>
      <c r="CW41" s="232">
        <v>34134.1</v>
      </c>
      <c r="CX41" s="232">
        <v>47230.400000000001</v>
      </c>
      <c r="CY41" s="232" t="e">
        <v>#N/A</v>
      </c>
      <c r="CZ41" s="232" t="e">
        <v>#N/A</v>
      </c>
      <c r="DA41" s="232" t="e">
        <v>#N/A</v>
      </c>
      <c r="DB41" s="232" t="e">
        <v>#N/A</v>
      </c>
      <c r="DC41" s="232" t="e">
        <v>#N/A</v>
      </c>
      <c r="DD41" s="230"/>
      <c r="DE41" s="232" t="e">
        <v>#N/A</v>
      </c>
      <c r="DF41" s="232" t="e">
        <v>#N/A</v>
      </c>
      <c r="DG41" s="232">
        <v>0</v>
      </c>
      <c r="DH41" s="230"/>
      <c r="DI41" s="230"/>
      <c r="DJ41" s="172" t="s">
        <v>277</v>
      </c>
    </row>
    <row r="42" spans="1:114" x14ac:dyDescent="0.25">
      <c r="A42" s="225" t="s">
        <v>729</v>
      </c>
      <c r="B42" s="226" t="s">
        <v>759</v>
      </c>
      <c r="C42" s="227" t="s">
        <v>441</v>
      </c>
      <c r="D42" s="228" t="str">
        <f t="shared" si="0"/>
        <v>1254332D IN Equity</v>
      </c>
      <c r="E42" s="229"/>
      <c r="F42" s="230"/>
      <c r="G42" s="231" t="e">
        <v>#N/A</v>
      </c>
      <c r="H42" s="232" t="e">
        <v>#N/A</v>
      </c>
      <c r="I42" s="230"/>
      <c r="J42" s="231" t="e">
        <v>#N/A</v>
      </c>
      <c r="K42" s="232" t="e">
        <v>#N/A</v>
      </c>
      <c r="L42" s="230"/>
      <c r="M42" s="233" t="e">
        <v>#N/A</v>
      </c>
      <c r="N42" s="233" t="e">
        <v>#N/A</v>
      </c>
      <c r="O42" s="233" t="e">
        <v>#N/A</v>
      </c>
      <c r="P42" s="233" t="e">
        <v>#N/A</v>
      </c>
      <c r="Q42" s="230"/>
      <c r="R42" s="234" t="e">
        <v>#N/A</v>
      </c>
      <c r="S42" s="234" t="e">
        <v>#N/A</v>
      </c>
      <c r="T42" s="230"/>
      <c r="U42" s="234" t="e">
        <v>#N/A</v>
      </c>
      <c r="V42" s="234" t="e">
        <v>#N/A</v>
      </c>
      <c r="W42" s="234" t="e">
        <v>#N/A</v>
      </c>
      <c r="X42" s="234" t="e">
        <v>#N/A</v>
      </c>
      <c r="Y42" s="234" t="e">
        <v>#N/A</v>
      </c>
      <c r="Z42" s="234" t="e">
        <v>#N/A</v>
      </c>
      <c r="AA42" s="234" t="e">
        <v>#N/A</v>
      </c>
      <c r="AB42" s="234" t="e">
        <v>#N/A</v>
      </c>
      <c r="AC42" s="230"/>
      <c r="AD42" s="232" t="e">
        <v>#N/A</v>
      </c>
      <c r="AE42" s="232" t="e">
        <v>#N/A</v>
      </c>
      <c r="AF42" s="232" t="e">
        <v>#N/A</v>
      </c>
      <c r="AG42" s="232" t="e">
        <v>#N/A</v>
      </c>
      <c r="AH42" s="235" t="e">
        <v>#N/A</v>
      </c>
      <c r="AI42" s="230"/>
      <c r="AJ42" s="232" t="e">
        <v>#N/A</v>
      </c>
      <c r="AK42" s="232" t="e">
        <v>#N/A</v>
      </c>
      <c r="AL42" s="235" t="e">
        <v>#N/A</v>
      </c>
      <c r="AM42" s="230"/>
      <c r="AN42" s="231" t="e">
        <v>#N/A</v>
      </c>
      <c r="AO42" s="232" t="e">
        <v>#N/A</v>
      </c>
      <c r="AP42" s="236" t="e">
        <v>#N/A</v>
      </c>
      <c r="AQ42" s="230"/>
      <c r="AR42" s="237" t="e">
        <v>#N/A</v>
      </c>
      <c r="AS42" s="237" t="e">
        <v>#N/A</v>
      </c>
      <c r="AT42" s="237" t="e">
        <v>#N/A</v>
      </c>
      <c r="AU42" s="230"/>
      <c r="AV42" s="234" t="e">
        <v>#N/A</v>
      </c>
      <c r="AW42" s="234" t="e">
        <v>#N/A</v>
      </c>
      <c r="AX42" s="234" t="e">
        <v>#N/A</v>
      </c>
      <c r="AY42" s="234" t="e">
        <v>#N/A</v>
      </c>
      <c r="AZ42" s="230"/>
      <c r="BA42" s="232" t="e">
        <v>#N/A</v>
      </c>
      <c r="BB42" s="230"/>
      <c r="BC42" s="232" t="e">
        <v>#N/A</v>
      </c>
      <c r="BD42" s="232" t="e">
        <v>#N/A</v>
      </c>
      <c r="BE42" s="230"/>
      <c r="BF42" s="238" t="e">
        <v>#N/A</v>
      </c>
      <c r="BG42" s="238" t="e">
        <v>#N/A</v>
      </c>
      <c r="BH42" s="238" t="e">
        <v>#N/A</v>
      </c>
      <c r="BI42" s="230"/>
      <c r="BJ42" s="239" t="e">
        <v>#N/A</v>
      </c>
      <c r="BK42" s="240" t="e">
        <v>#N/A</v>
      </c>
      <c r="BL42" s="230"/>
      <c r="BM42" s="241" t="e">
        <v>#N/A</v>
      </c>
      <c r="BN42" s="241" t="e">
        <v>#N/A</v>
      </c>
      <c r="BO42" s="241" t="e">
        <v>#N/A</v>
      </c>
      <c r="BP42" s="241" t="e">
        <v>#N/A</v>
      </c>
      <c r="BQ42" s="241" t="e">
        <v>#N/A</v>
      </c>
      <c r="BR42" s="241" t="e">
        <v>#N/A</v>
      </c>
      <c r="BS42" s="241" t="e">
        <v>#N/A</v>
      </c>
      <c r="BT42" s="241" t="e">
        <v>#N/A</v>
      </c>
      <c r="BU42" s="241" t="e">
        <v>#N/A</v>
      </c>
      <c r="BV42" s="241" t="e">
        <v>#N/A</v>
      </c>
      <c r="BW42" s="230"/>
      <c r="BX42" s="232" t="e">
        <v>#N/A</v>
      </c>
      <c r="BY42" s="232" t="e">
        <v>#N/A</v>
      </c>
      <c r="BZ42" s="232" t="e">
        <v>#N/A</v>
      </c>
      <c r="CA42" s="232" t="e">
        <v>#N/A</v>
      </c>
      <c r="CB42" s="232" t="e">
        <v>#N/A</v>
      </c>
      <c r="CC42" s="232" t="e">
        <v>#N/A</v>
      </c>
      <c r="CD42" s="232" t="e">
        <v>#N/A</v>
      </c>
      <c r="CE42" s="232" t="e">
        <v>#N/A</v>
      </c>
      <c r="CF42" s="232" t="e">
        <v>#N/A</v>
      </c>
      <c r="CG42" s="232" t="e">
        <v>#N/A</v>
      </c>
      <c r="CH42" s="230"/>
      <c r="CI42" s="232" t="e">
        <v>#N/A</v>
      </c>
      <c r="CJ42" s="232" t="e">
        <v>#N/A</v>
      </c>
      <c r="CK42" s="232" t="e">
        <v>#N/A</v>
      </c>
      <c r="CL42" s="232" t="e">
        <v>#N/A</v>
      </c>
      <c r="CM42" s="232" t="e">
        <v>#N/A</v>
      </c>
      <c r="CN42" s="232" t="e">
        <v>#N/A</v>
      </c>
      <c r="CO42" s="232" t="e">
        <v>#N/A</v>
      </c>
      <c r="CP42" s="232" t="e">
        <v>#N/A</v>
      </c>
      <c r="CQ42" s="232" t="e">
        <v>#N/A</v>
      </c>
      <c r="CR42" s="232" t="e">
        <v>#N/A</v>
      </c>
      <c r="CS42" s="230"/>
      <c r="CT42" s="232" t="e">
        <v>#N/A</v>
      </c>
      <c r="CU42" s="232" t="e">
        <v>#N/A</v>
      </c>
      <c r="CV42" s="232" t="e">
        <v>#N/A</v>
      </c>
      <c r="CW42" s="232" t="e">
        <v>#N/A</v>
      </c>
      <c r="CX42" s="232" t="e">
        <v>#N/A</v>
      </c>
      <c r="CY42" s="232" t="e">
        <v>#N/A</v>
      </c>
      <c r="CZ42" s="232" t="e">
        <v>#N/A</v>
      </c>
      <c r="DA42" s="232" t="e">
        <v>#N/A</v>
      </c>
      <c r="DB42" s="232" t="e">
        <v>#N/A</v>
      </c>
      <c r="DC42" s="232" t="e">
        <v>#N/A</v>
      </c>
      <c r="DD42" s="230"/>
      <c r="DE42" s="232" t="e">
        <v>#N/A</v>
      </c>
      <c r="DF42" s="232" t="e">
        <v>#N/A</v>
      </c>
      <c r="DG42" s="232" t="e">
        <v>#N/A</v>
      </c>
      <c r="DH42" s="230"/>
      <c r="DI42" s="230"/>
      <c r="DJ42" s="172" t="s">
        <v>277</v>
      </c>
    </row>
    <row r="43" spans="1:114" x14ac:dyDescent="0.25">
      <c r="A43" s="225" t="s">
        <v>729</v>
      </c>
      <c r="B43" s="226" t="s">
        <v>760</v>
      </c>
      <c r="C43" s="227" t="s">
        <v>314</v>
      </c>
      <c r="D43" s="228" t="str">
        <f t="shared" si="0"/>
        <v>AIMTRON IN Equity</v>
      </c>
      <c r="E43" s="229" t="s">
        <v>314</v>
      </c>
      <c r="F43" s="230"/>
      <c r="G43" s="231">
        <v>186.68179306580453</v>
      </c>
      <c r="H43" s="232">
        <v>16756.6877528656</v>
      </c>
      <c r="I43" s="230"/>
      <c r="J43" s="231">
        <v>182.48195329880454</v>
      </c>
      <c r="K43" s="232">
        <v>16397.450752865599</v>
      </c>
      <c r="L43" s="230"/>
      <c r="M43" s="233">
        <v>62.232750233960388</v>
      </c>
      <c r="N43" s="233" t="e">
        <v>#N/A</v>
      </c>
      <c r="O43" s="233">
        <v>48.110915108781612</v>
      </c>
      <c r="P43" s="233" t="e">
        <v>#N/A</v>
      </c>
      <c r="Q43" s="230"/>
      <c r="R43" s="234">
        <v>10.80474351900979</v>
      </c>
      <c r="S43" s="234">
        <v>10.80474351900979</v>
      </c>
      <c r="T43" s="230"/>
      <c r="U43" s="234">
        <v>0.24893210700739943</v>
      </c>
      <c r="V43" s="234" t="e">
        <v>#N/A</v>
      </c>
      <c r="W43" s="234">
        <v>0.24893210700739943</v>
      </c>
      <c r="X43" s="234">
        <v>0.2464593265581583</v>
      </c>
      <c r="Y43" s="234">
        <v>0.2172338711696058</v>
      </c>
      <c r="Z43" s="234">
        <v>0.26534543362196256</v>
      </c>
      <c r="AA43" s="234">
        <v>0.15265548946465507</v>
      </c>
      <c r="AB43" s="234">
        <v>0.23357223280490794</v>
      </c>
      <c r="AC43" s="230"/>
      <c r="AD43" s="232">
        <v>-313.81599999999997</v>
      </c>
      <c r="AE43" s="232">
        <v>-313.81599999999997</v>
      </c>
      <c r="AF43" s="232">
        <v>0</v>
      </c>
      <c r="AG43" s="232">
        <v>-51.826999999999998</v>
      </c>
      <c r="AH43" s="235">
        <v>-365.64299999999997</v>
      </c>
      <c r="AI43" s="230"/>
      <c r="AJ43" s="232">
        <v>6.4059999999999997</v>
      </c>
      <c r="AK43" s="232">
        <v>0</v>
      </c>
      <c r="AL43" s="235">
        <v>6.4059999999999997</v>
      </c>
      <c r="AM43" s="230"/>
      <c r="AN43" s="231">
        <v>-4.1998397669999994</v>
      </c>
      <c r="AO43" s="232">
        <v>-359.23699999999997</v>
      </c>
      <c r="AP43" s="236">
        <v>-1.054018766173942</v>
      </c>
      <c r="AQ43" s="230"/>
      <c r="AR43" s="237">
        <v>20.413824999999999</v>
      </c>
      <c r="AS43" s="237">
        <v>19.513024999999999</v>
      </c>
      <c r="AT43" s="237">
        <v>19.513024999999999</v>
      </c>
      <c r="AU43" s="230"/>
      <c r="AV43" s="234" t="e">
        <v>#N/A</v>
      </c>
      <c r="AW43" s="234">
        <v>0</v>
      </c>
      <c r="AX43" s="234" t="e">
        <v>#N/A</v>
      </c>
      <c r="AY43" s="234">
        <v>0.2768856400013226</v>
      </c>
      <c r="AZ43" s="230"/>
      <c r="BA43" s="232">
        <v>0</v>
      </c>
      <c r="BB43" s="230"/>
      <c r="BC43" s="232" t="e">
        <v>#N/A</v>
      </c>
      <c r="BD43" s="232">
        <v>0</v>
      </c>
      <c r="BE43" s="230"/>
      <c r="BF43" s="238">
        <v>1.5480000000000001E-2</v>
      </c>
      <c r="BG43" s="238">
        <v>2.5260000000000001E-2</v>
      </c>
      <c r="BH43" s="238">
        <v>4.8039999999999979E-2</v>
      </c>
      <c r="BI43" s="230"/>
      <c r="BJ43" s="239">
        <v>9.1448708444304074</v>
      </c>
      <c r="BK43" s="240">
        <v>820.8499755859375</v>
      </c>
      <c r="BL43" s="230"/>
      <c r="BM43" s="241" t="e">
        <v>#N/A</v>
      </c>
      <c r="BN43" s="241" t="e">
        <v>#N/A</v>
      </c>
      <c r="BO43" s="241" t="e">
        <v>#N/A</v>
      </c>
      <c r="BP43" s="241" t="e">
        <v>#N/A</v>
      </c>
      <c r="BQ43" s="241" t="e">
        <v>#N/A</v>
      </c>
      <c r="BR43" s="241">
        <v>13.19</v>
      </c>
      <c r="BS43" s="241" t="e">
        <v>#N/A</v>
      </c>
      <c r="BT43" s="241" t="e">
        <v>#N/A</v>
      </c>
      <c r="BU43" s="241" t="e">
        <v>#N/A</v>
      </c>
      <c r="BV43" s="241" t="e">
        <v>#N/A</v>
      </c>
      <c r="BW43" s="230"/>
      <c r="BX43" s="232" t="e">
        <v>#N/A</v>
      </c>
      <c r="BY43" s="232">
        <v>157.172</v>
      </c>
      <c r="BZ43" s="232">
        <v>-18.015000000000001</v>
      </c>
      <c r="CA43" s="232">
        <v>120.004</v>
      </c>
      <c r="CB43" s="232">
        <v>136.13329999999999</v>
      </c>
      <c r="CC43" s="232">
        <v>257.37799999999999</v>
      </c>
      <c r="CD43" s="232" t="e">
        <v>#N/A</v>
      </c>
      <c r="CE43" s="232" t="e">
        <v>#N/A</v>
      </c>
      <c r="CF43" s="232" t="e">
        <v>#N/A</v>
      </c>
      <c r="CG43" s="232" t="e">
        <v>#N/A</v>
      </c>
      <c r="CH43" s="230"/>
      <c r="CI43" s="232" t="e">
        <v>#N/A</v>
      </c>
      <c r="CJ43" s="232">
        <v>204.35499999999999</v>
      </c>
      <c r="CK43" s="232">
        <v>-6.020999999999999</v>
      </c>
      <c r="CL43" s="232">
        <v>219.77600000000001</v>
      </c>
      <c r="CM43" s="232">
        <v>245.24</v>
      </c>
      <c r="CN43" s="232">
        <v>340.82600000000002</v>
      </c>
      <c r="CO43" s="232" t="e">
        <v>#N/A</v>
      </c>
      <c r="CP43" s="232" t="e">
        <v>#N/A</v>
      </c>
      <c r="CQ43" s="232" t="e">
        <v>#N/A</v>
      </c>
      <c r="CR43" s="232" t="e">
        <v>#N/A</v>
      </c>
      <c r="CS43" s="230"/>
      <c r="CT43" s="232" t="e">
        <v>#N/A</v>
      </c>
      <c r="CU43" s="232">
        <v>527.79300000000001</v>
      </c>
      <c r="CV43" s="232">
        <v>263.19299999999998</v>
      </c>
      <c r="CW43" s="232">
        <v>835.06200000000001</v>
      </c>
      <c r="CX43" s="232">
        <v>929.75900000000001</v>
      </c>
      <c r="CY43" s="232">
        <v>1582.4770000000001</v>
      </c>
      <c r="CZ43" s="232" t="e">
        <v>#N/A</v>
      </c>
      <c r="DA43" s="232" t="e">
        <v>#N/A</v>
      </c>
      <c r="DB43" s="232" t="e">
        <v>#N/A</v>
      </c>
      <c r="DC43" s="232" t="e">
        <v>#N/A</v>
      </c>
      <c r="DD43" s="230"/>
      <c r="DE43" s="232" t="e">
        <v>#N/A</v>
      </c>
      <c r="DF43" s="232" t="e">
        <v>#N/A</v>
      </c>
      <c r="DG43" s="232">
        <v>0</v>
      </c>
      <c r="DH43" s="230"/>
      <c r="DI43" s="230"/>
      <c r="DJ43" s="172" t="s">
        <v>277</v>
      </c>
    </row>
    <row r="44" spans="1:114" x14ac:dyDescent="0.25">
      <c r="A44" s="225" t="s">
        <v>729</v>
      </c>
      <c r="B44" s="226" t="s">
        <v>761</v>
      </c>
      <c r="C44" s="227" t="s">
        <v>424</v>
      </c>
      <c r="D44" s="228" t="str">
        <f t="shared" si="0"/>
        <v>AL IN Equity</v>
      </c>
      <c r="E44" s="229" t="s">
        <v>315</v>
      </c>
      <c r="F44" s="230"/>
      <c r="G44" s="231">
        <v>11472.11940573734</v>
      </c>
      <c r="H44" s="232">
        <v>1029745.4271706548</v>
      </c>
      <c r="I44" s="230"/>
      <c r="J44" s="231">
        <v>16340.780238937339</v>
      </c>
      <c r="K44" s="232">
        <v>1446190.6271706547</v>
      </c>
      <c r="L44" s="230"/>
      <c r="M44" s="233">
        <v>33.909798804035702</v>
      </c>
      <c r="N44" s="233" t="e">
        <v>#N/A</v>
      </c>
      <c r="O44" s="233">
        <v>15.706232545091416</v>
      </c>
      <c r="P44" s="233" t="e">
        <v>#N/A</v>
      </c>
      <c r="Q44" s="230"/>
      <c r="R44" s="234">
        <v>8.4172465962285088</v>
      </c>
      <c r="S44" s="234">
        <v>10.876945968098337</v>
      </c>
      <c r="T44" s="230"/>
      <c r="U44" s="234">
        <v>0.28648646612398998</v>
      </c>
      <c r="V44" s="234" t="e">
        <v>#N/A</v>
      </c>
      <c r="W44" s="234">
        <v>0.38989544808233634</v>
      </c>
      <c r="X44" s="234">
        <v>0.54831530159980835</v>
      </c>
      <c r="Y44" s="234">
        <v>0.10857015753113275</v>
      </c>
      <c r="Z44" s="234">
        <v>0.13301012320523098</v>
      </c>
      <c r="AA44" s="234">
        <v>0.10133918508432944</v>
      </c>
      <c r="AB44" s="234">
        <v>0.10574654957062508</v>
      </c>
      <c r="AC44" s="230"/>
      <c r="AD44" s="232">
        <v>-72634.399999999994</v>
      </c>
      <c r="AE44" s="232">
        <v>-119303.6</v>
      </c>
      <c r="AF44" s="232">
        <v>-46669.2</v>
      </c>
      <c r="AG44" s="232">
        <v>-361776.9</v>
      </c>
      <c r="AH44" s="235">
        <v>-481080.5</v>
      </c>
      <c r="AI44" s="230"/>
      <c r="AJ44" s="232">
        <v>133937.9</v>
      </c>
      <c r="AK44" s="232">
        <v>365683.20000000001</v>
      </c>
      <c r="AL44" s="235">
        <v>499621.1</v>
      </c>
      <c r="AM44" s="230"/>
      <c r="AN44" s="231">
        <v>4446.2918925000004</v>
      </c>
      <c r="AO44" s="232">
        <v>380317.5</v>
      </c>
      <c r="AP44" s="236">
        <v>4.1304064510873992</v>
      </c>
      <c r="AQ44" s="230"/>
      <c r="AR44" s="237">
        <v>5873.8545519999998</v>
      </c>
      <c r="AS44" s="237">
        <v>5872.8972919999997</v>
      </c>
      <c r="AT44" s="237">
        <v>5883.7621840000002</v>
      </c>
      <c r="AU44" s="230"/>
      <c r="AV44" s="234">
        <v>5.1510000000000002E-3</v>
      </c>
      <c r="AW44" s="234">
        <v>0.51709991273416922</v>
      </c>
      <c r="AX44" s="234">
        <v>2.4320000000000001E-3</v>
      </c>
      <c r="AY44" s="234">
        <v>0.6125841961433709</v>
      </c>
      <c r="AZ44" s="230"/>
      <c r="BA44" s="232">
        <v>36127.699999999997</v>
      </c>
      <c r="BB44" s="230"/>
      <c r="BC44" s="232" t="e">
        <v>#N/A</v>
      </c>
      <c r="BD44" s="232">
        <v>20407.7</v>
      </c>
      <c r="BE44" s="230"/>
      <c r="BF44" s="238">
        <v>15.212934799999987</v>
      </c>
      <c r="BG44" s="238">
        <v>15.115477200000003</v>
      </c>
      <c r="BH44" s="238">
        <v>21.177188099999992</v>
      </c>
      <c r="BI44" s="230"/>
      <c r="BJ44" s="239">
        <v>1.9530819675865445</v>
      </c>
      <c r="BK44" s="240">
        <v>175.30999755859375</v>
      </c>
      <c r="BL44" s="230"/>
      <c r="BM44" s="241">
        <v>0.57499999999999996</v>
      </c>
      <c r="BN44" s="241">
        <v>-0.28000000000000003</v>
      </c>
      <c r="BO44" s="241">
        <v>-0.61</v>
      </c>
      <c r="BP44" s="241">
        <v>1.9978065</v>
      </c>
      <c r="BQ44" s="241">
        <v>4.2300000000000004</v>
      </c>
      <c r="BR44" s="241">
        <v>5.3163739999999997</v>
      </c>
      <c r="BS44" s="241" t="e">
        <v>#N/A</v>
      </c>
      <c r="BT44" s="241" t="e">
        <v>#N/A</v>
      </c>
      <c r="BU44" s="241" t="e">
        <v>#N/A</v>
      </c>
      <c r="BV44" s="241" t="e">
        <v>#N/A</v>
      </c>
      <c r="BW44" s="230"/>
      <c r="BX44" s="232">
        <v>3577.26</v>
      </c>
      <c r="BY44" s="232">
        <v>-2232.11</v>
      </c>
      <c r="BZ44" s="232">
        <v>-1140.51</v>
      </c>
      <c r="CA44" s="232">
        <v>10550.16</v>
      </c>
      <c r="CB44" s="232">
        <v>25021.26</v>
      </c>
      <c r="CC44" s="232">
        <v>30420.15</v>
      </c>
      <c r="CD44" s="232" t="e">
        <v>#N/A</v>
      </c>
      <c r="CE44" s="232" t="e">
        <v>#N/A</v>
      </c>
      <c r="CF44" s="232" t="e">
        <v>#N/A</v>
      </c>
      <c r="CG44" s="232" t="e">
        <v>#N/A</v>
      </c>
      <c r="CH44" s="230"/>
      <c r="CI44" s="232">
        <v>32333.5</v>
      </c>
      <c r="CJ44" s="232">
        <v>24624.400000000001</v>
      </c>
      <c r="CK44" s="232">
        <v>27652.400000000001</v>
      </c>
      <c r="CL44" s="232">
        <v>50929</v>
      </c>
      <c r="CM44" s="232">
        <v>79428.7</v>
      </c>
      <c r="CN44" s="232">
        <v>92077.5</v>
      </c>
      <c r="CO44" s="232" t="e">
        <v>#N/A</v>
      </c>
      <c r="CP44" s="232" t="e">
        <v>#N/A</v>
      </c>
      <c r="CQ44" s="232" t="e">
        <v>#N/A</v>
      </c>
      <c r="CR44" s="232" t="e">
        <v>#N/A</v>
      </c>
      <c r="CS44" s="230"/>
      <c r="CT44" s="232">
        <v>217481.2</v>
      </c>
      <c r="CU44" s="232">
        <v>193777.6</v>
      </c>
      <c r="CV44" s="232">
        <v>261102.6</v>
      </c>
      <c r="CW44" s="232">
        <v>414883</v>
      </c>
      <c r="CX44" s="232">
        <v>456045.6</v>
      </c>
      <c r="CY44" s="232">
        <v>483417.59999999998</v>
      </c>
      <c r="CZ44" s="232" t="e">
        <v>#N/A</v>
      </c>
      <c r="DA44" s="232" t="e">
        <v>#N/A</v>
      </c>
      <c r="DB44" s="232" t="e">
        <v>#N/A</v>
      </c>
      <c r="DC44" s="232" t="e">
        <v>#N/A</v>
      </c>
      <c r="DD44" s="230"/>
      <c r="DE44" s="232" t="e">
        <v>#N/A</v>
      </c>
      <c r="DF44" s="232">
        <v>4775.1000000000004</v>
      </c>
      <c r="DG44" s="232">
        <v>3728.6</v>
      </c>
      <c r="DH44" s="230"/>
      <c r="DI44" s="230"/>
      <c r="DJ44" s="172" t="s">
        <v>277</v>
      </c>
    </row>
    <row r="45" spans="1:114" x14ac:dyDescent="0.25">
      <c r="A45" s="225" t="s">
        <v>729</v>
      </c>
      <c r="B45" s="226" t="s">
        <v>762</v>
      </c>
      <c r="C45" s="227" t="s">
        <v>316</v>
      </c>
      <c r="D45" s="228" t="str">
        <f t="shared" si="0"/>
        <v>CFF IN Equity</v>
      </c>
      <c r="E45" s="229" t="s">
        <v>316</v>
      </c>
      <c r="F45" s="230"/>
      <c r="G45" s="231">
        <v>127.45359114228727</v>
      </c>
      <c r="H45" s="232">
        <v>11440.323101031494</v>
      </c>
      <c r="I45" s="230"/>
      <c r="J45" s="231">
        <v>129.61839023028728</v>
      </c>
      <c r="K45" s="232">
        <v>11625.491101031494</v>
      </c>
      <c r="L45" s="230"/>
      <c r="M45" s="233">
        <v>37.565427837949812</v>
      </c>
      <c r="N45" s="233" t="e">
        <v>#N/A</v>
      </c>
      <c r="O45" s="233" t="e">
        <v>#N/A</v>
      </c>
      <c r="P45" s="233" t="e">
        <v>#N/A</v>
      </c>
      <c r="Q45" s="230"/>
      <c r="R45" s="234">
        <v>7.1849431359255327</v>
      </c>
      <c r="S45" s="234">
        <v>7.6447865705822657</v>
      </c>
      <c r="T45" s="230"/>
      <c r="U45" s="234">
        <v>0.20171694018598732</v>
      </c>
      <c r="V45" s="234" t="e">
        <v>#N/A</v>
      </c>
      <c r="W45" s="234">
        <v>0.21522766811151134</v>
      </c>
      <c r="X45" s="234" t="e">
        <v>#N/A</v>
      </c>
      <c r="Y45" s="234" t="e">
        <v>#N/A</v>
      </c>
      <c r="Z45" s="234" t="e">
        <v>#N/A</v>
      </c>
      <c r="AA45" s="234">
        <v>0.20776245252555434</v>
      </c>
      <c r="AB45" s="234" t="e">
        <v>#N/A</v>
      </c>
      <c r="AC45" s="230"/>
      <c r="AD45" s="232">
        <v>-25.975000000000001</v>
      </c>
      <c r="AE45" s="232">
        <v>-25.975000000000001</v>
      </c>
      <c r="AF45" s="232">
        <v>0</v>
      </c>
      <c r="AG45" s="232">
        <v>0</v>
      </c>
      <c r="AH45" s="235">
        <v>-25.975000000000001</v>
      </c>
      <c r="AI45" s="230"/>
      <c r="AJ45" s="232">
        <v>163.17699999999999</v>
      </c>
      <c r="AK45" s="232">
        <v>47.966000000000001</v>
      </c>
      <c r="AL45" s="235">
        <v>211.143</v>
      </c>
      <c r="AM45" s="230"/>
      <c r="AN45" s="231">
        <v>2.1647990880000001</v>
      </c>
      <c r="AO45" s="232">
        <v>185.16800000000001</v>
      </c>
      <c r="AP45" s="236" t="e">
        <v>#N/A</v>
      </c>
      <c r="AQ45" s="230"/>
      <c r="AR45" s="237">
        <v>20.9741</v>
      </c>
      <c r="AS45" s="237">
        <v>19.4741</v>
      </c>
      <c r="AT45" s="237">
        <v>19.4741</v>
      </c>
      <c r="AU45" s="230"/>
      <c r="AV45" s="234">
        <v>6.8059999999999996E-3</v>
      </c>
      <c r="AW45" s="234">
        <v>4.2881016042780745E-2</v>
      </c>
      <c r="AX45" s="234">
        <v>9.9999999999999995E-7</v>
      </c>
      <c r="AY45" s="234">
        <v>0.28530425620169636</v>
      </c>
      <c r="AZ45" s="230"/>
      <c r="BA45" s="232">
        <v>0</v>
      </c>
      <c r="BB45" s="230"/>
      <c r="BC45" s="232" t="e">
        <v>#N/A</v>
      </c>
      <c r="BD45" s="232" t="e">
        <v>#N/A</v>
      </c>
      <c r="BE45" s="230"/>
      <c r="BF45" s="238">
        <v>2.4760000000000001E-2</v>
      </c>
      <c r="BG45" s="238">
        <v>2.1659999999999999E-2</v>
      </c>
      <c r="BH45" s="238">
        <v>2.6240000000000006E-2</v>
      </c>
      <c r="BI45" s="230"/>
      <c r="BJ45" s="239">
        <v>6.0767132388177458</v>
      </c>
      <c r="BK45" s="240">
        <v>545.45001220703125</v>
      </c>
      <c r="BL45" s="230"/>
      <c r="BM45" s="241" t="e">
        <v>#N/A</v>
      </c>
      <c r="BN45" s="241" t="e">
        <v>#N/A</v>
      </c>
      <c r="BO45" s="241" t="e">
        <v>#N/A</v>
      </c>
      <c r="BP45" s="241">
        <v>7.101</v>
      </c>
      <c r="BQ45" s="241">
        <v>8.7746019999999998</v>
      </c>
      <c r="BR45" s="241">
        <v>12.25</v>
      </c>
      <c r="BS45" s="241" t="e">
        <v>#N/A</v>
      </c>
      <c r="BT45" s="241" t="e">
        <v>#N/A</v>
      </c>
      <c r="BU45" s="241" t="e">
        <v>#N/A</v>
      </c>
      <c r="BV45" s="241" t="e">
        <v>#N/A</v>
      </c>
      <c r="BW45" s="230"/>
      <c r="BX45" s="232" t="e">
        <v>#N/A</v>
      </c>
      <c r="BY45" s="232" t="e">
        <v>#N/A</v>
      </c>
      <c r="BZ45" s="232" t="e">
        <v>#N/A</v>
      </c>
      <c r="CA45" s="232">
        <v>101.36</v>
      </c>
      <c r="CB45" s="232">
        <v>170.87746999999999</v>
      </c>
      <c r="CC45" s="232">
        <v>238.50299999999999</v>
      </c>
      <c r="CD45" s="232" t="e">
        <v>#N/A</v>
      </c>
      <c r="CE45" s="232" t="e">
        <v>#N/A</v>
      </c>
      <c r="CF45" s="232" t="e">
        <v>#N/A</v>
      </c>
      <c r="CG45" s="232" t="e">
        <v>#N/A</v>
      </c>
      <c r="CH45" s="230"/>
      <c r="CI45" s="232" t="e">
        <v>#N/A</v>
      </c>
      <c r="CJ45" s="232" t="e">
        <v>#N/A</v>
      </c>
      <c r="CK45" s="232" t="e">
        <v>#N/A</v>
      </c>
      <c r="CL45" s="232" t="e">
        <v>#N/A</v>
      </c>
      <c r="CM45" s="232">
        <v>307.52479</v>
      </c>
      <c r="CN45" s="232">
        <v>407.72</v>
      </c>
      <c r="CO45" s="232" t="e">
        <v>#N/A</v>
      </c>
      <c r="CP45" s="232" t="e">
        <v>#N/A</v>
      </c>
      <c r="CQ45" s="232" t="e">
        <v>#N/A</v>
      </c>
      <c r="CR45" s="232" t="e">
        <v>#N/A</v>
      </c>
      <c r="CS45" s="230"/>
      <c r="CT45" s="232" t="e">
        <v>#N/A</v>
      </c>
      <c r="CU45" s="232" t="e">
        <v>#N/A</v>
      </c>
      <c r="CV45" s="232" t="e">
        <v>#N/A</v>
      </c>
      <c r="CW45" s="232">
        <v>706.66300000000001</v>
      </c>
      <c r="CX45" s="232">
        <v>1068.59059</v>
      </c>
      <c r="CY45" s="232">
        <v>1455.605</v>
      </c>
      <c r="CZ45" s="232" t="e">
        <v>#N/A</v>
      </c>
      <c r="DA45" s="232" t="e">
        <v>#N/A</v>
      </c>
      <c r="DB45" s="232" t="e">
        <v>#N/A</v>
      </c>
      <c r="DC45" s="232" t="e">
        <v>#N/A</v>
      </c>
      <c r="DD45" s="230"/>
      <c r="DE45" s="232" t="e">
        <v>#N/A</v>
      </c>
      <c r="DF45" s="232" t="e">
        <v>#N/A</v>
      </c>
      <c r="DG45" s="232" t="e">
        <v>#N/A</v>
      </c>
      <c r="DH45" s="230"/>
      <c r="DI45" s="230"/>
      <c r="DJ45" s="172" t="s">
        <v>277</v>
      </c>
    </row>
    <row r="46" spans="1:114" x14ac:dyDescent="0.25">
      <c r="A46" s="225" t="s">
        <v>729</v>
      </c>
      <c r="B46" s="226" t="s">
        <v>763</v>
      </c>
      <c r="C46" s="227" t="s">
        <v>317</v>
      </c>
      <c r="D46" s="228" t="str">
        <f t="shared" si="0"/>
        <v>DEEDEV IN Equity</v>
      </c>
      <c r="E46" s="229" t="s">
        <v>317</v>
      </c>
      <c r="F46" s="230"/>
      <c r="G46" s="231">
        <v>169.74633983950821</v>
      </c>
      <c r="H46" s="232">
        <v>15236.549677235076</v>
      </c>
      <c r="I46" s="230"/>
      <c r="J46" s="231">
        <v>214.5384422515082</v>
      </c>
      <c r="K46" s="232">
        <v>19067.881677235076</v>
      </c>
      <c r="L46" s="230"/>
      <c r="M46" s="233">
        <v>32.771864840641861</v>
      </c>
      <c r="N46" s="233" t="e">
        <v>#N/A</v>
      </c>
      <c r="O46" s="233">
        <v>15.406745847905578</v>
      </c>
      <c r="P46" s="233" t="e">
        <v>#N/A</v>
      </c>
      <c r="Q46" s="230"/>
      <c r="R46" s="234">
        <v>1.897457447067755</v>
      </c>
      <c r="S46" s="234">
        <v>1.9104684578468834</v>
      </c>
      <c r="T46" s="230"/>
      <c r="U46" s="234">
        <v>7.0016430583222586E-2</v>
      </c>
      <c r="V46" s="234" t="e">
        <v>#N/A</v>
      </c>
      <c r="W46" s="234">
        <v>7.0372704491525592E-2</v>
      </c>
      <c r="X46" s="234">
        <v>0.10740632915396786</v>
      </c>
      <c r="Y46" s="234">
        <v>5.3746154113325922E-2</v>
      </c>
      <c r="Z46" s="234">
        <v>6.8179475624355307E-2</v>
      </c>
      <c r="AA46" s="234">
        <v>4.7420382818881321E-2</v>
      </c>
      <c r="AB46" s="234">
        <v>7.0102369401305792E-2</v>
      </c>
      <c r="AC46" s="230"/>
      <c r="AD46" s="232">
        <v>-475.56400000000002</v>
      </c>
      <c r="AE46" s="232">
        <v>-475.56400000000002</v>
      </c>
      <c r="AF46" s="232">
        <v>0</v>
      </c>
      <c r="AG46" s="232">
        <v>0</v>
      </c>
      <c r="AH46" s="235">
        <v>-475.56400000000002</v>
      </c>
      <c r="AI46" s="230"/>
      <c r="AJ46" s="232">
        <v>3431.1280000000002</v>
      </c>
      <c r="AK46" s="232">
        <v>875.76800000000003</v>
      </c>
      <c r="AL46" s="235">
        <v>4306.8959999999997</v>
      </c>
      <c r="AM46" s="230"/>
      <c r="AN46" s="231">
        <v>44.792102412000006</v>
      </c>
      <c r="AO46" s="232">
        <v>3831.3320000000008</v>
      </c>
      <c r="AP46" s="236">
        <v>3.0956956510497475</v>
      </c>
      <c r="AQ46" s="230"/>
      <c r="AR46" s="237">
        <v>69.263341999999994</v>
      </c>
      <c r="AS46" s="237">
        <v>65.280694999999994</v>
      </c>
      <c r="AT46" s="237">
        <v>65.280694999999994</v>
      </c>
      <c r="AU46" s="230"/>
      <c r="AV46" s="234">
        <v>7.0209999999999995E-3</v>
      </c>
      <c r="AW46" s="234">
        <v>0.51396827025854719</v>
      </c>
      <c r="AX46" s="234">
        <v>7.9000000000000009E-5</v>
      </c>
      <c r="AY46" s="234">
        <v>0.29823800589928223</v>
      </c>
      <c r="AZ46" s="230"/>
      <c r="BA46" s="232">
        <v>0</v>
      </c>
      <c r="BB46" s="230"/>
      <c r="BC46" s="232" t="e">
        <v>#N/A</v>
      </c>
      <c r="BD46" s="232">
        <v>0</v>
      </c>
      <c r="BE46" s="230"/>
      <c r="BF46" s="238">
        <v>7.2121400000000002E-2</v>
      </c>
      <c r="BG46" s="238">
        <v>0.13819950000000003</v>
      </c>
      <c r="BH46" s="238">
        <v>0.20456796666666682</v>
      </c>
      <c r="BI46" s="230"/>
      <c r="BJ46" s="239">
        <v>2.4507385138809537</v>
      </c>
      <c r="BK46" s="240">
        <v>219.97999572753906</v>
      </c>
      <c r="BL46" s="230"/>
      <c r="BM46" s="241">
        <v>9.83</v>
      </c>
      <c r="BN46" s="241">
        <v>2.44</v>
      </c>
      <c r="BO46" s="241">
        <v>1.53</v>
      </c>
      <c r="BP46" s="241">
        <v>12.228507</v>
      </c>
      <c r="BQ46" s="241">
        <v>4.9239439999999997</v>
      </c>
      <c r="BR46" s="241">
        <v>6.65</v>
      </c>
      <c r="BS46" s="241" t="e">
        <v>#N/A</v>
      </c>
      <c r="BT46" s="241" t="e">
        <v>#N/A</v>
      </c>
      <c r="BU46" s="241" t="e">
        <v>#N/A</v>
      </c>
      <c r="BV46" s="241" t="e">
        <v>#N/A</v>
      </c>
      <c r="BW46" s="230"/>
      <c r="BX46" s="232">
        <v>133.655</v>
      </c>
      <c r="BY46" s="232">
        <v>142.05000000000001</v>
      </c>
      <c r="BZ46" s="232">
        <v>81.97</v>
      </c>
      <c r="CA46" s="232">
        <v>129.72</v>
      </c>
      <c r="CB46" s="232">
        <v>262.27499999999998</v>
      </c>
      <c r="CC46" s="232">
        <v>438.19439999999997</v>
      </c>
      <c r="CD46" s="232" t="e">
        <v>#N/A</v>
      </c>
      <c r="CE46" s="232" t="e">
        <v>#N/A</v>
      </c>
      <c r="CF46" s="232" t="e">
        <v>#N/A</v>
      </c>
      <c r="CG46" s="232" t="e">
        <v>#N/A</v>
      </c>
      <c r="CH46" s="230"/>
      <c r="CI46" s="232">
        <v>816.73599999999999</v>
      </c>
      <c r="CJ46" s="232">
        <v>536.84</v>
      </c>
      <c r="CK46" s="232">
        <v>646.06999999999994</v>
      </c>
      <c r="CL46" s="232">
        <v>691.76</v>
      </c>
      <c r="CM46" s="232">
        <v>1025.0999999999999</v>
      </c>
      <c r="CN46" s="232">
        <v>1237.6320000000001</v>
      </c>
      <c r="CO46" s="232" t="e">
        <v>#N/A</v>
      </c>
      <c r="CP46" s="232" t="e">
        <v>#N/A</v>
      </c>
      <c r="CQ46" s="232" t="e">
        <v>#N/A</v>
      </c>
      <c r="CR46" s="232" t="e">
        <v>#N/A</v>
      </c>
      <c r="CS46" s="230"/>
      <c r="CT46" s="232">
        <v>7115.84</v>
      </c>
      <c r="CU46" s="232">
        <v>4952.17</v>
      </c>
      <c r="CV46" s="232">
        <v>4609.16</v>
      </c>
      <c r="CW46" s="232">
        <v>5954.95</v>
      </c>
      <c r="CX46" s="232">
        <v>7887.5919999999996</v>
      </c>
      <c r="CY46" s="232">
        <v>8273.6219999999994</v>
      </c>
      <c r="CZ46" s="232" t="e">
        <v>#N/A</v>
      </c>
      <c r="DA46" s="232" t="e">
        <v>#N/A</v>
      </c>
      <c r="DB46" s="232" t="e">
        <v>#N/A</v>
      </c>
      <c r="DC46" s="232" t="e">
        <v>#N/A</v>
      </c>
      <c r="DD46" s="230"/>
      <c r="DE46" s="232" t="e">
        <v>#N/A</v>
      </c>
      <c r="DF46" s="232">
        <v>733.029</v>
      </c>
      <c r="DG46" s="232">
        <v>0</v>
      </c>
      <c r="DH46" s="230"/>
      <c r="DI46" s="230"/>
      <c r="DJ46" s="172" t="s">
        <v>277</v>
      </c>
    </row>
    <row r="47" spans="1:114" x14ac:dyDescent="0.25">
      <c r="A47" s="225" t="s">
        <v>729</v>
      </c>
      <c r="B47" s="226" t="s">
        <v>764</v>
      </c>
      <c r="C47" s="227" t="s">
        <v>425</v>
      </c>
      <c r="D47" s="228" t="str">
        <f t="shared" si="0"/>
        <v>DRONACHR IN Equity</v>
      </c>
      <c r="E47" s="229" t="s">
        <v>318</v>
      </c>
      <c r="F47" s="230"/>
      <c r="G47" s="231">
        <v>12.771906433426825</v>
      </c>
      <c r="H47" s="232">
        <v>1146.4152159622192</v>
      </c>
      <c r="I47" s="230"/>
      <c r="J47" s="231">
        <v>12.818132647426825</v>
      </c>
      <c r="K47" s="232">
        <v>1150.3692159622192</v>
      </c>
      <c r="L47" s="230"/>
      <c r="M47" s="233" t="e">
        <v>#N/A</v>
      </c>
      <c r="N47" s="233" t="e">
        <v>#N/A</v>
      </c>
      <c r="O47" s="233" t="e">
        <v>#N/A</v>
      </c>
      <c r="P47" s="233" t="e">
        <v>#N/A</v>
      </c>
      <c r="Q47" s="230"/>
      <c r="R47" s="234">
        <v>1.9769801717629094</v>
      </c>
      <c r="S47" s="234">
        <v>2.1403877365517503</v>
      </c>
      <c r="T47" s="230"/>
      <c r="U47" s="234">
        <v>-0.20665119757608302</v>
      </c>
      <c r="V47" s="234" t="e">
        <v>#N/A</v>
      </c>
      <c r="W47" s="234">
        <v>-0.2267584117164321</v>
      </c>
      <c r="X47" s="234" t="e">
        <v>#N/A</v>
      </c>
      <c r="Y47" s="234">
        <v>-0.22754257614345541</v>
      </c>
      <c r="Z47" s="234">
        <v>-0.3050434779921874</v>
      </c>
      <c r="AA47" s="234">
        <v>-0.60002431204509887</v>
      </c>
      <c r="AB47" s="234">
        <v>-0.20114012655628774</v>
      </c>
      <c r="AC47" s="230"/>
      <c r="AD47" s="232">
        <v>-29.867000000000001</v>
      </c>
      <c r="AE47" s="232">
        <v>-29.867000000000001</v>
      </c>
      <c r="AF47" s="232">
        <v>0</v>
      </c>
      <c r="AG47" s="232">
        <v>-47.405000000000001</v>
      </c>
      <c r="AH47" s="235">
        <v>-77.272000000000006</v>
      </c>
      <c r="AI47" s="230"/>
      <c r="AJ47" s="232">
        <v>13.042999999999999</v>
      </c>
      <c r="AK47" s="232">
        <v>20.847000000000001</v>
      </c>
      <c r="AL47" s="235">
        <v>33.89</v>
      </c>
      <c r="AM47" s="230"/>
      <c r="AN47" s="231">
        <v>4.7032892999999999E-2</v>
      </c>
      <c r="AO47" s="232">
        <v>4.0229999999999997</v>
      </c>
      <c r="AP47" s="236" t="e">
        <v>#N/A</v>
      </c>
      <c r="AQ47" s="230"/>
      <c r="AR47" s="237">
        <v>23.988600000000002</v>
      </c>
      <c r="AS47" s="237">
        <v>23.988600000000002</v>
      </c>
      <c r="AT47" s="237">
        <v>23.988600000000002</v>
      </c>
      <c r="AU47" s="230"/>
      <c r="AV47" s="234">
        <v>2.8210000000000002E-3</v>
      </c>
      <c r="AW47" s="234">
        <v>0</v>
      </c>
      <c r="AX47" s="234">
        <v>5.4999999999999995E-5</v>
      </c>
      <c r="AY47" s="234">
        <v>0.64531135622754132</v>
      </c>
      <c r="AZ47" s="230"/>
      <c r="BA47" s="232">
        <v>-6.9000000000000006E-2</v>
      </c>
      <c r="BB47" s="230"/>
      <c r="BC47" s="232" t="e">
        <v>#N/A</v>
      </c>
      <c r="BD47" s="232">
        <v>0</v>
      </c>
      <c r="BE47" s="230"/>
      <c r="BF47" s="238">
        <v>8.9599999999999999E-2</v>
      </c>
      <c r="BG47" s="238">
        <v>0.19009999999999999</v>
      </c>
      <c r="BH47" s="238">
        <v>0.2301666666666666</v>
      </c>
      <c r="BI47" s="230"/>
      <c r="BJ47" s="239">
        <v>0.53241566550056374</v>
      </c>
      <c r="BK47" s="240">
        <v>47.790000915527344</v>
      </c>
      <c r="BL47" s="230"/>
      <c r="BM47" s="241" t="e">
        <v>#N/A</v>
      </c>
      <c r="BN47" s="241" t="e">
        <v>#N/A</v>
      </c>
      <c r="BO47" s="241" t="e">
        <v>#N/A</v>
      </c>
      <c r="BP47" s="241">
        <v>1.77</v>
      </c>
      <c r="BQ47" s="241">
        <v>1.77</v>
      </c>
      <c r="BR47" s="241">
        <v>-5.61</v>
      </c>
      <c r="BS47" s="241" t="e">
        <v>#N/A</v>
      </c>
      <c r="BT47" s="241" t="e">
        <v>#N/A</v>
      </c>
      <c r="BU47" s="241" t="e">
        <v>#N/A</v>
      </c>
      <c r="BV47" s="241" t="e">
        <v>#N/A</v>
      </c>
      <c r="BW47" s="230"/>
      <c r="BX47" s="232">
        <v>-0.23</v>
      </c>
      <c r="BY47" s="232">
        <v>-1.4890000000000001</v>
      </c>
      <c r="BZ47" s="232">
        <v>4.0656999999999996</v>
      </c>
      <c r="CA47" s="232">
        <v>34.329000000000001</v>
      </c>
      <c r="CB47" s="232">
        <v>60.798000000000002</v>
      </c>
      <c r="CC47" s="232">
        <v>-134.703</v>
      </c>
      <c r="CD47" s="232" t="e">
        <v>#N/A</v>
      </c>
      <c r="CE47" s="232" t="e">
        <v>#N/A</v>
      </c>
      <c r="CF47" s="232" t="e">
        <v>#N/A</v>
      </c>
      <c r="CG47" s="232" t="e">
        <v>#N/A</v>
      </c>
      <c r="CH47" s="230"/>
      <c r="CI47" s="232">
        <v>-0.22900000000000001</v>
      </c>
      <c r="CJ47" s="232">
        <v>-1.488</v>
      </c>
      <c r="CK47" s="232">
        <v>5.7509999999999994</v>
      </c>
      <c r="CL47" s="232">
        <v>50.402000000000001</v>
      </c>
      <c r="CM47" s="232">
        <v>103.07599999999999</v>
      </c>
      <c r="CN47" s="232">
        <v>-151.94500000000002</v>
      </c>
      <c r="CO47" s="232" t="e">
        <v>#N/A</v>
      </c>
      <c r="CP47" s="232" t="e">
        <v>#N/A</v>
      </c>
      <c r="CQ47" s="232" t="e">
        <v>#N/A</v>
      </c>
      <c r="CR47" s="232" t="e">
        <v>#N/A</v>
      </c>
      <c r="CS47" s="230"/>
      <c r="CT47" s="232">
        <v>0</v>
      </c>
      <c r="CU47" s="232">
        <v>0.1</v>
      </c>
      <c r="CV47" s="232">
        <v>35.872999999999998</v>
      </c>
      <c r="CW47" s="232">
        <v>185.69499999999999</v>
      </c>
      <c r="CX47" s="232">
        <v>352.52800000000002</v>
      </c>
      <c r="CY47" s="232">
        <v>345.18900000000002</v>
      </c>
      <c r="CZ47" s="232" t="e">
        <v>#N/A</v>
      </c>
      <c r="DA47" s="232" t="e">
        <v>#N/A</v>
      </c>
      <c r="DB47" s="232" t="e">
        <v>#N/A</v>
      </c>
      <c r="DC47" s="232" t="e">
        <v>#N/A</v>
      </c>
      <c r="DD47" s="230"/>
      <c r="DE47" s="232" t="e">
        <v>#N/A</v>
      </c>
      <c r="DF47" s="232">
        <v>0</v>
      </c>
      <c r="DG47" s="232">
        <v>0</v>
      </c>
      <c r="DH47" s="230"/>
      <c r="DI47" s="230"/>
      <c r="DJ47" s="172" t="s">
        <v>277</v>
      </c>
    </row>
    <row r="48" spans="1:114" x14ac:dyDescent="0.25">
      <c r="A48" s="225" t="s">
        <v>729</v>
      </c>
      <c r="B48" s="242" t="s">
        <v>293</v>
      </c>
      <c r="C48" s="227" t="s">
        <v>426</v>
      </c>
      <c r="D48" s="228" t="str">
        <f t="shared" si="0"/>
        <v>DYTC IN Equity</v>
      </c>
      <c r="E48" s="229" t="s">
        <v>319</v>
      </c>
      <c r="F48" s="230"/>
      <c r="G48" s="231">
        <v>731.76171309599408</v>
      </c>
      <c r="H48" s="232">
        <v>65683.440974500001</v>
      </c>
      <c r="I48" s="230"/>
      <c r="J48" s="231">
        <v>782.13589389599406</v>
      </c>
      <c r="K48" s="232">
        <v>69992.240974500004</v>
      </c>
      <c r="L48" s="230"/>
      <c r="M48" s="233">
        <v>152.5713834989746</v>
      </c>
      <c r="N48" s="233">
        <v>124.1527599486521</v>
      </c>
      <c r="O48" s="233">
        <v>44.209348771159682</v>
      </c>
      <c r="P48" s="233">
        <v>39.115415071262362</v>
      </c>
      <c r="Q48" s="230"/>
      <c r="R48" s="234">
        <v>9.152541463414634</v>
      </c>
      <c r="S48" s="234">
        <v>11.262323998010599</v>
      </c>
      <c r="T48" s="230"/>
      <c r="U48" s="234">
        <v>6.2140856458086688E-2</v>
      </c>
      <c r="V48" s="234" t="e">
        <v>#N/A</v>
      </c>
      <c r="W48" s="234">
        <v>7.6007487726486064E-2</v>
      </c>
      <c r="X48" s="234">
        <v>9.7868982207015412E-2</v>
      </c>
      <c r="Y48" s="234">
        <v>5.5512700035564369E-2</v>
      </c>
      <c r="Z48" s="234">
        <v>7.1336997804522365E-2</v>
      </c>
      <c r="AA48" s="234">
        <v>5.618998473617047E-2</v>
      </c>
      <c r="AB48" s="234">
        <v>6.9343875910473085E-2</v>
      </c>
      <c r="AC48" s="230"/>
      <c r="AD48" s="232">
        <v>-459</v>
      </c>
      <c r="AE48" s="232">
        <v>-459</v>
      </c>
      <c r="AF48" s="232">
        <v>0</v>
      </c>
      <c r="AG48" s="232">
        <v>-3.3</v>
      </c>
      <c r="AH48" s="235">
        <v>-462.3</v>
      </c>
      <c r="AI48" s="230"/>
      <c r="AJ48" s="232">
        <v>3015.4</v>
      </c>
      <c r="AK48" s="232">
        <v>1752.4</v>
      </c>
      <c r="AL48" s="235">
        <v>4767.8</v>
      </c>
      <c r="AM48" s="230"/>
      <c r="AN48" s="231">
        <v>50.374180799999998</v>
      </c>
      <c r="AO48" s="232">
        <v>4308.8</v>
      </c>
      <c r="AP48" s="236">
        <v>2.7215765538150585</v>
      </c>
      <c r="AQ48" s="230"/>
      <c r="AR48" s="237">
        <v>6.7914430000000001</v>
      </c>
      <c r="AS48" s="237">
        <v>6.79</v>
      </c>
      <c r="AT48" s="237">
        <v>6.7914430000000001</v>
      </c>
      <c r="AU48" s="230"/>
      <c r="AV48" s="234">
        <v>4.1869999999999997E-3</v>
      </c>
      <c r="AW48" s="234">
        <v>0.3196092946215951</v>
      </c>
      <c r="AX48" s="234">
        <v>1.2230000000000001E-3</v>
      </c>
      <c r="AY48" s="234">
        <v>0.49230804116297522</v>
      </c>
      <c r="AZ48" s="230"/>
      <c r="BA48" s="232">
        <v>0</v>
      </c>
      <c r="BB48" s="230"/>
      <c r="BC48" s="232" t="e">
        <v>#N/A</v>
      </c>
      <c r="BD48" s="232">
        <v>47.5</v>
      </c>
      <c r="BE48" s="230"/>
      <c r="BF48" s="238">
        <v>3.2885999999999992E-2</v>
      </c>
      <c r="BG48" s="238">
        <v>3.078659999999997E-2</v>
      </c>
      <c r="BH48" s="238">
        <v>3.4218233333333306E-2</v>
      </c>
      <c r="BI48" s="230"/>
      <c r="BJ48" s="239">
        <v>107.7476043156063</v>
      </c>
      <c r="BK48" s="240">
        <v>9671.5</v>
      </c>
      <c r="BL48" s="230"/>
      <c r="BM48" s="241">
        <v>86.85</v>
      </c>
      <c r="BN48" s="241">
        <v>-34.5</v>
      </c>
      <c r="BO48" s="241">
        <v>50.567999999999998</v>
      </c>
      <c r="BP48" s="241">
        <v>63.018999999999998</v>
      </c>
      <c r="BQ48" s="241">
        <v>271.163476</v>
      </c>
      <c r="BR48" s="241">
        <v>63.39</v>
      </c>
      <c r="BS48" s="241">
        <v>77.900000000000006</v>
      </c>
      <c r="BT48" s="241">
        <v>142.19999999999999</v>
      </c>
      <c r="BU48" s="241">
        <v>199.1</v>
      </c>
      <c r="BV48" s="241">
        <v>381.87</v>
      </c>
      <c r="BW48" s="230"/>
      <c r="BX48" s="232">
        <v>551.29999999999995</v>
      </c>
      <c r="BY48" s="232">
        <v>19.59</v>
      </c>
      <c r="BZ48" s="232">
        <v>320.60000000000002</v>
      </c>
      <c r="CA48" s="232">
        <v>427.9</v>
      </c>
      <c r="CB48" s="232">
        <v>1218.0999999999999</v>
      </c>
      <c r="CC48" s="232">
        <v>430.4</v>
      </c>
      <c r="CD48" s="232" t="e">
        <v>#N/A</v>
      </c>
      <c r="CE48" s="232" t="e">
        <v>#N/A</v>
      </c>
      <c r="CF48" s="232" t="e">
        <v>#N/A</v>
      </c>
      <c r="CG48" s="232" t="e">
        <v>#N/A</v>
      </c>
      <c r="CH48" s="230"/>
      <c r="CI48" s="232">
        <v>1996</v>
      </c>
      <c r="CJ48" s="232">
        <v>1593.1</v>
      </c>
      <c r="CK48" s="232">
        <v>1692.3000000000002</v>
      </c>
      <c r="CL48" s="232">
        <v>1812.6000000000001</v>
      </c>
      <c r="CM48" s="232">
        <v>1594.1</v>
      </c>
      <c r="CN48" s="232">
        <v>1583.1999999999998</v>
      </c>
      <c r="CO48" s="232">
        <v>1719</v>
      </c>
      <c r="CP48" s="232">
        <v>2420</v>
      </c>
      <c r="CQ48" s="232">
        <v>3003</v>
      </c>
      <c r="CR48" s="232">
        <v>4199</v>
      </c>
      <c r="CS48" s="230"/>
      <c r="CT48" s="232">
        <v>13212.1</v>
      </c>
      <c r="CU48" s="232">
        <v>11182</v>
      </c>
      <c r="CV48" s="232">
        <v>12533.7</v>
      </c>
      <c r="CW48" s="232">
        <v>13157.7</v>
      </c>
      <c r="CX48" s="232">
        <v>14293.3</v>
      </c>
      <c r="CY48" s="232">
        <v>14038</v>
      </c>
      <c r="CZ48" s="232">
        <v>15552</v>
      </c>
      <c r="DA48" s="232">
        <v>18100</v>
      </c>
      <c r="DB48" s="232">
        <v>20693</v>
      </c>
      <c r="DC48" s="232">
        <v>23110</v>
      </c>
      <c r="DD48" s="230"/>
      <c r="DE48" s="232" t="e">
        <v>#N/A</v>
      </c>
      <c r="DF48" s="232" t="e">
        <v>#N/A</v>
      </c>
      <c r="DG48" s="232" t="e">
        <v>#N/A</v>
      </c>
      <c r="DH48" s="230"/>
      <c r="DI48" s="230"/>
      <c r="DJ48" s="172" t="s">
        <v>277</v>
      </c>
    </row>
    <row r="49" spans="1:114" x14ac:dyDescent="0.25">
      <c r="A49" s="225" t="s">
        <v>729</v>
      </c>
      <c r="B49" s="226" t="s">
        <v>765</v>
      </c>
      <c r="C49" s="227" t="s">
        <v>442</v>
      </c>
      <c r="D49" s="228" t="str">
        <f t="shared" si="0"/>
        <v>1436Z IN Equity</v>
      </c>
      <c r="E49" s="229"/>
      <c r="F49" s="230"/>
      <c r="G49" s="231" t="e">
        <v>#N/A</v>
      </c>
      <c r="H49" s="232" t="e">
        <v>#N/A</v>
      </c>
      <c r="I49" s="230"/>
      <c r="J49" s="231" t="e">
        <v>#N/A</v>
      </c>
      <c r="K49" s="232" t="e">
        <v>#N/A</v>
      </c>
      <c r="L49" s="230"/>
      <c r="M49" s="233" t="e">
        <v>#N/A</v>
      </c>
      <c r="N49" s="233" t="e">
        <v>#N/A</v>
      </c>
      <c r="O49" s="233" t="e">
        <v>#N/A</v>
      </c>
      <c r="P49" s="233" t="e">
        <v>#N/A</v>
      </c>
      <c r="Q49" s="230"/>
      <c r="R49" s="234" t="e">
        <v>#N/A</v>
      </c>
      <c r="S49" s="234" t="e">
        <v>#N/A</v>
      </c>
      <c r="T49" s="230"/>
      <c r="U49" s="234" t="e">
        <v>#N/A</v>
      </c>
      <c r="V49" s="234" t="e">
        <v>#N/A</v>
      </c>
      <c r="W49" s="234" t="e">
        <v>#N/A</v>
      </c>
      <c r="X49" s="234" t="e">
        <v>#N/A</v>
      </c>
      <c r="Y49" s="234" t="e">
        <v>#N/A</v>
      </c>
      <c r="Z49" s="234" t="e">
        <v>#N/A</v>
      </c>
      <c r="AA49" s="234">
        <v>6.6972333364427816E-2</v>
      </c>
      <c r="AB49" s="234" t="e">
        <v>#N/A</v>
      </c>
      <c r="AC49" s="230"/>
      <c r="AD49" s="232">
        <v>-4842.2</v>
      </c>
      <c r="AE49" s="232">
        <v>-5512.2</v>
      </c>
      <c r="AF49" s="232">
        <v>-670</v>
      </c>
      <c r="AG49" s="232">
        <v>-120944.6</v>
      </c>
      <c r="AH49" s="235">
        <v>-126456.8</v>
      </c>
      <c r="AI49" s="230"/>
      <c r="AJ49" s="232">
        <v>28240.7</v>
      </c>
      <c r="AK49" s="232">
        <v>12075.4</v>
      </c>
      <c r="AL49" s="235">
        <v>40316.1</v>
      </c>
      <c r="AM49" s="230"/>
      <c r="AN49" s="231">
        <v>417.54238830000003</v>
      </c>
      <c r="AO49" s="232">
        <v>34803.9</v>
      </c>
      <c r="AP49" s="236">
        <v>3.0205688100466053</v>
      </c>
      <c r="AQ49" s="230"/>
      <c r="AR49" s="237" t="e">
        <v>#N/A</v>
      </c>
      <c r="AS49" s="237">
        <v>0.67844311377199995</v>
      </c>
      <c r="AT49" s="237">
        <v>0.67844311377199995</v>
      </c>
      <c r="AU49" s="230"/>
      <c r="AV49" s="234" t="e">
        <v>#N/A</v>
      </c>
      <c r="AW49" s="234" t="e">
        <v>#N/A</v>
      </c>
      <c r="AX49" s="234" t="e">
        <v>#N/A</v>
      </c>
      <c r="AY49" s="234" t="e">
        <v>#N/A</v>
      </c>
      <c r="AZ49" s="230"/>
      <c r="BA49" s="232">
        <v>-1300.0999999999999</v>
      </c>
      <c r="BB49" s="230"/>
      <c r="BC49" s="232" t="e">
        <v>#N/A</v>
      </c>
      <c r="BD49" s="232">
        <v>1901.3</v>
      </c>
      <c r="BE49" s="230"/>
      <c r="BF49" s="238" t="e">
        <v>#N/A</v>
      </c>
      <c r="BG49" s="238" t="e">
        <v>#N/A</v>
      </c>
      <c r="BH49" s="238" t="e">
        <v>#N/A</v>
      </c>
      <c r="BI49" s="230"/>
      <c r="BJ49" s="239" t="e">
        <v>#N/A</v>
      </c>
      <c r="BK49" s="240" t="e">
        <v>#N/A</v>
      </c>
      <c r="BL49" s="230"/>
      <c r="BM49" s="241">
        <v>2487</v>
      </c>
      <c r="BN49" s="241">
        <v>1023.428576</v>
      </c>
      <c r="BO49" s="241" t="e">
        <v>#N/A</v>
      </c>
      <c r="BP49" s="241" t="e">
        <v>#N/A</v>
      </c>
      <c r="BQ49" s="241">
        <v>8567.3063550000006</v>
      </c>
      <c r="BR49" s="241" t="e">
        <v>#N/A</v>
      </c>
      <c r="BS49" s="241" t="e">
        <v>#N/A</v>
      </c>
      <c r="BT49" s="241" t="e">
        <v>#N/A</v>
      </c>
      <c r="BU49" s="241" t="e">
        <v>#N/A</v>
      </c>
      <c r="BV49" s="241" t="e">
        <v>#N/A</v>
      </c>
      <c r="BW49" s="230"/>
      <c r="BX49" s="232">
        <v>1614.93</v>
      </c>
      <c r="BY49" s="232">
        <v>694.34</v>
      </c>
      <c r="BZ49" s="232" t="e">
        <v>#N/A</v>
      </c>
      <c r="CA49" s="232" t="e">
        <v>#N/A</v>
      </c>
      <c r="CB49" s="232">
        <v>5812.43</v>
      </c>
      <c r="CC49" s="232" t="e">
        <v>#N/A</v>
      </c>
      <c r="CD49" s="232" t="e">
        <v>#N/A</v>
      </c>
      <c r="CE49" s="232" t="e">
        <v>#N/A</v>
      </c>
      <c r="CF49" s="232" t="e">
        <v>#N/A</v>
      </c>
      <c r="CG49" s="232" t="e">
        <v>#N/A</v>
      </c>
      <c r="CH49" s="230"/>
      <c r="CI49" s="232">
        <v>8964.1</v>
      </c>
      <c r="CJ49" s="232">
        <v>7294.2999999999993</v>
      </c>
      <c r="CK49" s="232" t="e">
        <v>#N/A</v>
      </c>
      <c r="CL49" s="232" t="e">
        <v>#N/A</v>
      </c>
      <c r="CM49" s="232">
        <v>11522.3</v>
      </c>
      <c r="CN49" s="232" t="e">
        <v>#N/A</v>
      </c>
      <c r="CO49" s="232" t="e">
        <v>#N/A</v>
      </c>
      <c r="CP49" s="232" t="e">
        <v>#N/A</v>
      </c>
      <c r="CQ49" s="232" t="e">
        <v>#N/A</v>
      </c>
      <c r="CR49" s="232" t="e">
        <v>#N/A</v>
      </c>
      <c r="CS49" s="230"/>
      <c r="CT49" s="232">
        <v>112184.2</v>
      </c>
      <c r="CU49" s="232">
        <v>99515</v>
      </c>
      <c r="CV49" s="232" t="e">
        <v>#N/A</v>
      </c>
      <c r="CW49" s="232" t="e">
        <v>#N/A</v>
      </c>
      <c r="CX49" s="232">
        <v>163786.6</v>
      </c>
      <c r="CY49" s="232" t="e">
        <v>#N/A</v>
      </c>
      <c r="CZ49" s="232" t="e">
        <v>#N/A</v>
      </c>
      <c r="DA49" s="232" t="e">
        <v>#N/A</v>
      </c>
      <c r="DB49" s="232" t="e">
        <v>#N/A</v>
      </c>
      <c r="DC49" s="232" t="e">
        <v>#N/A</v>
      </c>
      <c r="DD49" s="230"/>
      <c r="DE49" s="232" t="e">
        <v>#N/A</v>
      </c>
      <c r="DF49" s="232" t="e">
        <v>#N/A</v>
      </c>
      <c r="DG49" s="232" t="e">
        <v>#N/A</v>
      </c>
      <c r="DH49" s="230"/>
      <c r="DI49" s="230"/>
      <c r="DJ49" s="172" t="s">
        <v>277</v>
      </c>
    </row>
    <row r="50" spans="1:114" x14ac:dyDescent="0.25">
      <c r="A50" s="225" t="s">
        <v>729</v>
      </c>
      <c r="B50" s="226" t="s">
        <v>766</v>
      </c>
      <c r="C50" s="227" t="s">
        <v>427</v>
      </c>
      <c r="D50" s="228" t="str">
        <f t="shared" si="0"/>
        <v>HMFC IN Equity</v>
      </c>
      <c r="E50" s="229" t="s">
        <v>294</v>
      </c>
      <c r="F50" s="230"/>
      <c r="G50" s="231">
        <v>1032.493085130563</v>
      </c>
      <c r="H50" s="232">
        <v>92677.298360998378</v>
      </c>
      <c r="I50" s="230"/>
      <c r="J50" s="231">
        <v>1138.566697230563</v>
      </c>
      <c r="K50" s="232">
        <v>101750.39836099838</v>
      </c>
      <c r="L50" s="230"/>
      <c r="M50" s="233">
        <v>52.398168889295434</v>
      </c>
      <c r="N50" s="233" t="e">
        <v>#N/A</v>
      </c>
      <c r="O50" s="233">
        <v>22.662063378025877</v>
      </c>
      <c r="P50" s="233" t="e">
        <v>#N/A</v>
      </c>
      <c r="Q50" s="230"/>
      <c r="R50" s="234">
        <v>2.2710347734766994</v>
      </c>
      <c r="S50" s="234">
        <v>2.6677258684400296</v>
      </c>
      <c r="T50" s="230"/>
      <c r="U50" s="234">
        <v>4.4009414177771634E-2</v>
      </c>
      <c r="V50" s="234">
        <v>6.0999999999999999E-2</v>
      </c>
      <c r="W50" s="234">
        <v>5.0914486277683552E-2</v>
      </c>
      <c r="X50" s="234">
        <v>0.10132699669777091</v>
      </c>
      <c r="Y50" s="234">
        <v>5.3392336065751958E-2</v>
      </c>
      <c r="Z50" s="234">
        <v>6.4562150091773809E-2</v>
      </c>
      <c r="AA50" s="234">
        <v>5.2673029623883608E-2</v>
      </c>
      <c r="AB50" s="234">
        <v>6.136652547108129E-2</v>
      </c>
      <c r="AC50" s="230"/>
      <c r="AD50" s="232">
        <v>-4913.2</v>
      </c>
      <c r="AE50" s="232">
        <v>-4926.2</v>
      </c>
      <c r="AF50" s="232">
        <v>-13</v>
      </c>
      <c r="AG50" s="232">
        <v>-5466.6</v>
      </c>
      <c r="AH50" s="235">
        <v>-10392.799999999999</v>
      </c>
      <c r="AI50" s="230"/>
      <c r="AJ50" s="232">
        <v>9601.2999999999993</v>
      </c>
      <c r="AK50" s="232">
        <v>3996.3</v>
      </c>
      <c r="AL50" s="235">
        <v>13597.6</v>
      </c>
      <c r="AM50" s="230"/>
      <c r="AN50" s="231">
        <v>101.37733739999997</v>
      </c>
      <c r="AO50" s="232">
        <v>8671.3999999999978</v>
      </c>
      <c r="AP50" s="236">
        <v>1.9313125013920127</v>
      </c>
      <c r="AQ50" s="230"/>
      <c r="AR50" s="237">
        <v>1442.672812</v>
      </c>
      <c r="AS50" s="237">
        <v>1442.1</v>
      </c>
      <c r="AT50" s="237">
        <v>1442.1</v>
      </c>
      <c r="AU50" s="230"/>
      <c r="AV50" s="234">
        <v>3.0020000000000003E-3</v>
      </c>
      <c r="AW50" s="234">
        <v>0.27156672681258726</v>
      </c>
      <c r="AX50" s="234">
        <v>7.4800000000000008E-4</v>
      </c>
      <c r="AY50" s="234">
        <v>0.65018135380234776</v>
      </c>
      <c r="AZ50" s="230"/>
      <c r="BA50" s="232">
        <v>401.7</v>
      </c>
      <c r="BB50" s="230"/>
      <c r="BC50" s="232" t="e">
        <v>#N/A</v>
      </c>
      <c r="BD50" s="232">
        <v>288.39999999999998</v>
      </c>
      <c r="BE50" s="230"/>
      <c r="BF50" s="238">
        <v>13.227062400000008</v>
      </c>
      <c r="BG50" s="238">
        <v>13.569512699999992</v>
      </c>
      <c r="BH50" s="238">
        <v>12.952293833333323</v>
      </c>
      <c r="BI50" s="230"/>
      <c r="BJ50" s="239">
        <v>0.71568069803658507</v>
      </c>
      <c r="BK50" s="240">
        <v>64.239997863769531</v>
      </c>
      <c r="BL50" s="230"/>
      <c r="BM50" s="241">
        <v>1.8480000000000001</v>
      </c>
      <c r="BN50" s="241">
        <v>1.883</v>
      </c>
      <c r="BO50" s="241">
        <v>2.2770000000000001</v>
      </c>
      <c r="BP50" s="241">
        <v>2.3079999999999998</v>
      </c>
      <c r="BQ50" s="241">
        <v>2.33</v>
      </c>
      <c r="BR50" s="241">
        <v>1.23</v>
      </c>
      <c r="BS50" s="241" t="e">
        <v>#N/A</v>
      </c>
      <c r="BT50" s="241" t="e">
        <v>#N/A</v>
      </c>
      <c r="BU50" s="241" t="e">
        <v>#N/A</v>
      </c>
      <c r="BV50" s="241" t="e">
        <v>#N/A</v>
      </c>
      <c r="BW50" s="230"/>
      <c r="BX50" s="232">
        <v>2275.06</v>
      </c>
      <c r="BY50" s="232">
        <v>2390.21</v>
      </c>
      <c r="BZ50" s="232">
        <v>3131.27</v>
      </c>
      <c r="CA50" s="232">
        <v>3009.7</v>
      </c>
      <c r="CB50" s="232">
        <v>3290.47</v>
      </c>
      <c r="CC50" s="232">
        <v>1768.01</v>
      </c>
      <c r="CD50" s="232" t="e">
        <v>#N/A</v>
      </c>
      <c r="CE50" s="232" t="e">
        <v>#N/A</v>
      </c>
      <c r="CF50" s="232" t="e">
        <v>#N/A</v>
      </c>
      <c r="CG50" s="232" t="e">
        <v>#N/A</v>
      </c>
      <c r="CH50" s="230"/>
      <c r="CI50" s="232">
        <v>4949.8</v>
      </c>
      <c r="CJ50" s="232">
        <v>5495.8</v>
      </c>
      <c r="CK50" s="232">
        <v>6500.7</v>
      </c>
      <c r="CL50" s="232">
        <v>6187</v>
      </c>
      <c r="CM50" s="232">
        <v>5815.4000000000005</v>
      </c>
      <c r="CN50" s="232">
        <v>4489.8999999999996</v>
      </c>
      <c r="CO50" s="232">
        <v>6720</v>
      </c>
      <c r="CP50" s="232">
        <v>8690</v>
      </c>
      <c r="CQ50" s="232">
        <v>11170</v>
      </c>
      <c r="CR50" s="232" t="e">
        <v>#N/A</v>
      </c>
      <c r="CS50" s="230"/>
      <c r="CT50" s="232">
        <v>38348.699999999997</v>
      </c>
      <c r="CU50" s="232">
        <v>44229.599999999999</v>
      </c>
      <c r="CV50" s="232">
        <v>47271.1</v>
      </c>
      <c r="CW50" s="232">
        <v>47433.1</v>
      </c>
      <c r="CX50" s="232">
        <v>44650.5</v>
      </c>
      <c r="CY50" s="232">
        <v>40645.199999999997</v>
      </c>
      <c r="CZ50" s="232">
        <v>49020</v>
      </c>
      <c r="DA50" s="232">
        <v>61350</v>
      </c>
      <c r="DB50" s="232">
        <v>77270</v>
      </c>
      <c r="DC50" s="232" t="e">
        <v>#N/A</v>
      </c>
      <c r="DD50" s="230"/>
      <c r="DE50" s="232" t="e">
        <v>#N/A</v>
      </c>
      <c r="DF50" s="232">
        <v>184.8</v>
      </c>
      <c r="DG50" s="232">
        <v>0</v>
      </c>
      <c r="DH50" s="230"/>
      <c r="DI50" s="230"/>
      <c r="DJ50" s="172" t="s">
        <v>277</v>
      </c>
    </row>
    <row r="51" spans="1:114" x14ac:dyDescent="0.25">
      <c r="A51" s="225" t="s">
        <v>729</v>
      </c>
      <c r="B51" s="226" t="s">
        <v>767</v>
      </c>
      <c r="C51" s="227" t="s">
        <v>428</v>
      </c>
      <c r="D51" s="228" t="str">
        <f t="shared" si="0"/>
        <v>HIGH IN Equity</v>
      </c>
      <c r="E51" s="229" t="s">
        <v>320</v>
      </c>
      <c r="F51" s="230"/>
      <c r="G51" s="231">
        <v>54.330873506606046</v>
      </c>
      <c r="H51" s="232">
        <v>4876.7770425781246</v>
      </c>
      <c r="I51" s="230"/>
      <c r="J51" s="231">
        <v>55.264890878606053</v>
      </c>
      <c r="K51" s="232">
        <v>4956.6690425781253</v>
      </c>
      <c r="L51" s="230"/>
      <c r="M51" s="233">
        <v>30.20420205070846</v>
      </c>
      <c r="N51" s="233" t="e">
        <v>#N/A</v>
      </c>
      <c r="O51" s="233">
        <v>28.545663686812514</v>
      </c>
      <c r="P51" s="233" t="e">
        <v>#N/A</v>
      </c>
      <c r="Q51" s="230"/>
      <c r="R51" s="234">
        <v>4.8963624925483185</v>
      </c>
      <c r="S51" s="234">
        <v>4.91306988985448</v>
      </c>
      <c r="T51" s="230"/>
      <c r="U51" s="234">
        <v>0.17240384820723087</v>
      </c>
      <c r="V51" s="234" t="e">
        <v>#N/A</v>
      </c>
      <c r="W51" s="234">
        <v>0.16414900286593392</v>
      </c>
      <c r="X51" s="234">
        <v>0.17478489484862017</v>
      </c>
      <c r="Y51" s="234">
        <v>0.11613913069046367</v>
      </c>
      <c r="Z51" s="234">
        <v>0.15670021013675317</v>
      </c>
      <c r="AA51" s="234">
        <v>0.10644931615315813</v>
      </c>
      <c r="AB51" s="234">
        <v>0.16144859841555689</v>
      </c>
      <c r="AC51" s="230"/>
      <c r="AD51" s="232">
        <v>-32.604999999999997</v>
      </c>
      <c r="AE51" s="232">
        <v>-32.604999999999997</v>
      </c>
      <c r="AF51" s="232">
        <v>0</v>
      </c>
      <c r="AG51" s="232">
        <v>-28.321000000000002</v>
      </c>
      <c r="AH51" s="235">
        <v>-60.926000000000002</v>
      </c>
      <c r="AI51" s="230"/>
      <c r="AJ51" s="232">
        <v>112.497</v>
      </c>
      <c r="AK51" s="232">
        <v>0</v>
      </c>
      <c r="AL51" s="235">
        <v>112.497</v>
      </c>
      <c r="AM51" s="230"/>
      <c r="AN51" s="231">
        <v>0.93401737200000001</v>
      </c>
      <c r="AO51" s="232">
        <v>79.891999999999996</v>
      </c>
      <c r="AP51" s="236">
        <v>0.46010135913384015</v>
      </c>
      <c r="AQ51" s="230"/>
      <c r="AR51" s="237">
        <v>8.9638399999999994</v>
      </c>
      <c r="AS51" s="237">
        <v>8.9640000000000004</v>
      </c>
      <c r="AT51" s="237">
        <v>8.9640000000000004</v>
      </c>
      <c r="AU51" s="230"/>
      <c r="AV51" s="234">
        <v>4.2899999999999995E-3</v>
      </c>
      <c r="AW51" s="234">
        <v>0.27661068988390758</v>
      </c>
      <c r="AX51" s="234">
        <v>0</v>
      </c>
      <c r="AY51" s="234">
        <v>0.53935400453377125</v>
      </c>
      <c r="AZ51" s="230"/>
      <c r="BA51" s="232">
        <v>0</v>
      </c>
      <c r="BB51" s="230"/>
      <c r="BC51" s="232" t="e">
        <v>#N/A</v>
      </c>
      <c r="BD51" s="232">
        <v>26.891999999999999</v>
      </c>
      <c r="BE51" s="230"/>
      <c r="BF51" s="238">
        <v>4.451199999999998E-3</v>
      </c>
      <c r="BG51" s="238">
        <v>5.0409000000000009E-3</v>
      </c>
      <c r="BH51" s="238">
        <v>6.9300333333333335E-3</v>
      </c>
      <c r="BI51" s="230"/>
      <c r="BJ51" s="239">
        <v>6.0611159398880456</v>
      </c>
      <c r="BK51" s="240">
        <v>544.04998779296875</v>
      </c>
      <c r="BL51" s="230"/>
      <c r="BM51" s="241">
        <v>6.2493999999999996</v>
      </c>
      <c r="BN51" s="241">
        <v>20.447600000000001</v>
      </c>
      <c r="BO51" s="241">
        <v>20.024000000000001</v>
      </c>
      <c r="BP51" s="241">
        <v>114.319</v>
      </c>
      <c r="BQ51" s="241">
        <v>19.14</v>
      </c>
      <c r="BR51" s="241">
        <v>17.100000000000001</v>
      </c>
      <c r="BS51" s="241" t="e">
        <v>#N/A</v>
      </c>
      <c r="BT51" s="241" t="e">
        <v>#N/A</v>
      </c>
      <c r="BU51" s="241" t="e">
        <v>#N/A</v>
      </c>
      <c r="BV51" s="241" t="e">
        <v>#N/A</v>
      </c>
      <c r="BW51" s="230"/>
      <c r="BX51" s="232">
        <v>56.018999999999998</v>
      </c>
      <c r="BY51" s="232">
        <v>183.28739999999999</v>
      </c>
      <c r="BZ51" s="232">
        <v>179.358</v>
      </c>
      <c r="CA51" s="232">
        <v>204.95099999999999</v>
      </c>
      <c r="CB51" s="232">
        <v>171.58699999999999</v>
      </c>
      <c r="CC51" s="232">
        <v>161.4631</v>
      </c>
      <c r="CD51" s="232" t="e">
        <v>#N/A</v>
      </c>
      <c r="CE51" s="232" t="e">
        <v>#N/A</v>
      </c>
      <c r="CF51" s="232" t="e">
        <v>#N/A</v>
      </c>
      <c r="CG51" s="232" t="e">
        <v>#N/A</v>
      </c>
      <c r="CH51" s="230"/>
      <c r="CI51" s="232">
        <v>154.66200000000001</v>
      </c>
      <c r="CJ51" s="232">
        <v>301.18</v>
      </c>
      <c r="CK51" s="232">
        <v>294.75400000000002</v>
      </c>
      <c r="CL51" s="232">
        <v>310.90200000000004</v>
      </c>
      <c r="CM51" s="232">
        <v>225.53</v>
      </c>
      <c r="CN51" s="232">
        <v>173.64</v>
      </c>
      <c r="CO51" s="232" t="e">
        <v>#N/A</v>
      </c>
      <c r="CP51" s="232" t="e">
        <v>#N/A</v>
      </c>
      <c r="CQ51" s="232" t="e">
        <v>#N/A</v>
      </c>
      <c r="CR51" s="232" t="e">
        <v>#N/A</v>
      </c>
      <c r="CS51" s="230"/>
      <c r="CT51" s="232">
        <v>614.92200000000003</v>
      </c>
      <c r="CU51" s="232">
        <v>778.34699999999998</v>
      </c>
      <c r="CV51" s="232">
        <v>792.57399999999996</v>
      </c>
      <c r="CW51" s="232">
        <v>925.38</v>
      </c>
      <c r="CX51" s="232">
        <v>772.25099999999998</v>
      </c>
      <c r="CY51" s="232">
        <v>807.52200000000005</v>
      </c>
      <c r="CZ51" s="232" t="e">
        <v>#N/A</v>
      </c>
      <c r="DA51" s="232" t="e">
        <v>#N/A</v>
      </c>
      <c r="DB51" s="232" t="e">
        <v>#N/A</v>
      </c>
      <c r="DC51" s="232" t="e">
        <v>#N/A</v>
      </c>
      <c r="DD51" s="230"/>
      <c r="DE51" s="232" t="e">
        <v>#N/A</v>
      </c>
      <c r="DF51" s="232">
        <v>0</v>
      </c>
      <c r="DG51" s="232">
        <v>0</v>
      </c>
      <c r="DH51" s="230"/>
      <c r="DI51" s="230"/>
      <c r="DJ51" s="172" t="s">
        <v>277</v>
      </c>
    </row>
    <row r="52" spans="1:114" x14ac:dyDescent="0.25">
      <c r="A52" s="225" t="s">
        <v>729</v>
      </c>
      <c r="B52" s="226" t="s">
        <v>768</v>
      </c>
      <c r="C52" s="227" t="s">
        <v>429</v>
      </c>
      <c r="D52" s="228" t="str">
        <f t="shared" si="0"/>
        <v>KRISHNDF IN Equity</v>
      </c>
      <c r="E52" s="229" t="s">
        <v>321</v>
      </c>
      <c r="F52" s="230"/>
      <c r="G52" s="231">
        <v>130.14987176206944</v>
      </c>
      <c r="H52" s="232">
        <v>11682.343127182983</v>
      </c>
      <c r="I52" s="230"/>
      <c r="J52" s="231">
        <v>127.21355481206943</v>
      </c>
      <c r="K52" s="232">
        <v>11421.453127182984</v>
      </c>
      <c r="L52" s="230"/>
      <c r="M52" s="233">
        <v>42.216403416462107</v>
      </c>
      <c r="N52" s="233" t="e">
        <v>#N/A</v>
      </c>
      <c r="O52" s="233">
        <v>30.218442353307026</v>
      </c>
      <c r="P52" s="233" t="e">
        <v>#N/A</v>
      </c>
      <c r="Q52" s="230"/>
      <c r="R52" s="234">
        <v>7.0183697381393424</v>
      </c>
      <c r="S52" s="234">
        <v>7.0183697381393424</v>
      </c>
      <c r="T52" s="230"/>
      <c r="U52" s="234">
        <v>0.18801910725962057</v>
      </c>
      <c r="V52" s="234" t="e">
        <v>#N/A</v>
      </c>
      <c r="W52" s="234">
        <v>0.18813591806626101</v>
      </c>
      <c r="X52" s="234">
        <v>0.20595543850991727</v>
      </c>
      <c r="Y52" s="234">
        <v>0.16971698081293193</v>
      </c>
      <c r="Z52" s="234">
        <v>0.23002365749118017</v>
      </c>
      <c r="AA52" s="234">
        <v>0.14455216668977688</v>
      </c>
      <c r="AB52" s="234">
        <v>0.18168224096487942</v>
      </c>
      <c r="AC52" s="230"/>
      <c r="AD52" s="232">
        <v>-282.25400000000002</v>
      </c>
      <c r="AE52" s="232">
        <v>-282.25400000000002</v>
      </c>
      <c r="AF52" s="232">
        <v>0</v>
      </c>
      <c r="AG52" s="232">
        <v>-124.883</v>
      </c>
      <c r="AH52" s="235">
        <v>-407.137</v>
      </c>
      <c r="AI52" s="230"/>
      <c r="AJ52" s="232">
        <v>21.364000000000001</v>
      </c>
      <c r="AK52" s="232">
        <v>0</v>
      </c>
      <c r="AL52" s="235">
        <v>21.364000000000001</v>
      </c>
      <c r="AM52" s="230"/>
      <c r="AN52" s="231">
        <v>-2.9363169500000001</v>
      </c>
      <c r="AO52" s="232">
        <v>-260.89000000000004</v>
      </c>
      <c r="AP52" s="236">
        <v>-0.69025274960776595</v>
      </c>
      <c r="AQ52" s="230"/>
      <c r="AR52" s="237">
        <v>14.919025999999999</v>
      </c>
      <c r="AS52" s="237">
        <v>14.257006444444499</v>
      </c>
      <c r="AT52" s="237">
        <v>14.518059996282499</v>
      </c>
      <c r="AU52" s="230"/>
      <c r="AV52" s="234" t="e">
        <v>#N/A</v>
      </c>
      <c r="AW52" s="234">
        <v>0</v>
      </c>
      <c r="AX52" s="234" t="e">
        <v>#N/A</v>
      </c>
      <c r="AY52" s="234">
        <v>0.48201712363796401</v>
      </c>
      <c r="AZ52" s="230"/>
      <c r="BA52" s="232">
        <v>0</v>
      </c>
      <c r="BB52" s="230"/>
      <c r="BC52" s="232" t="e">
        <v>#N/A</v>
      </c>
      <c r="BD52" s="232" t="e">
        <v>#N/A</v>
      </c>
      <c r="BE52" s="230"/>
      <c r="BF52" s="238">
        <v>4.82E-2</v>
      </c>
      <c r="BG52" s="238">
        <v>3.175E-2</v>
      </c>
      <c r="BH52" s="238">
        <v>3.7741666666666632E-2</v>
      </c>
      <c r="BI52" s="230"/>
      <c r="BJ52" s="239">
        <v>8.7237512530690307</v>
      </c>
      <c r="BK52" s="240">
        <v>783.04998779296875</v>
      </c>
      <c r="BL52" s="230"/>
      <c r="BM52" s="241" t="e">
        <v>#N/A</v>
      </c>
      <c r="BN52" s="241">
        <v>2.31</v>
      </c>
      <c r="BO52" s="241">
        <v>2.93</v>
      </c>
      <c r="BP52" s="241">
        <v>4.6195919999999999</v>
      </c>
      <c r="BQ52" s="241">
        <v>7.85</v>
      </c>
      <c r="BR52" s="241">
        <v>15.158427</v>
      </c>
      <c r="BS52" s="241" t="e">
        <v>#N/A</v>
      </c>
      <c r="BT52" s="241" t="e">
        <v>#N/A</v>
      </c>
      <c r="BU52" s="241" t="e">
        <v>#N/A</v>
      </c>
      <c r="BV52" s="241" t="e">
        <v>#N/A</v>
      </c>
      <c r="BW52" s="230"/>
      <c r="BX52" s="232" t="e">
        <v>#N/A</v>
      </c>
      <c r="BY52" s="232">
        <v>19.364999999999998</v>
      </c>
      <c r="BZ52" s="232">
        <v>24.588999999999999</v>
      </c>
      <c r="CA52" s="232">
        <v>52.959000000000003</v>
      </c>
      <c r="CB52" s="232">
        <v>97.896000000000015</v>
      </c>
      <c r="CC52" s="232">
        <v>219.08369999999999</v>
      </c>
      <c r="CD52" s="232" t="e">
        <v>#N/A</v>
      </c>
      <c r="CE52" s="232" t="e">
        <v>#N/A</v>
      </c>
      <c r="CF52" s="232" t="e">
        <v>#N/A</v>
      </c>
      <c r="CG52" s="232" t="e">
        <v>#N/A</v>
      </c>
      <c r="CH52" s="230"/>
      <c r="CI52" s="232" t="e">
        <v>#N/A</v>
      </c>
      <c r="CJ52" s="232">
        <v>45.81</v>
      </c>
      <c r="CK52" s="232">
        <v>66.317000000000007</v>
      </c>
      <c r="CL52" s="232">
        <v>98.024000000000001</v>
      </c>
      <c r="CM52" s="232">
        <v>154.37799999999999</v>
      </c>
      <c r="CN52" s="232">
        <v>303.125</v>
      </c>
      <c r="CO52" s="232" t="e">
        <v>#N/A</v>
      </c>
      <c r="CP52" s="232" t="e">
        <v>#N/A</v>
      </c>
      <c r="CQ52" s="232" t="e">
        <v>#N/A</v>
      </c>
      <c r="CR52" s="232" t="e">
        <v>#N/A</v>
      </c>
      <c r="CS52" s="230"/>
      <c r="CT52" s="232" t="e">
        <v>#N/A</v>
      </c>
      <c r="CU52" s="232">
        <v>350.26600000000002</v>
      </c>
      <c r="CV52" s="232">
        <v>499.19200000000001</v>
      </c>
      <c r="CW52" s="232">
        <v>636.53300000000002</v>
      </c>
      <c r="CX52" s="232">
        <v>1064.28</v>
      </c>
      <c r="CY52" s="232">
        <v>1948.6610000000001</v>
      </c>
      <c r="CZ52" s="232" t="e">
        <v>#N/A</v>
      </c>
      <c r="DA52" s="232" t="e">
        <v>#N/A</v>
      </c>
      <c r="DB52" s="232" t="e">
        <v>#N/A</v>
      </c>
      <c r="DC52" s="232" t="e">
        <v>#N/A</v>
      </c>
      <c r="DD52" s="230"/>
      <c r="DE52" s="232" t="e">
        <v>#N/A</v>
      </c>
      <c r="DF52" s="232" t="e">
        <v>#N/A</v>
      </c>
      <c r="DG52" s="232" t="e">
        <v>#N/A</v>
      </c>
      <c r="DH52" s="230"/>
      <c r="DI52" s="230"/>
      <c r="DJ52" s="172" t="s">
        <v>277</v>
      </c>
    </row>
    <row r="53" spans="1:114" x14ac:dyDescent="0.25">
      <c r="A53" s="225" t="s">
        <v>729</v>
      </c>
      <c r="B53" s="226" t="s">
        <v>769</v>
      </c>
      <c r="C53" s="227" t="s">
        <v>322</v>
      </c>
      <c r="D53" s="228" t="str">
        <f t="shared" si="0"/>
        <v>MARINE IN Equity</v>
      </c>
      <c r="E53" s="229" t="s">
        <v>322</v>
      </c>
      <c r="F53" s="230"/>
      <c r="G53" s="231">
        <v>324.63404464559375</v>
      </c>
      <c r="H53" s="232">
        <v>29139.377926151275</v>
      </c>
      <c r="I53" s="230"/>
      <c r="J53" s="231">
        <v>325.12817645159373</v>
      </c>
      <c r="K53" s="232">
        <v>29181.643926151275</v>
      </c>
      <c r="L53" s="230"/>
      <c r="M53" s="233">
        <v>76.564057696751419</v>
      </c>
      <c r="N53" s="233" t="e">
        <v>#N/A</v>
      </c>
      <c r="O53" s="233">
        <v>37.551110547112891</v>
      </c>
      <c r="P53" s="233" t="e">
        <v>#N/A</v>
      </c>
      <c r="Q53" s="230"/>
      <c r="R53" s="234">
        <v>7.2175617109967476</v>
      </c>
      <c r="S53" s="234">
        <v>7.8373363848883582</v>
      </c>
      <c r="T53" s="230"/>
      <c r="U53" s="234">
        <v>0.11531939947898776</v>
      </c>
      <c r="V53" s="234" t="e">
        <v>#N/A</v>
      </c>
      <c r="W53" s="234">
        <v>0.1295342175062737</v>
      </c>
      <c r="X53" s="234">
        <v>0.16230664714762191</v>
      </c>
      <c r="Y53" s="234">
        <v>0.11146534996138803</v>
      </c>
      <c r="Z53" s="234">
        <v>0.15111088848952089</v>
      </c>
      <c r="AA53" s="234">
        <v>9.0137742706064825E-2</v>
      </c>
      <c r="AB53" s="234">
        <v>0.11853031353536922</v>
      </c>
      <c r="AC53" s="230"/>
      <c r="AD53" s="232">
        <v>-553.05799999999999</v>
      </c>
      <c r="AE53" s="232">
        <v>-553.05799999999999</v>
      </c>
      <c r="AF53" s="232">
        <v>0</v>
      </c>
      <c r="AG53" s="232">
        <v>-60.134</v>
      </c>
      <c r="AH53" s="235">
        <v>-613.19200000000001</v>
      </c>
      <c r="AI53" s="230"/>
      <c r="AJ53" s="232">
        <v>306.50799999999998</v>
      </c>
      <c r="AK53" s="232">
        <v>245.40299999999999</v>
      </c>
      <c r="AL53" s="235">
        <v>551.91099999999994</v>
      </c>
      <c r="AM53" s="230"/>
      <c r="AN53" s="231">
        <v>-1.3409577000000563E-2</v>
      </c>
      <c r="AO53" s="232">
        <v>-1.1470000000000482</v>
      </c>
      <c r="AP53" s="236">
        <v>-1.4759663268641933E-3</v>
      </c>
      <c r="AQ53" s="230"/>
      <c r="AR53" s="237">
        <v>137.94441</v>
      </c>
      <c r="AS53" s="237">
        <v>135.60133099999999</v>
      </c>
      <c r="AT53" s="237">
        <v>136.97973099999999</v>
      </c>
      <c r="AU53" s="230"/>
      <c r="AV53" s="234" t="e">
        <v>#N/A</v>
      </c>
      <c r="AW53" s="234">
        <v>0</v>
      </c>
      <c r="AX53" s="234" t="e">
        <v>#N/A</v>
      </c>
      <c r="AY53" s="234">
        <v>0.31542791041695706</v>
      </c>
      <c r="AZ53" s="230"/>
      <c r="BA53" s="232">
        <v>43.412999999999997</v>
      </c>
      <c r="BB53" s="230"/>
      <c r="BC53" s="232" t="e">
        <v>#N/A</v>
      </c>
      <c r="BD53" s="232">
        <v>26.44</v>
      </c>
      <c r="BE53" s="230"/>
      <c r="BF53" s="238">
        <v>0.28352040000000001</v>
      </c>
      <c r="BG53" s="238">
        <v>0.23837200000000008</v>
      </c>
      <c r="BH53" s="238">
        <v>0.39447253333333326</v>
      </c>
      <c r="BI53" s="230"/>
      <c r="BJ53" s="239">
        <v>2.3533686116428623</v>
      </c>
      <c r="BK53" s="240">
        <v>211.24000549316406</v>
      </c>
      <c r="BL53" s="230"/>
      <c r="BM53" s="241">
        <v>0.45999999999999996</v>
      </c>
      <c r="BN53" s="241">
        <v>0.78332800000000002</v>
      </c>
      <c r="BO53" s="241">
        <v>1.162401</v>
      </c>
      <c r="BP53" s="241">
        <v>1.345</v>
      </c>
      <c r="BQ53" s="241">
        <v>2.0169679999999999</v>
      </c>
      <c r="BR53" s="241">
        <v>2.7589969999999999</v>
      </c>
      <c r="BS53" s="241" t="e">
        <v>#N/A</v>
      </c>
      <c r="BT53" s="241" t="e">
        <v>#N/A</v>
      </c>
      <c r="BU53" s="241" t="e">
        <v>#N/A</v>
      </c>
      <c r="BV53" s="241" t="e">
        <v>#N/A</v>
      </c>
      <c r="BW53" s="230"/>
      <c r="BX53" s="232">
        <v>56.137999999999998</v>
      </c>
      <c r="BY53" s="232">
        <v>96.087077600000001</v>
      </c>
      <c r="BZ53" s="232">
        <v>142.58623168</v>
      </c>
      <c r="CA53" s="232">
        <v>166.85371024</v>
      </c>
      <c r="CB53" s="232">
        <v>258.98576847999999</v>
      </c>
      <c r="CC53" s="232">
        <v>377.33568448</v>
      </c>
      <c r="CD53" s="232" t="e">
        <v>#N/A</v>
      </c>
      <c r="CE53" s="232" t="e">
        <v>#N/A</v>
      </c>
      <c r="CF53" s="232" t="e">
        <v>#N/A</v>
      </c>
      <c r="CG53" s="232" t="e">
        <v>#N/A</v>
      </c>
      <c r="CH53" s="230"/>
      <c r="CI53" s="232">
        <v>223.09699999999998</v>
      </c>
      <c r="CJ53" s="232">
        <v>272.27600000000001</v>
      </c>
      <c r="CK53" s="232">
        <v>347.68099999999998</v>
      </c>
      <c r="CL53" s="232">
        <v>448.40700000000004</v>
      </c>
      <c r="CM53" s="232">
        <v>599.96900000000005</v>
      </c>
      <c r="CN53" s="232">
        <v>777.11800000000005</v>
      </c>
      <c r="CO53" s="232" t="e">
        <v>#N/A</v>
      </c>
      <c r="CP53" s="232" t="e">
        <v>#N/A</v>
      </c>
      <c r="CQ53" s="232" t="e">
        <v>#N/A</v>
      </c>
      <c r="CR53" s="232" t="e">
        <v>#N/A</v>
      </c>
      <c r="CS53" s="230"/>
      <c r="CT53" s="232">
        <v>2629.252</v>
      </c>
      <c r="CU53" s="232">
        <v>2512.866</v>
      </c>
      <c r="CV53" s="232">
        <v>3763.2860000000001</v>
      </c>
      <c r="CW53" s="232">
        <v>4428.5439999999999</v>
      </c>
      <c r="CX53" s="232">
        <v>6221.2070000000003</v>
      </c>
      <c r="CY53" s="232">
        <v>7670.9530000000004</v>
      </c>
      <c r="CZ53" s="232" t="e">
        <v>#N/A</v>
      </c>
      <c r="DA53" s="232" t="e">
        <v>#N/A</v>
      </c>
      <c r="DB53" s="232" t="e">
        <v>#N/A</v>
      </c>
      <c r="DC53" s="232" t="e">
        <v>#N/A</v>
      </c>
      <c r="DD53" s="230"/>
      <c r="DE53" s="232" t="e">
        <v>#N/A</v>
      </c>
      <c r="DF53" s="232" t="e">
        <v>#N/A</v>
      </c>
      <c r="DG53" s="232" t="e">
        <v>#N/A</v>
      </c>
      <c r="DH53" s="230"/>
      <c r="DI53" s="230"/>
      <c r="DJ53" s="172" t="s">
        <v>277</v>
      </c>
    </row>
    <row r="54" spans="1:114" x14ac:dyDescent="0.25">
      <c r="A54" s="225" t="s">
        <v>729</v>
      </c>
      <c r="B54" s="226" t="s">
        <v>770</v>
      </c>
      <c r="C54" s="227" t="s">
        <v>430</v>
      </c>
      <c r="D54" s="228" t="str">
        <f t="shared" si="0"/>
        <v>LOKM IN Equity</v>
      </c>
      <c r="E54" s="229" t="s">
        <v>323</v>
      </c>
      <c r="F54" s="230"/>
      <c r="G54" s="231">
        <v>36.711698168549837</v>
      </c>
      <c r="H54" s="232">
        <v>3295.2675940443423</v>
      </c>
      <c r="I54" s="230"/>
      <c r="J54" s="231">
        <v>51.256073774549833</v>
      </c>
      <c r="K54" s="232">
        <v>4539.3335940443421</v>
      </c>
      <c r="L54" s="230"/>
      <c r="M54" s="233">
        <v>588.53569030761719</v>
      </c>
      <c r="N54" s="233" t="e">
        <v>#N/A</v>
      </c>
      <c r="O54" s="233">
        <v>15.946006042260809</v>
      </c>
      <c r="P54" s="233" t="e">
        <v>#N/A</v>
      </c>
      <c r="Q54" s="230"/>
      <c r="R54" s="234">
        <v>1.4983298446358309</v>
      </c>
      <c r="S54" s="234">
        <v>1.5109072672838284</v>
      </c>
      <c r="T54" s="230"/>
      <c r="U54" s="234">
        <v>2.6261492154697219E-3</v>
      </c>
      <c r="V54" s="234" t="e">
        <v>#N/A</v>
      </c>
      <c r="W54" s="234">
        <v>2.6445655606424801E-3</v>
      </c>
      <c r="X54" s="234">
        <v>3.5753624106730192E-2</v>
      </c>
      <c r="Y54" s="234">
        <v>2.5731355150865685E-2</v>
      </c>
      <c r="Z54" s="234">
        <v>4.2666690051761443E-2</v>
      </c>
      <c r="AA54" s="234">
        <v>2.7839634474882954E-2</v>
      </c>
      <c r="AB54" s="234">
        <v>2.7208705068256504E-2</v>
      </c>
      <c r="AC54" s="230"/>
      <c r="AD54" s="232">
        <v>-93.278999999999996</v>
      </c>
      <c r="AE54" s="232">
        <v>-93.278999999999996</v>
      </c>
      <c r="AF54" s="232">
        <v>0</v>
      </c>
      <c r="AG54" s="232">
        <v>-14.925000000000001</v>
      </c>
      <c r="AH54" s="235">
        <v>-108.20399999999999</v>
      </c>
      <c r="AI54" s="230"/>
      <c r="AJ54" s="232">
        <v>825.47</v>
      </c>
      <c r="AK54" s="232">
        <v>511.875</v>
      </c>
      <c r="AL54" s="235">
        <v>1337.345</v>
      </c>
      <c r="AM54" s="230"/>
      <c r="AN54" s="231">
        <v>14.544375606000001</v>
      </c>
      <c r="AO54" s="232">
        <v>1244.066</v>
      </c>
      <c r="AP54" s="236">
        <v>4.3702194478499594</v>
      </c>
      <c r="AQ54" s="230"/>
      <c r="AR54" s="237">
        <v>19.996770000000001</v>
      </c>
      <c r="AS54" s="237">
        <v>18.728039170000002</v>
      </c>
      <c r="AT54" s="237">
        <v>18.728039170000002</v>
      </c>
      <c r="AU54" s="230"/>
      <c r="AV54" s="234">
        <v>5.3600000000000002E-3</v>
      </c>
      <c r="AW54" s="234">
        <v>0</v>
      </c>
      <c r="AX54" s="234">
        <v>0</v>
      </c>
      <c r="AY54" s="234">
        <v>0.46402258964822812</v>
      </c>
      <c r="AZ54" s="230"/>
      <c r="BA54" s="232">
        <v>0</v>
      </c>
      <c r="BB54" s="230"/>
      <c r="BC54" s="232" t="e">
        <v>#N/A</v>
      </c>
      <c r="BD54" s="232">
        <v>0</v>
      </c>
      <c r="BE54" s="230"/>
      <c r="BF54" s="238">
        <v>4.3805599999999993E-2</v>
      </c>
      <c r="BG54" s="238">
        <v>0.14000179999999998</v>
      </c>
      <c r="BH54" s="238">
        <v>9.2086800000000094E-2</v>
      </c>
      <c r="BI54" s="230"/>
      <c r="BJ54" s="239">
        <v>1.8358814032741204</v>
      </c>
      <c r="BK54" s="240">
        <v>164.78999328613281</v>
      </c>
      <c r="BL54" s="230"/>
      <c r="BM54" s="241">
        <v>-2.62</v>
      </c>
      <c r="BN54" s="241">
        <v>2.214</v>
      </c>
      <c r="BO54" s="241">
        <v>3.5459999999999998</v>
      </c>
      <c r="BP54" s="241">
        <v>5.4418139999999999</v>
      </c>
      <c r="BQ54" s="241">
        <v>7.68</v>
      </c>
      <c r="BR54" s="241">
        <v>0.28000000000000003</v>
      </c>
      <c r="BS54" s="241" t="e">
        <v>#N/A</v>
      </c>
      <c r="BT54" s="241" t="e">
        <v>#N/A</v>
      </c>
      <c r="BU54" s="241" t="e">
        <v>#N/A</v>
      </c>
      <c r="BV54" s="241" t="e">
        <v>#N/A</v>
      </c>
      <c r="BW54" s="230"/>
      <c r="BX54" s="232">
        <v>-46.8553</v>
      </c>
      <c r="BY54" s="232">
        <v>40.308</v>
      </c>
      <c r="BZ54" s="232">
        <v>63.756799999999998</v>
      </c>
      <c r="CA54" s="232">
        <v>97.390900000000002</v>
      </c>
      <c r="CB54" s="232">
        <v>138.47900000000001</v>
      </c>
      <c r="CC54" s="232">
        <v>5.3680000000000003</v>
      </c>
      <c r="CD54" s="232" t="e">
        <v>#N/A</v>
      </c>
      <c r="CE54" s="232" t="e">
        <v>#N/A</v>
      </c>
      <c r="CF54" s="232" t="e">
        <v>#N/A</v>
      </c>
      <c r="CG54" s="232" t="e">
        <v>#N/A</v>
      </c>
      <c r="CH54" s="230"/>
      <c r="CI54" s="232">
        <v>120.907</v>
      </c>
      <c r="CJ54" s="232">
        <v>249.089</v>
      </c>
      <c r="CK54" s="232">
        <v>297.61</v>
      </c>
      <c r="CL54" s="232">
        <v>285.351</v>
      </c>
      <c r="CM54" s="232">
        <v>403.22500000000002</v>
      </c>
      <c r="CN54" s="232">
        <v>284.66899999999998</v>
      </c>
      <c r="CO54" s="232" t="e">
        <v>#N/A</v>
      </c>
      <c r="CP54" s="232" t="e">
        <v>#N/A</v>
      </c>
      <c r="CQ54" s="232" t="e">
        <v>#N/A</v>
      </c>
      <c r="CR54" s="232" t="e">
        <v>#N/A</v>
      </c>
      <c r="CS54" s="230"/>
      <c r="CT54" s="232">
        <v>1258.4069999999999</v>
      </c>
      <c r="CU54" s="232">
        <v>1502.145</v>
      </c>
      <c r="CV54" s="232">
        <v>2018.376</v>
      </c>
      <c r="CW54" s="232">
        <v>2403.0239999999999</v>
      </c>
      <c r="CX54" s="232">
        <v>2935.3989999999999</v>
      </c>
      <c r="CY54" s="232">
        <v>2283.2159999999999</v>
      </c>
      <c r="CZ54" s="232" t="e">
        <v>#N/A</v>
      </c>
      <c r="DA54" s="232" t="e">
        <v>#N/A</v>
      </c>
      <c r="DB54" s="232" t="e">
        <v>#N/A</v>
      </c>
      <c r="DC54" s="232" t="e">
        <v>#N/A</v>
      </c>
      <c r="DD54" s="230"/>
      <c r="DE54" s="232" t="e">
        <v>#N/A</v>
      </c>
      <c r="DF54" s="232">
        <v>0</v>
      </c>
      <c r="DG54" s="232">
        <v>0</v>
      </c>
      <c r="DH54" s="230"/>
      <c r="DI54" s="230"/>
      <c r="DJ54" s="172" t="s">
        <v>277</v>
      </c>
    </row>
    <row r="55" spans="1:114" x14ac:dyDescent="0.25">
      <c r="A55" s="225" t="s">
        <v>729</v>
      </c>
      <c r="B55" s="226" t="s">
        <v>771</v>
      </c>
      <c r="C55" s="227" t="s">
        <v>1079</v>
      </c>
      <c r="D55" s="228" t="str">
        <f t="shared" si="0"/>
        <v>SWANCORP IN Equity</v>
      </c>
      <c r="E55" s="229" t="s">
        <v>324</v>
      </c>
      <c r="F55" s="230"/>
      <c r="G55" s="231">
        <v>1616.1621824987262</v>
      </c>
      <c r="H55" s="232">
        <v>145067.84301442199</v>
      </c>
      <c r="I55" s="230"/>
      <c r="J55" s="231">
        <v>1885.7426834447263</v>
      </c>
      <c r="K55" s="232">
        <v>168126.649014422</v>
      </c>
      <c r="L55" s="230"/>
      <c r="M55" s="233" t="e">
        <v>#N/A</v>
      </c>
      <c r="N55" s="233" t="e">
        <v>#N/A</v>
      </c>
      <c r="O55" s="233" t="e">
        <v>#N/A</v>
      </c>
      <c r="P55" s="233" t="e">
        <v>#N/A</v>
      </c>
      <c r="Q55" s="230"/>
      <c r="R55" s="234">
        <v>1.9756666621009982</v>
      </c>
      <c r="S55" s="234">
        <v>1.9779003471135421</v>
      </c>
      <c r="T55" s="230"/>
      <c r="U55" s="234">
        <v>-6.3398304646795481E-2</v>
      </c>
      <c r="V55" s="234" t="e">
        <v>#N/A</v>
      </c>
      <c r="W55" s="234">
        <v>0.11096521733196353</v>
      </c>
      <c r="X55" s="234">
        <v>9.1618477648138991E-2</v>
      </c>
      <c r="Y55" s="234">
        <v>3.4277643324382601E-2</v>
      </c>
      <c r="Z55" s="234">
        <v>-2.3250662041160476E-2</v>
      </c>
      <c r="AA55" s="234">
        <v>3.5050888581917003E-2</v>
      </c>
      <c r="AB55" s="234">
        <v>8.3522960912493463E-2</v>
      </c>
      <c r="AC55" s="230"/>
      <c r="AD55" s="232">
        <v>-15764.805</v>
      </c>
      <c r="AE55" s="232">
        <v>-22377.816999999999</v>
      </c>
      <c r="AF55" s="232">
        <v>-6613.0119999999997</v>
      </c>
      <c r="AG55" s="232">
        <v>-459.19900000000001</v>
      </c>
      <c r="AH55" s="235">
        <v>-22837.016</v>
      </c>
      <c r="AI55" s="230"/>
      <c r="AJ55" s="232">
        <v>11670.178</v>
      </c>
      <c r="AK55" s="232">
        <v>17990.596000000001</v>
      </c>
      <c r="AL55" s="235">
        <v>29660.774000000001</v>
      </c>
      <c r="AM55" s="230"/>
      <c r="AN55" s="231">
        <v>85.145050287000018</v>
      </c>
      <c r="AO55" s="232">
        <v>7282.9570000000022</v>
      </c>
      <c r="AP55" s="236" t="e">
        <v>#N/A</v>
      </c>
      <c r="AQ55" s="230"/>
      <c r="AR55" s="237">
        <v>313.456886</v>
      </c>
      <c r="AS55" s="237">
        <v>313.45699999999999</v>
      </c>
      <c r="AT55" s="237">
        <v>313.45699999999999</v>
      </c>
      <c r="AU55" s="230"/>
      <c r="AV55" s="234">
        <v>5.3959999999999998E-3</v>
      </c>
      <c r="AW55" s="234">
        <v>0.36617434022918327</v>
      </c>
      <c r="AX55" s="234">
        <v>7.4700000000000005E-4</v>
      </c>
      <c r="AY55" s="234">
        <v>0.38090701251973774</v>
      </c>
      <c r="AZ55" s="230"/>
      <c r="BA55" s="232">
        <v>15775.849</v>
      </c>
      <c r="BB55" s="230"/>
      <c r="BC55" s="232" t="e">
        <v>#N/A</v>
      </c>
      <c r="BD55" s="232">
        <v>31.949000000000002</v>
      </c>
      <c r="BE55" s="230"/>
      <c r="BF55" s="238">
        <v>1.0541300000000007</v>
      </c>
      <c r="BG55" s="238">
        <v>0.88628039999999952</v>
      </c>
      <c r="BH55" s="238">
        <v>1.0796606666666666</v>
      </c>
      <c r="BI55" s="230"/>
      <c r="BJ55" s="239">
        <v>5.1559313407417893</v>
      </c>
      <c r="BK55" s="240">
        <v>462.79998779296875</v>
      </c>
      <c r="BL55" s="230"/>
      <c r="BM55" s="241">
        <v>-0.2</v>
      </c>
      <c r="BN55" s="241">
        <v>-2.8090000000000002</v>
      </c>
      <c r="BO55" s="241">
        <v>-16.46</v>
      </c>
      <c r="BP55" s="241">
        <v>-2.52</v>
      </c>
      <c r="BQ55" s="241">
        <v>20.57</v>
      </c>
      <c r="BR55" s="241">
        <v>-13.775218000000001</v>
      </c>
      <c r="BS55" s="241" t="e">
        <v>#N/A</v>
      </c>
      <c r="BT55" s="241" t="e">
        <v>#N/A</v>
      </c>
      <c r="BU55" s="241" t="e">
        <v>#N/A</v>
      </c>
      <c r="BV55" s="241" t="e">
        <v>#N/A</v>
      </c>
      <c r="BW55" s="230"/>
      <c r="BX55" s="232">
        <v>-58.453000000000003</v>
      </c>
      <c r="BY55" s="232">
        <v>-380.60300000000001</v>
      </c>
      <c r="BZ55" s="232">
        <v>-1577.6683</v>
      </c>
      <c r="CA55" s="232">
        <v>-610.40030000000002</v>
      </c>
      <c r="CB55" s="232">
        <v>5864.4377999999997</v>
      </c>
      <c r="CC55" s="232">
        <v>-4317.9386116000005</v>
      </c>
      <c r="CD55" s="232" t="e">
        <v>#N/A</v>
      </c>
      <c r="CE55" s="232" t="e">
        <v>#N/A</v>
      </c>
      <c r="CF55" s="232" t="e">
        <v>#N/A</v>
      </c>
      <c r="CG55" s="232" t="e">
        <v>#N/A</v>
      </c>
      <c r="CH55" s="230"/>
      <c r="CI55" s="232">
        <v>520.64200000000005</v>
      </c>
      <c r="CJ55" s="232">
        <v>681.9849999999999</v>
      </c>
      <c r="CK55" s="232">
        <v>2532.6040000000003</v>
      </c>
      <c r="CL55" s="232">
        <v>4398.7209999999995</v>
      </c>
      <c r="CM55" s="232">
        <v>10776.765000000001</v>
      </c>
      <c r="CN55" s="232">
        <v>-1306.5629999999999</v>
      </c>
      <c r="CO55" s="232" t="e">
        <v>#N/A</v>
      </c>
      <c r="CP55" s="232" t="e">
        <v>#N/A</v>
      </c>
      <c r="CQ55" s="232" t="e">
        <v>#N/A</v>
      </c>
      <c r="CR55" s="232" t="e">
        <v>#N/A</v>
      </c>
      <c r="CS55" s="230"/>
      <c r="CT55" s="232">
        <v>3055.424</v>
      </c>
      <c r="CU55" s="232">
        <v>2840.864</v>
      </c>
      <c r="CV55" s="232">
        <v>4871.9960000000001</v>
      </c>
      <c r="CW55" s="232">
        <v>14381.437</v>
      </c>
      <c r="CX55" s="232">
        <v>50171.46</v>
      </c>
      <c r="CY55" s="232">
        <v>49378.686000000002</v>
      </c>
      <c r="CZ55" s="232" t="e">
        <v>#N/A</v>
      </c>
      <c r="DA55" s="232" t="e">
        <v>#N/A</v>
      </c>
      <c r="DB55" s="232" t="e">
        <v>#N/A</v>
      </c>
      <c r="DC55" s="232" t="e">
        <v>#N/A</v>
      </c>
      <c r="DD55" s="230"/>
      <c r="DE55" s="232" t="e">
        <v>#N/A</v>
      </c>
      <c r="DF55" s="232">
        <v>0</v>
      </c>
      <c r="DG55" s="232">
        <v>0</v>
      </c>
      <c r="DH55" s="230"/>
      <c r="DI55" s="230"/>
      <c r="DJ55" s="172" t="s">
        <v>277</v>
      </c>
    </row>
    <row r="56" spans="1:114" x14ac:dyDescent="0.25">
      <c r="A56" s="225" t="s">
        <v>729</v>
      </c>
      <c r="B56" s="226" t="s">
        <v>772</v>
      </c>
      <c r="C56" s="227" t="s">
        <v>432</v>
      </c>
      <c r="D56" s="228" t="str">
        <f t="shared" si="0"/>
        <v>WI IN Equity</v>
      </c>
      <c r="E56" s="229" t="s">
        <v>325</v>
      </c>
      <c r="F56" s="230"/>
      <c r="G56" s="231">
        <v>147.71936725891192</v>
      </c>
      <c r="H56" s="232">
        <v>13259.393278571824</v>
      </c>
      <c r="I56" s="230"/>
      <c r="J56" s="231">
        <v>157.60761505891193</v>
      </c>
      <c r="K56" s="232">
        <v>14105.193278571825</v>
      </c>
      <c r="L56" s="230"/>
      <c r="M56" s="233" t="e">
        <v>#N/A</v>
      </c>
      <c r="N56" s="233" t="e">
        <v>#N/A</v>
      </c>
      <c r="O56" s="233" t="e">
        <v>#N/A</v>
      </c>
      <c r="P56" s="233" t="e">
        <v>#N/A</v>
      </c>
      <c r="Q56" s="230"/>
      <c r="R56" s="234">
        <v>3.5364231636766501</v>
      </c>
      <c r="S56" s="234">
        <v>3.5418369285240896</v>
      </c>
      <c r="T56" s="230"/>
      <c r="U56" s="234">
        <v>-0.28148349927132565</v>
      </c>
      <c r="V56" s="234" t="e">
        <v>#N/A</v>
      </c>
      <c r="W56" s="234">
        <v>-0.23474357749976124</v>
      </c>
      <c r="X56" s="234" t="e">
        <v>#N/A</v>
      </c>
      <c r="Y56" s="234">
        <v>-0.15007518545746173</v>
      </c>
      <c r="Z56" s="234">
        <v>-0.1368709483392368</v>
      </c>
      <c r="AA56" s="234">
        <v>-0.15389292290588194</v>
      </c>
      <c r="AB56" s="234">
        <v>-0.10705071688422856</v>
      </c>
      <c r="AC56" s="230"/>
      <c r="AD56" s="232">
        <v>-1089.2</v>
      </c>
      <c r="AE56" s="232">
        <v>-1089.2</v>
      </c>
      <c r="AF56" s="232">
        <v>0</v>
      </c>
      <c r="AG56" s="232">
        <v>-803.8</v>
      </c>
      <c r="AH56" s="235">
        <v>-1893</v>
      </c>
      <c r="AI56" s="230"/>
      <c r="AJ56" s="232">
        <v>1420.6</v>
      </c>
      <c r="AK56" s="232">
        <v>514.4</v>
      </c>
      <c r="AL56" s="235">
        <v>1935</v>
      </c>
      <c r="AM56" s="230"/>
      <c r="AN56" s="231">
        <v>9.8882478000000003</v>
      </c>
      <c r="AO56" s="232">
        <v>845.8</v>
      </c>
      <c r="AP56" s="236" t="e">
        <v>#N/A</v>
      </c>
      <c r="AQ56" s="230"/>
      <c r="AR56" s="237">
        <v>67.826451000000006</v>
      </c>
      <c r="AS56" s="237">
        <v>58.388207000000001</v>
      </c>
      <c r="AT56" s="237">
        <v>64.459594999999993</v>
      </c>
      <c r="AU56" s="230"/>
      <c r="AV56" s="234">
        <v>3.16E-3</v>
      </c>
      <c r="AW56" s="234">
        <v>3.936294725595685E-3</v>
      </c>
      <c r="AX56" s="234">
        <v>3.8000000000000002E-5</v>
      </c>
      <c r="AY56" s="234">
        <v>0.57626658071789716</v>
      </c>
      <c r="AZ56" s="230"/>
      <c r="BA56" s="232">
        <v>0</v>
      </c>
      <c r="BB56" s="230"/>
      <c r="BC56" s="232" t="e">
        <v>#N/A</v>
      </c>
      <c r="BD56" s="232">
        <v>0</v>
      </c>
      <c r="BE56" s="230"/>
      <c r="BF56" s="238">
        <v>16.568396199999995</v>
      </c>
      <c r="BG56" s="238">
        <v>9.3450430999999998</v>
      </c>
      <c r="BH56" s="238">
        <v>3.3335676000000016</v>
      </c>
      <c r="BI56" s="230"/>
      <c r="BJ56" s="239">
        <v>2.1779020585775881</v>
      </c>
      <c r="BK56" s="240">
        <v>195.49000549316406</v>
      </c>
      <c r="BL56" s="230"/>
      <c r="BM56" s="241">
        <v>-15.403</v>
      </c>
      <c r="BN56" s="241">
        <v>-15.042999999999999</v>
      </c>
      <c r="BO56" s="241">
        <v>-5.5609999999999999</v>
      </c>
      <c r="BP56" s="241">
        <v>-11.791</v>
      </c>
      <c r="BQ56" s="241">
        <v>-9.0399999999999991</v>
      </c>
      <c r="BR56" s="241">
        <v>-17.697752000000001</v>
      </c>
      <c r="BS56" s="241" t="e">
        <v>#N/A</v>
      </c>
      <c r="BT56" s="241" t="e">
        <v>#N/A</v>
      </c>
      <c r="BU56" s="241" t="e">
        <v>#N/A</v>
      </c>
      <c r="BV56" s="241" t="e">
        <v>#N/A</v>
      </c>
      <c r="BW56" s="230"/>
      <c r="BX56" s="232">
        <v>-656.63</v>
      </c>
      <c r="BY56" s="232">
        <v>-580.30999999999995</v>
      </c>
      <c r="BZ56" s="232">
        <v>-537.01</v>
      </c>
      <c r="CA56" s="232">
        <v>123.07</v>
      </c>
      <c r="CB56" s="232">
        <v>-460.37</v>
      </c>
      <c r="CC56" s="232">
        <v>-1033.3399999999999</v>
      </c>
      <c r="CD56" s="232" t="e">
        <v>#N/A</v>
      </c>
      <c r="CE56" s="232" t="e">
        <v>#N/A</v>
      </c>
      <c r="CF56" s="232" t="e">
        <v>#N/A</v>
      </c>
      <c r="CG56" s="232" t="e">
        <v>#N/A</v>
      </c>
      <c r="CH56" s="230"/>
      <c r="CI56" s="232">
        <v>336.8</v>
      </c>
      <c r="CJ56" s="232">
        <v>204.10000000000002</v>
      </c>
      <c r="CK56" s="232">
        <v>227.7</v>
      </c>
      <c r="CL56" s="232">
        <v>-346.2</v>
      </c>
      <c r="CM56" s="232">
        <v>10.800000000000011</v>
      </c>
      <c r="CN56" s="232">
        <v>-712.80000000000007</v>
      </c>
      <c r="CO56" s="232" t="e">
        <v>#N/A</v>
      </c>
      <c r="CP56" s="232" t="e">
        <v>#N/A</v>
      </c>
      <c r="CQ56" s="232" t="e">
        <v>#N/A</v>
      </c>
      <c r="CR56" s="232" t="e">
        <v>#N/A</v>
      </c>
      <c r="CS56" s="230"/>
      <c r="CT56" s="232">
        <v>2980.5</v>
      </c>
      <c r="CU56" s="232">
        <v>3256.4</v>
      </c>
      <c r="CV56" s="232">
        <v>2991.9</v>
      </c>
      <c r="CW56" s="232">
        <v>3220.9</v>
      </c>
      <c r="CX56" s="232">
        <v>3023.5</v>
      </c>
      <c r="CY56" s="232">
        <v>2591.8000000000002</v>
      </c>
      <c r="CZ56" s="232" t="e">
        <v>#N/A</v>
      </c>
      <c r="DA56" s="232" t="e">
        <v>#N/A</v>
      </c>
      <c r="DB56" s="232" t="e">
        <v>#N/A</v>
      </c>
      <c r="DC56" s="232" t="e">
        <v>#N/A</v>
      </c>
      <c r="DD56" s="230"/>
      <c r="DE56" s="232" t="e">
        <v>#N/A</v>
      </c>
      <c r="DF56" s="232">
        <v>0</v>
      </c>
      <c r="DG56" s="232">
        <v>0</v>
      </c>
      <c r="DH56" s="230"/>
      <c r="DI56" s="230"/>
      <c r="DJ56" s="172" t="s">
        <v>277</v>
      </c>
    </row>
    <row r="57" spans="1:114" x14ac:dyDescent="0.25">
      <c r="A57" s="225" t="s">
        <v>729</v>
      </c>
      <c r="B57" s="226" t="s">
        <v>773</v>
      </c>
      <c r="C57" s="227" t="s">
        <v>443</v>
      </c>
      <c r="D57" s="228" t="str">
        <f t="shared" si="0"/>
        <v>1943634D IN Equity</v>
      </c>
      <c r="E57" s="229"/>
      <c r="F57" s="230"/>
      <c r="G57" s="231" t="e">
        <v>#N/A</v>
      </c>
      <c r="H57" s="232" t="e">
        <v>#N/A</v>
      </c>
      <c r="I57" s="230"/>
      <c r="J57" s="231" t="e">
        <v>#N/A</v>
      </c>
      <c r="K57" s="232" t="e">
        <v>#N/A</v>
      </c>
      <c r="L57" s="230"/>
      <c r="M57" s="233" t="e">
        <v>#N/A</v>
      </c>
      <c r="N57" s="233" t="e">
        <v>#N/A</v>
      </c>
      <c r="O57" s="233" t="e">
        <v>#N/A</v>
      </c>
      <c r="P57" s="233" t="e">
        <v>#N/A</v>
      </c>
      <c r="Q57" s="230"/>
      <c r="R57" s="234" t="e">
        <v>#N/A</v>
      </c>
      <c r="S57" s="234" t="e">
        <v>#N/A</v>
      </c>
      <c r="T57" s="230"/>
      <c r="U57" s="234" t="e">
        <v>#N/A</v>
      </c>
      <c r="V57" s="234" t="e">
        <v>#N/A</v>
      </c>
      <c r="W57" s="234" t="e">
        <v>#N/A</v>
      </c>
      <c r="X57" s="234" t="e">
        <v>#N/A</v>
      </c>
      <c r="Y57" s="234" t="e">
        <v>#N/A</v>
      </c>
      <c r="Z57" s="234" t="e">
        <v>#N/A</v>
      </c>
      <c r="AA57" s="234" t="e">
        <v>#N/A</v>
      </c>
      <c r="AB57" s="234" t="e">
        <v>#N/A</v>
      </c>
      <c r="AC57" s="230"/>
      <c r="AD57" s="232" t="e">
        <v>#N/A</v>
      </c>
      <c r="AE57" s="232" t="e">
        <v>#N/A</v>
      </c>
      <c r="AF57" s="232" t="e">
        <v>#N/A</v>
      </c>
      <c r="AG57" s="232" t="e">
        <v>#N/A</v>
      </c>
      <c r="AH57" s="235" t="e">
        <v>#N/A</v>
      </c>
      <c r="AI57" s="230"/>
      <c r="AJ57" s="232" t="e">
        <v>#N/A</v>
      </c>
      <c r="AK57" s="232" t="e">
        <v>#N/A</v>
      </c>
      <c r="AL57" s="235" t="e">
        <v>#N/A</v>
      </c>
      <c r="AM57" s="230"/>
      <c r="AN57" s="231" t="e">
        <v>#N/A</v>
      </c>
      <c r="AO57" s="232" t="e">
        <v>#N/A</v>
      </c>
      <c r="AP57" s="236" t="e">
        <v>#N/A</v>
      </c>
      <c r="AQ57" s="230"/>
      <c r="AR57" s="237" t="e">
        <v>#N/A</v>
      </c>
      <c r="AS57" s="237" t="e">
        <v>#N/A</v>
      </c>
      <c r="AT57" s="237" t="e">
        <v>#N/A</v>
      </c>
      <c r="AU57" s="230"/>
      <c r="AV57" s="234" t="e">
        <v>#N/A</v>
      </c>
      <c r="AW57" s="234" t="e">
        <v>#N/A</v>
      </c>
      <c r="AX57" s="234" t="e">
        <v>#N/A</v>
      </c>
      <c r="AY57" s="234" t="e">
        <v>#N/A</v>
      </c>
      <c r="AZ57" s="230"/>
      <c r="BA57" s="232" t="e">
        <v>#N/A</v>
      </c>
      <c r="BB57" s="230"/>
      <c r="BC57" s="232" t="e">
        <v>#N/A</v>
      </c>
      <c r="BD57" s="232" t="e">
        <v>#N/A</v>
      </c>
      <c r="BE57" s="230"/>
      <c r="BF57" s="238" t="e">
        <v>#N/A</v>
      </c>
      <c r="BG57" s="238" t="e">
        <v>#N/A</v>
      </c>
      <c r="BH57" s="238" t="e">
        <v>#N/A</v>
      </c>
      <c r="BI57" s="230"/>
      <c r="BJ57" s="239" t="e">
        <v>#N/A</v>
      </c>
      <c r="BK57" s="240" t="e">
        <v>#N/A</v>
      </c>
      <c r="BL57" s="230"/>
      <c r="BM57" s="241" t="e">
        <v>#N/A</v>
      </c>
      <c r="BN57" s="241" t="e">
        <v>#N/A</v>
      </c>
      <c r="BO57" s="241" t="e">
        <v>#N/A</v>
      </c>
      <c r="BP57" s="241" t="e">
        <v>#N/A</v>
      </c>
      <c r="BQ57" s="241" t="e">
        <v>#N/A</v>
      </c>
      <c r="BR57" s="241" t="e">
        <v>#N/A</v>
      </c>
      <c r="BS57" s="241" t="e">
        <v>#N/A</v>
      </c>
      <c r="BT57" s="241" t="e">
        <v>#N/A</v>
      </c>
      <c r="BU57" s="241" t="e">
        <v>#N/A</v>
      </c>
      <c r="BV57" s="241" t="e">
        <v>#N/A</v>
      </c>
      <c r="BW57" s="230"/>
      <c r="BX57" s="232" t="e">
        <v>#N/A</v>
      </c>
      <c r="BY57" s="232" t="e">
        <v>#N/A</v>
      </c>
      <c r="BZ57" s="232" t="e">
        <v>#N/A</v>
      </c>
      <c r="CA57" s="232" t="e">
        <v>#N/A</v>
      </c>
      <c r="CB57" s="232" t="e">
        <v>#N/A</v>
      </c>
      <c r="CC57" s="232" t="e">
        <v>#N/A</v>
      </c>
      <c r="CD57" s="232" t="e">
        <v>#N/A</v>
      </c>
      <c r="CE57" s="232" t="e">
        <v>#N/A</v>
      </c>
      <c r="CF57" s="232" t="e">
        <v>#N/A</v>
      </c>
      <c r="CG57" s="232" t="e">
        <v>#N/A</v>
      </c>
      <c r="CH57" s="230"/>
      <c r="CI57" s="232" t="e">
        <v>#N/A</v>
      </c>
      <c r="CJ57" s="232" t="e">
        <v>#N/A</v>
      </c>
      <c r="CK57" s="232" t="e">
        <v>#N/A</v>
      </c>
      <c r="CL57" s="232" t="e">
        <v>#N/A</v>
      </c>
      <c r="CM57" s="232" t="e">
        <v>#N/A</v>
      </c>
      <c r="CN57" s="232" t="e">
        <v>#N/A</v>
      </c>
      <c r="CO57" s="232" t="e">
        <v>#N/A</v>
      </c>
      <c r="CP57" s="232" t="e">
        <v>#N/A</v>
      </c>
      <c r="CQ57" s="232" t="e">
        <v>#N/A</v>
      </c>
      <c r="CR57" s="232" t="e">
        <v>#N/A</v>
      </c>
      <c r="CS57" s="230"/>
      <c r="CT57" s="232" t="e">
        <v>#N/A</v>
      </c>
      <c r="CU57" s="232" t="e">
        <v>#N/A</v>
      </c>
      <c r="CV57" s="232" t="e">
        <v>#N/A</v>
      </c>
      <c r="CW57" s="232" t="e">
        <v>#N/A</v>
      </c>
      <c r="CX57" s="232" t="e">
        <v>#N/A</v>
      </c>
      <c r="CY57" s="232" t="e">
        <v>#N/A</v>
      </c>
      <c r="CZ57" s="232" t="e">
        <v>#N/A</v>
      </c>
      <c r="DA57" s="232" t="e">
        <v>#N/A</v>
      </c>
      <c r="DB57" s="232" t="e">
        <v>#N/A</v>
      </c>
      <c r="DC57" s="232" t="e">
        <v>#N/A</v>
      </c>
      <c r="DD57" s="230"/>
      <c r="DE57" s="232" t="e">
        <v>#N/A</v>
      </c>
      <c r="DF57" s="232" t="e">
        <v>#N/A</v>
      </c>
      <c r="DG57" s="232" t="e">
        <v>#N/A</v>
      </c>
      <c r="DH57" s="230"/>
      <c r="DI57" s="230"/>
      <c r="DJ57" s="172" t="s">
        <v>277</v>
      </c>
    </row>
    <row r="58" spans="1:114" x14ac:dyDescent="0.25">
      <c r="A58" s="225" t="s">
        <v>729</v>
      </c>
      <c r="B58" s="226" t="s">
        <v>774</v>
      </c>
      <c r="C58" s="227" t="s">
        <v>444</v>
      </c>
      <c r="D58" s="228" t="str">
        <f t="shared" si="0"/>
        <v>2300472D IN Equity</v>
      </c>
      <c r="E58" s="229"/>
      <c r="F58" s="230"/>
      <c r="G58" s="231" t="e">
        <v>#N/A</v>
      </c>
      <c r="H58" s="232" t="e">
        <v>#N/A</v>
      </c>
      <c r="I58" s="230"/>
      <c r="J58" s="231" t="e">
        <v>#N/A</v>
      </c>
      <c r="K58" s="232" t="e">
        <v>#N/A</v>
      </c>
      <c r="L58" s="230"/>
      <c r="M58" s="233" t="e">
        <v>#N/A</v>
      </c>
      <c r="N58" s="233" t="e">
        <v>#N/A</v>
      </c>
      <c r="O58" s="233" t="e">
        <v>#N/A</v>
      </c>
      <c r="P58" s="233" t="e">
        <v>#N/A</v>
      </c>
      <c r="Q58" s="230"/>
      <c r="R58" s="234" t="e">
        <v>#N/A</v>
      </c>
      <c r="S58" s="234" t="e">
        <v>#N/A</v>
      </c>
      <c r="T58" s="230"/>
      <c r="U58" s="234" t="e">
        <v>#N/A</v>
      </c>
      <c r="V58" s="234" t="e">
        <v>#N/A</v>
      </c>
      <c r="W58" s="234" t="e">
        <v>#N/A</v>
      </c>
      <c r="X58" s="234" t="e">
        <v>#N/A</v>
      </c>
      <c r="Y58" s="234" t="e">
        <v>#N/A</v>
      </c>
      <c r="Z58" s="234" t="e">
        <v>#N/A</v>
      </c>
      <c r="AA58" s="234" t="e">
        <v>#N/A</v>
      </c>
      <c r="AB58" s="234" t="e">
        <v>#N/A</v>
      </c>
      <c r="AC58" s="230"/>
      <c r="AD58" s="232" t="e">
        <v>#N/A</v>
      </c>
      <c r="AE58" s="232" t="e">
        <v>#N/A</v>
      </c>
      <c r="AF58" s="232" t="e">
        <v>#N/A</v>
      </c>
      <c r="AG58" s="232" t="e">
        <v>#N/A</v>
      </c>
      <c r="AH58" s="235" t="e">
        <v>#N/A</v>
      </c>
      <c r="AI58" s="230"/>
      <c r="AJ58" s="232" t="e">
        <v>#N/A</v>
      </c>
      <c r="AK58" s="232" t="e">
        <v>#N/A</v>
      </c>
      <c r="AL58" s="235" t="e">
        <v>#N/A</v>
      </c>
      <c r="AM58" s="230"/>
      <c r="AN58" s="231" t="e">
        <v>#N/A</v>
      </c>
      <c r="AO58" s="232" t="e">
        <v>#N/A</v>
      </c>
      <c r="AP58" s="236" t="e">
        <v>#N/A</v>
      </c>
      <c r="AQ58" s="230"/>
      <c r="AR58" s="237" t="e">
        <v>#N/A</v>
      </c>
      <c r="AS58" s="237" t="e">
        <v>#N/A</v>
      </c>
      <c r="AT58" s="237" t="e">
        <v>#N/A</v>
      </c>
      <c r="AU58" s="230"/>
      <c r="AV58" s="234" t="e">
        <v>#N/A</v>
      </c>
      <c r="AW58" s="234" t="e">
        <v>#N/A</v>
      </c>
      <c r="AX58" s="234" t="e">
        <v>#N/A</v>
      </c>
      <c r="AY58" s="234" t="e">
        <v>#N/A</v>
      </c>
      <c r="AZ58" s="230"/>
      <c r="BA58" s="232" t="e">
        <v>#N/A</v>
      </c>
      <c r="BB58" s="230"/>
      <c r="BC58" s="232" t="e">
        <v>#N/A</v>
      </c>
      <c r="BD58" s="232" t="e">
        <v>#N/A</v>
      </c>
      <c r="BE58" s="230"/>
      <c r="BF58" s="238" t="e">
        <v>#N/A</v>
      </c>
      <c r="BG58" s="238" t="e">
        <v>#N/A</v>
      </c>
      <c r="BH58" s="238" t="e">
        <v>#N/A</v>
      </c>
      <c r="BI58" s="230"/>
      <c r="BJ58" s="239" t="e">
        <v>#N/A</v>
      </c>
      <c r="BK58" s="240" t="e">
        <v>#N/A</v>
      </c>
      <c r="BL58" s="230"/>
      <c r="BM58" s="241" t="e">
        <v>#N/A</v>
      </c>
      <c r="BN58" s="241" t="e">
        <v>#N/A</v>
      </c>
      <c r="BO58" s="241" t="e">
        <v>#N/A</v>
      </c>
      <c r="BP58" s="241" t="e">
        <v>#N/A</v>
      </c>
      <c r="BQ58" s="241" t="e">
        <v>#N/A</v>
      </c>
      <c r="BR58" s="241" t="e">
        <v>#N/A</v>
      </c>
      <c r="BS58" s="241" t="e">
        <v>#N/A</v>
      </c>
      <c r="BT58" s="241" t="e">
        <v>#N/A</v>
      </c>
      <c r="BU58" s="241" t="e">
        <v>#N/A</v>
      </c>
      <c r="BV58" s="241" t="e">
        <v>#N/A</v>
      </c>
      <c r="BW58" s="230"/>
      <c r="BX58" s="232" t="e">
        <v>#N/A</v>
      </c>
      <c r="BY58" s="232" t="e">
        <v>#N/A</v>
      </c>
      <c r="BZ58" s="232" t="e">
        <v>#N/A</v>
      </c>
      <c r="CA58" s="232" t="e">
        <v>#N/A</v>
      </c>
      <c r="CB58" s="232" t="e">
        <v>#N/A</v>
      </c>
      <c r="CC58" s="232" t="e">
        <v>#N/A</v>
      </c>
      <c r="CD58" s="232" t="e">
        <v>#N/A</v>
      </c>
      <c r="CE58" s="232" t="e">
        <v>#N/A</v>
      </c>
      <c r="CF58" s="232" t="e">
        <v>#N/A</v>
      </c>
      <c r="CG58" s="232" t="e">
        <v>#N/A</v>
      </c>
      <c r="CH58" s="230"/>
      <c r="CI58" s="232" t="e">
        <v>#N/A</v>
      </c>
      <c r="CJ58" s="232" t="e">
        <v>#N/A</v>
      </c>
      <c r="CK58" s="232" t="e">
        <v>#N/A</v>
      </c>
      <c r="CL58" s="232" t="e">
        <v>#N/A</v>
      </c>
      <c r="CM58" s="232" t="e">
        <v>#N/A</v>
      </c>
      <c r="CN58" s="232" t="e">
        <v>#N/A</v>
      </c>
      <c r="CO58" s="232" t="e">
        <v>#N/A</v>
      </c>
      <c r="CP58" s="232" t="e">
        <v>#N/A</v>
      </c>
      <c r="CQ58" s="232" t="e">
        <v>#N/A</v>
      </c>
      <c r="CR58" s="232" t="e">
        <v>#N/A</v>
      </c>
      <c r="CS58" s="230"/>
      <c r="CT58" s="232" t="e">
        <v>#N/A</v>
      </c>
      <c r="CU58" s="232" t="e">
        <v>#N/A</v>
      </c>
      <c r="CV58" s="232" t="e">
        <v>#N/A</v>
      </c>
      <c r="CW58" s="232" t="e">
        <v>#N/A</v>
      </c>
      <c r="CX58" s="232" t="e">
        <v>#N/A</v>
      </c>
      <c r="CY58" s="232" t="e">
        <v>#N/A</v>
      </c>
      <c r="CZ58" s="232" t="e">
        <v>#N/A</v>
      </c>
      <c r="DA58" s="232" t="e">
        <v>#N/A</v>
      </c>
      <c r="DB58" s="232" t="e">
        <v>#N/A</v>
      </c>
      <c r="DC58" s="232" t="e">
        <v>#N/A</v>
      </c>
      <c r="DD58" s="230"/>
      <c r="DE58" s="232" t="e">
        <v>#N/A</v>
      </c>
      <c r="DF58" s="232" t="e">
        <v>#N/A</v>
      </c>
      <c r="DG58" s="232" t="e">
        <v>#N/A</v>
      </c>
      <c r="DH58" s="230"/>
      <c r="DI58" s="230"/>
      <c r="DJ58" s="172" t="s">
        <v>277</v>
      </c>
    </row>
    <row r="59" spans="1:114" ht="14.4" x14ac:dyDescent="0.25">
      <c r="A59" s="225" t="s">
        <v>729</v>
      </c>
      <c r="B59" s="226" t="s">
        <v>775</v>
      </c>
      <c r="C59" s="243" t="s">
        <v>485</v>
      </c>
      <c r="D59" s="228" t="str">
        <f t="shared" si="0"/>
        <v>1637857D  IN Equity</v>
      </c>
      <c r="E59" s="229"/>
      <c r="F59" s="230"/>
      <c r="G59" s="231" t="e">
        <v>#N/A</v>
      </c>
      <c r="H59" s="232" t="e">
        <v>#N/A</v>
      </c>
      <c r="I59" s="230"/>
      <c r="J59" s="231" t="e">
        <v>#N/A</v>
      </c>
      <c r="K59" s="232" t="e">
        <v>#N/A</v>
      </c>
      <c r="L59" s="230"/>
      <c r="M59" s="233" t="e">
        <v>#N/A</v>
      </c>
      <c r="N59" s="233" t="e">
        <v>#N/A</v>
      </c>
      <c r="O59" s="233" t="e">
        <v>#N/A</v>
      </c>
      <c r="P59" s="233" t="e">
        <v>#N/A</v>
      </c>
      <c r="Q59" s="230"/>
      <c r="R59" s="234" t="e">
        <v>#N/A</v>
      </c>
      <c r="S59" s="234" t="e">
        <v>#N/A</v>
      </c>
      <c r="T59" s="230"/>
      <c r="U59" s="234" t="e">
        <v>#N/A</v>
      </c>
      <c r="V59" s="234" t="e">
        <v>#N/A</v>
      </c>
      <c r="W59" s="234" t="e">
        <v>#N/A</v>
      </c>
      <c r="X59" s="234" t="e">
        <v>#N/A</v>
      </c>
      <c r="Y59" s="234" t="e">
        <v>#N/A</v>
      </c>
      <c r="Z59" s="234" t="e">
        <v>#N/A</v>
      </c>
      <c r="AA59" s="234">
        <v>0.19674125934270978</v>
      </c>
      <c r="AB59" s="234" t="e">
        <v>#N/A</v>
      </c>
      <c r="AC59" s="230"/>
      <c r="AD59" s="232">
        <v>-4.5118919999999996</v>
      </c>
      <c r="AE59" s="232">
        <v>-4.5118919999999996</v>
      </c>
      <c r="AF59" s="232">
        <v>0</v>
      </c>
      <c r="AG59" s="232" t="e">
        <v>#N/A</v>
      </c>
      <c r="AH59" s="235" t="e">
        <v>#N/A</v>
      </c>
      <c r="AI59" s="230"/>
      <c r="AJ59" s="232">
        <v>33.916319000000001</v>
      </c>
      <c r="AK59" s="232">
        <v>233.79820900000001</v>
      </c>
      <c r="AL59" s="235">
        <v>267.71452799999997</v>
      </c>
      <c r="AM59" s="230"/>
      <c r="AN59" s="231">
        <v>3.4671683240280009</v>
      </c>
      <c r="AO59" s="232">
        <v>263.20263600000004</v>
      </c>
      <c r="AP59" s="236">
        <v>1.6866368644591501</v>
      </c>
      <c r="AQ59" s="230"/>
      <c r="AR59" s="237" t="e">
        <v>#N/A</v>
      </c>
      <c r="AS59" s="237" t="e">
        <v>#N/A</v>
      </c>
      <c r="AT59" s="237" t="e">
        <v>#N/A</v>
      </c>
      <c r="AU59" s="230"/>
      <c r="AV59" s="234" t="e">
        <v>#N/A</v>
      </c>
      <c r="AW59" s="234" t="e">
        <v>#N/A</v>
      </c>
      <c r="AX59" s="234" t="e">
        <v>#N/A</v>
      </c>
      <c r="AY59" s="234" t="e">
        <v>#N/A</v>
      </c>
      <c r="AZ59" s="230"/>
      <c r="BA59" s="232">
        <v>1E-4</v>
      </c>
      <c r="BB59" s="230"/>
      <c r="BC59" s="232" t="e">
        <v>#N/A</v>
      </c>
      <c r="BD59" s="232" t="e">
        <v>#N/A</v>
      </c>
      <c r="BE59" s="230"/>
      <c r="BF59" s="238" t="e">
        <v>#N/A</v>
      </c>
      <c r="BG59" s="238" t="e">
        <v>#N/A</v>
      </c>
      <c r="BH59" s="238" t="e">
        <v>#N/A</v>
      </c>
      <c r="BI59" s="230"/>
      <c r="BJ59" s="239" t="e">
        <v>#N/A</v>
      </c>
      <c r="BK59" s="240" t="e">
        <v>#N/A</v>
      </c>
      <c r="BL59" s="230"/>
      <c r="BM59" s="241" t="e">
        <v>#N/A</v>
      </c>
      <c r="BN59" s="241" t="e">
        <v>#N/A</v>
      </c>
      <c r="BO59" s="241">
        <v>289.75</v>
      </c>
      <c r="BP59" s="241" t="e">
        <v>#N/A</v>
      </c>
      <c r="BQ59" s="241" t="e">
        <v>#N/A</v>
      </c>
      <c r="BR59" s="241" t="e">
        <v>#N/A</v>
      </c>
      <c r="BS59" s="241" t="e">
        <v>#N/A</v>
      </c>
      <c r="BT59" s="241" t="e">
        <v>#N/A</v>
      </c>
      <c r="BU59" s="241" t="e">
        <v>#N/A</v>
      </c>
      <c r="BV59" s="241" t="e">
        <v>#N/A</v>
      </c>
      <c r="BW59" s="230"/>
      <c r="BX59" s="232" t="e">
        <v>#N/A</v>
      </c>
      <c r="BY59" s="232" t="e">
        <v>#N/A</v>
      </c>
      <c r="BZ59" s="232">
        <v>98.654899</v>
      </c>
      <c r="CA59" s="232" t="e">
        <v>#N/A</v>
      </c>
      <c r="CB59" s="232" t="e">
        <v>#N/A</v>
      </c>
      <c r="CC59" s="232" t="e">
        <v>#N/A</v>
      </c>
      <c r="CD59" s="232" t="e">
        <v>#N/A</v>
      </c>
      <c r="CE59" s="232" t="e">
        <v>#N/A</v>
      </c>
      <c r="CF59" s="232" t="e">
        <v>#N/A</v>
      </c>
      <c r="CG59" s="232" t="e">
        <v>#N/A</v>
      </c>
      <c r="CH59" s="230"/>
      <c r="CI59" s="232" t="e">
        <v>#N/A</v>
      </c>
      <c r="CJ59" s="232" t="e">
        <v>#N/A</v>
      </c>
      <c r="CK59" s="232">
        <v>156.051751</v>
      </c>
      <c r="CL59" s="232" t="e">
        <v>#N/A</v>
      </c>
      <c r="CM59" s="232" t="e">
        <v>#N/A</v>
      </c>
      <c r="CN59" s="232" t="e">
        <v>#N/A</v>
      </c>
      <c r="CO59" s="232" t="e">
        <v>#N/A</v>
      </c>
      <c r="CP59" s="232" t="e">
        <v>#N/A</v>
      </c>
      <c r="CQ59" s="232" t="e">
        <v>#N/A</v>
      </c>
      <c r="CR59" s="232" t="e">
        <v>#N/A</v>
      </c>
      <c r="CS59" s="230"/>
      <c r="CT59" s="232" t="e">
        <v>#N/A</v>
      </c>
      <c r="CU59" s="232" t="e">
        <v>#N/A</v>
      </c>
      <c r="CV59" s="232">
        <v>496.720686</v>
      </c>
      <c r="CW59" s="232" t="e">
        <v>#N/A</v>
      </c>
      <c r="CX59" s="232" t="e">
        <v>#N/A</v>
      </c>
      <c r="CY59" s="232" t="e">
        <v>#N/A</v>
      </c>
      <c r="CZ59" s="232" t="e">
        <v>#N/A</v>
      </c>
      <c r="DA59" s="232" t="e">
        <v>#N/A</v>
      </c>
      <c r="DB59" s="232" t="e">
        <v>#N/A</v>
      </c>
      <c r="DC59" s="232" t="e">
        <v>#N/A</v>
      </c>
      <c r="DD59" s="230"/>
      <c r="DE59" s="232" t="e">
        <v>#N/A</v>
      </c>
      <c r="DF59" s="232" t="e">
        <v>#N/A</v>
      </c>
      <c r="DG59" s="232" t="e">
        <v>#N/A</v>
      </c>
      <c r="DH59" s="230"/>
      <c r="DI59" s="230"/>
      <c r="DJ59" s="172" t="s">
        <v>277</v>
      </c>
    </row>
    <row r="60" spans="1:114" ht="14.4" x14ac:dyDescent="0.25">
      <c r="A60" s="225" t="s">
        <v>729</v>
      </c>
      <c r="B60" s="226" t="s">
        <v>776</v>
      </c>
      <c r="C60" s="243" t="s">
        <v>484</v>
      </c>
      <c r="D60" s="228" t="str">
        <f t="shared" si="0"/>
        <v>0824100D IN Equity</v>
      </c>
      <c r="E60" s="229"/>
      <c r="F60" s="230"/>
      <c r="G60" s="231" t="e">
        <v>#N/A</v>
      </c>
      <c r="H60" s="232" t="e">
        <v>#N/A</v>
      </c>
      <c r="I60" s="230"/>
      <c r="J60" s="231" t="e">
        <v>#N/A</v>
      </c>
      <c r="K60" s="232" t="e">
        <v>#N/A</v>
      </c>
      <c r="L60" s="230"/>
      <c r="M60" s="233" t="e">
        <v>#N/A</v>
      </c>
      <c r="N60" s="233" t="e">
        <v>#N/A</v>
      </c>
      <c r="O60" s="233" t="e">
        <v>#N/A</v>
      </c>
      <c r="P60" s="233" t="e">
        <v>#N/A</v>
      </c>
      <c r="Q60" s="230"/>
      <c r="R60" s="234" t="e">
        <v>#N/A</v>
      </c>
      <c r="S60" s="234" t="e">
        <v>#N/A</v>
      </c>
      <c r="T60" s="230"/>
      <c r="U60" s="234" t="e">
        <v>#N/A</v>
      </c>
      <c r="V60" s="234" t="e">
        <v>#N/A</v>
      </c>
      <c r="W60" s="234" t="e">
        <v>#N/A</v>
      </c>
      <c r="X60" s="234" t="e">
        <v>#N/A</v>
      </c>
      <c r="Y60" s="234" t="e">
        <v>#N/A</v>
      </c>
      <c r="Z60" s="234" t="e">
        <v>#N/A</v>
      </c>
      <c r="AA60" s="234" t="e">
        <v>#N/A</v>
      </c>
      <c r="AB60" s="234" t="e">
        <v>#N/A</v>
      </c>
      <c r="AC60" s="230"/>
      <c r="AD60" s="232" t="e">
        <v>#N/A</v>
      </c>
      <c r="AE60" s="232" t="e">
        <v>#N/A</v>
      </c>
      <c r="AF60" s="232" t="e">
        <v>#N/A</v>
      </c>
      <c r="AG60" s="232" t="e">
        <v>#N/A</v>
      </c>
      <c r="AH60" s="235" t="e">
        <v>#N/A</v>
      </c>
      <c r="AI60" s="230"/>
      <c r="AJ60" s="232" t="e">
        <v>#N/A</v>
      </c>
      <c r="AK60" s="232" t="e">
        <v>#N/A</v>
      </c>
      <c r="AL60" s="235" t="e">
        <v>#N/A</v>
      </c>
      <c r="AM60" s="230"/>
      <c r="AN60" s="231" t="e">
        <v>#N/A</v>
      </c>
      <c r="AO60" s="232" t="e">
        <v>#N/A</v>
      </c>
      <c r="AP60" s="236" t="e">
        <v>#N/A</v>
      </c>
      <c r="AQ60" s="230"/>
      <c r="AR60" s="237" t="e">
        <v>#N/A</v>
      </c>
      <c r="AS60" s="237" t="e">
        <v>#N/A</v>
      </c>
      <c r="AT60" s="237" t="e">
        <v>#N/A</v>
      </c>
      <c r="AU60" s="230"/>
      <c r="AV60" s="234" t="e">
        <v>#N/A</v>
      </c>
      <c r="AW60" s="234" t="e">
        <v>#N/A</v>
      </c>
      <c r="AX60" s="234" t="e">
        <v>#N/A</v>
      </c>
      <c r="AY60" s="234" t="e">
        <v>#N/A</v>
      </c>
      <c r="AZ60" s="230"/>
      <c r="BA60" s="232" t="e">
        <v>#N/A</v>
      </c>
      <c r="BB60" s="230"/>
      <c r="BC60" s="232" t="e">
        <v>#N/A</v>
      </c>
      <c r="BD60" s="232" t="e">
        <v>#N/A</v>
      </c>
      <c r="BE60" s="230"/>
      <c r="BF60" s="238" t="e">
        <v>#N/A</v>
      </c>
      <c r="BG60" s="238" t="e">
        <v>#N/A</v>
      </c>
      <c r="BH60" s="238" t="e">
        <v>#N/A</v>
      </c>
      <c r="BI60" s="230"/>
      <c r="BJ60" s="239" t="e">
        <v>#N/A</v>
      </c>
      <c r="BK60" s="240" t="e">
        <v>#N/A</v>
      </c>
      <c r="BL60" s="230"/>
      <c r="BM60" s="241" t="e">
        <v>#N/A</v>
      </c>
      <c r="BN60" s="241" t="e">
        <v>#N/A</v>
      </c>
      <c r="BO60" s="241" t="e">
        <v>#N/A</v>
      </c>
      <c r="BP60" s="241" t="e">
        <v>#N/A</v>
      </c>
      <c r="BQ60" s="241" t="e">
        <v>#N/A</v>
      </c>
      <c r="BR60" s="241" t="e">
        <v>#N/A</v>
      </c>
      <c r="BS60" s="241" t="e">
        <v>#N/A</v>
      </c>
      <c r="BT60" s="241" t="e">
        <v>#N/A</v>
      </c>
      <c r="BU60" s="241" t="e">
        <v>#N/A</v>
      </c>
      <c r="BV60" s="241" t="e">
        <v>#N/A</v>
      </c>
      <c r="BW60" s="230"/>
      <c r="BX60" s="232" t="e">
        <v>#N/A</v>
      </c>
      <c r="BY60" s="232" t="e">
        <v>#N/A</v>
      </c>
      <c r="BZ60" s="232" t="e">
        <v>#N/A</v>
      </c>
      <c r="CA60" s="232" t="e">
        <v>#N/A</v>
      </c>
      <c r="CB60" s="232" t="e">
        <v>#N/A</v>
      </c>
      <c r="CC60" s="232" t="e">
        <v>#N/A</v>
      </c>
      <c r="CD60" s="232" t="e">
        <v>#N/A</v>
      </c>
      <c r="CE60" s="232" t="e">
        <v>#N/A</v>
      </c>
      <c r="CF60" s="232" t="e">
        <v>#N/A</v>
      </c>
      <c r="CG60" s="232" t="e">
        <v>#N/A</v>
      </c>
      <c r="CH60" s="230"/>
      <c r="CI60" s="232" t="e">
        <v>#N/A</v>
      </c>
      <c r="CJ60" s="232" t="e">
        <v>#N/A</v>
      </c>
      <c r="CK60" s="232" t="e">
        <v>#N/A</v>
      </c>
      <c r="CL60" s="232" t="e">
        <v>#N/A</v>
      </c>
      <c r="CM60" s="232" t="e">
        <v>#N/A</v>
      </c>
      <c r="CN60" s="232" t="e">
        <v>#N/A</v>
      </c>
      <c r="CO60" s="232" t="e">
        <v>#N/A</v>
      </c>
      <c r="CP60" s="232" t="e">
        <v>#N/A</v>
      </c>
      <c r="CQ60" s="232" t="e">
        <v>#N/A</v>
      </c>
      <c r="CR60" s="232" t="e">
        <v>#N/A</v>
      </c>
      <c r="CS60" s="230"/>
      <c r="CT60" s="232" t="e">
        <v>#N/A</v>
      </c>
      <c r="CU60" s="232" t="e">
        <v>#N/A</v>
      </c>
      <c r="CV60" s="232" t="e">
        <v>#N/A</v>
      </c>
      <c r="CW60" s="232" t="e">
        <v>#N/A</v>
      </c>
      <c r="CX60" s="232" t="e">
        <v>#N/A</v>
      </c>
      <c r="CY60" s="232" t="e">
        <v>#N/A</v>
      </c>
      <c r="CZ60" s="232" t="e">
        <v>#N/A</v>
      </c>
      <c r="DA60" s="232" t="e">
        <v>#N/A</v>
      </c>
      <c r="DB60" s="232" t="e">
        <v>#N/A</v>
      </c>
      <c r="DC60" s="232" t="e">
        <v>#N/A</v>
      </c>
      <c r="DD60" s="230"/>
      <c r="DE60" s="232" t="e">
        <v>#N/A</v>
      </c>
      <c r="DF60" s="232" t="e">
        <v>#N/A</v>
      </c>
      <c r="DG60" s="232" t="e">
        <v>#N/A</v>
      </c>
      <c r="DH60" s="230"/>
      <c r="DI60" s="230"/>
      <c r="DJ60" s="172" t="s">
        <v>277</v>
      </c>
    </row>
    <row r="61" spans="1:114" x14ac:dyDescent="0.25">
      <c r="A61" s="225" t="s">
        <v>729</v>
      </c>
      <c r="B61" s="226" t="s">
        <v>777</v>
      </c>
      <c r="C61" s="227" t="s">
        <v>445</v>
      </c>
      <c r="D61" s="228" t="str">
        <f t="shared" si="0"/>
        <v>7559676Z IN Equity</v>
      </c>
      <c r="E61" s="229"/>
      <c r="F61" s="230"/>
      <c r="G61" s="231" t="e">
        <v>#N/A</v>
      </c>
      <c r="H61" s="232" t="e">
        <v>#N/A</v>
      </c>
      <c r="I61" s="230"/>
      <c r="J61" s="231" t="e">
        <v>#N/A</v>
      </c>
      <c r="K61" s="232" t="e">
        <v>#N/A</v>
      </c>
      <c r="L61" s="230"/>
      <c r="M61" s="233" t="e">
        <v>#N/A</v>
      </c>
      <c r="N61" s="233" t="e">
        <v>#N/A</v>
      </c>
      <c r="O61" s="233" t="e">
        <v>#N/A</v>
      </c>
      <c r="P61" s="233" t="e">
        <v>#N/A</v>
      </c>
      <c r="Q61" s="230"/>
      <c r="R61" s="234" t="e">
        <v>#N/A</v>
      </c>
      <c r="S61" s="234" t="e">
        <v>#N/A</v>
      </c>
      <c r="T61" s="230"/>
      <c r="U61" s="234">
        <v>0.15660513258283093</v>
      </c>
      <c r="V61" s="234" t="e">
        <v>#N/A</v>
      </c>
      <c r="W61" s="234">
        <v>0.1567054615343548</v>
      </c>
      <c r="X61" s="234">
        <v>0.11049140189579788</v>
      </c>
      <c r="Y61" s="234">
        <v>0.11561293758994477</v>
      </c>
      <c r="Z61" s="234">
        <v>0.17474381998732305</v>
      </c>
      <c r="AA61" s="234">
        <v>0.12763167789205801</v>
      </c>
      <c r="AB61" s="234">
        <v>0.15818477412077336</v>
      </c>
      <c r="AC61" s="230"/>
      <c r="AD61" s="232">
        <v>-5036.5</v>
      </c>
      <c r="AE61" s="232">
        <v>-5036.5</v>
      </c>
      <c r="AF61" s="232">
        <v>0</v>
      </c>
      <c r="AG61" s="232" t="e">
        <v>#N/A</v>
      </c>
      <c r="AH61" s="235" t="e">
        <v>#N/A</v>
      </c>
      <c r="AI61" s="230"/>
      <c r="AJ61" s="232">
        <v>0</v>
      </c>
      <c r="AK61" s="232">
        <v>0</v>
      </c>
      <c r="AL61" s="235">
        <v>0</v>
      </c>
      <c r="AM61" s="230"/>
      <c r="AN61" s="231">
        <v>-77.647720500000005</v>
      </c>
      <c r="AO61" s="232">
        <v>-5036.5</v>
      </c>
      <c r="AP61" s="236">
        <v>-2.9754238790098664</v>
      </c>
      <c r="AQ61" s="230"/>
      <c r="AR61" s="237" t="e">
        <v>#N/A</v>
      </c>
      <c r="AS61" s="237" t="e">
        <v>#N/A</v>
      </c>
      <c r="AT61" s="237" t="e">
        <v>#N/A</v>
      </c>
      <c r="AU61" s="230"/>
      <c r="AV61" s="234" t="e">
        <v>#N/A</v>
      </c>
      <c r="AW61" s="234" t="e">
        <v>#N/A</v>
      </c>
      <c r="AX61" s="234" t="e">
        <v>#N/A</v>
      </c>
      <c r="AY61" s="234" t="e">
        <v>#N/A</v>
      </c>
      <c r="AZ61" s="230"/>
      <c r="BA61" s="232">
        <v>0</v>
      </c>
      <c r="BB61" s="230"/>
      <c r="BC61" s="232" t="e">
        <v>#N/A</v>
      </c>
      <c r="BD61" s="232" t="e">
        <v>#N/A</v>
      </c>
      <c r="BE61" s="230"/>
      <c r="BF61" s="238" t="e">
        <v>#N/A</v>
      </c>
      <c r="BG61" s="238" t="e">
        <v>#N/A</v>
      </c>
      <c r="BH61" s="238" t="e">
        <v>#N/A</v>
      </c>
      <c r="BI61" s="230"/>
      <c r="BJ61" s="239" t="e">
        <v>#N/A</v>
      </c>
      <c r="BK61" s="240" t="e">
        <v>#N/A</v>
      </c>
      <c r="BL61" s="230"/>
      <c r="BM61" s="241" t="e">
        <v>#N/A</v>
      </c>
      <c r="BN61" s="241" t="e">
        <v>#N/A</v>
      </c>
      <c r="BO61" s="241" t="e">
        <v>#N/A</v>
      </c>
      <c r="BP61" s="241" t="e">
        <v>#N/A</v>
      </c>
      <c r="BQ61" s="241" t="e">
        <v>#N/A</v>
      </c>
      <c r="BR61" s="241" t="e">
        <v>#N/A</v>
      </c>
      <c r="BS61" s="241" t="e">
        <v>#N/A</v>
      </c>
      <c r="BT61" s="241" t="e">
        <v>#N/A</v>
      </c>
      <c r="BU61" s="241" t="e">
        <v>#N/A</v>
      </c>
      <c r="BV61" s="241" t="e">
        <v>#N/A</v>
      </c>
      <c r="BW61" s="230"/>
      <c r="BX61" s="232" t="e">
        <v>#N/A</v>
      </c>
      <c r="BY61" s="232" t="e">
        <v>#N/A</v>
      </c>
      <c r="BZ61" s="232" t="e">
        <v>#N/A</v>
      </c>
      <c r="CA61" s="232" t="e">
        <v>#N/A</v>
      </c>
      <c r="CB61" s="232" t="e">
        <v>#N/A</v>
      </c>
      <c r="CC61" s="232" t="e">
        <v>#N/A</v>
      </c>
      <c r="CD61" s="232" t="e">
        <v>#N/A</v>
      </c>
      <c r="CE61" s="232" t="e">
        <v>#N/A</v>
      </c>
      <c r="CF61" s="232" t="e">
        <v>#N/A</v>
      </c>
      <c r="CG61" s="232" t="e">
        <v>#N/A</v>
      </c>
      <c r="CH61" s="230"/>
      <c r="CI61" s="232" t="e">
        <v>#N/A</v>
      </c>
      <c r="CJ61" s="232" t="e">
        <v>#N/A</v>
      </c>
      <c r="CK61" s="232" t="e">
        <v>#N/A</v>
      </c>
      <c r="CL61" s="232" t="e">
        <v>#N/A</v>
      </c>
      <c r="CM61" s="232" t="e">
        <v>#N/A</v>
      </c>
      <c r="CN61" s="232" t="e">
        <v>#N/A</v>
      </c>
      <c r="CO61" s="232" t="e">
        <v>#N/A</v>
      </c>
      <c r="CP61" s="232" t="e">
        <v>#N/A</v>
      </c>
      <c r="CQ61" s="232" t="e">
        <v>#N/A</v>
      </c>
      <c r="CR61" s="232" t="e">
        <v>#N/A</v>
      </c>
      <c r="CS61" s="230"/>
      <c r="CT61" s="232" t="e">
        <v>#N/A</v>
      </c>
      <c r="CU61" s="232" t="e">
        <v>#N/A</v>
      </c>
      <c r="CV61" s="232" t="e">
        <v>#N/A</v>
      </c>
      <c r="CW61" s="232" t="e">
        <v>#N/A</v>
      </c>
      <c r="CX61" s="232" t="e">
        <v>#N/A</v>
      </c>
      <c r="CY61" s="232" t="e">
        <v>#N/A</v>
      </c>
      <c r="CZ61" s="232" t="e">
        <v>#N/A</v>
      </c>
      <c r="DA61" s="232" t="e">
        <v>#N/A</v>
      </c>
      <c r="DB61" s="232" t="e">
        <v>#N/A</v>
      </c>
      <c r="DC61" s="232" t="e">
        <v>#N/A</v>
      </c>
      <c r="DD61" s="230"/>
      <c r="DE61" s="232" t="e">
        <v>#N/A</v>
      </c>
      <c r="DF61" s="232" t="e">
        <v>#N/A</v>
      </c>
      <c r="DG61" s="232">
        <v>4016.1</v>
      </c>
      <c r="DH61" s="230"/>
      <c r="DI61" s="230"/>
      <c r="DJ61" s="172" t="s">
        <v>277</v>
      </c>
    </row>
    <row r="62" spans="1:114" x14ac:dyDescent="0.25">
      <c r="A62" s="225" t="s">
        <v>729</v>
      </c>
      <c r="B62" s="226" t="s">
        <v>778</v>
      </c>
      <c r="C62" s="227" t="s">
        <v>446</v>
      </c>
      <c r="D62" s="228" t="str">
        <f t="shared" si="0"/>
        <v>6595300Z IN Equity</v>
      </c>
      <c r="E62" s="229"/>
      <c r="F62" s="230"/>
      <c r="G62" s="231" t="e">
        <v>#N/A</v>
      </c>
      <c r="H62" s="232" t="e">
        <v>#N/A</v>
      </c>
      <c r="I62" s="230"/>
      <c r="J62" s="231" t="e">
        <v>#N/A</v>
      </c>
      <c r="K62" s="232" t="e">
        <v>#N/A</v>
      </c>
      <c r="L62" s="230"/>
      <c r="M62" s="233" t="e">
        <v>#N/A</v>
      </c>
      <c r="N62" s="233" t="e">
        <v>#N/A</v>
      </c>
      <c r="O62" s="233" t="e">
        <v>#N/A</v>
      </c>
      <c r="P62" s="233" t="e">
        <v>#N/A</v>
      </c>
      <c r="Q62" s="230"/>
      <c r="R62" s="234" t="e">
        <v>#N/A</v>
      </c>
      <c r="S62" s="234" t="e">
        <v>#N/A</v>
      </c>
      <c r="T62" s="230"/>
      <c r="U62" s="234" t="e">
        <v>#N/A</v>
      </c>
      <c r="V62" s="234" t="e">
        <v>#N/A</v>
      </c>
      <c r="W62" s="234" t="e">
        <v>#N/A</v>
      </c>
      <c r="X62" s="234" t="e">
        <v>#N/A</v>
      </c>
      <c r="Y62" s="234" t="e">
        <v>#N/A</v>
      </c>
      <c r="Z62" s="234" t="e">
        <v>#N/A</v>
      </c>
      <c r="AA62" s="234" t="e">
        <v>#N/A</v>
      </c>
      <c r="AB62" s="234" t="e">
        <v>#N/A</v>
      </c>
      <c r="AC62" s="230"/>
      <c r="AD62" s="232">
        <v>-2273.09</v>
      </c>
      <c r="AE62" s="232">
        <v>-2273.09</v>
      </c>
      <c r="AF62" s="232">
        <v>0</v>
      </c>
      <c r="AG62" s="232">
        <v>0</v>
      </c>
      <c r="AH62" s="235">
        <v>-2273.09</v>
      </c>
      <c r="AI62" s="230"/>
      <c r="AJ62" s="232">
        <v>660.57500000000005</v>
      </c>
      <c r="AK62" s="232">
        <v>5412.125</v>
      </c>
      <c r="AL62" s="235">
        <v>6072.7</v>
      </c>
      <c r="AM62" s="230"/>
      <c r="AN62" s="231">
        <v>50.052262529999993</v>
      </c>
      <c r="AO62" s="232">
        <v>3799.6099999999997</v>
      </c>
      <c r="AP62" s="236">
        <v>7.2956200665505637</v>
      </c>
      <c r="AQ62" s="230"/>
      <c r="AR62" s="237" t="e">
        <v>#N/A</v>
      </c>
      <c r="AS62" s="237" t="e">
        <v>#N/A</v>
      </c>
      <c r="AT62" s="237" t="e">
        <v>#N/A</v>
      </c>
      <c r="AU62" s="230"/>
      <c r="AV62" s="234" t="e">
        <v>#N/A</v>
      </c>
      <c r="AW62" s="234" t="e">
        <v>#N/A</v>
      </c>
      <c r="AX62" s="234" t="e">
        <v>#N/A</v>
      </c>
      <c r="AY62" s="234" t="e">
        <v>#N/A</v>
      </c>
      <c r="AZ62" s="230"/>
      <c r="BA62" s="232" t="e">
        <v>#N/A</v>
      </c>
      <c r="BB62" s="230"/>
      <c r="BC62" s="232" t="e">
        <v>#N/A</v>
      </c>
      <c r="BD62" s="232" t="e">
        <v>#N/A</v>
      </c>
      <c r="BE62" s="230"/>
      <c r="BF62" s="238" t="e">
        <v>#N/A</v>
      </c>
      <c r="BG62" s="238" t="e">
        <v>#N/A</v>
      </c>
      <c r="BH62" s="238" t="e">
        <v>#N/A</v>
      </c>
      <c r="BI62" s="230"/>
      <c r="BJ62" s="239" t="e">
        <v>#N/A</v>
      </c>
      <c r="BK62" s="240" t="e">
        <v>#N/A</v>
      </c>
      <c r="BL62" s="230"/>
      <c r="BM62" s="241">
        <v>43</v>
      </c>
      <c r="BN62" s="241" t="e">
        <v>#N/A</v>
      </c>
      <c r="BO62" s="241">
        <v>168</v>
      </c>
      <c r="BP62" s="241" t="e">
        <v>#N/A</v>
      </c>
      <c r="BQ62" s="241" t="e">
        <v>#N/A</v>
      </c>
      <c r="BR62" s="241" t="e">
        <v>#N/A</v>
      </c>
      <c r="BS62" s="241" t="e">
        <v>#N/A</v>
      </c>
      <c r="BT62" s="241" t="e">
        <v>#N/A</v>
      </c>
      <c r="BU62" s="241" t="e">
        <v>#N/A</v>
      </c>
      <c r="BV62" s="241" t="e">
        <v>#N/A</v>
      </c>
      <c r="BW62" s="230"/>
      <c r="BX62" s="232">
        <v>130.31800000000001</v>
      </c>
      <c r="BY62" s="232" t="e">
        <v>#N/A</v>
      </c>
      <c r="BZ62" s="232">
        <v>507.75700000000001</v>
      </c>
      <c r="CA62" s="232" t="e">
        <v>#N/A</v>
      </c>
      <c r="CB62" s="232" t="e">
        <v>#N/A</v>
      </c>
      <c r="CC62" s="232" t="e">
        <v>#N/A</v>
      </c>
      <c r="CD62" s="232" t="e">
        <v>#N/A</v>
      </c>
      <c r="CE62" s="232" t="e">
        <v>#N/A</v>
      </c>
      <c r="CF62" s="232" t="e">
        <v>#N/A</v>
      </c>
      <c r="CG62" s="232" t="e">
        <v>#N/A</v>
      </c>
      <c r="CH62" s="230"/>
      <c r="CI62" s="232">
        <v>173.95699999999999</v>
      </c>
      <c r="CJ62" s="232" t="e">
        <v>#N/A</v>
      </c>
      <c r="CK62" s="232">
        <v>520.80700000000002</v>
      </c>
      <c r="CL62" s="232" t="e">
        <v>#N/A</v>
      </c>
      <c r="CM62" s="232" t="e">
        <v>#N/A</v>
      </c>
      <c r="CN62" s="232" t="e">
        <v>#N/A</v>
      </c>
      <c r="CO62" s="232" t="e">
        <v>#N/A</v>
      </c>
      <c r="CP62" s="232" t="e">
        <v>#N/A</v>
      </c>
      <c r="CQ62" s="232" t="e">
        <v>#N/A</v>
      </c>
      <c r="CR62" s="232" t="e">
        <v>#N/A</v>
      </c>
      <c r="CS62" s="230"/>
      <c r="CT62" s="232">
        <v>4896.1559999999999</v>
      </c>
      <c r="CU62" s="232" t="e">
        <v>#N/A</v>
      </c>
      <c r="CV62" s="232">
        <v>7129.1760000000004</v>
      </c>
      <c r="CW62" s="232" t="e">
        <v>#N/A</v>
      </c>
      <c r="CX62" s="232" t="e">
        <v>#N/A</v>
      </c>
      <c r="CY62" s="232" t="e">
        <v>#N/A</v>
      </c>
      <c r="CZ62" s="232" t="e">
        <v>#N/A</v>
      </c>
      <c r="DA62" s="232" t="e">
        <v>#N/A</v>
      </c>
      <c r="DB62" s="232" t="e">
        <v>#N/A</v>
      </c>
      <c r="DC62" s="232" t="e">
        <v>#N/A</v>
      </c>
      <c r="DD62" s="230"/>
      <c r="DE62" s="232" t="e">
        <v>#N/A</v>
      </c>
      <c r="DF62" s="232" t="e">
        <v>#N/A</v>
      </c>
      <c r="DG62" s="232">
        <v>2961.6689999999999</v>
      </c>
      <c r="DH62" s="230"/>
      <c r="DI62" s="230"/>
      <c r="DJ62" s="172" t="s">
        <v>277</v>
      </c>
    </row>
    <row r="63" spans="1:114" x14ac:dyDescent="0.25">
      <c r="A63" s="225" t="s">
        <v>729</v>
      </c>
      <c r="B63" s="226" t="s">
        <v>779</v>
      </c>
      <c r="C63" s="227" t="s">
        <v>447</v>
      </c>
      <c r="D63" s="228" t="str">
        <f t="shared" si="0"/>
        <v>1633945D IN Equity</v>
      </c>
      <c r="E63" s="229"/>
      <c r="F63" s="230"/>
      <c r="G63" s="231" t="e">
        <v>#N/A</v>
      </c>
      <c r="H63" s="232" t="e">
        <v>#N/A</v>
      </c>
      <c r="I63" s="230"/>
      <c r="J63" s="231" t="e">
        <v>#N/A</v>
      </c>
      <c r="K63" s="232" t="e">
        <v>#N/A</v>
      </c>
      <c r="L63" s="230"/>
      <c r="M63" s="233" t="e">
        <v>#N/A</v>
      </c>
      <c r="N63" s="233" t="e">
        <v>#N/A</v>
      </c>
      <c r="O63" s="233" t="e">
        <v>#N/A</v>
      </c>
      <c r="P63" s="233" t="e">
        <v>#N/A</v>
      </c>
      <c r="Q63" s="230"/>
      <c r="R63" s="234" t="e">
        <v>#N/A</v>
      </c>
      <c r="S63" s="234" t="e">
        <v>#N/A</v>
      </c>
      <c r="T63" s="230"/>
      <c r="U63" s="234" t="e">
        <v>#N/A</v>
      </c>
      <c r="V63" s="234" t="e">
        <v>#N/A</v>
      </c>
      <c r="W63" s="234" t="e">
        <v>#N/A</v>
      </c>
      <c r="X63" s="234" t="e">
        <v>#N/A</v>
      </c>
      <c r="Y63" s="234" t="e">
        <v>#N/A</v>
      </c>
      <c r="Z63" s="234" t="e">
        <v>#N/A</v>
      </c>
      <c r="AA63" s="234">
        <v>8.8886579123700848E-2</v>
      </c>
      <c r="AB63" s="234" t="e">
        <v>#N/A</v>
      </c>
      <c r="AC63" s="230"/>
      <c r="AD63" s="232">
        <v>-0.88350099999999998</v>
      </c>
      <c r="AE63" s="232">
        <v>-0.88350099999999998</v>
      </c>
      <c r="AF63" s="232">
        <v>0</v>
      </c>
      <c r="AG63" s="232" t="e">
        <v>#N/A</v>
      </c>
      <c r="AH63" s="235" t="e">
        <v>#N/A</v>
      </c>
      <c r="AI63" s="230"/>
      <c r="AJ63" s="232">
        <v>57.518455000000003</v>
      </c>
      <c r="AK63" s="232">
        <v>164.75806499999999</v>
      </c>
      <c r="AL63" s="235">
        <v>222.27652</v>
      </c>
      <c r="AM63" s="230"/>
      <c r="AN63" s="231">
        <v>2.9164102392869999</v>
      </c>
      <c r="AO63" s="232">
        <v>221.39301900000001</v>
      </c>
      <c r="AP63" s="236">
        <v>9.4508675990735291</v>
      </c>
      <c r="AQ63" s="230"/>
      <c r="AR63" s="237" t="e">
        <v>#N/A</v>
      </c>
      <c r="AS63" s="237" t="e">
        <v>#N/A</v>
      </c>
      <c r="AT63" s="237" t="e">
        <v>#N/A</v>
      </c>
      <c r="AU63" s="230"/>
      <c r="AV63" s="234" t="e">
        <v>#N/A</v>
      </c>
      <c r="AW63" s="234" t="e">
        <v>#N/A</v>
      </c>
      <c r="AX63" s="234" t="e">
        <v>#N/A</v>
      </c>
      <c r="AY63" s="234" t="e">
        <v>#N/A</v>
      </c>
      <c r="AZ63" s="230"/>
      <c r="BA63" s="232" t="e">
        <v>#N/A</v>
      </c>
      <c r="BB63" s="230"/>
      <c r="BC63" s="232" t="e">
        <v>#N/A</v>
      </c>
      <c r="BD63" s="232" t="e">
        <v>#N/A</v>
      </c>
      <c r="BE63" s="230"/>
      <c r="BF63" s="238" t="e">
        <v>#N/A</v>
      </c>
      <c r="BG63" s="238" t="e">
        <v>#N/A</v>
      </c>
      <c r="BH63" s="238" t="e">
        <v>#N/A</v>
      </c>
      <c r="BI63" s="230"/>
      <c r="BJ63" s="239" t="e">
        <v>#N/A</v>
      </c>
      <c r="BK63" s="240" t="e">
        <v>#N/A</v>
      </c>
      <c r="BL63" s="230"/>
      <c r="BM63" s="241" t="e">
        <v>#N/A</v>
      </c>
      <c r="BN63" s="241" t="e">
        <v>#N/A</v>
      </c>
      <c r="BO63" s="241">
        <v>3.86</v>
      </c>
      <c r="BP63" s="241" t="e">
        <v>#N/A</v>
      </c>
      <c r="BQ63" s="241" t="e">
        <v>#N/A</v>
      </c>
      <c r="BR63" s="241" t="e">
        <v>#N/A</v>
      </c>
      <c r="BS63" s="241" t="e">
        <v>#N/A</v>
      </c>
      <c r="BT63" s="241" t="e">
        <v>#N/A</v>
      </c>
      <c r="BU63" s="241" t="e">
        <v>#N/A</v>
      </c>
      <c r="BV63" s="241" t="e">
        <v>#N/A</v>
      </c>
      <c r="BW63" s="230"/>
      <c r="BX63" s="232" t="e">
        <v>#N/A</v>
      </c>
      <c r="BY63" s="232" t="e">
        <v>#N/A</v>
      </c>
      <c r="BZ63" s="232">
        <v>2.3554040000000001</v>
      </c>
      <c r="CA63" s="232" t="e">
        <v>#N/A</v>
      </c>
      <c r="CB63" s="232" t="e">
        <v>#N/A</v>
      </c>
      <c r="CC63" s="232" t="e">
        <v>#N/A</v>
      </c>
      <c r="CD63" s="232" t="e">
        <v>#N/A</v>
      </c>
      <c r="CE63" s="232" t="e">
        <v>#N/A</v>
      </c>
      <c r="CF63" s="232" t="e">
        <v>#N/A</v>
      </c>
      <c r="CG63" s="232" t="e">
        <v>#N/A</v>
      </c>
      <c r="CH63" s="230"/>
      <c r="CI63" s="232" t="e">
        <v>#N/A</v>
      </c>
      <c r="CJ63" s="232" t="e">
        <v>#N/A</v>
      </c>
      <c r="CK63" s="232">
        <v>23.425681999999998</v>
      </c>
      <c r="CL63" s="232" t="e">
        <v>#N/A</v>
      </c>
      <c r="CM63" s="232" t="e">
        <v>#N/A</v>
      </c>
      <c r="CN63" s="232" t="e">
        <v>#N/A</v>
      </c>
      <c r="CO63" s="232" t="e">
        <v>#N/A</v>
      </c>
      <c r="CP63" s="232" t="e">
        <v>#N/A</v>
      </c>
      <c r="CQ63" s="232" t="e">
        <v>#N/A</v>
      </c>
      <c r="CR63" s="232" t="e">
        <v>#N/A</v>
      </c>
      <c r="CS63" s="230"/>
      <c r="CT63" s="232" t="e">
        <v>#N/A</v>
      </c>
      <c r="CU63" s="232" t="e">
        <v>#N/A</v>
      </c>
      <c r="CV63" s="232">
        <v>232.28940700000001</v>
      </c>
      <c r="CW63" s="232" t="e">
        <v>#N/A</v>
      </c>
      <c r="CX63" s="232" t="e">
        <v>#N/A</v>
      </c>
      <c r="CY63" s="232" t="e">
        <v>#N/A</v>
      </c>
      <c r="CZ63" s="232" t="e">
        <v>#N/A</v>
      </c>
      <c r="DA63" s="232" t="e">
        <v>#N/A</v>
      </c>
      <c r="DB63" s="232" t="e">
        <v>#N/A</v>
      </c>
      <c r="DC63" s="232" t="e">
        <v>#N/A</v>
      </c>
      <c r="DD63" s="230"/>
      <c r="DE63" s="232" t="e">
        <v>#N/A</v>
      </c>
      <c r="DF63" s="232" t="e">
        <v>#N/A</v>
      </c>
      <c r="DG63" s="232" t="e">
        <v>#N/A</v>
      </c>
      <c r="DH63" s="230"/>
      <c r="DI63" s="230"/>
      <c r="DJ63" s="172" t="s">
        <v>277</v>
      </c>
    </row>
    <row r="64" spans="1:114" x14ac:dyDescent="0.25">
      <c r="A64" s="225" t="s">
        <v>729</v>
      </c>
      <c r="B64" s="226" t="s">
        <v>780</v>
      </c>
      <c r="C64" s="227" t="s">
        <v>448</v>
      </c>
      <c r="D64" s="228" t="str">
        <f t="shared" si="0"/>
        <v>1943632D IN Equity</v>
      </c>
      <c r="E64" s="229"/>
      <c r="F64" s="230"/>
      <c r="G64" s="231" t="e">
        <v>#N/A</v>
      </c>
      <c r="H64" s="232" t="e">
        <v>#N/A</v>
      </c>
      <c r="I64" s="230"/>
      <c r="J64" s="231" t="e">
        <v>#N/A</v>
      </c>
      <c r="K64" s="232" t="e">
        <v>#N/A</v>
      </c>
      <c r="L64" s="230"/>
      <c r="M64" s="233" t="e">
        <v>#N/A</v>
      </c>
      <c r="N64" s="233" t="e">
        <v>#N/A</v>
      </c>
      <c r="O64" s="233" t="e">
        <v>#N/A</v>
      </c>
      <c r="P64" s="233" t="e">
        <v>#N/A</v>
      </c>
      <c r="Q64" s="230"/>
      <c r="R64" s="234" t="e">
        <v>#N/A</v>
      </c>
      <c r="S64" s="234" t="e">
        <v>#N/A</v>
      </c>
      <c r="T64" s="230"/>
      <c r="U64" s="234" t="e">
        <v>#N/A</v>
      </c>
      <c r="V64" s="234" t="e">
        <v>#N/A</v>
      </c>
      <c r="W64" s="234" t="e">
        <v>#N/A</v>
      </c>
      <c r="X64" s="234" t="e">
        <v>#N/A</v>
      </c>
      <c r="Y64" s="234" t="e">
        <v>#N/A</v>
      </c>
      <c r="Z64" s="234" t="e">
        <v>#N/A</v>
      </c>
      <c r="AA64" s="234" t="e">
        <v>#N/A</v>
      </c>
      <c r="AB64" s="234" t="e">
        <v>#N/A</v>
      </c>
      <c r="AC64" s="230"/>
      <c r="AD64" s="232" t="e">
        <v>#N/A</v>
      </c>
      <c r="AE64" s="232" t="e">
        <v>#N/A</v>
      </c>
      <c r="AF64" s="232" t="e">
        <v>#N/A</v>
      </c>
      <c r="AG64" s="232" t="e">
        <v>#N/A</v>
      </c>
      <c r="AH64" s="235" t="e">
        <v>#N/A</v>
      </c>
      <c r="AI64" s="230"/>
      <c r="AJ64" s="232" t="e">
        <v>#N/A</v>
      </c>
      <c r="AK64" s="232" t="e">
        <v>#N/A</v>
      </c>
      <c r="AL64" s="235" t="e">
        <v>#N/A</v>
      </c>
      <c r="AM64" s="230"/>
      <c r="AN64" s="231" t="e">
        <v>#N/A</v>
      </c>
      <c r="AO64" s="232" t="e">
        <v>#N/A</v>
      </c>
      <c r="AP64" s="236" t="e">
        <v>#N/A</v>
      </c>
      <c r="AQ64" s="230"/>
      <c r="AR64" s="237" t="e">
        <v>#N/A</v>
      </c>
      <c r="AS64" s="237" t="e">
        <v>#N/A</v>
      </c>
      <c r="AT64" s="237" t="e">
        <v>#N/A</v>
      </c>
      <c r="AU64" s="230"/>
      <c r="AV64" s="234" t="e">
        <v>#N/A</v>
      </c>
      <c r="AW64" s="234" t="e">
        <v>#N/A</v>
      </c>
      <c r="AX64" s="234" t="e">
        <v>#N/A</v>
      </c>
      <c r="AY64" s="234" t="e">
        <v>#N/A</v>
      </c>
      <c r="AZ64" s="230"/>
      <c r="BA64" s="232" t="e">
        <v>#N/A</v>
      </c>
      <c r="BB64" s="230"/>
      <c r="BC64" s="232" t="e">
        <v>#N/A</v>
      </c>
      <c r="BD64" s="232" t="e">
        <v>#N/A</v>
      </c>
      <c r="BE64" s="230"/>
      <c r="BF64" s="238" t="e">
        <v>#N/A</v>
      </c>
      <c r="BG64" s="238" t="e">
        <v>#N/A</v>
      </c>
      <c r="BH64" s="238" t="e">
        <v>#N/A</v>
      </c>
      <c r="BI64" s="230"/>
      <c r="BJ64" s="239" t="e">
        <v>#N/A</v>
      </c>
      <c r="BK64" s="240" t="e">
        <v>#N/A</v>
      </c>
      <c r="BL64" s="230"/>
      <c r="BM64" s="241" t="e">
        <v>#N/A</v>
      </c>
      <c r="BN64" s="241" t="e">
        <v>#N/A</v>
      </c>
      <c r="BO64" s="241" t="e">
        <v>#N/A</v>
      </c>
      <c r="BP64" s="241" t="e">
        <v>#N/A</v>
      </c>
      <c r="BQ64" s="241" t="e">
        <v>#N/A</v>
      </c>
      <c r="BR64" s="241" t="e">
        <v>#N/A</v>
      </c>
      <c r="BS64" s="241" t="e">
        <v>#N/A</v>
      </c>
      <c r="BT64" s="241" t="e">
        <v>#N/A</v>
      </c>
      <c r="BU64" s="241" t="e">
        <v>#N/A</v>
      </c>
      <c r="BV64" s="241" t="e">
        <v>#N/A</v>
      </c>
      <c r="BW64" s="230"/>
      <c r="BX64" s="232" t="e">
        <v>#N/A</v>
      </c>
      <c r="BY64" s="232" t="e">
        <v>#N/A</v>
      </c>
      <c r="BZ64" s="232" t="e">
        <v>#N/A</v>
      </c>
      <c r="CA64" s="232" t="e">
        <v>#N/A</v>
      </c>
      <c r="CB64" s="232" t="e">
        <v>#N/A</v>
      </c>
      <c r="CC64" s="232" t="e">
        <v>#N/A</v>
      </c>
      <c r="CD64" s="232" t="e">
        <v>#N/A</v>
      </c>
      <c r="CE64" s="232" t="e">
        <v>#N/A</v>
      </c>
      <c r="CF64" s="232" t="e">
        <v>#N/A</v>
      </c>
      <c r="CG64" s="232" t="e">
        <v>#N/A</v>
      </c>
      <c r="CH64" s="230"/>
      <c r="CI64" s="232" t="e">
        <v>#N/A</v>
      </c>
      <c r="CJ64" s="232" t="e">
        <v>#N/A</v>
      </c>
      <c r="CK64" s="232" t="e">
        <v>#N/A</v>
      </c>
      <c r="CL64" s="232" t="e">
        <v>#N/A</v>
      </c>
      <c r="CM64" s="232" t="e">
        <v>#N/A</v>
      </c>
      <c r="CN64" s="232" t="e">
        <v>#N/A</v>
      </c>
      <c r="CO64" s="232" t="e">
        <v>#N/A</v>
      </c>
      <c r="CP64" s="232" t="e">
        <v>#N/A</v>
      </c>
      <c r="CQ64" s="232" t="e">
        <v>#N/A</v>
      </c>
      <c r="CR64" s="232" t="e">
        <v>#N/A</v>
      </c>
      <c r="CS64" s="230"/>
      <c r="CT64" s="232" t="e">
        <v>#N/A</v>
      </c>
      <c r="CU64" s="232" t="e">
        <v>#N/A</v>
      </c>
      <c r="CV64" s="232" t="e">
        <v>#N/A</v>
      </c>
      <c r="CW64" s="232" t="e">
        <v>#N/A</v>
      </c>
      <c r="CX64" s="232" t="e">
        <v>#N/A</v>
      </c>
      <c r="CY64" s="232" t="e">
        <v>#N/A</v>
      </c>
      <c r="CZ64" s="232" t="e">
        <v>#N/A</v>
      </c>
      <c r="DA64" s="232" t="e">
        <v>#N/A</v>
      </c>
      <c r="DB64" s="232" t="e">
        <v>#N/A</v>
      </c>
      <c r="DC64" s="232" t="e">
        <v>#N/A</v>
      </c>
      <c r="DD64" s="230"/>
      <c r="DE64" s="232" t="e">
        <v>#N/A</v>
      </c>
      <c r="DF64" s="232" t="e">
        <v>#N/A</v>
      </c>
      <c r="DG64" s="232" t="e">
        <v>#N/A</v>
      </c>
      <c r="DH64" s="230"/>
      <c r="DI64" s="230"/>
      <c r="DJ64" s="172" t="s">
        <v>277</v>
      </c>
    </row>
    <row r="65" spans="1:114" x14ac:dyDescent="0.25">
      <c r="A65" s="225" t="s">
        <v>729</v>
      </c>
      <c r="B65" s="226" t="s">
        <v>781</v>
      </c>
      <c r="C65" s="227" t="s">
        <v>449</v>
      </c>
      <c r="D65" s="228" t="str">
        <f t="shared" si="0"/>
        <v>1315Z IN Equity</v>
      </c>
      <c r="E65" s="229"/>
      <c r="F65" s="230"/>
      <c r="G65" s="231" t="e">
        <v>#N/A</v>
      </c>
      <c r="H65" s="232" t="e">
        <v>#N/A</v>
      </c>
      <c r="I65" s="230"/>
      <c r="J65" s="231" t="e">
        <v>#N/A</v>
      </c>
      <c r="K65" s="232" t="e">
        <v>#N/A</v>
      </c>
      <c r="L65" s="230"/>
      <c r="M65" s="233" t="e">
        <v>#N/A</v>
      </c>
      <c r="N65" s="233" t="e">
        <v>#N/A</v>
      </c>
      <c r="O65" s="233" t="e">
        <v>#N/A</v>
      </c>
      <c r="P65" s="233" t="e">
        <v>#N/A</v>
      </c>
      <c r="Q65" s="230"/>
      <c r="R65" s="234" t="e">
        <v>#N/A</v>
      </c>
      <c r="S65" s="234" t="e">
        <v>#N/A</v>
      </c>
      <c r="T65" s="230"/>
      <c r="U65" s="234" t="e">
        <v>#N/A</v>
      </c>
      <c r="V65" s="234" t="e">
        <v>#N/A</v>
      </c>
      <c r="W65" s="234" t="e">
        <v>#N/A</v>
      </c>
      <c r="X65" s="234" t="e">
        <v>#N/A</v>
      </c>
      <c r="Y65" s="234" t="e">
        <v>#N/A</v>
      </c>
      <c r="Z65" s="234" t="e">
        <v>#N/A</v>
      </c>
      <c r="AA65" s="234">
        <v>1.0866249164873908E-2</v>
      </c>
      <c r="AB65" s="234" t="e">
        <v>#N/A</v>
      </c>
      <c r="AC65" s="230"/>
      <c r="AD65" s="232">
        <v>-543.95699999999999</v>
      </c>
      <c r="AE65" s="232">
        <v>-593.95699999999999</v>
      </c>
      <c r="AF65" s="232">
        <v>-50</v>
      </c>
      <c r="AG65" s="232">
        <v>0</v>
      </c>
      <c r="AH65" s="235">
        <v>-593.95699999999999</v>
      </c>
      <c r="AI65" s="230"/>
      <c r="AJ65" s="232">
        <v>788.59</v>
      </c>
      <c r="AK65" s="232">
        <v>0</v>
      </c>
      <c r="AL65" s="235">
        <v>788.59</v>
      </c>
      <c r="AM65" s="230"/>
      <c r="AN65" s="231">
        <v>2.6602438440000005</v>
      </c>
      <c r="AO65" s="232">
        <v>194.63300000000004</v>
      </c>
      <c r="AP65" s="236">
        <v>0.35017775794693173</v>
      </c>
      <c r="AQ65" s="230"/>
      <c r="AR65" s="237" t="e">
        <v>#N/A</v>
      </c>
      <c r="AS65" s="237" t="e">
        <v>#N/A</v>
      </c>
      <c r="AT65" s="237" t="e">
        <v>#N/A</v>
      </c>
      <c r="AU65" s="230"/>
      <c r="AV65" s="234" t="e">
        <v>#N/A</v>
      </c>
      <c r="AW65" s="234" t="e">
        <v>#N/A</v>
      </c>
      <c r="AX65" s="234" t="e">
        <v>#N/A</v>
      </c>
      <c r="AY65" s="234" t="e">
        <v>#N/A</v>
      </c>
      <c r="AZ65" s="230"/>
      <c r="BA65" s="232">
        <v>0</v>
      </c>
      <c r="BB65" s="230"/>
      <c r="BC65" s="232" t="e">
        <v>#N/A</v>
      </c>
      <c r="BD65" s="232" t="e">
        <v>#N/A</v>
      </c>
      <c r="BE65" s="230"/>
      <c r="BF65" s="238" t="e">
        <v>#N/A</v>
      </c>
      <c r="BG65" s="238" t="e">
        <v>#N/A</v>
      </c>
      <c r="BH65" s="238" t="e">
        <v>#N/A</v>
      </c>
      <c r="BI65" s="230"/>
      <c r="BJ65" s="239" t="e">
        <v>#N/A</v>
      </c>
      <c r="BK65" s="240" t="e">
        <v>#N/A</v>
      </c>
      <c r="BL65" s="230"/>
      <c r="BM65" s="241" t="e">
        <v>#N/A</v>
      </c>
      <c r="BN65" s="241">
        <v>612.89</v>
      </c>
      <c r="BO65" s="241" t="e">
        <v>#N/A</v>
      </c>
      <c r="BP65" s="241" t="e">
        <v>#N/A</v>
      </c>
      <c r="BQ65" s="241" t="e">
        <v>#N/A</v>
      </c>
      <c r="BR65" s="241" t="e">
        <v>#N/A</v>
      </c>
      <c r="BS65" s="241" t="e">
        <v>#N/A</v>
      </c>
      <c r="BT65" s="241" t="e">
        <v>#N/A</v>
      </c>
      <c r="BU65" s="241" t="e">
        <v>#N/A</v>
      </c>
      <c r="BV65" s="241" t="e">
        <v>#N/A</v>
      </c>
      <c r="BW65" s="230"/>
      <c r="BX65" s="232" t="e">
        <v>#N/A</v>
      </c>
      <c r="BY65" s="232">
        <v>183.86700000000002</v>
      </c>
      <c r="BZ65" s="232" t="e">
        <v>#N/A</v>
      </c>
      <c r="CA65" s="232" t="e">
        <v>#N/A</v>
      </c>
      <c r="CB65" s="232" t="e">
        <v>#N/A</v>
      </c>
      <c r="CC65" s="232" t="e">
        <v>#N/A</v>
      </c>
      <c r="CD65" s="232" t="e">
        <v>#N/A</v>
      </c>
      <c r="CE65" s="232" t="e">
        <v>#N/A</v>
      </c>
      <c r="CF65" s="232" t="e">
        <v>#N/A</v>
      </c>
      <c r="CG65" s="232" t="e">
        <v>#N/A</v>
      </c>
      <c r="CH65" s="230"/>
      <c r="CI65" s="232" t="e">
        <v>#N/A</v>
      </c>
      <c r="CJ65" s="232">
        <v>555.81200000000001</v>
      </c>
      <c r="CK65" s="232" t="e">
        <v>#N/A</v>
      </c>
      <c r="CL65" s="232" t="e">
        <v>#N/A</v>
      </c>
      <c r="CM65" s="232" t="e">
        <v>#N/A</v>
      </c>
      <c r="CN65" s="232" t="e">
        <v>#N/A</v>
      </c>
      <c r="CO65" s="232" t="e">
        <v>#N/A</v>
      </c>
      <c r="CP65" s="232" t="e">
        <v>#N/A</v>
      </c>
      <c r="CQ65" s="232" t="e">
        <v>#N/A</v>
      </c>
      <c r="CR65" s="232" t="e">
        <v>#N/A</v>
      </c>
      <c r="CS65" s="230"/>
      <c r="CT65" s="232" t="e">
        <v>#N/A</v>
      </c>
      <c r="CU65" s="232">
        <v>10202.159</v>
      </c>
      <c r="CV65" s="232" t="e">
        <v>#N/A</v>
      </c>
      <c r="CW65" s="232" t="e">
        <v>#N/A</v>
      </c>
      <c r="CX65" s="232" t="e">
        <v>#N/A</v>
      </c>
      <c r="CY65" s="232" t="e">
        <v>#N/A</v>
      </c>
      <c r="CZ65" s="232" t="e">
        <v>#N/A</v>
      </c>
      <c r="DA65" s="232" t="e">
        <v>#N/A</v>
      </c>
      <c r="DB65" s="232" t="e">
        <v>#N/A</v>
      </c>
      <c r="DC65" s="232" t="e">
        <v>#N/A</v>
      </c>
      <c r="DD65" s="230"/>
      <c r="DE65" s="232" t="e">
        <v>#N/A</v>
      </c>
      <c r="DF65" s="232">
        <v>0</v>
      </c>
      <c r="DG65" s="232">
        <v>0</v>
      </c>
      <c r="DH65" s="230"/>
      <c r="DI65" s="230"/>
      <c r="DJ65" s="172" t="s">
        <v>277</v>
      </c>
    </row>
    <row r="66" spans="1:114" x14ac:dyDescent="0.25">
      <c r="A66" s="225" t="s">
        <v>729</v>
      </c>
      <c r="B66" s="226" t="s">
        <v>782</v>
      </c>
      <c r="C66" s="227" t="s">
        <v>450</v>
      </c>
      <c r="D66" s="228" t="str">
        <f t="shared" si="0"/>
        <v>2250224D IN Equity</v>
      </c>
      <c r="E66" s="229"/>
      <c r="F66" s="230"/>
      <c r="G66" s="231" t="e">
        <v>#N/A</v>
      </c>
      <c r="H66" s="232" t="e">
        <v>#N/A</v>
      </c>
      <c r="I66" s="230"/>
      <c r="J66" s="231" t="e">
        <v>#N/A</v>
      </c>
      <c r="K66" s="232" t="e">
        <v>#N/A</v>
      </c>
      <c r="L66" s="230"/>
      <c r="M66" s="233" t="e">
        <v>#N/A</v>
      </c>
      <c r="N66" s="233" t="e">
        <v>#N/A</v>
      </c>
      <c r="O66" s="233" t="e">
        <v>#N/A</v>
      </c>
      <c r="P66" s="233" t="e">
        <v>#N/A</v>
      </c>
      <c r="Q66" s="230"/>
      <c r="R66" s="234" t="e">
        <v>#N/A</v>
      </c>
      <c r="S66" s="234" t="e">
        <v>#N/A</v>
      </c>
      <c r="T66" s="230"/>
      <c r="U66" s="234" t="e">
        <v>#N/A</v>
      </c>
      <c r="V66" s="234" t="e">
        <v>#N/A</v>
      </c>
      <c r="W66" s="234" t="e">
        <v>#N/A</v>
      </c>
      <c r="X66" s="234" t="e">
        <v>#N/A</v>
      </c>
      <c r="Y66" s="234" t="e">
        <v>#N/A</v>
      </c>
      <c r="Z66" s="234" t="e">
        <v>#N/A</v>
      </c>
      <c r="AA66" s="234" t="e">
        <v>#N/A</v>
      </c>
      <c r="AB66" s="234" t="e">
        <v>#N/A</v>
      </c>
      <c r="AC66" s="230"/>
      <c r="AD66" s="232" t="e">
        <v>#N/A</v>
      </c>
      <c r="AE66" s="232" t="e">
        <v>#N/A</v>
      </c>
      <c r="AF66" s="232" t="e">
        <v>#N/A</v>
      </c>
      <c r="AG66" s="232" t="e">
        <v>#N/A</v>
      </c>
      <c r="AH66" s="235" t="e">
        <v>#N/A</v>
      </c>
      <c r="AI66" s="230"/>
      <c r="AJ66" s="232" t="e">
        <v>#N/A</v>
      </c>
      <c r="AK66" s="232" t="e">
        <v>#N/A</v>
      </c>
      <c r="AL66" s="235" t="e">
        <v>#N/A</v>
      </c>
      <c r="AM66" s="230"/>
      <c r="AN66" s="231" t="e">
        <v>#N/A</v>
      </c>
      <c r="AO66" s="232" t="e">
        <v>#N/A</v>
      </c>
      <c r="AP66" s="236" t="e">
        <v>#N/A</v>
      </c>
      <c r="AQ66" s="230"/>
      <c r="AR66" s="237" t="e">
        <v>#N/A</v>
      </c>
      <c r="AS66" s="237" t="e">
        <v>#N/A</v>
      </c>
      <c r="AT66" s="237" t="e">
        <v>#N/A</v>
      </c>
      <c r="AU66" s="230"/>
      <c r="AV66" s="234" t="e">
        <v>#N/A</v>
      </c>
      <c r="AW66" s="234" t="e">
        <v>#N/A</v>
      </c>
      <c r="AX66" s="234" t="e">
        <v>#N/A</v>
      </c>
      <c r="AY66" s="234" t="e">
        <v>#N/A</v>
      </c>
      <c r="AZ66" s="230"/>
      <c r="BA66" s="232" t="e">
        <v>#N/A</v>
      </c>
      <c r="BB66" s="230"/>
      <c r="BC66" s="232" t="e">
        <v>#N/A</v>
      </c>
      <c r="BD66" s="232" t="e">
        <v>#N/A</v>
      </c>
      <c r="BE66" s="230"/>
      <c r="BF66" s="238" t="e">
        <v>#N/A</v>
      </c>
      <c r="BG66" s="238" t="e">
        <v>#N/A</v>
      </c>
      <c r="BH66" s="238" t="e">
        <v>#N/A</v>
      </c>
      <c r="BI66" s="230"/>
      <c r="BJ66" s="239" t="e">
        <v>#N/A</v>
      </c>
      <c r="BK66" s="240" t="e">
        <v>#N/A</v>
      </c>
      <c r="BL66" s="230"/>
      <c r="BM66" s="241" t="e">
        <v>#N/A</v>
      </c>
      <c r="BN66" s="241" t="e">
        <v>#N/A</v>
      </c>
      <c r="BO66" s="241" t="e">
        <v>#N/A</v>
      </c>
      <c r="BP66" s="241" t="e">
        <v>#N/A</v>
      </c>
      <c r="BQ66" s="241" t="e">
        <v>#N/A</v>
      </c>
      <c r="BR66" s="241" t="e">
        <v>#N/A</v>
      </c>
      <c r="BS66" s="241" t="e">
        <v>#N/A</v>
      </c>
      <c r="BT66" s="241" t="e">
        <v>#N/A</v>
      </c>
      <c r="BU66" s="241" t="e">
        <v>#N/A</v>
      </c>
      <c r="BV66" s="241" t="e">
        <v>#N/A</v>
      </c>
      <c r="BW66" s="230"/>
      <c r="BX66" s="232" t="e">
        <v>#N/A</v>
      </c>
      <c r="BY66" s="232" t="e">
        <v>#N/A</v>
      </c>
      <c r="BZ66" s="232" t="e">
        <v>#N/A</v>
      </c>
      <c r="CA66" s="232" t="e">
        <v>#N/A</v>
      </c>
      <c r="CB66" s="232" t="e">
        <v>#N/A</v>
      </c>
      <c r="CC66" s="232" t="e">
        <v>#N/A</v>
      </c>
      <c r="CD66" s="232" t="e">
        <v>#N/A</v>
      </c>
      <c r="CE66" s="232" t="e">
        <v>#N/A</v>
      </c>
      <c r="CF66" s="232" t="e">
        <v>#N/A</v>
      </c>
      <c r="CG66" s="232" t="e">
        <v>#N/A</v>
      </c>
      <c r="CH66" s="230"/>
      <c r="CI66" s="232" t="e">
        <v>#N/A</v>
      </c>
      <c r="CJ66" s="232" t="e">
        <v>#N/A</v>
      </c>
      <c r="CK66" s="232" t="e">
        <v>#N/A</v>
      </c>
      <c r="CL66" s="232" t="e">
        <v>#N/A</v>
      </c>
      <c r="CM66" s="232" t="e">
        <v>#N/A</v>
      </c>
      <c r="CN66" s="232" t="e">
        <v>#N/A</v>
      </c>
      <c r="CO66" s="232" t="e">
        <v>#N/A</v>
      </c>
      <c r="CP66" s="232" t="e">
        <v>#N/A</v>
      </c>
      <c r="CQ66" s="232" t="e">
        <v>#N/A</v>
      </c>
      <c r="CR66" s="232" t="e">
        <v>#N/A</v>
      </c>
      <c r="CS66" s="230"/>
      <c r="CT66" s="232" t="e">
        <v>#N/A</v>
      </c>
      <c r="CU66" s="232" t="e">
        <v>#N/A</v>
      </c>
      <c r="CV66" s="232" t="e">
        <v>#N/A</v>
      </c>
      <c r="CW66" s="232" t="e">
        <v>#N/A</v>
      </c>
      <c r="CX66" s="232" t="e">
        <v>#N/A</v>
      </c>
      <c r="CY66" s="232" t="e">
        <v>#N/A</v>
      </c>
      <c r="CZ66" s="232" t="e">
        <v>#N/A</v>
      </c>
      <c r="DA66" s="232" t="e">
        <v>#N/A</v>
      </c>
      <c r="DB66" s="232" t="e">
        <v>#N/A</v>
      </c>
      <c r="DC66" s="232" t="e">
        <v>#N/A</v>
      </c>
      <c r="DD66" s="230"/>
      <c r="DE66" s="232" t="e">
        <v>#N/A</v>
      </c>
      <c r="DF66" s="232" t="e">
        <v>#N/A</v>
      </c>
      <c r="DG66" s="232" t="e">
        <v>#N/A</v>
      </c>
      <c r="DH66" s="230"/>
      <c r="DI66" s="230"/>
      <c r="DJ66" s="172" t="s">
        <v>277</v>
      </c>
    </row>
    <row r="67" spans="1:114" ht="14.4" x14ac:dyDescent="0.25">
      <c r="A67" s="225" t="s">
        <v>729</v>
      </c>
      <c r="B67" s="226" t="s">
        <v>783</v>
      </c>
      <c r="C67" s="243" t="s">
        <v>488</v>
      </c>
      <c r="D67" s="228" t="str">
        <f t="shared" si="0"/>
        <v>1359165D IN Equity</v>
      </c>
      <c r="E67" s="229"/>
      <c r="F67" s="230"/>
      <c r="G67" s="231" t="e">
        <v>#N/A</v>
      </c>
      <c r="H67" s="232" t="e">
        <v>#N/A</v>
      </c>
      <c r="I67" s="230"/>
      <c r="J67" s="231" t="e">
        <v>#N/A</v>
      </c>
      <c r="K67" s="232" t="e">
        <v>#N/A</v>
      </c>
      <c r="L67" s="230"/>
      <c r="M67" s="233" t="e">
        <v>#N/A</v>
      </c>
      <c r="N67" s="233" t="e">
        <v>#N/A</v>
      </c>
      <c r="O67" s="233" t="e">
        <v>#N/A</v>
      </c>
      <c r="P67" s="233" t="e">
        <v>#N/A</v>
      </c>
      <c r="Q67" s="230"/>
      <c r="R67" s="234" t="e">
        <v>#N/A</v>
      </c>
      <c r="S67" s="234" t="e">
        <v>#N/A</v>
      </c>
      <c r="T67" s="230"/>
      <c r="U67" s="234" t="e">
        <v>#N/A</v>
      </c>
      <c r="V67" s="234" t="e">
        <v>#N/A</v>
      </c>
      <c r="W67" s="234" t="e">
        <v>#N/A</v>
      </c>
      <c r="X67" s="234" t="e">
        <v>#N/A</v>
      </c>
      <c r="Y67" s="234" t="e">
        <v>#N/A</v>
      </c>
      <c r="Z67" s="234" t="e">
        <v>#N/A</v>
      </c>
      <c r="AA67" s="234" t="e">
        <v>#N/A</v>
      </c>
      <c r="AB67" s="234" t="e">
        <v>#N/A</v>
      </c>
      <c r="AC67" s="230"/>
      <c r="AD67" s="232" t="e">
        <v>#N/A</v>
      </c>
      <c r="AE67" s="232" t="e">
        <v>#N/A</v>
      </c>
      <c r="AF67" s="232" t="e">
        <v>#N/A</v>
      </c>
      <c r="AG67" s="232" t="e">
        <v>#N/A</v>
      </c>
      <c r="AH67" s="235" t="e">
        <v>#N/A</v>
      </c>
      <c r="AI67" s="230"/>
      <c r="AJ67" s="232" t="e">
        <v>#N/A</v>
      </c>
      <c r="AK67" s="232" t="e">
        <v>#N/A</v>
      </c>
      <c r="AL67" s="235" t="e">
        <v>#N/A</v>
      </c>
      <c r="AM67" s="230"/>
      <c r="AN67" s="231" t="e">
        <v>#N/A</v>
      </c>
      <c r="AO67" s="232" t="e">
        <v>#N/A</v>
      </c>
      <c r="AP67" s="236" t="e">
        <v>#N/A</v>
      </c>
      <c r="AQ67" s="230"/>
      <c r="AR67" s="237" t="e">
        <v>#N/A</v>
      </c>
      <c r="AS67" s="237" t="e">
        <v>#N/A</v>
      </c>
      <c r="AT67" s="237" t="e">
        <v>#N/A</v>
      </c>
      <c r="AU67" s="230"/>
      <c r="AV67" s="234" t="e">
        <v>#N/A</v>
      </c>
      <c r="AW67" s="234" t="e">
        <v>#N/A</v>
      </c>
      <c r="AX67" s="234" t="e">
        <v>#N/A</v>
      </c>
      <c r="AY67" s="234" t="e">
        <v>#N/A</v>
      </c>
      <c r="AZ67" s="230"/>
      <c r="BA67" s="232" t="e">
        <v>#N/A</v>
      </c>
      <c r="BB67" s="230"/>
      <c r="BC67" s="232" t="e">
        <v>#N/A</v>
      </c>
      <c r="BD67" s="232" t="e">
        <v>#N/A</v>
      </c>
      <c r="BE67" s="230"/>
      <c r="BF67" s="238" t="e">
        <v>#N/A</v>
      </c>
      <c r="BG67" s="238" t="e">
        <v>#N/A</v>
      </c>
      <c r="BH67" s="238" t="e">
        <v>#N/A</v>
      </c>
      <c r="BI67" s="230"/>
      <c r="BJ67" s="239" t="e">
        <v>#N/A</v>
      </c>
      <c r="BK67" s="240" t="e">
        <v>#N/A</v>
      </c>
      <c r="BL67" s="230"/>
      <c r="BM67" s="241" t="e">
        <v>#N/A</v>
      </c>
      <c r="BN67" s="241" t="e">
        <v>#N/A</v>
      </c>
      <c r="BO67" s="241" t="e">
        <v>#N/A</v>
      </c>
      <c r="BP67" s="241" t="e">
        <v>#N/A</v>
      </c>
      <c r="BQ67" s="241" t="e">
        <v>#N/A</v>
      </c>
      <c r="BR67" s="241" t="e">
        <v>#N/A</v>
      </c>
      <c r="BS67" s="241" t="e">
        <v>#N/A</v>
      </c>
      <c r="BT67" s="241" t="e">
        <v>#N/A</v>
      </c>
      <c r="BU67" s="241" t="e">
        <v>#N/A</v>
      </c>
      <c r="BV67" s="241" t="e">
        <v>#N/A</v>
      </c>
      <c r="BW67" s="230"/>
      <c r="BX67" s="232" t="e">
        <v>#N/A</v>
      </c>
      <c r="BY67" s="232" t="e">
        <v>#N/A</v>
      </c>
      <c r="BZ67" s="232" t="e">
        <v>#N/A</v>
      </c>
      <c r="CA67" s="232" t="e">
        <v>#N/A</v>
      </c>
      <c r="CB67" s="232" t="e">
        <v>#N/A</v>
      </c>
      <c r="CC67" s="232" t="e">
        <v>#N/A</v>
      </c>
      <c r="CD67" s="232" t="e">
        <v>#N/A</v>
      </c>
      <c r="CE67" s="232" t="e">
        <v>#N/A</v>
      </c>
      <c r="CF67" s="232" t="e">
        <v>#N/A</v>
      </c>
      <c r="CG67" s="232" t="e">
        <v>#N/A</v>
      </c>
      <c r="CH67" s="230"/>
      <c r="CI67" s="232" t="e">
        <v>#N/A</v>
      </c>
      <c r="CJ67" s="232" t="e">
        <v>#N/A</v>
      </c>
      <c r="CK67" s="232" t="e">
        <v>#N/A</v>
      </c>
      <c r="CL67" s="232" t="e">
        <v>#N/A</v>
      </c>
      <c r="CM67" s="232" t="e">
        <v>#N/A</v>
      </c>
      <c r="CN67" s="232" t="e">
        <v>#N/A</v>
      </c>
      <c r="CO67" s="232" t="e">
        <v>#N/A</v>
      </c>
      <c r="CP67" s="232" t="e">
        <v>#N/A</v>
      </c>
      <c r="CQ67" s="232" t="e">
        <v>#N/A</v>
      </c>
      <c r="CR67" s="232" t="e">
        <v>#N/A</v>
      </c>
      <c r="CS67" s="230"/>
      <c r="CT67" s="232" t="e">
        <v>#N/A</v>
      </c>
      <c r="CU67" s="232" t="e">
        <v>#N/A</v>
      </c>
      <c r="CV67" s="232" t="e">
        <v>#N/A</v>
      </c>
      <c r="CW67" s="232" t="e">
        <v>#N/A</v>
      </c>
      <c r="CX67" s="232" t="e">
        <v>#N/A</v>
      </c>
      <c r="CY67" s="232" t="e">
        <v>#N/A</v>
      </c>
      <c r="CZ67" s="232" t="e">
        <v>#N/A</v>
      </c>
      <c r="DA67" s="232" t="e">
        <v>#N/A</v>
      </c>
      <c r="DB67" s="232" t="e">
        <v>#N/A</v>
      </c>
      <c r="DC67" s="232" t="e">
        <v>#N/A</v>
      </c>
      <c r="DD67" s="230"/>
      <c r="DE67" s="232" t="e">
        <v>#N/A</v>
      </c>
      <c r="DF67" s="232" t="e">
        <v>#N/A</v>
      </c>
      <c r="DG67" s="232" t="e">
        <v>#N/A</v>
      </c>
      <c r="DH67" s="230"/>
      <c r="DI67" s="230"/>
      <c r="DJ67" s="172" t="s">
        <v>277</v>
      </c>
    </row>
    <row r="68" spans="1:114" ht="14.4" x14ac:dyDescent="0.25">
      <c r="A68" s="225" t="s">
        <v>729</v>
      </c>
      <c r="B68" s="226" t="s">
        <v>784</v>
      </c>
      <c r="C68" s="243" t="s">
        <v>487</v>
      </c>
      <c r="D68" s="228" t="str">
        <f t="shared" si="0"/>
        <v>2582619D IN Equity</v>
      </c>
      <c r="E68" s="229"/>
      <c r="F68" s="230"/>
      <c r="G68" s="231" t="e">
        <v>#N/A</v>
      </c>
      <c r="H68" s="232" t="e">
        <v>#N/A</v>
      </c>
      <c r="I68" s="230"/>
      <c r="J68" s="231" t="e">
        <v>#N/A</v>
      </c>
      <c r="K68" s="232" t="e">
        <v>#N/A</v>
      </c>
      <c r="L68" s="230"/>
      <c r="M68" s="233" t="e">
        <v>#N/A</v>
      </c>
      <c r="N68" s="233" t="e">
        <v>#N/A</v>
      </c>
      <c r="O68" s="233" t="e">
        <v>#N/A</v>
      </c>
      <c r="P68" s="233" t="e">
        <v>#N/A</v>
      </c>
      <c r="Q68" s="230"/>
      <c r="R68" s="234" t="e">
        <v>#N/A</v>
      </c>
      <c r="S68" s="234" t="e">
        <v>#N/A</v>
      </c>
      <c r="T68" s="230"/>
      <c r="U68" s="234" t="e">
        <v>#N/A</v>
      </c>
      <c r="V68" s="234" t="e">
        <v>#N/A</v>
      </c>
      <c r="W68" s="234" t="e">
        <v>#N/A</v>
      </c>
      <c r="X68" s="234" t="e">
        <v>#N/A</v>
      </c>
      <c r="Y68" s="234" t="e">
        <v>#N/A</v>
      </c>
      <c r="Z68" s="234" t="e">
        <v>#N/A</v>
      </c>
      <c r="AA68" s="234" t="e">
        <v>#N/A</v>
      </c>
      <c r="AB68" s="234" t="e">
        <v>#N/A</v>
      </c>
      <c r="AC68" s="230"/>
      <c r="AD68" s="232" t="e">
        <v>#N/A</v>
      </c>
      <c r="AE68" s="232" t="e">
        <v>#N/A</v>
      </c>
      <c r="AF68" s="232" t="e">
        <v>#N/A</v>
      </c>
      <c r="AG68" s="232" t="e">
        <v>#N/A</v>
      </c>
      <c r="AH68" s="235" t="e">
        <v>#N/A</v>
      </c>
      <c r="AI68" s="230"/>
      <c r="AJ68" s="232" t="e">
        <v>#N/A</v>
      </c>
      <c r="AK68" s="232" t="e">
        <v>#N/A</v>
      </c>
      <c r="AL68" s="235" t="e">
        <v>#N/A</v>
      </c>
      <c r="AM68" s="230"/>
      <c r="AN68" s="231" t="e">
        <v>#N/A</v>
      </c>
      <c r="AO68" s="232" t="e">
        <v>#N/A</v>
      </c>
      <c r="AP68" s="236" t="e">
        <v>#N/A</v>
      </c>
      <c r="AQ68" s="230"/>
      <c r="AR68" s="237" t="e">
        <v>#N/A</v>
      </c>
      <c r="AS68" s="237" t="e">
        <v>#N/A</v>
      </c>
      <c r="AT68" s="237" t="e">
        <v>#N/A</v>
      </c>
      <c r="AU68" s="230"/>
      <c r="AV68" s="234" t="e">
        <v>#N/A</v>
      </c>
      <c r="AW68" s="234" t="e">
        <v>#N/A</v>
      </c>
      <c r="AX68" s="234" t="e">
        <v>#N/A</v>
      </c>
      <c r="AY68" s="234" t="e">
        <v>#N/A</v>
      </c>
      <c r="AZ68" s="230"/>
      <c r="BA68" s="232" t="e">
        <v>#N/A</v>
      </c>
      <c r="BB68" s="230"/>
      <c r="BC68" s="232" t="e">
        <v>#N/A</v>
      </c>
      <c r="BD68" s="232" t="e">
        <v>#N/A</v>
      </c>
      <c r="BE68" s="230"/>
      <c r="BF68" s="238" t="e">
        <v>#N/A</v>
      </c>
      <c r="BG68" s="238" t="e">
        <v>#N/A</v>
      </c>
      <c r="BH68" s="238" t="e">
        <v>#N/A</v>
      </c>
      <c r="BI68" s="230"/>
      <c r="BJ68" s="239" t="e">
        <v>#N/A</v>
      </c>
      <c r="BK68" s="240" t="e">
        <v>#N/A</v>
      </c>
      <c r="BL68" s="230"/>
      <c r="BM68" s="241" t="e">
        <v>#N/A</v>
      </c>
      <c r="BN68" s="241" t="e">
        <v>#N/A</v>
      </c>
      <c r="BO68" s="241" t="e">
        <v>#N/A</v>
      </c>
      <c r="BP68" s="241" t="e">
        <v>#N/A</v>
      </c>
      <c r="BQ68" s="241" t="e">
        <v>#N/A</v>
      </c>
      <c r="BR68" s="241" t="e">
        <v>#N/A</v>
      </c>
      <c r="BS68" s="241" t="e">
        <v>#N/A</v>
      </c>
      <c r="BT68" s="241" t="e">
        <v>#N/A</v>
      </c>
      <c r="BU68" s="241" t="e">
        <v>#N/A</v>
      </c>
      <c r="BV68" s="241" t="e">
        <v>#N/A</v>
      </c>
      <c r="BW68" s="230"/>
      <c r="BX68" s="232" t="e">
        <v>#N/A</v>
      </c>
      <c r="BY68" s="232" t="e">
        <v>#N/A</v>
      </c>
      <c r="BZ68" s="232" t="e">
        <v>#N/A</v>
      </c>
      <c r="CA68" s="232" t="e">
        <v>#N/A</v>
      </c>
      <c r="CB68" s="232" t="e">
        <v>#N/A</v>
      </c>
      <c r="CC68" s="232" t="e">
        <v>#N/A</v>
      </c>
      <c r="CD68" s="232" t="e">
        <v>#N/A</v>
      </c>
      <c r="CE68" s="232" t="e">
        <v>#N/A</v>
      </c>
      <c r="CF68" s="232" t="e">
        <v>#N/A</v>
      </c>
      <c r="CG68" s="232" t="e">
        <v>#N/A</v>
      </c>
      <c r="CH68" s="230"/>
      <c r="CI68" s="232" t="e">
        <v>#N/A</v>
      </c>
      <c r="CJ68" s="232" t="e">
        <v>#N/A</v>
      </c>
      <c r="CK68" s="232" t="e">
        <v>#N/A</v>
      </c>
      <c r="CL68" s="232" t="e">
        <v>#N/A</v>
      </c>
      <c r="CM68" s="232" t="e">
        <v>#N/A</v>
      </c>
      <c r="CN68" s="232" t="e">
        <v>#N/A</v>
      </c>
      <c r="CO68" s="232" t="e">
        <v>#N/A</v>
      </c>
      <c r="CP68" s="232" t="e">
        <v>#N/A</v>
      </c>
      <c r="CQ68" s="232" t="e">
        <v>#N/A</v>
      </c>
      <c r="CR68" s="232" t="e">
        <v>#N/A</v>
      </c>
      <c r="CS68" s="230"/>
      <c r="CT68" s="232" t="e">
        <v>#N/A</v>
      </c>
      <c r="CU68" s="232" t="e">
        <v>#N/A</v>
      </c>
      <c r="CV68" s="232" t="e">
        <v>#N/A</v>
      </c>
      <c r="CW68" s="232" t="e">
        <v>#N/A</v>
      </c>
      <c r="CX68" s="232" t="e">
        <v>#N/A</v>
      </c>
      <c r="CY68" s="232" t="e">
        <v>#N/A</v>
      </c>
      <c r="CZ68" s="232" t="e">
        <v>#N/A</v>
      </c>
      <c r="DA68" s="232" t="e">
        <v>#N/A</v>
      </c>
      <c r="DB68" s="232" t="e">
        <v>#N/A</v>
      </c>
      <c r="DC68" s="232" t="e">
        <v>#N/A</v>
      </c>
      <c r="DD68" s="230"/>
      <c r="DE68" s="232" t="e">
        <v>#N/A</v>
      </c>
      <c r="DF68" s="232" t="e">
        <v>#N/A</v>
      </c>
      <c r="DG68" s="232" t="e">
        <v>#N/A</v>
      </c>
      <c r="DH68" s="230"/>
      <c r="DI68" s="230"/>
      <c r="DJ68" s="172" t="s">
        <v>277</v>
      </c>
    </row>
    <row r="69" spans="1:114" x14ac:dyDescent="0.25">
      <c r="A69" s="225" t="s">
        <v>729</v>
      </c>
      <c r="B69" s="226" t="s">
        <v>785</v>
      </c>
      <c r="C69" s="227" t="s">
        <v>451</v>
      </c>
      <c r="D69" s="228" t="str">
        <f t="shared" si="0"/>
        <v>1943633D IN Equity</v>
      </c>
      <c r="E69" s="229"/>
      <c r="F69" s="230"/>
      <c r="G69" s="231" t="e">
        <v>#N/A</v>
      </c>
      <c r="H69" s="232" t="e">
        <v>#N/A</v>
      </c>
      <c r="I69" s="230"/>
      <c r="J69" s="231" t="e">
        <v>#N/A</v>
      </c>
      <c r="K69" s="232" t="e">
        <v>#N/A</v>
      </c>
      <c r="L69" s="230"/>
      <c r="M69" s="233" t="e">
        <v>#N/A</v>
      </c>
      <c r="N69" s="233" t="e">
        <v>#N/A</v>
      </c>
      <c r="O69" s="233" t="e">
        <v>#N/A</v>
      </c>
      <c r="P69" s="233" t="e">
        <v>#N/A</v>
      </c>
      <c r="Q69" s="230"/>
      <c r="R69" s="234" t="e">
        <v>#N/A</v>
      </c>
      <c r="S69" s="234" t="e">
        <v>#N/A</v>
      </c>
      <c r="T69" s="230"/>
      <c r="U69" s="234" t="e">
        <v>#N/A</v>
      </c>
      <c r="V69" s="234" t="e">
        <v>#N/A</v>
      </c>
      <c r="W69" s="234" t="e">
        <v>#N/A</v>
      </c>
      <c r="X69" s="234" t="e">
        <v>#N/A</v>
      </c>
      <c r="Y69" s="234" t="e">
        <v>#N/A</v>
      </c>
      <c r="Z69" s="234" t="e">
        <v>#N/A</v>
      </c>
      <c r="AA69" s="234" t="e">
        <v>#N/A</v>
      </c>
      <c r="AB69" s="234" t="e">
        <v>#N/A</v>
      </c>
      <c r="AC69" s="230"/>
      <c r="AD69" s="232" t="e">
        <v>#N/A</v>
      </c>
      <c r="AE69" s="232" t="e">
        <v>#N/A</v>
      </c>
      <c r="AF69" s="232" t="e">
        <v>#N/A</v>
      </c>
      <c r="AG69" s="232" t="e">
        <v>#N/A</v>
      </c>
      <c r="AH69" s="235" t="e">
        <v>#N/A</v>
      </c>
      <c r="AI69" s="230"/>
      <c r="AJ69" s="232" t="e">
        <v>#N/A</v>
      </c>
      <c r="AK69" s="232" t="e">
        <v>#N/A</v>
      </c>
      <c r="AL69" s="235" t="e">
        <v>#N/A</v>
      </c>
      <c r="AM69" s="230"/>
      <c r="AN69" s="231" t="e">
        <v>#N/A</v>
      </c>
      <c r="AO69" s="232" t="e">
        <v>#N/A</v>
      </c>
      <c r="AP69" s="236" t="e">
        <v>#N/A</v>
      </c>
      <c r="AQ69" s="230"/>
      <c r="AR69" s="237" t="e">
        <v>#N/A</v>
      </c>
      <c r="AS69" s="237" t="e">
        <v>#N/A</v>
      </c>
      <c r="AT69" s="237" t="e">
        <v>#N/A</v>
      </c>
      <c r="AU69" s="230"/>
      <c r="AV69" s="234" t="e">
        <v>#N/A</v>
      </c>
      <c r="AW69" s="234" t="e">
        <v>#N/A</v>
      </c>
      <c r="AX69" s="234" t="e">
        <v>#N/A</v>
      </c>
      <c r="AY69" s="234" t="e">
        <v>#N/A</v>
      </c>
      <c r="AZ69" s="230"/>
      <c r="BA69" s="232" t="e">
        <v>#N/A</v>
      </c>
      <c r="BB69" s="230"/>
      <c r="BC69" s="232" t="e">
        <v>#N/A</v>
      </c>
      <c r="BD69" s="232" t="e">
        <v>#N/A</v>
      </c>
      <c r="BE69" s="230"/>
      <c r="BF69" s="238" t="e">
        <v>#N/A</v>
      </c>
      <c r="BG69" s="238" t="e">
        <v>#N/A</v>
      </c>
      <c r="BH69" s="238" t="e">
        <v>#N/A</v>
      </c>
      <c r="BI69" s="230"/>
      <c r="BJ69" s="239" t="e">
        <v>#N/A</v>
      </c>
      <c r="BK69" s="240" t="e">
        <v>#N/A</v>
      </c>
      <c r="BL69" s="230"/>
      <c r="BM69" s="241" t="e">
        <v>#N/A</v>
      </c>
      <c r="BN69" s="241" t="e">
        <v>#N/A</v>
      </c>
      <c r="BO69" s="241" t="e">
        <v>#N/A</v>
      </c>
      <c r="BP69" s="241" t="e">
        <v>#N/A</v>
      </c>
      <c r="BQ69" s="241" t="e">
        <v>#N/A</v>
      </c>
      <c r="BR69" s="241" t="e">
        <v>#N/A</v>
      </c>
      <c r="BS69" s="241" t="e">
        <v>#N/A</v>
      </c>
      <c r="BT69" s="241" t="e">
        <v>#N/A</v>
      </c>
      <c r="BU69" s="241" t="e">
        <v>#N/A</v>
      </c>
      <c r="BV69" s="241" t="e">
        <v>#N/A</v>
      </c>
      <c r="BW69" s="230"/>
      <c r="BX69" s="232" t="e">
        <v>#N/A</v>
      </c>
      <c r="BY69" s="232" t="e">
        <v>#N/A</v>
      </c>
      <c r="BZ69" s="232" t="e">
        <v>#N/A</v>
      </c>
      <c r="CA69" s="232" t="e">
        <v>#N/A</v>
      </c>
      <c r="CB69" s="232" t="e">
        <v>#N/A</v>
      </c>
      <c r="CC69" s="232" t="e">
        <v>#N/A</v>
      </c>
      <c r="CD69" s="232" t="e">
        <v>#N/A</v>
      </c>
      <c r="CE69" s="232" t="e">
        <v>#N/A</v>
      </c>
      <c r="CF69" s="232" t="e">
        <v>#N/A</v>
      </c>
      <c r="CG69" s="232" t="e">
        <v>#N/A</v>
      </c>
      <c r="CH69" s="230"/>
      <c r="CI69" s="232" t="e">
        <v>#N/A</v>
      </c>
      <c r="CJ69" s="232" t="e">
        <v>#N/A</v>
      </c>
      <c r="CK69" s="232" t="e">
        <v>#N/A</v>
      </c>
      <c r="CL69" s="232" t="e">
        <v>#N/A</v>
      </c>
      <c r="CM69" s="232" t="e">
        <v>#N/A</v>
      </c>
      <c r="CN69" s="232" t="e">
        <v>#N/A</v>
      </c>
      <c r="CO69" s="232" t="e">
        <v>#N/A</v>
      </c>
      <c r="CP69" s="232" t="e">
        <v>#N/A</v>
      </c>
      <c r="CQ69" s="232" t="e">
        <v>#N/A</v>
      </c>
      <c r="CR69" s="232" t="e">
        <v>#N/A</v>
      </c>
      <c r="CS69" s="230"/>
      <c r="CT69" s="232" t="e">
        <v>#N/A</v>
      </c>
      <c r="CU69" s="232" t="e">
        <v>#N/A</v>
      </c>
      <c r="CV69" s="232" t="e">
        <v>#N/A</v>
      </c>
      <c r="CW69" s="232" t="e">
        <v>#N/A</v>
      </c>
      <c r="CX69" s="232" t="e">
        <v>#N/A</v>
      </c>
      <c r="CY69" s="232" t="e">
        <v>#N/A</v>
      </c>
      <c r="CZ69" s="232" t="e">
        <v>#N/A</v>
      </c>
      <c r="DA69" s="232" t="e">
        <v>#N/A</v>
      </c>
      <c r="DB69" s="232" t="e">
        <v>#N/A</v>
      </c>
      <c r="DC69" s="232" t="e">
        <v>#N/A</v>
      </c>
      <c r="DD69" s="230"/>
      <c r="DE69" s="232" t="e">
        <v>#N/A</v>
      </c>
      <c r="DF69" s="232" t="e">
        <v>#N/A</v>
      </c>
      <c r="DG69" s="232" t="e">
        <v>#N/A</v>
      </c>
      <c r="DH69" s="230"/>
      <c r="DI69" s="230"/>
      <c r="DJ69" s="172" t="s">
        <v>277</v>
      </c>
    </row>
    <row r="70" spans="1:114" x14ac:dyDescent="0.25">
      <c r="A70" s="225" t="s">
        <v>729</v>
      </c>
      <c r="B70" s="226" t="s">
        <v>786</v>
      </c>
      <c r="C70" s="227" t="s">
        <v>402</v>
      </c>
      <c r="D70" s="228" t="str">
        <f t="shared" ref="D70:D159" si="1">C70&amp;" IN Equity"</f>
        <v>SAIL IN Equity</v>
      </c>
      <c r="E70" s="229" t="s">
        <v>402</v>
      </c>
      <c r="F70" s="230"/>
      <c r="G70" s="231">
        <v>6066.7162520526335</v>
      </c>
      <c r="H70" s="232">
        <v>544552.67571298196</v>
      </c>
      <c r="I70" s="230"/>
      <c r="J70" s="231">
        <v>10271.624067552635</v>
      </c>
      <c r="K70" s="232">
        <v>904223.17571298196</v>
      </c>
      <c r="L70" s="230"/>
      <c r="M70" s="233">
        <v>22.668186607652412</v>
      </c>
      <c r="N70" s="233">
        <v>15.589055700103192</v>
      </c>
      <c r="O70" s="233">
        <v>8.4933809845285975</v>
      </c>
      <c r="P70" s="233">
        <v>7.4064745886840742</v>
      </c>
      <c r="Q70" s="230"/>
      <c r="R70" s="234">
        <v>0.92454654924272184</v>
      </c>
      <c r="S70" s="234">
        <v>0.94747865700075262</v>
      </c>
      <c r="T70" s="230"/>
      <c r="U70" s="234">
        <v>4.1420474984102229E-2</v>
      </c>
      <c r="V70" s="234">
        <v>5.7809999999999979E-2</v>
      </c>
      <c r="W70" s="234">
        <v>4.1944868729301185E-2</v>
      </c>
      <c r="X70" s="234">
        <v>5.9836463293675445E-2</v>
      </c>
      <c r="Y70" s="234">
        <v>3.7523050364115754E-2</v>
      </c>
      <c r="Z70" s="234">
        <v>4.9214513302862653E-2</v>
      </c>
      <c r="AA70" s="234">
        <v>3.954718079275208E-2</v>
      </c>
      <c r="AB70" s="234">
        <v>4.6333903994610882E-2</v>
      </c>
      <c r="AC70" s="230"/>
      <c r="AD70" s="232">
        <v>-9668.7999999999993</v>
      </c>
      <c r="AE70" s="232">
        <v>-9668.7999999999993</v>
      </c>
      <c r="AF70" s="232">
        <v>0</v>
      </c>
      <c r="AG70" s="232">
        <v>-3732.9</v>
      </c>
      <c r="AH70" s="235">
        <v>-13401.7</v>
      </c>
      <c r="AI70" s="230"/>
      <c r="AJ70" s="232">
        <v>202795.7</v>
      </c>
      <c r="AK70" s="232">
        <v>166543.70000000001</v>
      </c>
      <c r="AL70" s="235">
        <v>369339.4</v>
      </c>
      <c r="AM70" s="230"/>
      <c r="AN70" s="231">
        <v>4204.9089846000006</v>
      </c>
      <c r="AO70" s="232">
        <v>359670.60000000003</v>
      </c>
      <c r="AP70" s="236">
        <v>3.3783909954810216</v>
      </c>
      <c r="AQ70" s="230"/>
      <c r="AR70" s="237">
        <v>4130.0921539999999</v>
      </c>
      <c r="AS70" s="237">
        <v>4130.5252890000002</v>
      </c>
      <c r="AT70" s="237">
        <v>4130.5252890000002</v>
      </c>
      <c r="AU70" s="230"/>
      <c r="AV70" s="234">
        <v>6.5000000000000006E-3</v>
      </c>
      <c r="AW70" s="234">
        <v>0.27518043151878468</v>
      </c>
      <c r="AX70" s="234">
        <v>3.7600000000000003E-4</v>
      </c>
      <c r="AY70" s="234">
        <v>0.34996254541200733</v>
      </c>
      <c r="AZ70" s="230"/>
      <c r="BA70" s="232">
        <v>-0.1</v>
      </c>
      <c r="BB70" s="230"/>
      <c r="BC70" s="232" t="e">
        <v>#N/A</v>
      </c>
      <c r="BD70" s="232">
        <v>4130.5</v>
      </c>
      <c r="BE70" s="230"/>
      <c r="BF70" s="238">
        <v>15.540535199999994</v>
      </c>
      <c r="BG70" s="238">
        <v>12.764189700000005</v>
      </c>
      <c r="BH70" s="238">
        <v>14.975891166666656</v>
      </c>
      <c r="BI70" s="230"/>
      <c r="BJ70" s="239">
        <v>1.468905783658365</v>
      </c>
      <c r="BK70" s="240">
        <v>131.85000610351563</v>
      </c>
      <c r="BL70" s="230"/>
      <c r="BM70" s="241">
        <v>5.13</v>
      </c>
      <c r="BN70" s="241">
        <v>9.9410000000000007</v>
      </c>
      <c r="BO70" s="241">
        <v>28.783999999999999</v>
      </c>
      <c r="BP70" s="241">
        <v>4.7636969999999996</v>
      </c>
      <c r="BQ70" s="241">
        <v>5.3887270000000003</v>
      </c>
      <c r="BR70" s="241">
        <v>6.4991159999999999</v>
      </c>
      <c r="BS70" s="241">
        <v>8.4578571428571419</v>
      </c>
      <c r="BT70" s="241">
        <v>10.376428571428573</v>
      </c>
      <c r="BU70" s="241">
        <v>11.33769230769231</v>
      </c>
      <c r="BV70" s="241">
        <v>10.57</v>
      </c>
      <c r="BW70" s="230"/>
      <c r="BX70" s="232">
        <v>21548.980000000003</v>
      </c>
      <c r="BY70" s="232">
        <v>41714.19</v>
      </c>
      <c r="BZ70" s="232">
        <v>125059.98</v>
      </c>
      <c r="CA70" s="232">
        <v>19676.57</v>
      </c>
      <c r="CB70" s="232">
        <v>30666.7</v>
      </c>
      <c r="CC70" s="232">
        <v>24025.29</v>
      </c>
      <c r="CD70" s="232" t="e">
        <v>#N/A</v>
      </c>
      <c r="CE70" s="232" t="e">
        <v>#N/A</v>
      </c>
      <c r="CF70" s="232" t="e">
        <v>#N/A</v>
      </c>
      <c r="CG70" s="232" t="e">
        <v>#N/A</v>
      </c>
      <c r="CH70" s="230"/>
      <c r="CI70" s="232">
        <v>104609.1</v>
      </c>
      <c r="CJ70" s="232">
        <v>128428.3</v>
      </c>
      <c r="CK70" s="232">
        <v>213415.2</v>
      </c>
      <c r="CL70" s="232">
        <v>80394.3</v>
      </c>
      <c r="CM70" s="232">
        <v>111493.1</v>
      </c>
      <c r="CN70" s="232">
        <v>106462.1</v>
      </c>
      <c r="CO70" s="232">
        <v>118677</v>
      </c>
      <c r="CP70" s="232">
        <v>132942.454545455</v>
      </c>
      <c r="CQ70" s="232">
        <v>142611.9</v>
      </c>
      <c r="CR70" s="232" t="e">
        <v>#N/A</v>
      </c>
      <c r="CS70" s="230"/>
      <c r="CT70" s="232">
        <v>610513.19999999995</v>
      </c>
      <c r="CU70" s="232">
        <v>684764.3</v>
      </c>
      <c r="CV70" s="232">
        <v>1028329.2</v>
      </c>
      <c r="CW70" s="232">
        <v>1037879.5</v>
      </c>
      <c r="CX70" s="232">
        <v>1045677.4</v>
      </c>
      <c r="CY70" s="232">
        <v>1017402.6</v>
      </c>
      <c r="CZ70" s="232">
        <v>1079065.1818181816</v>
      </c>
      <c r="DA70" s="232">
        <v>1146881</v>
      </c>
      <c r="DB70" s="232">
        <v>1193536.5</v>
      </c>
      <c r="DC70" s="232" t="e">
        <v>#N/A</v>
      </c>
      <c r="DD70" s="230"/>
      <c r="DE70" s="232" t="e">
        <v>#N/A</v>
      </c>
      <c r="DF70" s="232">
        <v>0</v>
      </c>
      <c r="DG70" s="232">
        <v>0</v>
      </c>
      <c r="DH70" s="230"/>
      <c r="DI70" s="230"/>
      <c r="DJ70" s="172" t="s">
        <v>277</v>
      </c>
    </row>
    <row r="71" spans="1:114" x14ac:dyDescent="0.25">
      <c r="A71" s="225" t="s">
        <v>729</v>
      </c>
      <c r="B71" s="242" t="s">
        <v>787</v>
      </c>
      <c r="C71" s="227" t="s">
        <v>401</v>
      </c>
      <c r="D71" s="228" t="str">
        <f t="shared" si="1"/>
        <v>C2C IN Equity</v>
      </c>
      <c r="E71" s="229" t="s">
        <v>401</v>
      </c>
      <c r="F71" s="230"/>
      <c r="G71" s="231">
        <v>91.853864980894514</v>
      </c>
      <c r="H71" s="232">
        <v>8244.8668887392578</v>
      </c>
      <c r="I71" s="230"/>
      <c r="J71" s="231">
        <v>97.067852233894527</v>
      </c>
      <c r="K71" s="232">
        <v>8690.8498887392579</v>
      </c>
      <c r="L71" s="230"/>
      <c r="M71" s="233">
        <v>23.514476137020942</v>
      </c>
      <c r="N71" s="233" t="e">
        <v>#N/A</v>
      </c>
      <c r="O71" s="233">
        <v>20.982761265938962</v>
      </c>
      <c r="P71" s="233" t="e">
        <v>#N/A</v>
      </c>
      <c r="Q71" s="230"/>
      <c r="R71" s="234">
        <v>4.1727273268400316</v>
      </c>
      <c r="S71" s="234">
        <v>4.219425375475689</v>
      </c>
      <c r="T71" s="230"/>
      <c r="U71" s="234">
        <v>0.21047142695022419</v>
      </c>
      <c r="V71" s="234" t="e">
        <v>#N/A</v>
      </c>
      <c r="W71" s="234">
        <v>0.21412817545747118</v>
      </c>
      <c r="X71" s="234">
        <v>0.21059635894025078</v>
      </c>
      <c r="Y71" s="234">
        <v>0.17229518172822997</v>
      </c>
      <c r="Z71" s="234">
        <v>0.2456724552947781</v>
      </c>
      <c r="AA71" s="234">
        <v>0.12022814123991064</v>
      </c>
      <c r="AB71" s="234">
        <v>0.18145582321770728</v>
      </c>
      <c r="AC71" s="230"/>
      <c r="AD71" s="232">
        <v>-17.181999999999999</v>
      </c>
      <c r="AE71" s="232">
        <v>-17.181999999999999</v>
      </c>
      <c r="AF71" s="232">
        <v>0</v>
      </c>
      <c r="AG71" s="232">
        <v>0</v>
      </c>
      <c r="AH71" s="235">
        <v>-17.181999999999999</v>
      </c>
      <c r="AI71" s="230"/>
      <c r="AJ71" s="232">
        <v>381.41399999999999</v>
      </c>
      <c r="AK71" s="232">
        <v>81.751000000000005</v>
      </c>
      <c r="AL71" s="235">
        <v>463.16500000000002</v>
      </c>
      <c r="AM71" s="230"/>
      <c r="AN71" s="231">
        <v>5.213987253</v>
      </c>
      <c r="AO71" s="232">
        <v>445.98299999999995</v>
      </c>
      <c r="AP71" s="236">
        <v>1.0767594582196576</v>
      </c>
      <c r="AQ71" s="230"/>
      <c r="AR71" s="237">
        <v>16.641168</v>
      </c>
      <c r="AS71" s="237">
        <v>13.687470336972</v>
      </c>
      <c r="AT71" s="237">
        <v>13.687470336972</v>
      </c>
      <c r="AU71" s="230"/>
      <c r="AV71" s="234" t="e">
        <v>#N/A</v>
      </c>
      <c r="AW71" s="234">
        <v>0</v>
      </c>
      <c r="AX71" s="234" t="e">
        <v>#N/A</v>
      </c>
      <c r="AY71" s="234">
        <v>0.84797587525106422</v>
      </c>
      <c r="AZ71" s="230"/>
      <c r="BA71" s="232" t="e">
        <v>#N/A</v>
      </c>
      <c r="BB71" s="230"/>
      <c r="BC71" s="232" t="e">
        <v>#N/A</v>
      </c>
      <c r="BD71" s="232">
        <v>0</v>
      </c>
      <c r="BE71" s="230"/>
      <c r="BF71" s="238">
        <v>0.22722000000000001</v>
      </c>
      <c r="BG71" s="238">
        <v>0.22225500000000001</v>
      </c>
      <c r="BH71" s="238">
        <v>0.110175</v>
      </c>
      <c r="BI71" s="230"/>
      <c r="BJ71" s="239">
        <v>5.5196765624200497</v>
      </c>
      <c r="BK71" s="240">
        <v>495.45001220703125</v>
      </c>
      <c r="BL71" s="230"/>
      <c r="BM71" s="241" t="e">
        <v>#N/A</v>
      </c>
      <c r="BN71" s="241">
        <v>0.11</v>
      </c>
      <c r="BO71" s="241">
        <v>-52.4</v>
      </c>
      <c r="BP71" s="241">
        <v>20.399999999999999</v>
      </c>
      <c r="BQ71" s="241" t="e">
        <v>#N/A</v>
      </c>
      <c r="BR71" s="241">
        <v>21.07</v>
      </c>
      <c r="BS71" s="241" t="e">
        <v>#N/A</v>
      </c>
      <c r="BT71" s="241" t="e">
        <v>#N/A</v>
      </c>
      <c r="BU71" s="241" t="e">
        <v>#N/A</v>
      </c>
      <c r="BV71" s="241" t="e">
        <v>#N/A</v>
      </c>
      <c r="BW71" s="230"/>
      <c r="BX71" s="232" t="e">
        <v>#N/A</v>
      </c>
      <c r="BY71" s="232">
        <v>9.8485000000000003E-2</v>
      </c>
      <c r="BZ71" s="232">
        <v>-26.195</v>
      </c>
      <c r="CA71" s="232">
        <v>30.584</v>
      </c>
      <c r="CB71" s="232">
        <v>122.76900000000001</v>
      </c>
      <c r="CC71" s="232">
        <v>288.39499999999998</v>
      </c>
      <c r="CD71" s="232" t="e">
        <v>#N/A</v>
      </c>
      <c r="CE71" s="232" t="e">
        <v>#N/A</v>
      </c>
      <c r="CF71" s="232" t="e">
        <v>#N/A</v>
      </c>
      <c r="CG71" s="232" t="e">
        <v>#N/A</v>
      </c>
      <c r="CH71" s="230"/>
      <c r="CI71" s="232" t="e">
        <v>#N/A</v>
      </c>
      <c r="CJ71" s="232">
        <v>2.6747339999999999</v>
      </c>
      <c r="CK71" s="232">
        <v>-23.501999999999999</v>
      </c>
      <c r="CL71" s="232">
        <v>34.749000000000002</v>
      </c>
      <c r="CM71" s="232">
        <v>183.25199999999998</v>
      </c>
      <c r="CN71" s="232">
        <v>414.19</v>
      </c>
      <c r="CO71" s="232" t="e">
        <v>#N/A</v>
      </c>
      <c r="CP71" s="232" t="e">
        <v>#N/A</v>
      </c>
      <c r="CQ71" s="232" t="e">
        <v>#N/A</v>
      </c>
      <c r="CR71" s="232" t="e">
        <v>#N/A</v>
      </c>
      <c r="CS71" s="230"/>
      <c r="CT71" s="232" t="e">
        <v>#N/A</v>
      </c>
      <c r="CU71" s="232">
        <v>10.767963</v>
      </c>
      <c r="CV71" s="232">
        <v>3.4689999999999999</v>
      </c>
      <c r="CW71" s="232">
        <v>80.486999999999995</v>
      </c>
      <c r="CX71" s="232">
        <v>410.589</v>
      </c>
      <c r="CY71" s="232">
        <v>1151.1110000000001</v>
      </c>
      <c r="CZ71" s="232" t="e">
        <v>#N/A</v>
      </c>
      <c r="DA71" s="232" t="e">
        <v>#N/A</v>
      </c>
      <c r="DB71" s="232" t="e">
        <v>#N/A</v>
      </c>
      <c r="DC71" s="232" t="e">
        <v>#N/A</v>
      </c>
      <c r="DD71" s="230"/>
      <c r="DE71" s="232" t="e">
        <v>#N/A</v>
      </c>
      <c r="DF71" s="232" t="e">
        <v>#N/A</v>
      </c>
      <c r="DG71" s="232" t="e">
        <v>#N/A</v>
      </c>
      <c r="DH71" s="230"/>
      <c r="DI71" s="230"/>
      <c r="DJ71" s="172" t="s">
        <v>277</v>
      </c>
    </row>
    <row r="72" spans="1:114" x14ac:dyDescent="0.25">
      <c r="A72" s="225" t="s">
        <v>729</v>
      </c>
      <c r="B72" s="226" t="s">
        <v>788</v>
      </c>
      <c r="C72" s="227" t="s">
        <v>478</v>
      </c>
      <c r="D72" s="228" t="str">
        <f t="shared" si="1"/>
        <v>1313978D IN Equity</v>
      </c>
      <c r="E72" s="229"/>
      <c r="F72" s="230"/>
      <c r="G72" s="231" t="e">
        <v>#N/A</v>
      </c>
      <c r="H72" s="232" t="e">
        <v>#N/A</v>
      </c>
      <c r="I72" s="230"/>
      <c r="J72" s="231" t="e">
        <v>#N/A</v>
      </c>
      <c r="K72" s="232" t="e">
        <v>#N/A</v>
      </c>
      <c r="L72" s="230"/>
      <c r="M72" s="233" t="e">
        <v>#N/A</v>
      </c>
      <c r="N72" s="233" t="e">
        <v>#N/A</v>
      </c>
      <c r="O72" s="233" t="e">
        <v>#N/A</v>
      </c>
      <c r="P72" s="233" t="e">
        <v>#N/A</v>
      </c>
      <c r="Q72" s="230"/>
      <c r="R72" s="234" t="e">
        <v>#N/A</v>
      </c>
      <c r="S72" s="234" t="e">
        <v>#N/A</v>
      </c>
      <c r="T72" s="230"/>
      <c r="U72" s="234" t="e">
        <v>#N/A</v>
      </c>
      <c r="V72" s="234" t="e">
        <v>#N/A</v>
      </c>
      <c r="W72" s="234" t="e">
        <v>#N/A</v>
      </c>
      <c r="X72" s="234" t="e">
        <v>#N/A</v>
      </c>
      <c r="Y72" s="234" t="e">
        <v>#N/A</v>
      </c>
      <c r="Z72" s="234" t="e">
        <v>#N/A</v>
      </c>
      <c r="AA72" s="234" t="e">
        <v>#N/A</v>
      </c>
      <c r="AB72" s="234" t="e">
        <v>#N/A</v>
      </c>
      <c r="AC72" s="230"/>
      <c r="AD72" s="232" t="e">
        <v>#N/A</v>
      </c>
      <c r="AE72" s="232" t="e">
        <v>#N/A</v>
      </c>
      <c r="AF72" s="232" t="e">
        <v>#N/A</v>
      </c>
      <c r="AG72" s="232" t="e">
        <v>#N/A</v>
      </c>
      <c r="AH72" s="235" t="e">
        <v>#N/A</v>
      </c>
      <c r="AI72" s="230"/>
      <c r="AJ72" s="232" t="e">
        <v>#N/A</v>
      </c>
      <c r="AK72" s="232" t="e">
        <v>#N/A</v>
      </c>
      <c r="AL72" s="235" t="e">
        <v>#N/A</v>
      </c>
      <c r="AM72" s="230"/>
      <c r="AN72" s="231" t="e">
        <v>#N/A</v>
      </c>
      <c r="AO72" s="232" t="e">
        <v>#N/A</v>
      </c>
      <c r="AP72" s="236" t="e">
        <v>#N/A</v>
      </c>
      <c r="AQ72" s="230"/>
      <c r="AR72" s="237" t="e">
        <v>#N/A</v>
      </c>
      <c r="AS72" s="237" t="e">
        <v>#N/A</v>
      </c>
      <c r="AT72" s="237" t="e">
        <v>#N/A</v>
      </c>
      <c r="AU72" s="230"/>
      <c r="AV72" s="234" t="e">
        <v>#N/A</v>
      </c>
      <c r="AW72" s="234" t="e">
        <v>#N/A</v>
      </c>
      <c r="AX72" s="234" t="e">
        <v>#N/A</v>
      </c>
      <c r="AY72" s="234" t="e">
        <v>#N/A</v>
      </c>
      <c r="AZ72" s="230"/>
      <c r="BA72" s="232" t="e">
        <v>#N/A</v>
      </c>
      <c r="BB72" s="230"/>
      <c r="BC72" s="232" t="e">
        <v>#N/A</v>
      </c>
      <c r="BD72" s="232" t="e">
        <v>#N/A</v>
      </c>
      <c r="BE72" s="230"/>
      <c r="BF72" s="238" t="e">
        <v>#N/A</v>
      </c>
      <c r="BG72" s="238" t="e">
        <v>#N/A</v>
      </c>
      <c r="BH72" s="238" t="e">
        <v>#N/A</v>
      </c>
      <c r="BI72" s="230"/>
      <c r="BJ72" s="239" t="e">
        <v>#N/A</v>
      </c>
      <c r="BK72" s="240" t="e">
        <v>#N/A</v>
      </c>
      <c r="BL72" s="230"/>
      <c r="BM72" s="241" t="e">
        <v>#N/A</v>
      </c>
      <c r="BN72" s="241" t="e">
        <v>#N/A</v>
      </c>
      <c r="BO72" s="241" t="e">
        <v>#N/A</v>
      </c>
      <c r="BP72" s="241" t="e">
        <v>#N/A</v>
      </c>
      <c r="BQ72" s="241" t="e">
        <v>#N/A</v>
      </c>
      <c r="BR72" s="241" t="e">
        <v>#N/A</v>
      </c>
      <c r="BS72" s="241" t="e">
        <v>#N/A</v>
      </c>
      <c r="BT72" s="241" t="e">
        <v>#N/A</v>
      </c>
      <c r="BU72" s="241" t="e">
        <v>#N/A</v>
      </c>
      <c r="BV72" s="241" t="e">
        <v>#N/A</v>
      </c>
      <c r="BW72" s="230"/>
      <c r="BX72" s="232" t="e">
        <v>#N/A</v>
      </c>
      <c r="BY72" s="232" t="e">
        <v>#N/A</v>
      </c>
      <c r="BZ72" s="232" t="e">
        <v>#N/A</v>
      </c>
      <c r="CA72" s="232" t="e">
        <v>#N/A</v>
      </c>
      <c r="CB72" s="232" t="e">
        <v>#N/A</v>
      </c>
      <c r="CC72" s="232" t="e">
        <v>#N/A</v>
      </c>
      <c r="CD72" s="232" t="e">
        <v>#N/A</v>
      </c>
      <c r="CE72" s="232" t="e">
        <v>#N/A</v>
      </c>
      <c r="CF72" s="232" t="e">
        <v>#N/A</v>
      </c>
      <c r="CG72" s="232" t="e">
        <v>#N/A</v>
      </c>
      <c r="CH72" s="230"/>
      <c r="CI72" s="232" t="e">
        <v>#N/A</v>
      </c>
      <c r="CJ72" s="232" t="e">
        <v>#N/A</v>
      </c>
      <c r="CK72" s="232" t="e">
        <v>#N/A</v>
      </c>
      <c r="CL72" s="232" t="e">
        <v>#N/A</v>
      </c>
      <c r="CM72" s="232" t="e">
        <v>#N/A</v>
      </c>
      <c r="CN72" s="232" t="e">
        <v>#N/A</v>
      </c>
      <c r="CO72" s="232" t="e">
        <v>#N/A</v>
      </c>
      <c r="CP72" s="232" t="e">
        <v>#N/A</v>
      </c>
      <c r="CQ72" s="232" t="e">
        <v>#N/A</v>
      </c>
      <c r="CR72" s="232" t="e">
        <v>#N/A</v>
      </c>
      <c r="CS72" s="230"/>
      <c r="CT72" s="232" t="e">
        <v>#N/A</v>
      </c>
      <c r="CU72" s="232" t="e">
        <v>#N/A</v>
      </c>
      <c r="CV72" s="232" t="e">
        <v>#N/A</v>
      </c>
      <c r="CW72" s="232" t="e">
        <v>#N/A</v>
      </c>
      <c r="CX72" s="232" t="e">
        <v>#N/A</v>
      </c>
      <c r="CY72" s="232" t="e">
        <v>#N/A</v>
      </c>
      <c r="CZ72" s="232" t="e">
        <v>#N/A</v>
      </c>
      <c r="DA72" s="232" t="e">
        <v>#N/A</v>
      </c>
      <c r="DB72" s="232" t="e">
        <v>#N/A</v>
      </c>
      <c r="DC72" s="232" t="e">
        <v>#N/A</v>
      </c>
      <c r="DD72" s="230"/>
      <c r="DE72" s="232" t="e">
        <v>#N/A</v>
      </c>
      <c r="DF72" s="232" t="e">
        <v>#N/A</v>
      </c>
      <c r="DG72" s="232" t="e">
        <v>#N/A</v>
      </c>
      <c r="DH72" s="230"/>
      <c r="DI72" s="230"/>
      <c r="DJ72" s="172" t="s">
        <v>277</v>
      </c>
    </row>
    <row r="73" spans="1:114" x14ac:dyDescent="0.25">
      <c r="A73" s="225" t="s">
        <v>729</v>
      </c>
      <c r="B73" s="226" t="s">
        <v>789</v>
      </c>
      <c r="C73" s="227" t="s">
        <v>479</v>
      </c>
      <c r="D73" s="228" t="str">
        <f t="shared" si="1"/>
        <v>2339955Z IN Equity</v>
      </c>
      <c r="E73" s="229"/>
      <c r="F73" s="230"/>
      <c r="G73" s="231" t="e">
        <v>#N/A</v>
      </c>
      <c r="H73" s="232" t="e">
        <v>#N/A</v>
      </c>
      <c r="I73" s="230"/>
      <c r="J73" s="231" t="e">
        <v>#N/A</v>
      </c>
      <c r="K73" s="232" t="e">
        <v>#N/A</v>
      </c>
      <c r="L73" s="230"/>
      <c r="M73" s="233" t="e">
        <v>#N/A</v>
      </c>
      <c r="N73" s="233" t="e">
        <v>#N/A</v>
      </c>
      <c r="O73" s="233" t="e">
        <v>#N/A</v>
      </c>
      <c r="P73" s="233" t="e">
        <v>#N/A</v>
      </c>
      <c r="Q73" s="230"/>
      <c r="R73" s="234" t="e">
        <v>#N/A</v>
      </c>
      <c r="S73" s="234" t="e">
        <v>#N/A</v>
      </c>
      <c r="T73" s="230"/>
      <c r="U73" s="234" t="e">
        <v>#N/A</v>
      </c>
      <c r="V73" s="234" t="e">
        <v>#N/A</v>
      </c>
      <c r="W73" s="234" t="e">
        <v>#N/A</v>
      </c>
      <c r="X73" s="234" t="e">
        <v>#N/A</v>
      </c>
      <c r="Y73" s="234" t="e">
        <v>#N/A</v>
      </c>
      <c r="Z73" s="234" t="e">
        <v>#N/A</v>
      </c>
      <c r="AA73" s="234" t="e">
        <v>#N/A</v>
      </c>
      <c r="AB73" s="234" t="e">
        <v>#N/A</v>
      </c>
      <c r="AC73" s="230"/>
      <c r="AD73" s="232" t="e">
        <v>#N/A</v>
      </c>
      <c r="AE73" s="232" t="e">
        <v>#N/A</v>
      </c>
      <c r="AF73" s="232" t="e">
        <v>#N/A</v>
      </c>
      <c r="AG73" s="232" t="e">
        <v>#N/A</v>
      </c>
      <c r="AH73" s="235" t="e">
        <v>#N/A</v>
      </c>
      <c r="AI73" s="230"/>
      <c r="AJ73" s="232" t="e">
        <v>#N/A</v>
      </c>
      <c r="AK73" s="232" t="e">
        <v>#N/A</v>
      </c>
      <c r="AL73" s="235" t="e">
        <v>#N/A</v>
      </c>
      <c r="AM73" s="230"/>
      <c r="AN73" s="231" t="e">
        <v>#N/A</v>
      </c>
      <c r="AO73" s="232" t="e">
        <v>#N/A</v>
      </c>
      <c r="AP73" s="236" t="e">
        <v>#N/A</v>
      </c>
      <c r="AQ73" s="230"/>
      <c r="AR73" s="237" t="e">
        <v>#N/A</v>
      </c>
      <c r="AS73" s="237" t="e">
        <v>#N/A</v>
      </c>
      <c r="AT73" s="237" t="e">
        <v>#N/A</v>
      </c>
      <c r="AU73" s="230"/>
      <c r="AV73" s="234" t="e">
        <v>#N/A</v>
      </c>
      <c r="AW73" s="234" t="e">
        <v>#N/A</v>
      </c>
      <c r="AX73" s="234" t="e">
        <v>#N/A</v>
      </c>
      <c r="AY73" s="234" t="e">
        <v>#N/A</v>
      </c>
      <c r="AZ73" s="230"/>
      <c r="BA73" s="232" t="e">
        <v>#N/A</v>
      </c>
      <c r="BB73" s="230"/>
      <c r="BC73" s="232" t="e">
        <v>#N/A</v>
      </c>
      <c r="BD73" s="232" t="e">
        <v>#N/A</v>
      </c>
      <c r="BE73" s="230"/>
      <c r="BF73" s="238" t="e">
        <v>#N/A</v>
      </c>
      <c r="BG73" s="238" t="e">
        <v>#N/A</v>
      </c>
      <c r="BH73" s="238" t="e">
        <v>#N/A</v>
      </c>
      <c r="BI73" s="230"/>
      <c r="BJ73" s="239" t="e">
        <v>#N/A</v>
      </c>
      <c r="BK73" s="240" t="e">
        <v>#N/A</v>
      </c>
      <c r="BL73" s="230"/>
      <c r="BM73" s="241" t="e">
        <v>#N/A</v>
      </c>
      <c r="BN73" s="241" t="e">
        <v>#N/A</v>
      </c>
      <c r="BO73" s="241" t="e">
        <v>#N/A</v>
      </c>
      <c r="BP73" s="241" t="e">
        <v>#N/A</v>
      </c>
      <c r="BQ73" s="241" t="e">
        <v>#N/A</v>
      </c>
      <c r="BR73" s="241" t="e">
        <v>#N/A</v>
      </c>
      <c r="BS73" s="241" t="e">
        <v>#N/A</v>
      </c>
      <c r="BT73" s="241" t="e">
        <v>#N/A</v>
      </c>
      <c r="BU73" s="241" t="e">
        <v>#N/A</v>
      </c>
      <c r="BV73" s="241" t="e">
        <v>#N/A</v>
      </c>
      <c r="BW73" s="230"/>
      <c r="BX73" s="232" t="e">
        <v>#N/A</v>
      </c>
      <c r="BY73" s="232" t="e">
        <v>#N/A</v>
      </c>
      <c r="BZ73" s="232" t="e">
        <v>#N/A</v>
      </c>
      <c r="CA73" s="232" t="e">
        <v>#N/A</v>
      </c>
      <c r="CB73" s="232" t="e">
        <v>#N/A</v>
      </c>
      <c r="CC73" s="232" t="e">
        <v>#N/A</v>
      </c>
      <c r="CD73" s="232" t="e">
        <v>#N/A</v>
      </c>
      <c r="CE73" s="232" t="e">
        <v>#N/A</v>
      </c>
      <c r="CF73" s="232" t="e">
        <v>#N/A</v>
      </c>
      <c r="CG73" s="232" t="e">
        <v>#N/A</v>
      </c>
      <c r="CH73" s="230"/>
      <c r="CI73" s="232" t="e">
        <v>#N/A</v>
      </c>
      <c r="CJ73" s="232" t="e">
        <v>#N/A</v>
      </c>
      <c r="CK73" s="232" t="e">
        <v>#N/A</v>
      </c>
      <c r="CL73" s="232" t="e">
        <v>#N/A</v>
      </c>
      <c r="CM73" s="232" t="e">
        <v>#N/A</v>
      </c>
      <c r="CN73" s="232" t="e">
        <v>#N/A</v>
      </c>
      <c r="CO73" s="232" t="e">
        <v>#N/A</v>
      </c>
      <c r="CP73" s="232" t="e">
        <v>#N/A</v>
      </c>
      <c r="CQ73" s="232" t="e">
        <v>#N/A</v>
      </c>
      <c r="CR73" s="232" t="e">
        <v>#N/A</v>
      </c>
      <c r="CS73" s="230"/>
      <c r="CT73" s="232" t="e">
        <v>#N/A</v>
      </c>
      <c r="CU73" s="232" t="e">
        <v>#N/A</v>
      </c>
      <c r="CV73" s="232" t="e">
        <v>#N/A</v>
      </c>
      <c r="CW73" s="232" t="e">
        <v>#N/A</v>
      </c>
      <c r="CX73" s="232" t="e">
        <v>#N/A</v>
      </c>
      <c r="CY73" s="232" t="e">
        <v>#N/A</v>
      </c>
      <c r="CZ73" s="232" t="e">
        <v>#N/A</v>
      </c>
      <c r="DA73" s="232" t="e">
        <v>#N/A</v>
      </c>
      <c r="DB73" s="232" t="e">
        <v>#N/A</v>
      </c>
      <c r="DC73" s="232" t="e">
        <v>#N/A</v>
      </c>
      <c r="DD73" s="230"/>
      <c r="DE73" s="232" t="e">
        <v>#N/A</v>
      </c>
      <c r="DF73" s="232" t="e">
        <v>#N/A</v>
      </c>
      <c r="DG73" s="232" t="e">
        <v>#N/A</v>
      </c>
      <c r="DH73" s="230"/>
      <c r="DI73" s="230"/>
      <c r="DJ73" s="172" t="s">
        <v>277</v>
      </c>
    </row>
    <row r="74" spans="1:114" x14ac:dyDescent="0.25">
      <c r="A74" s="225" t="s">
        <v>729</v>
      </c>
      <c r="B74" s="226" t="s">
        <v>397</v>
      </c>
      <c r="C74" s="227" t="s">
        <v>480</v>
      </c>
      <c r="D74" s="228" t="str">
        <f t="shared" si="1"/>
        <v>1471388D IN Equity</v>
      </c>
      <c r="E74" s="229"/>
      <c r="F74" s="230"/>
      <c r="G74" s="231" t="e">
        <v>#N/A</v>
      </c>
      <c r="H74" s="232" t="e">
        <v>#N/A</v>
      </c>
      <c r="I74" s="230"/>
      <c r="J74" s="231" t="e">
        <v>#N/A</v>
      </c>
      <c r="K74" s="232" t="e">
        <v>#N/A</v>
      </c>
      <c r="L74" s="230"/>
      <c r="M74" s="233" t="e">
        <v>#N/A</v>
      </c>
      <c r="N74" s="233" t="e">
        <v>#N/A</v>
      </c>
      <c r="O74" s="233" t="e">
        <v>#N/A</v>
      </c>
      <c r="P74" s="233" t="e">
        <v>#N/A</v>
      </c>
      <c r="Q74" s="230"/>
      <c r="R74" s="234" t="e">
        <v>#N/A</v>
      </c>
      <c r="S74" s="234" t="e">
        <v>#N/A</v>
      </c>
      <c r="T74" s="230"/>
      <c r="U74" s="234" t="e">
        <v>#N/A</v>
      </c>
      <c r="V74" s="234" t="e">
        <v>#N/A</v>
      </c>
      <c r="W74" s="234" t="e">
        <v>#N/A</v>
      </c>
      <c r="X74" s="234" t="e">
        <v>#N/A</v>
      </c>
      <c r="Y74" s="234" t="e">
        <v>#N/A</v>
      </c>
      <c r="Z74" s="234" t="e">
        <v>#N/A</v>
      </c>
      <c r="AA74" s="234">
        <v>0.15007349236147255</v>
      </c>
      <c r="AB74" s="234" t="e">
        <v>#N/A</v>
      </c>
      <c r="AC74" s="230"/>
      <c r="AD74" s="232">
        <v>-268.69900000000001</v>
      </c>
      <c r="AE74" s="232">
        <v>-268.69900000000001</v>
      </c>
      <c r="AF74" s="232">
        <v>0</v>
      </c>
      <c r="AG74" s="232">
        <v>-106.095</v>
      </c>
      <c r="AH74" s="235">
        <v>-374.79399999999998</v>
      </c>
      <c r="AI74" s="230"/>
      <c r="AJ74" s="232">
        <v>1242.328</v>
      </c>
      <c r="AK74" s="232">
        <v>202.499</v>
      </c>
      <c r="AL74" s="235">
        <v>1444.827</v>
      </c>
      <c r="AM74" s="230"/>
      <c r="AN74" s="231">
        <v>14.321710655999999</v>
      </c>
      <c r="AO74" s="232">
        <v>1176.1279999999999</v>
      </c>
      <c r="AP74" s="236">
        <v>1.1774974295105207</v>
      </c>
      <c r="AQ74" s="230"/>
      <c r="AR74" s="237" t="e">
        <v>#N/A</v>
      </c>
      <c r="AS74" s="237" t="e">
        <v>#N/A</v>
      </c>
      <c r="AT74" s="237" t="e">
        <v>#N/A</v>
      </c>
      <c r="AU74" s="230"/>
      <c r="AV74" s="234" t="e">
        <v>#N/A</v>
      </c>
      <c r="AW74" s="234" t="e">
        <v>#N/A</v>
      </c>
      <c r="AX74" s="234" t="e">
        <v>#N/A</v>
      </c>
      <c r="AY74" s="234" t="e">
        <v>#N/A</v>
      </c>
      <c r="AZ74" s="230"/>
      <c r="BA74" s="232">
        <v>51.146000000000001</v>
      </c>
      <c r="BB74" s="230"/>
      <c r="BC74" s="232" t="e">
        <v>#N/A</v>
      </c>
      <c r="BD74" s="232" t="e">
        <v>#N/A</v>
      </c>
      <c r="BE74" s="230"/>
      <c r="BF74" s="238" t="e">
        <v>#N/A</v>
      </c>
      <c r="BG74" s="238" t="e">
        <v>#N/A</v>
      </c>
      <c r="BH74" s="238" t="e">
        <v>#N/A</v>
      </c>
      <c r="BI74" s="230"/>
      <c r="BJ74" s="239" t="e">
        <v>#N/A</v>
      </c>
      <c r="BK74" s="240" t="e">
        <v>#N/A</v>
      </c>
      <c r="BL74" s="230"/>
      <c r="BM74" s="241">
        <v>16.309999999999999</v>
      </c>
      <c r="BN74" s="241">
        <v>102.81</v>
      </c>
      <c r="BO74" s="241" t="e">
        <v>#N/A</v>
      </c>
      <c r="BP74" s="241">
        <v>133.68</v>
      </c>
      <c r="BQ74" s="241" t="e">
        <v>#N/A</v>
      </c>
      <c r="BR74" s="241" t="e">
        <v>#N/A</v>
      </c>
      <c r="BS74" s="241" t="e">
        <v>#N/A</v>
      </c>
      <c r="BT74" s="241" t="e">
        <v>#N/A</v>
      </c>
      <c r="BU74" s="241" t="e">
        <v>#N/A</v>
      </c>
      <c r="BV74" s="241" t="e">
        <v>#N/A</v>
      </c>
      <c r="BW74" s="230"/>
      <c r="BX74" s="232">
        <v>79.058655999999999</v>
      </c>
      <c r="BY74" s="232">
        <v>556.95396300000004</v>
      </c>
      <c r="BZ74" s="232" t="e">
        <v>#N/A</v>
      </c>
      <c r="CA74" s="232">
        <v>678.37699999999995</v>
      </c>
      <c r="CB74" s="232" t="e">
        <v>#N/A</v>
      </c>
      <c r="CC74" s="232" t="e">
        <v>#N/A</v>
      </c>
      <c r="CD74" s="232" t="e">
        <v>#N/A</v>
      </c>
      <c r="CE74" s="232" t="e">
        <v>#N/A</v>
      </c>
      <c r="CF74" s="232" t="e">
        <v>#N/A</v>
      </c>
      <c r="CG74" s="232" t="e">
        <v>#N/A</v>
      </c>
      <c r="CH74" s="230"/>
      <c r="CI74" s="232">
        <v>281.84855600000009</v>
      </c>
      <c r="CJ74" s="232">
        <v>821.00467800000001</v>
      </c>
      <c r="CK74" s="232" t="e">
        <v>#N/A</v>
      </c>
      <c r="CL74" s="232">
        <v>998.83699999999999</v>
      </c>
      <c r="CM74" s="232" t="e">
        <v>#N/A</v>
      </c>
      <c r="CN74" s="232" t="e">
        <v>#N/A</v>
      </c>
      <c r="CO74" s="232" t="e">
        <v>#N/A</v>
      </c>
      <c r="CP74" s="232" t="e">
        <v>#N/A</v>
      </c>
      <c r="CQ74" s="232" t="e">
        <v>#N/A</v>
      </c>
      <c r="CR74" s="232" t="e">
        <v>#N/A</v>
      </c>
      <c r="CS74" s="230"/>
      <c r="CT74" s="232">
        <v>2378.7317979999998</v>
      </c>
      <c r="CU74" s="232">
        <v>3532.2325080000001</v>
      </c>
      <c r="CV74" s="232" t="e">
        <v>#N/A</v>
      </c>
      <c r="CW74" s="232">
        <v>4825.107</v>
      </c>
      <c r="CX74" s="232" t="e">
        <v>#N/A</v>
      </c>
      <c r="CY74" s="232" t="e">
        <v>#N/A</v>
      </c>
      <c r="CZ74" s="232" t="e">
        <v>#N/A</v>
      </c>
      <c r="DA74" s="232" t="e">
        <v>#N/A</v>
      </c>
      <c r="DB74" s="232" t="e">
        <v>#N/A</v>
      </c>
      <c r="DC74" s="232" t="e">
        <v>#N/A</v>
      </c>
      <c r="DD74" s="230"/>
      <c r="DE74" s="232" t="e">
        <v>#N/A</v>
      </c>
      <c r="DF74" s="232" t="e">
        <v>#N/A</v>
      </c>
      <c r="DG74" s="232">
        <v>0</v>
      </c>
      <c r="DH74" s="230"/>
      <c r="DI74" s="230"/>
      <c r="DJ74" s="172" t="s">
        <v>277</v>
      </c>
    </row>
    <row r="75" spans="1:114" ht="14.4" x14ac:dyDescent="0.25">
      <c r="A75" s="225" t="s">
        <v>729</v>
      </c>
      <c r="B75" s="226" t="s">
        <v>790</v>
      </c>
      <c r="C75" s="243" t="s">
        <v>486</v>
      </c>
      <c r="D75" s="228" t="str">
        <f t="shared" si="1"/>
        <v>6594164Z IN Equity</v>
      </c>
      <c r="E75" s="229"/>
      <c r="F75" s="230"/>
      <c r="G75" s="231" t="e">
        <v>#N/A</v>
      </c>
      <c r="H75" s="232" t="e">
        <v>#N/A</v>
      </c>
      <c r="I75" s="230"/>
      <c r="J75" s="231" t="e">
        <v>#N/A</v>
      </c>
      <c r="K75" s="232" t="e">
        <v>#N/A</v>
      </c>
      <c r="L75" s="230"/>
      <c r="M75" s="233" t="e">
        <v>#N/A</v>
      </c>
      <c r="N75" s="233" t="e">
        <v>#N/A</v>
      </c>
      <c r="O75" s="233" t="e">
        <v>#N/A</v>
      </c>
      <c r="P75" s="233" t="e">
        <v>#N/A</v>
      </c>
      <c r="Q75" s="230"/>
      <c r="R75" s="234" t="e">
        <v>#N/A</v>
      </c>
      <c r="S75" s="234" t="e">
        <v>#N/A</v>
      </c>
      <c r="T75" s="230"/>
      <c r="U75" s="234" t="e">
        <v>#N/A</v>
      </c>
      <c r="V75" s="234" t="e">
        <v>#N/A</v>
      </c>
      <c r="W75" s="234" t="e">
        <v>#N/A</v>
      </c>
      <c r="X75" s="234" t="e">
        <v>#N/A</v>
      </c>
      <c r="Y75" s="234" t="e">
        <v>#N/A</v>
      </c>
      <c r="Z75" s="234" t="e">
        <v>#N/A</v>
      </c>
      <c r="AA75" s="234" t="e">
        <v>#N/A</v>
      </c>
      <c r="AB75" s="234" t="e">
        <v>#N/A</v>
      </c>
      <c r="AC75" s="230"/>
      <c r="AD75" s="232" t="e">
        <v>#N/A</v>
      </c>
      <c r="AE75" s="232" t="e">
        <v>#N/A</v>
      </c>
      <c r="AF75" s="232" t="e">
        <v>#N/A</v>
      </c>
      <c r="AG75" s="232" t="e">
        <v>#N/A</v>
      </c>
      <c r="AH75" s="235" t="e">
        <v>#N/A</v>
      </c>
      <c r="AI75" s="230"/>
      <c r="AJ75" s="232" t="e">
        <v>#N/A</v>
      </c>
      <c r="AK75" s="232" t="e">
        <v>#N/A</v>
      </c>
      <c r="AL75" s="235" t="e">
        <v>#N/A</v>
      </c>
      <c r="AM75" s="230"/>
      <c r="AN75" s="231" t="e">
        <v>#N/A</v>
      </c>
      <c r="AO75" s="232" t="e">
        <v>#N/A</v>
      </c>
      <c r="AP75" s="236" t="e">
        <v>#N/A</v>
      </c>
      <c r="AQ75" s="230"/>
      <c r="AR75" s="237" t="e">
        <v>#N/A</v>
      </c>
      <c r="AS75" s="237" t="e">
        <v>#N/A</v>
      </c>
      <c r="AT75" s="237" t="e">
        <v>#N/A</v>
      </c>
      <c r="AU75" s="230"/>
      <c r="AV75" s="234" t="e">
        <v>#N/A</v>
      </c>
      <c r="AW75" s="234" t="e">
        <v>#N/A</v>
      </c>
      <c r="AX75" s="234" t="e">
        <v>#N/A</v>
      </c>
      <c r="AY75" s="234" t="e">
        <v>#N/A</v>
      </c>
      <c r="AZ75" s="230"/>
      <c r="BA75" s="232" t="e">
        <v>#N/A</v>
      </c>
      <c r="BB75" s="230"/>
      <c r="BC75" s="232" t="e">
        <v>#N/A</v>
      </c>
      <c r="BD75" s="232" t="e">
        <v>#N/A</v>
      </c>
      <c r="BE75" s="230"/>
      <c r="BF75" s="238" t="e">
        <v>#N/A</v>
      </c>
      <c r="BG75" s="238" t="e">
        <v>#N/A</v>
      </c>
      <c r="BH75" s="238" t="e">
        <v>#N/A</v>
      </c>
      <c r="BI75" s="230"/>
      <c r="BJ75" s="239" t="e">
        <v>#N/A</v>
      </c>
      <c r="BK75" s="240" t="e">
        <v>#N/A</v>
      </c>
      <c r="BL75" s="230"/>
      <c r="BM75" s="241" t="e">
        <v>#N/A</v>
      </c>
      <c r="BN75" s="241" t="e">
        <v>#N/A</v>
      </c>
      <c r="BO75" s="241" t="e">
        <v>#N/A</v>
      </c>
      <c r="BP75" s="241" t="e">
        <v>#N/A</v>
      </c>
      <c r="BQ75" s="241" t="e">
        <v>#N/A</v>
      </c>
      <c r="BR75" s="241" t="e">
        <v>#N/A</v>
      </c>
      <c r="BS75" s="241" t="e">
        <v>#N/A</v>
      </c>
      <c r="BT75" s="241" t="e">
        <v>#N/A</v>
      </c>
      <c r="BU75" s="241" t="e">
        <v>#N/A</v>
      </c>
      <c r="BV75" s="241" t="e">
        <v>#N/A</v>
      </c>
      <c r="BW75" s="230"/>
      <c r="BX75" s="232" t="e">
        <v>#N/A</v>
      </c>
      <c r="BY75" s="232" t="e">
        <v>#N/A</v>
      </c>
      <c r="BZ75" s="232" t="e">
        <v>#N/A</v>
      </c>
      <c r="CA75" s="232" t="e">
        <v>#N/A</v>
      </c>
      <c r="CB75" s="232" t="e">
        <v>#N/A</v>
      </c>
      <c r="CC75" s="232" t="e">
        <v>#N/A</v>
      </c>
      <c r="CD75" s="232" t="e">
        <v>#N/A</v>
      </c>
      <c r="CE75" s="232" t="e">
        <v>#N/A</v>
      </c>
      <c r="CF75" s="232" t="e">
        <v>#N/A</v>
      </c>
      <c r="CG75" s="232" t="e">
        <v>#N/A</v>
      </c>
      <c r="CH75" s="230"/>
      <c r="CI75" s="232" t="e">
        <v>#N/A</v>
      </c>
      <c r="CJ75" s="232" t="e">
        <v>#N/A</v>
      </c>
      <c r="CK75" s="232" t="e">
        <v>#N/A</v>
      </c>
      <c r="CL75" s="232" t="e">
        <v>#N/A</v>
      </c>
      <c r="CM75" s="232" t="e">
        <v>#N/A</v>
      </c>
      <c r="CN75" s="232" t="e">
        <v>#N/A</v>
      </c>
      <c r="CO75" s="232" t="e">
        <v>#N/A</v>
      </c>
      <c r="CP75" s="232" t="e">
        <v>#N/A</v>
      </c>
      <c r="CQ75" s="232" t="e">
        <v>#N/A</v>
      </c>
      <c r="CR75" s="232" t="e">
        <v>#N/A</v>
      </c>
      <c r="CS75" s="230"/>
      <c r="CT75" s="232" t="e">
        <v>#N/A</v>
      </c>
      <c r="CU75" s="232" t="e">
        <v>#N/A</v>
      </c>
      <c r="CV75" s="232" t="e">
        <v>#N/A</v>
      </c>
      <c r="CW75" s="232" t="e">
        <v>#N/A</v>
      </c>
      <c r="CX75" s="232" t="e">
        <v>#N/A</v>
      </c>
      <c r="CY75" s="232" t="e">
        <v>#N/A</v>
      </c>
      <c r="CZ75" s="232" t="e">
        <v>#N/A</v>
      </c>
      <c r="DA75" s="232" t="e">
        <v>#N/A</v>
      </c>
      <c r="DB75" s="232" t="e">
        <v>#N/A</v>
      </c>
      <c r="DC75" s="232" t="e">
        <v>#N/A</v>
      </c>
      <c r="DD75" s="230"/>
      <c r="DE75" s="232" t="e">
        <v>#N/A</v>
      </c>
      <c r="DF75" s="232" t="e">
        <v>#N/A</v>
      </c>
      <c r="DG75" s="232" t="e">
        <v>#N/A</v>
      </c>
      <c r="DH75" s="230"/>
      <c r="DI75" s="230"/>
      <c r="DJ75" s="172" t="s">
        <v>277</v>
      </c>
    </row>
    <row r="76" spans="1:114" x14ac:dyDescent="0.25">
      <c r="A76" s="225" t="s">
        <v>729</v>
      </c>
      <c r="B76" s="226" t="s">
        <v>791</v>
      </c>
      <c r="C76" s="227" t="s">
        <v>481</v>
      </c>
      <c r="D76" s="228" t="str">
        <f t="shared" si="1"/>
        <v>1537114D IN Equity</v>
      </c>
      <c r="E76" s="229"/>
      <c r="F76" s="230"/>
      <c r="G76" s="231" t="e">
        <v>#N/A</v>
      </c>
      <c r="H76" s="232" t="e">
        <v>#N/A</v>
      </c>
      <c r="I76" s="230"/>
      <c r="J76" s="231" t="e">
        <v>#N/A</v>
      </c>
      <c r="K76" s="232" t="e">
        <v>#N/A</v>
      </c>
      <c r="L76" s="230"/>
      <c r="M76" s="233" t="e">
        <v>#N/A</v>
      </c>
      <c r="N76" s="233" t="e">
        <v>#N/A</v>
      </c>
      <c r="O76" s="233" t="e">
        <v>#N/A</v>
      </c>
      <c r="P76" s="233" t="e">
        <v>#N/A</v>
      </c>
      <c r="Q76" s="230"/>
      <c r="R76" s="234" t="e">
        <v>#N/A</v>
      </c>
      <c r="S76" s="234" t="e">
        <v>#N/A</v>
      </c>
      <c r="T76" s="230"/>
      <c r="U76" s="234" t="e">
        <v>#N/A</v>
      </c>
      <c r="V76" s="234" t="e">
        <v>#N/A</v>
      </c>
      <c r="W76" s="234" t="e">
        <v>#N/A</v>
      </c>
      <c r="X76" s="234" t="e">
        <v>#N/A</v>
      </c>
      <c r="Y76" s="234" t="e">
        <v>#N/A</v>
      </c>
      <c r="Z76" s="234" t="e">
        <v>#N/A</v>
      </c>
      <c r="AA76" s="234" t="e">
        <v>#N/A</v>
      </c>
      <c r="AB76" s="234" t="e">
        <v>#N/A</v>
      </c>
      <c r="AC76" s="230"/>
      <c r="AD76" s="232" t="e">
        <v>#N/A</v>
      </c>
      <c r="AE76" s="232" t="e">
        <v>#N/A</v>
      </c>
      <c r="AF76" s="232" t="e">
        <v>#N/A</v>
      </c>
      <c r="AG76" s="232" t="e">
        <v>#N/A</v>
      </c>
      <c r="AH76" s="235" t="e">
        <v>#N/A</v>
      </c>
      <c r="AI76" s="230"/>
      <c r="AJ76" s="232" t="e">
        <v>#N/A</v>
      </c>
      <c r="AK76" s="232" t="e">
        <v>#N/A</v>
      </c>
      <c r="AL76" s="235" t="e">
        <v>#N/A</v>
      </c>
      <c r="AM76" s="230"/>
      <c r="AN76" s="231" t="e">
        <v>#N/A</v>
      </c>
      <c r="AO76" s="232" t="e">
        <v>#N/A</v>
      </c>
      <c r="AP76" s="236" t="e">
        <v>#N/A</v>
      </c>
      <c r="AQ76" s="230"/>
      <c r="AR76" s="237" t="e">
        <v>#N/A</v>
      </c>
      <c r="AS76" s="237" t="e">
        <v>#N/A</v>
      </c>
      <c r="AT76" s="237" t="e">
        <v>#N/A</v>
      </c>
      <c r="AU76" s="230"/>
      <c r="AV76" s="234" t="e">
        <v>#N/A</v>
      </c>
      <c r="AW76" s="234" t="e">
        <v>#N/A</v>
      </c>
      <c r="AX76" s="234" t="e">
        <v>#N/A</v>
      </c>
      <c r="AY76" s="234" t="e">
        <v>#N/A</v>
      </c>
      <c r="AZ76" s="230"/>
      <c r="BA76" s="232" t="e">
        <v>#N/A</v>
      </c>
      <c r="BB76" s="230"/>
      <c r="BC76" s="232" t="e">
        <v>#N/A</v>
      </c>
      <c r="BD76" s="232" t="e">
        <v>#N/A</v>
      </c>
      <c r="BE76" s="230"/>
      <c r="BF76" s="238" t="e">
        <v>#N/A</v>
      </c>
      <c r="BG76" s="238" t="e">
        <v>#N/A</v>
      </c>
      <c r="BH76" s="238" t="e">
        <v>#N/A</v>
      </c>
      <c r="BI76" s="230"/>
      <c r="BJ76" s="239" t="e">
        <v>#N/A</v>
      </c>
      <c r="BK76" s="240" t="e">
        <v>#N/A</v>
      </c>
      <c r="BL76" s="230"/>
      <c r="BM76" s="241" t="e">
        <v>#N/A</v>
      </c>
      <c r="BN76" s="241" t="e">
        <v>#N/A</v>
      </c>
      <c r="BO76" s="241" t="e">
        <v>#N/A</v>
      </c>
      <c r="BP76" s="241" t="e">
        <v>#N/A</v>
      </c>
      <c r="BQ76" s="241" t="e">
        <v>#N/A</v>
      </c>
      <c r="BR76" s="241" t="e">
        <v>#N/A</v>
      </c>
      <c r="BS76" s="241" t="e">
        <v>#N/A</v>
      </c>
      <c r="BT76" s="241" t="e">
        <v>#N/A</v>
      </c>
      <c r="BU76" s="241" t="e">
        <v>#N/A</v>
      </c>
      <c r="BV76" s="241" t="e">
        <v>#N/A</v>
      </c>
      <c r="BW76" s="230"/>
      <c r="BX76" s="232" t="e">
        <v>#N/A</v>
      </c>
      <c r="BY76" s="232" t="e">
        <v>#N/A</v>
      </c>
      <c r="BZ76" s="232" t="e">
        <v>#N/A</v>
      </c>
      <c r="CA76" s="232" t="e">
        <v>#N/A</v>
      </c>
      <c r="CB76" s="232" t="e">
        <v>#N/A</v>
      </c>
      <c r="CC76" s="232" t="e">
        <v>#N/A</v>
      </c>
      <c r="CD76" s="232" t="e">
        <v>#N/A</v>
      </c>
      <c r="CE76" s="232" t="e">
        <v>#N/A</v>
      </c>
      <c r="CF76" s="232" t="e">
        <v>#N/A</v>
      </c>
      <c r="CG76" s="232" t="e">
        <v>#N/A</v>
      </c>
      <c r="CH76" s="230"/>
      <c r="CI76" s="232" t="e">
        <v>#N/A</v>
      </c>
      <c r="CJ76" s="232" t="e">
        <v>#N/A</v>
      </c>
      <c r="CK76" s="232" t="e">
        <v>#N/A</v>
      </c>
      <c r="CL76" s="232" t="e">
        <v>#N/A</v>
      </c>
      <c r="CM76" s="232" t="e">
        <v>#N/A</v>
      </c>
      <c r="CN76" s="232" t="e">
        <v>#N/A</v>
      </c>
      <c r="CO76" s="232" t="e">
        <v>#N/A</v>
      </c>
      <c r="CP76" s="232" t="e">
        <v>#N/A</v>
      </c>
      <c r="CQ76" s="232" t="e">
        <v>#N/A</v>
      </c>
      <c r="CR76" s="232" t="e">
        <v>#N/A</v>
      </c>
      <c r="CS76" s="230"/>
      <c r="CT76" s="232" t="e">
        <v>#N/A</v>
      </c>
      <c r="CU76" s="232" t="e">
        <v>#N/A</v>
      </c>
      <c r="CV76" s="232" t="e">
        <v>#N/A</v>
      </c>
      <c r="CW76" s="232" t="e">
        <v>#N/A</v>
      </c>
      <c r="CX76" s="232" t="e">
        <v>#N/A</v>
      </c>
      <c r="CY76" s="232" t="e">
        <v>#N/A</v>
      </c>
      <c r="CZ76" s="232" t="e">
        <v>#N/A</v>
      </c>
      <c r="DA76" s="232" t="e">
        <v>#N/A</v>
      </c>
      <c r="DB76" s="232" t="e">
        <v>#N/A</v>
      </c>
      <c r="DC76" s="232" t="e">
        <v>#N/A</v>
      </c>
      <c r="DD76" s="230"/>
      <c r="DE76" s="232" t="e">
        <v>#N/A</v>
      </c>
      <c r="DF76" s="232" t="e">
        <v>#N/A</v>
      </c>
      <c r="DG76" s="232" t="e">
        <v>#N/A</v>
      </c>
      <c r="DH76" s="230"/>
      <c r="DI76" s="230"/>
      <c r="DJ76" s="172" t="s">
        <v>277</v>
      </c>
    </row>
    <row r="77" spans="1:114" x14ac:dyDescent="0.25">
      <c r="A77" s="225" t="s">
        <v>729</v>
      </c>
      <c r="B77" s="226" t="s">
        <v>792</v>
      </c>
      <c r="C77" s="227" t="s">
        <v>482</v>
      </c>
      <c r="D77" s="228" t="str">
        <f t="shared" si="1"/>
        <v>0496525D IN Equity</v>
      </c>
      <c r="E77" s="229"/>
      <c r="F77" s="230"/>
      <c r="G77" s="231" t="e">
        <v>#N/A</v>
      </c>
      <c r="H77" s="232" t="e">
        <v>#N/A</v>
      </c>
      <c r="I77" s="230"/>
      <c r="J77" s="231" t="e">
        <v>#N/A</v>
      </c>
      <c r="K77" s="232" t="e">
        <v>#N/A</v>
      </c>
      <c r="L77" s="230"/>
      <c r="M77" s="233" t="e">
        <v>#N/A</v>
      </c>
      <c r="N77" s="233" t="e">
        <v>#N/A</v>
      </c>
      <c r="O77" s="233" t="e">
        <v>#N/A</v>
      </c>
      <c r="P77" s="233" t="e">
        <v>#N/A</v>
      </c>
      <c r="Q77" s="230"/>
      <c r="R77" s="234" t="e">
        <v>#N/A</v>
      </c>
      <c r="S77" s="234" t="e">
        <v>#N/A</v>
      </c>
      <c r="T77" s="230"/>
      <c r="U77" s="234" t="e">
        <v>#N/A</v>
      </c>
      <c r="V77" s="234" t="e">
        <v>#N/A</v>
      </c>
      <c r="W77" s="234" t="e">
        <v>#N/A</v>
      </c>
      <c r="X77" s="234" t="e">
        <v>#N/A</v>
      </c>
      <c r="Y77" s="234" t="e">
        <v>#N/A</v>
      </c>
      <c r="Z77" s="234" t="e">
        <v>#N/A</v>
      </c>
      <c r="AA77" s="234">
        <v>4.3137366432909247E-2</v>
      </c>
      <c r="AB77" s="234" t="e">
        <v>#N/A</v>
      </c>
      <c r="AC77" s="230"/>
      <c r="AD77" s="232">
        <v>-145.64699999999999</v>
      </c>
      <c r="AE77" s="232">
        <v>-145.64699999999999</v>
      </c>
      <c r="AF77" s="232">
        <v>0</v>
      </c>
      <c r="AG77" s="232">
        <v>0</v>
      </c>
      <c r="AH77" s="235">
        <v>-145.64699999999999</v>
      </c>
      <c r="AI77" s="230"/>
      <c r="AJ77" s="232">
        <v>542.41899999999998</v>
      </c>
      <c r="AK77" s="232">
        <v>437.572</v>
      </c>
      <c r="AL77" s="235">
        <v>979.99099999999999</v>
      </c>
      <c r="AM77" s="230"/>
      <c r="AN77" s="231">
        <v>11.403813791999999</v>
      </c>
      <c r="AO77" s="232">
        <v>834.34400000000005</v>
      </c>
      <c r="AP77" s="236">
        <v>3.0037765737223912</v>
      </c>
      <c r="AQ77" s="230"/>
      <c r="AR77" s="237" t="e">
        <v>#N/A</v>
      </c>
      <c r="AS77" s="237" t="e">
        <v>#N/A</v>
      </c>
      <c r="AT77" s="237" t="e">
        <v>#N/A</v>
      </c>
      <c r="AU77" s="230"/>
      <c r="AV77" s="234" t="e">
        <v>#N/A</v>
      </c>
      <c r="AW77" s="234" t="e">
        <v>#N/A</v>
      </c>
      <c r="AX77" s="234" t="e">
        <v>#N/A</v>
      </c>
      <c r="AY77" s="234" t="e">
        <v>#N/A</v>
      </c>
      <c r="AZ77" s="230"/>
      <c r="BA77" s="232">
        <v>0</v>
      </c>
      <c r="BB77" s="230"/>
      <c r="BC77" s="232" t="e">
        <v>#N/A</v>
      </c>
      <c r="BD77" s="232" t="e">
        <v>#N/A</v>
      </c>
      <c r="BE77" s="230"/>
      <c r="BF77" s="238" t="e">
        <v>#N/A</v>
      </c>
      <c r="BG77" s="238" t="e">
        <v>#N/A</v>
      </c>
      <c r="BH77" s="238" t="e">
        <v>#N/A</v>
      </c>
      <c r="BI77" s="230"/>
      <c r="BJ77" s="239" t="e">
        <v>#N/A</v>
      </c>
      <c r="BK77" s="240" t="e">
        <v>#N/A</v>
      </c>
      <c r="BL77" s="230"/>
      <c r="BM77" s="241" t="e">
        <v>#N/A</v>
      </c>
      <c r="BN77" s="241">
        <v>3.68</v>
      </c>
      <c r="BO77" s="241" t="e">
        <v>#N/A</v>
      </c>
      <c r="BP77" s="241" t="e">
        <v>#N/A</v>
      </c>
      <c r="BQ77" s="241" t="e">
        <v>#N/A</v>
      </c>
      <c r="BR77" s="241" t="e">
        <v>#N/A</v>
      </c>
      <c r="BS77" s="241" t="e">
        <v>#N/A</v>
      </c>
      <c r="BT77" s="241" t="e">
        <v>#N/A</v>
      </c>
      <c r="BU77" s="241" t="e">
        <v>#N/A</v>
      </c>
      <c r="BV77" s="241" t="e">
        <v>#N/A</v>
      </c>
      <c r="BW77" s="230"/>
      <c r="BX77" s="232" t="e">
        <v>#N/A</v>
      </c>
      <c r="BY77" s="232">
        <v>20.802</v>
      </c>
      <c r="BZ77" s="232" t="e">
        <v>#N/A</v>
      </c>
      <c r="CA77" s="232" t="e">
        <v>#N/A</v>
      </c>
      <c r="CB77" s="232" t="e">
        <v>#N/A</v>
      </c>
      <c r="CC77" s="232" t="e">
        <v>#N/A</v>
      </c>
      <c r="CD77" s="232" t="e">
        <v>#N/A</v>
      </c>
      <c r="CE77" s="232" t="e">
        <v>#N/A</v>
      </c>
      <c r="CF77" s="232" t="e">
        <v>#N/A</v>
      </c>
      <c r="CG77" s="232" t="e">
        <v>#N/A</v>
      </c>
      <c r="CH77" s="230"/>
      <c r="CI77" s="232" t="e">
        <v>#N/A</v>
      </c>
      <c r="CJ77" s="232">
        <v>277.76499999999999</v>
      </c>
      <c r="CK77" s="232" t="e">
        <v>#N/A</v>
      </c>
      <c r="CL77" s="232" t="e">
        <v>#N/A</v>
      </c>
      <c r="CM77" s="232" t="e">
        <v>#N/A</v>
      </c>
      <c r="CN77" s="232" t="e">
        <v>#N/A</v>
      </c>
      <c r="CO77" s="232" t="e">
        <v>#N/A</v>
      </c>
      <c r="CP77" s="232" t="e">
        <v>#N/A</v>
      </c>
      <c r="CQ77" s="232" t="e">
        <v>#N/A</v>
      </c>
      <c r="CR77" s="232" t="e">
        <v>#N/A</v>
      </c>
      <c r="CS77" s="230"/>
      <c r="CT77" s="232" t="e">
        <v>#N/A</v>
      </c>
      <c r="CU77" s="232">
        <v>1242.3610000000001</v>
      </c>
      <c r="CV77" s="232" t="e">
        <v>#N/A</v>
      </c>
      <c r="CW77" s="232" t="e">
        <v>#N/A</v>
      </c>
      <c r="CX77" s="232" t="e">
        <v>#N/A</v>
      </c>
      <c r="CY77" s="232" t="e">
        <v>#N/A</v>
      </c>
      <c r="CZ77" s="232" t="e">
        <v>#N/A</v>
      </c>
      <c r="DA77" s="232" t="e">
        <v>#N/A</v>
      </c>
      <c r="DB77" s="232" t="e">
        <v>#N/A</v>
      </c>
      <c r="DC77" s="232" t="e">
        <v>#N/A</v>
      </c>
      <c r="DD77" s="230"/>
      <c r="DE77" s="232" t="e">
        <v>#N/A</v>
      </c>
      <c r="DF77" s="232">
        <v>0</v>
      </c>
      <c r="DG77" s="232">
        <v>0</v>
      </c>
      <c r="DH77" s="230"/>
      <c r="DI77" s="230"/>
      <c r="DJ77" s="172" t="s">
        <v>277</v>
      </c>
    </row>
    <row r="78" spans="1:114" x14ac:dyDescent="0.25">
      <c r="A78" s="225" t="s">
        <v>729</v>
      </c>
      <c r="B78" s="226" t="s">
        <v>793</v>
      </c>
      <c r="C78" s="227" t="s">
        <v>483</v>
      </c>
      <c r="D78" s="228" t="str">
        <f t="shared" si="1"/>
        <v>1606516D IN Equity</v>
      </c>
      <c r="E78" s="229"/>
      <c r="F78" s="230"/>
      <c r="G78" s="231" t="e">
        <v>#N/A</v>
      </c>
      <c r="H78" s="232" t="e">
        <v>#N/A</v>
      </c>
      <c r="I78" s="230"/>
      <c r="J78" s="231" t="e">
        <v>#N/A</v>
      </c>
      <c r="K78" s="232" t="e">
        <v>#N/A</v>
      </c>
      <c r="L78" s="230"/>
      <c r="M78" s="233" t="e">
        <v>#N/A</v>
      </c>
      <c r="N78" s="233" t="e">
        <v>#N/A</v>
      </c>
      <c r="O78" s="233" t="e">
        <v>#N/A</v>
      </c>
      <c r="P78" s="233" t="e">
        <v>#N/A</v>
      </c>
      <c r="Q78" s="230"/>
      <c r="R78" s="234" t="e">
        <v>#N/A</v>
      </c>
      <c r="S78" s="234" t="e">
        <v>#N/A</v>
      </c>
      <c r="T78" s="230"/>
      <c r="U78" s="234" t="e">
        <v>#N/A</v>
      </c>
      <c r="V78" s="234" t="e">
        <v>#N/A</v>
      </c>
      <c r="W78" s="234" t="e">
        <v>#N/A</v>
      </c>
      <c r="X78" s="234" t="e">
        <v>#N/A</v>
      </c>
      <c r="Y78" s="234" t="e">
        <v>#N/A</v>
      </c>
      <c r="Z78" s="234" t="e">
        <v>#N/A</v>
      </c>
      <c r="AA78" s="234" t="e">
        <v>#N/A</v>
      </c>
      <c r="AB78" s="234" t="e">
        <v>#N/A</v>
      </c>
      <c r="AC78" s="230"/>
      <c r="AD78" s="232" t="e">
        <v>#N/A</v>
      </c>
      <c r="AE78" s="232" t="e">
        <v>#N/A</v>
      </c>
      <c r="AF78" s="232" t="e">
        <v>#N/A</v>
      </c>
      <c r="AG78" s="232" t="e">
        <v>#N/A</v>
      </c>
      <c r="AH78" s="235" t="e">
        <v>#N/A</v>
      </c>
      <c r="AI78" s="230"/>
      <c r="AJ78" s="232" t="e">
        <v>#N/A</v>
      </c>
      <c r="AK78" s="232" t="e">
        <v>#N/A</v>
      </c>
      <c r="AL78" s="235" t="e">
        <v>#N/A</v>
      </c>
      <c r="AM78" s="230"/>
      <c r="AN78" s="231" t="e">
        <v>#N/A</v>
      </c>
      <c r="AO78" s="232" t="e">
        <v>#N/A</v>
      </c>
      <c r="AP78" s="236" t="e">
        <v>#N/A</v>
      </c>
      <c r="AQ78" s="230"/>
      <c r="AR78" s="237" t="e">
        <v>#N/A</v>
      </c>
      <c r="AS78" s="237" t="e">
        <v>#N/A</v>
      </c>
      <c r="AT78" s="237" t="e">
        <v>#N/A</v>
      </c>
      <c r="AU78" s="230"/>
      <c r="AV78" s="234" t="e">
        <v>#N/A</v>
      </c>
      <c r="AW78" s="234" t="e">
        <v>#N/A</v>
      </c>
      <c r="AX78" s="234" t="e">
        <v>#N/A</v>
      </c>
      <c r="AY78" s="234" t="e">
        <v>#N/A</v>
      </c>
      <c r="AZ78" s="230"/>
      <c r="BA78" s="232" t="e">
        <v>#N/A</v>
      </c>
      <c r="BB78" s="230"/>
      <c r="BC78" s="232" t="e">
        <v>#N/A</v>
      </c>
      <c r="BD78" s="232" t="e">
        <v>#N/A</v>
      </c>
      <c r="BE78" s="230"/>
      <c r="BF78" s="238" t="e">
        <v>#N/A</v>
      </c>
      <c r="BG78" s="238" t="e">
        <v>#N/A</v>
      </c>
      <c r="BH78" s="238" t="e">
        <v>#N/A</v>
      </c>
      <c r="BI78" s="230"/>
      <c r="BJ78" s="239" t="e">
        <v>#N/A</v>
      </c>
      <c r="BK78" s="240" t="e">
        <v>#N/A</v>
      </c>
      <c r="BL78" s="230"/>
      <c r="BM78" s="241" t="e">
        <v>#N/A</v>
      </c>
      <c r="BN78" s="241" t="e">
        <v>#N/A</v>
      </c>
      <c r="BO78" s="241" t="e">
        <v>#N/A</v>
      </c>
      <c r="BP78" s="241" t="e">
        <v>#N/A</v>
      </c>
      <c r="BQ78" s="241" t="e">
        <v>#N/A</v>
      </c>
      <c r="BR78" s="241" t="e">
        <v>#N/A</v>
      </c>
      <c r="BS78" s="241" t="e">
        <v>#N/A</v>
      </c>
      <c r="BT78" s="241" t="e">
        <v>#N/A</v>
      </c>
      <c r="BU78" s="241" t="e">
        <v>#N/A</v>
      </c>
      <c r="BV78" s="241" t="e">
        <v>#N/A</v>
      </c>
      <c r="BW78" s="230"/>
      <c r="BX78" s="232" t="e">
        <v>#N/A</v>
      </c>
      <c r="BY78" s="232" t="e">
        <v>#N/A</v>
      </c>
      <c r="BZ78" s="232" t="e">
        <v>#N/A</v>
      </c>
      <c r="CA78" s="232" t="e">
        <v>#N/A</v>
      </c>
      <c r="CB78" s="232" t="e">
        <v>#N/A</v>
      </c>
      <c r="CC78" s="232" t="e">
        <v>#N/A</v>
      </c>
      <c r="CD78" s="232" t="e">
        <v>#N/A</v>
      </c>
      <c r="CE78" s="232" t="e">
        <v>#N/A</v>
      </c>
      <c r="CF78" s="232" t="e">
        <v>#N/A</v>
      </c>
      <c r="CG78" s="232" t="e">
        <v>#N/A</v>
      </c>
      <c r="CH78" s="230"/>
      <c r="CI78" s="232" t="e">
        <v>#N/A</v>
      </c>
      <c r="CJ78" s="232" t="e">
        <v>#N/A</v>
      </c>
      <c r="CK78" s="232" t="e">
        <v>#N/A</v>
      </c>
      <c r="CL78" s="232" t="e">
        <v>#N/A</v>
      </c>
      <c r="CM78" s="232" t="e">
        <v>#N/A</v>
      </c>
      <c r="CN78" s="232" t="e">
        <v>#N/A</v>
      </c>
      <c r="CO78" s="232" t="e">
        <v>#N/A</v>
      </c>
      <c r="CP78" s="232" t="e">
        <v>#N/A</v>
      </c>
      <c r="CQ78" s="232" t="e">
        <v>#N/A</v>
      </c>
      <c r="CR78" s="232" t="e">
        <v>#N/A</v>
      </c>
      <c r="CS78" s="230"/>
      <c r="CT78" s="232" t="e">
        <v>#N/A</v>
      </c>
      <c r="CU78" s="232" t="e">
        <v>#N/A</v>
      </c>
      <c r="CV78" s="232" t="e">
        <v>#N/A</v>
      </c>
      <c r="CW78" s="232" t="e">
        <v>#N/A</v>
      </c>
      <c r="CX78" s="232" t="e">
        <v>#N/A</v>
      </c>
      <c r="CY78" s="232" t="e">
        <v>#N/A</v>
      </c>
      <c r="CZ78" s="232" t="e">
        <v>#N/A</v>
      </c>
      <c r="DA78" s="232" t="e">
        <v>#N/A</v>
      </c>
      <c r="DB78" s="232" t="e">
        <v>#N/A</v>
      </c>
      <c r="DC78" s="232" t="e">
        <v>#N/A</v>
      </c>
      <c r="DD78" s="230"/>
      <c r="DE78" s="232" t="e">
        <v>#N/A</v>
      </c>
      <c r="DF78" s="232" t="e">
        <v>#N/A</v>
      </c>
      <c r="DG78" s="232" t="e">
        <v>#N/A</v>
      </c>
      <c r="DH78" s="230"/>
      <c r="DI78" s="230"/>
      <c r="DJ78" s="172" t="s">
        <v>277</v>
      </c>
    </row>
    <row r="79" spans="1:114" x14ac:dyDescent="0.25">
      <c r="A79" s="225" t="s">
        <v>729</v>
      </c>
      <c r="B79" s="226" t="s">
        <v>794</v>
      </c>
      <c r="C79" s="227" t="s">
        <v>489</v>
      </c>
      <c r="D79" s="228" t="str">
        <f t="shared" si="1"/>
        <v>KAVDEFEN IN Equity</v>
      </c>
      <c r="E79" s="229" t="s">
        <v>476</v>
      </c>
      <c r="F79" s="230"/>
      <c r="G79" s="231">
        <v>30.544449415516073</v>
      </c>
      <c r="H79" s="232">
        <v>2741.6910510313414</v>
      </c>
      <c r="I79" s="230"/>
      <c r="J79" s="231">
        <v>31.081533955516075</v>
      </c>
      <c r="K79" s="232">
        <v>2787.6310510313415</v>
      </c>
      <c r="L79" s="230"/>
      <c r="M79" s="233">
        <v>51.128206497583633</v>
      </c>
      <c r="N79" s="233" t="e">
        <v>#N/A</v>
      </c>
      <c r="O79" s="233">
        <v>72.057877553413164</v>
      </c>
      <c r="P79" s="233" t="e">
        <v>#N/A</v>
      </c>
      <c r="Q79" s="230"/>
      <c r="R79" s="234">
        <v>1.8484204532751136</v>
      </c>
      <c r="S79" s="234">
        <v>1.8492360713076674</v>
      </c>
      <c r="T79" s="230"/>
      <c r="U79" s="234">
        <v>9.5717304605243997E-2</v>
      </c>
      <c r="V79" s="234" t="e">
        <v>#N/A</v>
      </c>
      <c r="W79" s="234">
        <v>9.589157960906397E-2</v>
      </c>
      <c r="X79" s="234">
        <v>3.3966335321404904</v>
      </c>
      <c r="Y79" s="234">
        <v>4.8661982016650861E-2</v>
      </c>
      <c r="Z79" s="234">
        <v>4.8661982016650861E-2</v>
      </c>
      <c r="AA79" s="234">
        <v>3.5151400543670962E-2</v>
      </c>
      <c r="AB79" s="234">
        <v>8.3861649025601961E-2</v>
      </c>
      <c r="AC79" s="230"/>
      <c r="AD79" s="232">
        <v>-143.316</v>
      </c>
      <c r="AE79" s="232">
        <v>-143.316</v>
      </c>
      <c r="AF79" s="232">
        <v>0</v>
      </c>
      <c r="AG79" s="232">
        <v>-213.864</v>
      </c>
      <c r="AH79" s="235">
        <v>-357.18</v>
      </c>
      <c r="AI79" s="230"/>
      <c r="AJ79" s="232">
        <v>189.256</v>
      </c>
      <c r="AK79" s="232">
        <v>0</v>
      </c>
      <c r="AL79" s="235">
        <v>189.256</v>
      </c>
      <c r="AM79" s="230"/>
      <c r="AN79" s="231">
        <v>0.53708454000000005</v>
      </c>
      <c r="AO79" s="232">
        <v>45.94</v>
      </c>
      <c r="AP79" s="236">
        <v>1.1875096934291476</v>
      </c>
      <c r="AQ79" s="230"/>
      <c r="AR79" s="237">
        <v>34.37426</v>
      </c>
      <c r="AS79" s="237">
        <v>20.12426</v>
      </c>
      <c r="AT79" s="237">
        <v>20.12426</v>
      </c>
      <c r="AU79" s="230"/>
      <c r="AV79" s="234">
        <v>1.5409999999999998E-3</v>
      </c>
      <c r="AW79" s="234">
        <v>2.5351257517440082E-2</v>
      </c>
      <c r="AX79" s="234">
        <v>2.12E-4</v>
      </c>
      <c r="AY79" s="234">
        <v>0.45901520498186726</v>
      </c>
      <c r="AZ79" s="230"/>
      <c r="BA79" s="232">
        <v>0</v>
      </c>
      <c r="BB79" s="230"/>
      <c r="BC79" s="232" t="e">
        <v>#N/A</v>
      </c>
      <c r="BD79" s="232">
        <v>0</v>
      </c>
      <c r="BE79" s="230"/>
      <c r="BF79" s="238">
        <v>6.909700000000002E-2</v>
      </c>
      <c r="BG79" s="238">
        <v>5.9768199999999966E-2</v>
      </c>
      <c r="BH79" s="238">
        <v>5.2473633333333332E-2</v>
      </c>
      <c r="BI79" s="230"/>
      <c r="BJ79" s="239">
        <v>0.88858492998877869</v>
      </c>
      <c r="BK79" s="240">
        <v>79.760002136230469</v>
      </c>
      <c r="BL79" s="230"/>
      <c r="BM79" s="241">
        <v>-8.7799999999999994</v>
      </c>
      <c r="BN79" s="241">
        <v>-8.1649999999999991</v>
      </c>
      <c r="BO79" s="241">
        <v>-8.99</v>
      </c>
      <c r="BP79" s="241">
        <v>15.647</v>
      </c>
      <c r="BQ79" s="241">
        <v>-0.66</v>
      </c>
      <c r="BR79" s="241">
        <v>1.56</v>
      </c>
      <c r="BS79" s="241" t="e">
        <v>#N/A</v>
      </c>
      <c r="BT79" s="241" t="e">
        <v>#N/A</v>
      </c>
      <c r="BU79" s="241" t="e">
        <v>#N/A</v>
      </c>
      <c r="BV79" s="241" t="e">
        <v>#N/A</v>
      </c>
      <c r="BW79" s="230"/>
      <c r="BX79" s="232">
        <v>-176.66312400000001</v>
      </c>
      <c r="BY79" s="232">
        <v>-164.31192899999999</v>
      </c>
      <c r="BZ79" s="232">
        <v>-180.91</v>
      </c>
      <c r="CA79" s="232">
        <v>327.12810000000002</v>
      </c>
      <c r="CB79" s="232">
        <v>-11.6</v>
      </c>
      <c r="CC79" s="232">
        <v>64.069000000000003</v>
      </c>
      <c r="CD79" s="232" t="e">
        <v>#N/A</v>
      </c>
      <c r="CE79" s="232" t="e">
        <v>#N/A</v>
      </c>
      <c r="CF79" s="232" t="e">
        <v>#N/A</v>
      </c>
      <c r="CG79" s="232" t="e">
        <v>#N/A</v>
      </c>
      <c r="CH79" s="230"/>
      <c r="CI79" s="232">
        <v>-5.5687709999999981</v>
      </c>
      <c r="CJ79" s="232">
        <v>-17.127210999999999</v>
      </c>
      <c r="CK79" s="232">
        <v>-12.101000000000001</v>
      </c>
      <c r="CL79" s="232">
        <v>-2081.8629999999998</v>
      </c>
      <c r="CM79" s="232">
        <v>-11.397</v>
      </c>
      <c r="CN79" s="232">
        <v>38.686</v>
      </c>
      <c r="CO79" s="232" t="e">
        <v>#N/A</v>
      </c>
      <c r="CP79" s="232" t="e">
        <v>#N/A</v>
      </c>
      <c r="CQ79" s="232" t="e">
        <v>#N/A</v>
      </c>
      <c r="CR79" s="232" t="e">
        <v>#N/A</v>
      </c>
      <c r="CS79" s="230"/>
      <c r="CT79" s="232">
        <v>45.495719000000001</v>
      </c>
      <c r="CU79" s="232">
        <v>41.407865999999999</v>
      </c>
      <c r="CV79" s="232">
        <v>56.082000000000001</v>
      </c>
      <c r="CW79" s="232">
        <v>28.242000000000001</v>
      </c>
      <c r="CX79" s="232">
        <v>15.856999999999999</v>
      </c>
      <c r="CY79" s="232">
        <v>171.2</v>
      </c>
      <c r="CZ79" s="232" t="e">
        <v>#N/A</v>
      </c>
      <c r="DA79" s="232" t="e">
        <v>#N/A</v>
      </c>
      <c r="DB79" s="232" t="e">
        <v>#N/A</v>
      </c>
      <c r="DC79" s="232" t="e">
        <v>#N/A</v>
      </c>
      <c r="DD79" s="230"/>
      <c r="DE79" s="232" t="e">
        <v>#N/A</v>
      </c>
      <c r="DF79" s="232" t="e">
        <v>#N/A</v>
      </c>
      <c r="DG79" s="232">
        <v>0</v>
      </c>
      <c r="DH79" s="230"/>
      <c r="DI79" s="230"/>
      <c r="DJ79" s="172" t="s">
        <v>277</v>
      </c>
    </row>
    <row r="80" spans="1:114" x14ac:dyDescent="0.25">
      <c r="A80" s="225" t="s">
        <v>729</v>
      </c>
      <c r="B80" s="226" t="s">
        <v>795</v>
      </c>
      <c r="C80" s="227" t="s">
        <v>477</v>
      </c>
      <c r="D80" s="228" t="str">
        <f t="shared" si="1"/>
        <v>TECHERA IN Equity</v>
      </c>
      <c r="E80" s="229" t="s">
        <v>477</v>
      </c>
      <c r="F80" s="230"/>
      <c r="G80" s="231">
        <v>40.354107655973408</v>
      </c>
      <c r="H80" s="232">
        <v>3622.2128062499996</v>
      </c>
      <c r="I80" s="230"/>
      <c r="J80" s="231">
        <v>42.446808346973405</v>
      </c>
      <c r="K80" s="232">
        <v>3801.2138062499994</v>
      </c>
      <c r="L80" s="230"/>
      <c r="M80" s="233">
        <v>93.049213166516722</v>
      </c>
      <c r="N80" s="233" t="e">
        <v>#N/A</v>
      </c>
      <c r="O80" s="233">
        <v>43.751453767753958</v>
      </c>
      <c r="P80" s="233" t="e">
        <v>#N/A</v>
      </c>
      <c r="Q80" s="230"/>
      <c r="R80" s="234">
        <v>7.2698263858923076</v>
      </c>
      <c r="S80" s="234">
        <v>7.3219356230051327</v>
      </c>
      <c r="T80" s="230"/>
      <c r="U80" s="234">
        <v>0.10227515966498818</v>
      </c>
      <c r="V80" s="234" t="e">
        <v>#N/A</v>
      </c>
      <c r="W80" s="234">
        <v>0.10297116470330485</v>
      </c>
      <c r="X80" s="234">
        <v>0.14633600785616227</v>
      </c>
      <c r="Y80" s="234">
        <v>8.7908144360782856E-2</v>
      </c>
      <c r="Z80" s="234">
        <v>0.12350302965514896</v>
      </c>
      <c r="AA80" s="234">
        <v>6.30772919621405E-2</v>
      </c>
      <c r="AB80" s="234">
        <v>9.0690922473208757E-2</v>
      </c>
      <c r="AC80" s="230"/>
      <c r="AD80" s="232">
        <v>-24.712</v>
      </c>
      <c r="AE80" s="232">
        <v>-24.712</v>
      </c>
      <c r="AF80" s="232">
        <v>0</v>
      </c>
      <c r="AG80" s="232">
        <v>-31.544</v>
      </c>
      <c r="AH80" s="235">
        <v>-56.256</v>
      </c>
      <c r="AI80" s="230"/>
      <c r="AJ80" s="232">
        <v>87.2</v>
      </c>
      <c r="AK80" s="232">
        <v>116.51300000000001</v>
      </c>
      <c r="AL80" s="235">
        <v>203.71299999999999</v>
      </c>
      <c r="AM80" s="230"/>
      <c r="AN80" s="231">
        <v>2.0927006910000006</v>
      </c>
      <c r="AO80" s="232">
        <v>179.00100000000003</v>
      </c>
      <c r="AP80" s="236">
        <v>2.0602771575239984</v>
      </c>
      <c r="AQ80" s="230"/>
      <c r="AR80" s="237">
        <v>16.520924999999998</v>
      </c>
      <c r="AS80" s="237">
        <v>14.296049999999999</v>
      </c>
      <c r="AT80" s="237">
        <v>14.296049999999999</v>
      </c>
      <c r="AU80" s="230"/>
      <c r="AV80" s="234" t="e">
        <v>#N/A</v>
      </c>
      <c r="AW80" s="234">
        <v>0</v>
      </c>
      <c r="AX80" s="234" t="e">
        <v>#N/A</v>
      </c>
      <c r="AY80" s="234">
        <v>0.5775294058898035</v>
      </c>
      <c r="AZ80" s="230"/>
      <c r="BA80" s="232">
        <v>0</v>
      </c>
      <c r="BB80" s="230"/>
      <c r="BC80" s="232" t="e">
        <v>#N/A</v>
      </c>
      <c r="BD80" s="232">
        <v>0</v>
      </c>
      <c r="BE80" s="230"/>
      <c r="BF80" s="238">
        <v>3.8399999999999997E-2</v>
      </c>
      <c r="BG80" s="238">
        <v>8.2559999999999995E-2</v>
      </c>
      <c r="BH80" s="238">
        <v>6.8453333333333338E-2</v>
      </c>
      <c r="BI80" s="230"/>
      <c r="BJ80" s="239">
        <v>2.4426058260038959</v>
      </c>
      <c r="BK80" s="240">
        <v>219.25</v>
      </c>
      <c r="BL80" s="230"/>
      <c r="BM80" s="241" t="e">
        <v>#N/A</v>
      </c>
      <c r="BN80" s="241" t="e">
        <v>#N/A</v>
      </c>
      <c r="BO80" s="241" t="e">
        <v>#N/A</v>
      </c>
      <c r="BP80" s="241" t="e">
        <v>#N/A</v>
      </c>
      <c r="BQ80" s="241">
        <v>11.84</v>
      </c>
      <c r="BR80" s="241">
        <v>2.3562799999999999</v>
      </c>
      <c r="BS80" s="241" t="e">
        <v>#N/A</v>
      </c>
      <c r="BT80" s="241" t="e">
        <v>#N/A</v>
      </c>
      <c r="BU80" s="241" t="e">
        <v>#N/A</v>
      </c>
      <c r="BV80" s="241" t="e">
        <v>#N/A</v>
      </c>
      <c r="BW80" s="230"/>
      <c r="BX80" s="232" t="e">
        <v>#N/A</v>
      </c>
      <c r="BY80" s="232" t="e">
        <v>#N/A</v>
      </c>
      <c r="BZ80" s="232">
        <v>-62.406599999999997</v>
      </c>
      <c r="CA80" s="232">
        <v>13.215199999999999</v>
      </c>
      <c r="CB80" s="232">
        <v>28.245999999999999</v>
      </c>
      <c r="CC80" s="232">
        <v>33.685499999999998</v>
      </c>
      <c r="CD80" s="232" t="e">
        <v>#N/A</v>
      </c>
      <c r="CE80" s="232" t="e">
        <v>#N/A</v>
      </c>
      <c r="CF80" s="232" t="e">
        <v>#N/A</v>
      </c>
      <c r="CG80" s="232" t="e">
        <v>#N/A</v>
      </c>
      <c r="CH80" s="230"/>
      <c r="CI80" s="232" t="e">
        <v>#N/A</v>
      </c>
      <c r="CJ80" s="232" t="e">
        <v>#N/A</v>
      </c>
      <c r="CK80" s="232">
        <v>-37.567</v>
      </c>
      <c r="CL80" s="232">
        <v>40.905000000000001</v>
      </c>
      <c r="CM80" s="232">
        <v>69.305000000000007</v>
      </c>
      <c r="CN80" s="232">
        <v>86.882000000000005</v>
      </c>
      <c r="CO80" s="232" t="e">
        <v>#N/A</v>
      </c>
      <c r="CP80" s="232" t="e">
        <v>#N/A</v>
      </c>
      <c r="CQ80" s="232" t="e">
        <v>#N/A</v>
      </c>
      <c r="CR80" s="232" t="e">
        <v>#N/A</v>
      </c>
      <c r="CS80" s="230"/>
      <c r="CT80" s="232" t="e">
        <v>#N/A</v>
      </c>
      <c r="CU80" s="232" t="e">
        <v>#N/A</v>
      </c>
      <c r="CV80" s="232">
        <v>71.78</v>
      </c>
      <c r="CW80" s="232">
        <v>264.34399999999999</v>
      </c>
      <c r="CX80" s="232">
        <v>388.11399999999998</v>
      </c>
      <c r="CY80" s="232">
        <v>495.017</v>
      </c>
      <c r="CZ80" s="232" t="e">
        <v>#N/A</v>
      </c>
      <c r="DA80" s="232" t="e">
        <v>#N/A</v>
      </c>
      <c r="DB80" s="232" t="e">
        <v>#N/A</v>
      </c>
      <c r="DC80" s="232" t="e">
        <v>#N/A</v>
      </c>
      <c r="DD80" s="230"/>
      <c r="DE80" s="232" t="e">
        <v>#N/A</v>
      </c>
      <c r="DF80" s="232" t="e">
        <v>#N/A</v>
      </c>
      <c r="DG80" s="232" t="e">
        <v>#N/A</v>
      </c>
      <c r="DH80" s="230"/>
      <c r="DI80" s="230"/>
      <c r="DJ80" s="172" t="s">
        <v>277</v>
      </c>
    </row>
    <row r="81" spans="1:114" x14ac:dyDescent="0.25">
      <c r="A81" s="225" t="s">
        <v>729</v>
      </c>
      <c r="B81" s="226" t="s">
        <v>1026</v>
      </c>
      <c r="C81" s="227" t="s">
        <v>1017</v>
      </c>
      <c r="D81" s="228" t="str">
        <f t="shared" si="1"/>
        <v>PTCIL IN Equity</v>
      </c>
      <c r="E81" s="229" t="s">
        <v>1017</v>
      </c>
      <c r="F81" s="230"/>
      <c r="G81" s="231">
        <v>3055.6101096825096</v>
      </c>
      <c r="H81" s="232">
        <v>274273.691406</v>
      </c>
      <c r="I81" s="230"/>
      <c r="J81" s="231">
        <v>3018.0708581595095</v>
      </c>
      <c r="K81" s="232">
        <v>271062.73840600002</v>
      </c>
      <c r="L81" s="230"/>
      <c r="M81" s="233">
        <v>442.63247036051297</v>
      </c>
      <c r="N81" s="233">
        <v>282.73659265365001</v>
      </c>
      <c r="O81" s="233">
        <v>373.85798120108905</v>
      </c>
      <c r="P81" s="233" t="e">
        <v>#N/A</v>
      </c>
      <c r="Q81" s="230"/>
      <c r="R81" s="234">
        <v>19.768332648762833</v>
      </c>
      <c r="S81" s="234">
        <v>20.736708031764156</v>
      </c>
      <c r="T81" s="230"/>
      <c r="U81" s="234">
        <v>6.0049898145409453E-2</v>
      </c>
      <c r="V81" s="234">
        <v>6.8000000000000005E-2</v>
      </c>
      <c r="W81" s="234">
        <v>6.20551120299263E-2</v>
      </c>
      <c r="X81" s="234">
        <v>7.0187165105005195E-2</v>
      </c>
      <c r="Y81" s="234">
        <v>3.6004088210498289E-2</v>
      </c>
      <c r="Z81" s="234">
        <v>4.6784452762536025E-2</v>
      </c>
      <c r="AA81" s="234">
        <v>3.0748803214819286E-2</v>
      </c>
      <c r="AB81" s="234">
        <v>5.9738894608229474E-2</v>
      </c>
      <c r="AC81" s="230"/>
      <c r="AD81" s="232">
        <v>-3818.2890000000002</v>
      </c>
      <c r="AE81" s="232">
        <v>-3819.288</v>
      </c>
      <c r="AF81" s="232">
        <v>-0.999</v>
      </c>
      <c r="AG81" s="232">
        <v>-27.37</v>
      </c>
      <c r="AH81" s="235">
        <v>-3846.6579999999999</v>
      </c>
      <c r="AI81" s="230"/>
      <c r="AJ81" s="232">
        <v>141.583</v>
      </c>
      <c r="AK81" s="232">
        <v>466.75200000000001</v>
      </c>
      <c r="AL81" s="235">
        <v>608.33500000000004</v>
      </c>
      <c r="AM81" s="230"/>
      <c r="AN81" s="231">
        <v>-37.539251523000004</v>
      </c>
      <c r="AO81" s="232">
        <v>-3210.953</v>
      </c>
      <c r="AP81" s="236">
        <v>-4.4286441337191498</v>
      </c>
      <c r="AQ81" s="230"/>
      <c r="AR81" s="237">
        <v>14.992548999999999</v>
      </c>
      <c r="AS81" s="237">
        <v>14.750999999999999</v>
      </c>
      <c r="AT81" s="237">
        <v>14.765000000000001</v>
      </c>
      <c r="AU81" s="230"/>
      <c r="AV81" s="234">
        <v>5.9750000000000003E-3</v>
      </c>
      <c r="AW81" s="234">
        <v>0.32515824397582416</v>
      </c>
      <c r="AX81" s="234">
        <v>3.4099999999999999E-4</v>
      </c>
      <c r="AY81" s="234">
        <v>0.35642218011093374</v>
      </c>
      <c r="AZ81" s="230"/>
      <c r="BA81" s="232">
        <v>0</v>
      </c>
      <c r="BB81" s="230"/>
      <c r="BC81" s="232" t="e">
        <v>#N/A</v>
      </c>
      <c r="BD81" s="232">
        <v>0</v>
      </c>
      <c r="BE81" s="230"/>
      <c r="BF81" s="238">
        <v>2.2365999999999997E-2</v>
      </c>
      <c r="BG81" s="238">
        <v>1.9031900000000001E-2</v>
      </c>
      <c r="BH81" s="238">
        <v>1.8738800000000007E-2</v>
      </c>
      <c r="BI81" s="230"/>
      <c r="BJ81" s="239">
        <v>203.80857916038892</v>
      </c>
      <c r="BK81" s="240">
        <v>18294</v>
      </c>
      <c r="BL81" s="230"/>
      <c r="BM81" s="241">
        <v>8.0672151820640003</v>
      </c>
      <c r="BN81" s="241">
        <v>3.336694472</v>
      </c>
      <c r="BO81" s="241">
        <v>10.65739491781</v>
      </c>
      <c r="BP81" s="241">
        <v>19.600000000000001</v>
      </c>
      <c r="BQ81" s="241">
        <v>30.35</v>
      </c>
      <c r="BR81" s="241">
        <v>41.359946999999998</v>
      </c>
      <c r="BS81" s="241">
        <v>64.703333333333333</v>
      </c>
      <c r="BT81" s="241">
        <v>166.94666666666666</v>
      </c>
      <c r="BU81" s="241">
        <v>447.16</v>
      </c>
      <c r="BV81" s="241">
        <v>789.41499999999996</v>
      </c>
      <c r="BW81" s="230"/>
      <c r="BX81" s="232">
        <v>105.2837</v>
      </c>
      <c r="BY81" s="232">
        <v>43.548999999999999</v>
      </c>
      <c r="BZ81" s="232">
        <v>128.10589999999999</v>
      </c>
      <c r="CA81" s="232">
        <v>257.7688</v>
      </c>
      <c r="CB81" s="232">
        <v>422.93150000000003</v>
      </c>
      <c r="CC81" s="232">
        <v>610.18499999999995</v>
      </c>
      <c r="CD81" s="232" t="e">
        <v>#N/A</v>
      </c>
      <c r="CE81" s="232" t="e">
        <v>#N/A</v>
      </c>
      <c r="CF81" s="232" t="e">
        <v>#N/A</v>
      </c>
      <c r="CG81" s="232" t="e">
        <v>#N/A</v>
      </c>
      <c r="CH81" s="230"/>
      <c r="CI81" s="232">
        <v>282.97700000000003</v>
      </c>
      <c r="CJ81" s="232">
        <v>349.125</v>
      </c>
      <c r="CK81" s="232">
        <v>421.01599999999996</v>
      </c>
      <c r="CL81" s="232">
        <v>586.32500000000005</v>
      </c>
      <c r="CM81" s="232">
        <v>726.45900000000017</v>
      </c>
      <c r="CN81" s="232">
        <v>725.04200000000003</v>
      </c>
      <c r="CO81" s="232">
        <v>1581</v>
      </c>
      <c r="CP81" s="232">
        <v>3731.6666666666697</v>
      </c>
      <c r="CQ81" s="232">
        <v>9083</v>
      </c>
      <c r="CR81" s="232">
        <v>15523</v>
      </c>
      <c r="CS81" s="230"/>
      <c r="CT81" s="232">
        <v>1598.375</v>
      </c>
      <c r="CU81" s="232">
        <v>1633.499</v>
      </c>
      <c r="CV81" s="232">
        <v>1789.548</v>
      </c>
      <c r="CW81" s="232">
        <v>2192.6210000000001</v>
      </c>
      <c r="CX81" s="232">
        <v>2568.7919999999999</v>
      </c>
      <c r="CY81" s="232">
        <v>3080.74</v>
      </c>
      <c r="CZ81" s="232">
        <v>7333.333333333333</v>
      </c>
      <c r="DA81" s="232">
        <v>12426.666666666666</v>
      </c>
      <c r="DB81" s="232">
        <v>23915</v>
      </c>
      <c r="DC81" s="232">
        <v>37067</v>
      </c>
      <c r="DD81" s="230"/>
      <c r="DE81" s="232" t="e">
        <v>#N/A</v>
      </c>
      <c r="DF81" s="232">
        <v>0</v>
      </c>
      <c r="DG81" s="232">
        <v>0</v>
      </c>
      <c r="DH81" s="230"/>
      <c r="DI81" s="230"/>
      <c r="DJ81" s="172"/>
    </row>
    <row r="82" spans="1:114" x14ac:dyDescent="0.25">
      <c r="A82" s="225" t="s">
        <v>729</v>
      </c>
      <c r="B82" s="226" t="s">
        <v>1027</v>
      </c>
      <c r="C82" s="227" t="s">
        <v>1028</v>
      </c>
      <c r="D82" s="228" t="str">
        <f t="shared" si="1"/>
        <v>IPC IN Equity</v>
      </c>
      <c r="E82" s="229" t="s">
        <v>1023</v>
      </c>
      <c r="F82" s="230"/>
      <c r="G82" s="231">
        <v>54.37792102991947</v>
      </c>
      <c r="H82" s="232">
        <v>4881.0000610351563</v>
      </c>
      <c r="I82" s="230"/>
      <c r="J82" s="231">
        <v>61.747214278919465</v>
      </c>
      <c r="K82" s="232">
        <v>5511.3390610351562</v>
      </c>
      <c r="L82" s="230"/>
      <c r="M82" s="233">
        <v>81.342273501269986</v>
      </c>
      <c r="N82" s="233" t="e">
        <v>#N/A</v>
      </c>
      <c r="O82" s="233">
        <v>24.505949635101942</v>
      </c>
      <c r="P82" s="233" t="e">
        <v>#N/A</v>
      </c>
      <c r="Q82" s="230"/>
      <c r="R82" s="234">
        <v>5.3481444328076018</v>
      </c>
      <c r="S82" s="234">
        <v>5.3673814316042723</v>
      </c>
      <c r="T82" s="230"/>
      <c r="U82" s="234">
        <v>6.7831793132683338E-2</v>
      </c>
      <c r="V82" s="234" t="e">
        <v>#N/A</v>
      </c>
      <c r="W82" s="234">
        <v>6.8787301854084201E-2</v>
      </c>
      <c r="X82" s="234">
        <v>0.10988831954707814</v>
      </c>
      <c r="Y82" s="234">
        <v>6.3171492400722284E-2</v>
      </c>
      <c r="Z82" s="234">
        <v>8.7364008897115916E-2</v>
      </c>
      <c r="AA82" s="234">
        <v>6.7940122624753005E-2</v>
      </c>
      <c r="AB82" s="234">
        <v>6.5587424647448267E-2</v>
      </c>
      <c r="AC82" s="230"/>
      <c r="AD82" s="232">
        <v>-14.616</v>
      </c>
      <c r="AE82" s="232">
        <v>-14.616</v>
      </c>
      <c r="AF82" s="232">
        <v>0</v>
      </c>
      <c r="AG82" s="232">
        <v>0</v>
      </c>
      <c r="AH82" s="235">
        <v>-14.616</v>
      </c>
      <c r="AI82" s="230"/>
      <c r="AJ82" s="232">
        <v>580.49</v>
      </c>
      <c r="AK82" s="232">
        <v>64.465000000000003</v>
      </c>
      <c r="AL82" s="235">
        <v>644.95500000000004</v>
      </c>
      <c r="AM82" s="230"/>
      <c r="AN82" s="231">
        <v>7.369293249</v>
      </c>
      <c r="AO82" s="232">
        <v>630.33900000000006</v>
      </c>
      <c r="AP82" s="236">
        <v>2.8027772590240909</v>
      </c>
      <c r="AQ82" s="230"/>
      <c r="AR82" s="237">
        <v>10</v>
      </c>
      <c r="AS82" s="237">
        <v>10</v>
      </c>
      <c r="AT82" s="237">
        <v>10</v>
      </c>
      <c r="AU82" s="230"/>
      <c r="AV82" s="234">
        <v>5.1970000000000002E-3</v>
      </c>
      <c r="AW82" s="234">
        <v>0</v>
      </c>
      <c r="AX82" s="234">
        <v>0</v>
      </c>
      <c r="AY82" s="234">
        <v>0.50272030000000001</v>
      </c>
      <c r="AZ82" s="230"/>
      <c r="BA82" s="232">
        <v>0</v>
      </c>
      <c r="BB82" s="230"/>
      <c r="BC82" s="232" t="e">
        <v>#N/A</v>
      </c>
      <c r="BD82" s="232">
        <v>5.0330000000000004</v>
      </c>
      <c r="BE82" s="230"/>
      <c r="BF82" s="238">
        <v>2.3360000000000004E-3</v>
      </c>
      <c r="BG82" s="238">
        <v>1.7228000000000007E-3</v>
      </c>
      <c r="BH82" s="238">
        <v>2.2083666666666661E-3</v>
      </c>
      <c r="BI82" s="230"/>
      <c r="BJ82" s="239">
        <v>5.4377921029919474</v>
      </c>
      <c r="BK82" s="240">
        <v>488.10000610351563</v>
      </c>
      <c r="BL82" s="230"/>
      <c r="BM82" s="241">
        <v>-0.72499999999999998</v>
      </c>
      <c r="BN82" s="241">
        <v>0.41699999999999998</v>
      </c>
      <c r="BO82" s="241">
        <v>0.17150000000000001</v>
      </c>
      <c r="BP82" s="241">
        <v>5.5555000000000003</v>
      </c>
      <c r="BQ82" s="241">
        <v>7.79</v>
      </c>
      <c r="BR82" s="241">
        <v>6.0005699999999997</v>
      </c>
      <c r="BS82" s="241" t="e">
        <v>#N/A</v>
      </c>
      <c r="BT82" s="241" t="e">
        <v>#N/A</v>
      </c>
      <c r="BU82" s="241" t="e">
        <v>#N/A</v>
      </c>
      <c r="BV82" s="241" t="e">
        <v>#N/A</v>
      </c>
      <c r="BW82" s="230"/>
      <c r="BX82" s="232">
        <v>-7.2389999999999999</v>
      </c>
      <c r="BY82" s="232">
        <v>4.1710000000000003</v>
      </c>
      <c r="BZ82" s="232">
        <v>-1.1747000000000001</v>
      </c>
      <c r="CA82" s="232">
        <v>54.086199999999998</v>
      </c>
      <c r="CB82" s="232">
        <v>77.8643</v>
      </c>
      <c r="CC82" s="232">
        <v>60.005699999999997</v>
      </c>
      <c r="CD82" s="232" t="e">
        <v>#N/A</v>
      </c>
      <c r="CE82" s="232" t="e">
        <v>#N/A</v>
      </c>
      <c r="CF82" s="232" t="e">
        <v>#N/A</v>
      </c>
      <c r="CG82" s="232" t="e">
        <v>#N/A</v>
      </c>
      <c r="CH82" s="230"/>
      <c r="CI82" s="232">
        <v>114.252</v>
      </c>
      <c r="CJ82" s="232">
        <v>126.52500000000001</v>
      </c>
      <c r="CK82" s="232">
        <v>129.899</v>
      </c>
      <c r="CL82" s="232">
        <v>214.726</v>
      </c>
      <c r="CM82" s="232">
        <v>252.93299999999999</v>
      </c>
      <c r="CN82" s="232">
        <v>224.898</v>
      </c>
      <c r="CO82" s="232" t="e">
        <v>#N/A</v>
      </c>
      <c r="CP82" s="232" t="e">
        <v>#N/A</v>
      </c>
      <c r="CQ82" s="232" t="e">
        <v>#N/A</v>
      </c>
      <c r="CR82" s="232" t="e">
        <v>#N/A</v>
      </c>
      <c r="CS82" s="230"/>
      <c r="CT82" s="232">
        <v>951.85299999999995</v>
      </c>
      <c r="CU82" s="232">
        <v>1046.636</v>
      </c>
      <c r="CV82" s="232">
        <v>1320.2650000000001</v>
      </c>
      <c r="CW82" s="232">
        <v>1701.06</v>
      </c>
      <c r="CX82" s="232">
        <v>1676.3019999999999</v>
      </c>
      <c r="CY82" s="232">
        <v>1625.4829999999999</v>
      </c>
      <c r="CZ82" s="232" t="e">
        <v>#N/A</v>
      </c>
      <c r="DA82" s="232" t="e">
        <v>#N/A</v>
      </c>
      <c r="DB82" s="232" t="e">
        <v>#N/A</v>
      </c>
      <c r="DC82" s="232" t="e">
        <v>#N/A</v>
      </c>
      <c r="DD82" s="230"/>
      <c r="DE82" s="232" t="e">
        <v>#N/A</v>
      </c>
      <c r="DF82" s="232" t="e">
        <v>#N/A</v>
      </c>
      <c r="DG82" s="232" t="e">
        <v>#N/A</v>
      </c>
      <c r="DH82" s="230"/>
      <c r="DI82" s="230"/>
      <c r="DJ82" s="172"/>
    </row>
    <row r="83" spans="1:114" x14ac:dyDescent="0.25">
      <c r="A83" s="225" t="s">
        <v>729</v>
      </c>
      <c r="B83" s="432" t="s">
        <v>1167</v>
      </c>
      <c r="C83" s="227" t="s">
        <v>1168</v>
      </c>
      <c r="D83" s="228" t="str">
        <f t="shared" si="1"/>
        <v>AEQUS IN Equity</v>
      </c>
      <c r="E83" s="229" t="s">
        <v>1168</v>
      </c>
      <c r="F83" s="230"/>
      <c r="G83" s="231">
        <v>1043.2745024711055</v>
      </c>
      <c r="H83" s="232">
        <v>93645.045889784553</v>
      </c>
      <c r="I83" s="230"/>
      <c r="J83" s="231">
        <v>1125.6159691211055</v>
      </c>
      <c r="K83" s="232">
        <v>100688.19588978455</v>
      </c>
      <c r="L83" s="230"/>
      <c r="M83" s="233" t="e">
        <v>#N/A</v>
      </c>
      <c r="N83" s="233" t="e">
        <v>#N/A</v>
      </c>
      <c r="O83" s="233">
        <v>137.24843364382727</v>
      </c>
      <c r="P83" s="233" t="e">
        <v>#N/A</v>
      </c>
      <c r="Q83" s="230"/>
      <c r="R83" s="234" t="e">
        <v>#N/A</v>
      </c>
      <c r="S83" s="234" t="e">
        <v>#N/A</v>
      </c>
      <c r="T83" s="230"/>
      <c r="U83" s="234">
        <v>-0.18447287022667627</v>
      </c>
      <c r="V83" s="234" t="e">
        <v>#N/A</v>
      </c>
      <c r="W83" s="234">
        <v>-0.19893849965157673</v>
      </c>
      <c r="X83" s="234" t="e">
        <v>#N/A</v>
      </c>
      <c r="Y83" s="234">
        <v>-3.830214023220388E-2</v>
      </c>
      <c r="Z83" s="234">
        <v>-2.0264133852279698E-2</v>
      </c>
      <c r="AA83" s="234">
        <v>-2.5976404200988193E-2</v>
      </c>
      <c r="AB83" s="234">
        <v>-4.3873873515374841E-2</v>
      </c>
      <c r="AC83" s="230"/>
      <c r="AD83" s="232">
        <v>-797.91</v>
      </c>
      <c r="AE83" s="232">
        <v>-797.91</v>
      </c>
      <c r="AF83" s="232">
        <v>0</v>
      </c>
      <c r="AG83" s="232">
        <v>-768.97</v>
      </c>
      <c r="AH83" s="235">
        <v>-1566.88</v>
      </c>
      <c r="AI83" s="230"/>
      <c r="AJ83" s="232">
        <v>3640.51</v>
      </c>
      <c r="AK83" s="232">
        <v>4209.96</v>
      </c>
      <c r="AL83" s="235">
        <v>7850.47</v>
      </c>
      <c r="AM83" s="230"/>
      <c r="AN83" s="231">
        <v>82.451478959999989</v>
      </c>
      <c r="AO83" s="232">
        <v>7052.56</v>
      </c>
      <c r="AP83" s="236">
        <v>9.6133693192661074</v>
      </c>
      <c r="AQ83" s="230"/>
      <c r="AR83" s="237">
        <v>670.66563499999995</v>
      </c>
      <c r="AS83" s="237" t="e">
        <v>#N/A</v>
      </c>
      <c r="AT83" s="237" t="e">
        <v>#N/A</v>
      </c>
      <c r="AU83" s="230"/>
      <c r="AV83" s="234" t="e">
        <v>#N/A</v>
      </c>
      <c r="AW83" s="234">
        <v>5.4588898775623468E-4</v>
      </c>
      <c r="AX83" s="234" t="e">
        <v>#N/A</v>
      </c>
      <c r="AY83" s="234">
        <v>0.17946836652812845</v>
      </c>
      <c r="AZ83" s="230"/>
      <c r="BA83" s="232">
        <v>-9.41</v>
      </c>
      <c r="BB83" s="230"/>
      <c r="BC83" s="232" t="e">
        <v>#N/A</v>
      </c>
      <c r="BD83" s="232">
        <v>0</v>
      </c>
      <c r="BE83" s="230"/>
      <c r="BF83" s="238">
        <v>38.881422000000001</v>
      </c>
      <c r="BG83" s="238">
        <v>41.360127800000008</v>
      </c>
      <c r="BH83" s="238">
        <v>41.360127800000008</v>
      </c>
      <c r="BI83" s="230"/>
      <c r="BJ83" s="239">
        <v>1.5555806769063181</v>
      </c>
      <c r="BK83" s="240">
        <v>139.6300048828125</v>
      </c>
      <c r="BL83" s="230"/>
      <c r="BM83" s="241">
        <v>-1</v>
      </c>
      <c r="BN83" s="241">
        <v>-2</v>
      </c>
      <c r="BO83" s="241" t="e">
        <v>#N/A</v>
      </c>
      <c r="BP83" s="241" t="e">
        <v>#N/A</v>
      </c>
      <c r="BQ83" s="241" t="e">
        <v>#N/A</v>
      </c>
      <c r="BR83" s="241" t="e">
        <v>#N/A</v>
      </c>
      <c r="BS83" s="241" t="e">
        <v>#N/A</v>
      </c>
      <c r="BT83" s="241" t="e">
        <v>#N/A</v>
      </c>
      <c r="BU83" s="241" t="e">
        <v>#N/A</v>
      </c>
      <c r="BV83" s="241" t="e">
        <v>#N/A</v>
      </c>
      <c r="BW83" s="230"/>
      <c r="BX83" s="232">
        <v>-115</v>
      </c>
      <c r="BY83" s="232">
        <v>-871</v>
      </c>
      <c r="BZ83" s="232" t="e">
        <v>#N/A</v>
      </c>
      <c r="CA83" s="232">
        <v>-977.23800000000006</v>
      </c>
      <c r="CB83" s="232">
        <v>-89.804000000000002</v>
      </c>
      <c r="CC83" s="232">
        <v>-1038.9179999999999</v>
      </c>
      <c r="CD83" s="232" t="e">
        <v>#N/A</v>
      </c>
      <c r="CE83" s="232" t="e">
        <v>#N/A</v>
      </c>
      <c r="CF83" s="232" t="e">
        <v>#N/A</v>
      </c>
      <c r="CG83" s="232" t="e">
        <v>#N/A</v>
      </c>
      <c r="CH83" s="230"/>
      <c r="CI83" s="232">
        <v>574</v>
      </c>
      <c r="CJ83" s="232">
        <v>-102</v>
      </c>
      <c r="CK83" s="232" t="e">
        <v>#N/A</v>
      </c>
      <c r="CL83" s="232">
        <v>346.49</v>
      </c>
      <c r="CM83" s="232">
        <v>1222.8</v>
      </c>
      <c r="CN83" s="232">
        <v>733.61999999999989</v>
      </c>
      <c r="CO83" s="232" t="e">
        <v>#N/A</v>
      </c>
      <c r="CP83" s="232" t="e">
        <v>#N/A</v>
      </c>
      <c r="CQ83" s="232" t="e">
        <v>#N/A</v>
      </c>
      <c r="CR83" s="232" t="e">
        <v>#N/A</v>
      </c>
      <c r="CS83" s="230"/>
      <c r="CT83" s="232">
        <v>5367</v>
      </c>
      <c r="CU83" s="232">
        <v>3208</v>
      </c>
      <c r="CV83" s="232" t="e">
        <v>#N/A</v>
      </c>
      <c r="CW83" s="232">
        <v>7914.72</v>
      </c>
      <c r="CX83" s="232">
        <v>9411.92</v>
      </c>
      <c r="CY83" s="232">
        <v>8979.6299999999992</v>
      </c>
      <c r="CZ83" s="232" t="e">
        <v>#N/A</v>
      </c>
      <c r="DA83" s="232" t="e">
        <v>#N/A</v>
      </c>
      <c r="DB83" s="232" t="e">
        <v>#N/A</v>
      </c>
      <c r="DC83" s="232" t="e">
        <v>#N/A</v>
      </c>
      <c r="DD83" s="230"/>
      <c r="DE83" s="232" t="e">
        <v>#N/A</v>
      </c>
      <c r="DF83" s="232">
        <v>160.72</v>
      </c>
      <c r="DG83" s="232">
        <v>192.92</v>
      </c>
      <c r="DH83" s="230"/>
      <c r="DI83" s="230"/>
      <c r="DJ83" s="172"/>
    </row>
    <row r="84" spans="1:114" x14ac:dyDescent="0.25">
      <c r="A84" s="225" t="s">
        <v>729</v>
      </c>
      <c r="B84" s="432" t="s">
        <v>1169</v>
      </c>
      <c r="C84" s="227" t="s">
        <v>1170</v>
      </c>
      <c r="D84" s="228" t="str">
        <f t="shared" si="1"/>
        <v>9229601Z IN Equity</v>
      </c>
      <c r="E84" s="229"/>
      <c r="F84" s="230"/>
      <c r="G84" s="231" t="e">
        <v>#N/A</v>
      </c>
      <c r="H84" s="232" t="e">
        <v>#N/A</v>
      </c>
      <c r="I84" s="230"/>
      <c r="J84" s="231" t="e">
        <v>#N/A</v>
      </c>
      <c r="K84" s="232" t="e">
        <v>#N/A</v>
      </c>
      <c r="L84" s="230"/>
      <c r="M84" s="233" t="e">
        <v>#N/A</v>
      </c>
      <c r="N84" s="233" t="e">
        <v>#N/A</v>
      </c>
      <c r="O84" s="233" t="e">
        <v>#N/A</v>
      </c>
      <c r="P84" s="233" t="e">
        <v>#N/A</v>
      </c>
      <c r="Q84" s="230"/>
      <c r="R84" s="234" t="e">
        <v>#N/A</v>
      </c>
      <c r="S84" s="234" t="e">
        <v>#N/A</v>
      </c>
      <c r="T84" s="230"/>
      <c r="U84" s="234" t="e">
        <v>#N/A</v>
      </c>
      <c r="V84" s="234" t="e">
        <v>#N/A</v>
      </c>
      <c r="W84" s="234" t="e">
        <v>#N/A</v>
      </c>
      <c r="X84" s="234" t="e">
        <v>#N/A</v>
      </c>
      <c r="Y84" s="234" t="e">
        <v>#N/A</v>
      </c>
      <c r="Z84" s="234" t="e">
        <v>#N/A</v>
      </c>
      <c r="AA84" s="234">
        <v>2.9984901508817968E-2</v>
      </c>
      <c r="AB84" s="234" t="e">
        <v>#N/A</v>
      </c>
      <c r="AC84" s="230"/>
      <c r="AD84" s="232">
        <v>-30.917000000000002</v>
      </c>
      <c r="AE84" s="232">
        <v>-30.917000000000002</v>
      </c>
      <c r="AF84" s="232">
        <v>0</v>
      </c>
      <c r="AG84" s="232">
        <v>-75.379000000000005</v>
      </c>
      <c r="AH84" s="235">
        <v>-106.29600000000001</v>
      </c>
      <c r="AI84" s="230"/>
      <c r="AJ84" s="232">
        <v>681.81200000000001</v>
      </c>
      <c r="AK84" s="232">
        <v>119.244</v>
      </c>
      <c r="AL84" s="235">
        <v>801.05600000000004</v>
      </c>
      <c r="AM84" s="230"/>
      <c r="AN84" s="231">
        <v>9.3779826029999995</v>
      </c>
      <c r="AO84" s="232">
        <v>770.13900000000001</v>
      </c>
      <c r="AP84" s="236">
        <v>5.5043741155281101</v>
      </c>
      <c r="AQ84" s="230"/>
      <c r="AR84" s="237" t="e">
        <v>#N/A</v>
      </c>
      <c r="AS84" s="237" t="e">
        <v>#N/A</v>
      </c>
      <c r="AT84" s="237" t="e">
        <v>#N/A</v>
      </c>
      <c r="AU84" s="230"/>
      <c r="AV84" s="234" t="e">
        <v>#N/A</v>
      </c>
      <c r="AW84" s="234" t="e">
        <v>#N/A</v>
      </c>
      <c r="AX84" s="234" t="e">
        <v>#N/A</v>
      </c>
      <c r="AY84" s="234" t="e">
        <v>#N/A</v>
      </c>
      <c r="AZ84" s="230"/>
      <c r="BA84" s="232">
        <v>10.081</v>
      </c>
      <c r="BB84" s="230"/>
      <c r="BC84" s="232" t="e">
        <v>#N/A</v>
      </c>
      <c r="BD84" s="232" t="e">
        <v>#N/A</v>
      </c>
      <c r="BE84" s="230"/>
      <c r="BF84" s="238" t="e">
        <v>#N/A</v>
      </c>
      <c r="BG84" s="238" t="e">
        <v>#N/A</v>
      </c>
      <c r="BH84" s="238" t="e">
        <v>#N/A</v>
      </c>
      <c r="BI84" s="230"/>
      <c r="BJ84" s="239" t="e">
        <v>#N/A</v>
      </c>
      <c r="BK84" s="240" t="e">
        <v>#N/A</v>
      </c>
      <c r="BL84" s="230"/>
      <c r="BM84" s="241">
        <v>13.5</v>
      </c>
      <c r="BN84" s="241">
        <v>-6.73</v>
      </c>
      <c r="BO84" s="241" t="e">
        <v>#N/A</v>
      </c>
      <c r="BP84" s="241">
        <v>4.34</v>
      </c>
      <c r="BQ84" s="241" t="e">
        <v>#N/A</v>
      </c>
      <c r="BR84" s="241" t="e">
        <v>#N/A</v>
      </c>
      <c r="BS84" s="241" t="e">
        <v>#N/A</v>
      </c>
      <c r="BT84" s="241" t="e">
        <v>#N/A</v>
      </c>
      <c r="BU84" s="241" t="e">
        <v>#N/A</v>
      </c>
      <c r="BV84" s="241" t="e">
        <v>#N/A</v>
      </c>
      <c r="BW84" s="230"/>
      <c r="BX84" s="232">
        <v>67.099373</v>
      </c>
      <c r="BY84" s="232">
        <v>-33.441882</v>
      </c>
      <c r="BZ84" s="232" t="e">
        <v>#N/A</v>
      </c>
      <c r="CA84" s="232">
        <v>21.585000000000001</v>
      </c>
      <c r="CB84" s="232" t="e">
        <v>#N/A</v>
      </c>
      <c r="CC84" s="232" t="e">
        <v>#N/A</v>
      </c>
      <c r="CD84" s="232" t="e">
        <v>#N/A</v>
      </c>
      <c r="CE84" s="232" t="e">
        <v>#N/A</v>
      </c>
      <c r="CF84" s="232" t="e">
        <v>#N/A</v>
      </c>
      <c r="CG84" s="232" t="e">
        <v>#N/A</v>
      </c>
      <c r="CH84" s="230"/>
      <c r="CI84" s="232">
        <v>138.036236</v>
      </c>
      <c r="CJ84" s="232">
        <v>17.453504000000002</v>
      </c>
      <c r="CK84" s="232" t="e">
        <v>#N/A</v>
      </c>
      <c r="CL84" s="232">
        <v>139.91399999999999</v>
      </c>
      <c r="CM84" s="232" t="e">
        <v>#N/A</v>
      </c>
      <c r="CN84" s="232" t="e">
        <v>#N/A</v>
      </c>
      <c r="CO84" s="232" t="e">
        <v>#N/A</v>
      </c>
      <c r="CP84" s="232" t="e">
        <v>#N/A</v>
      </c>
      <c r="CQ84" s="232" t="e">
        <v>#N/A</v>
      </c>
      <c r="CR84" s="232" t="e">
        <v>#N/A</v>
      </c>
      <c r="CS84" s="230"/>
      <c r="CT84" s="232">
        <v>1386.869659</v>
      </c>
      <c r="CU84" s="232">
        <v>896.63560099999995</v>
      </c>
      <c r="CV84" s="232" t="e">
        <v>#N/A</v>
      </c>
      <c r="CW84" s="232">
        <v>1258.877</v>
      </c>
      <c r="CX84" s="232" t="e">
        <v>#N/A</v>
      </c>
      <c r="CY84" s="232" t="e">
        <v>#N/A</v>
      </c>
      <c r="CZ84" s="232" t="e">
        <v>#N/A</v>
      </c>
      <c r="DA84" s="232" t="e">
        <v>#N/A</v>
      </c>
      <c r="DB84" s="232" t="e">
        <v>#N/A</v>
      </c>
      <c r="DC84" s="232" t="e">
        <v>#N/A</v>
      </c>
      <c r="DD84" s="230"/>
      <c r="DE84" s="232" t="e">
        <v>#N/A</v>
      </c>
      <c r="DF84" s="232" t="e">
        <v>#N/A</v>
      </c>
      <c r="DG84" s="232">
        <v>0</v>
      </c>
      <c r="DH84" s="230"/>
      <c r="DI84" s="230"/>
      <c r="DJ84" s="172"/>
    </row>
    <row r="85" spans="1:114" x14ac:dyDescent="0.25">
      <c r="A85" s="225" t="s">
        <v>729</v>
      </c>
      <c r="B85" s="432" t="s">
        <v>1171</v>
      </c>
      <c r="C85" s="227" t="s">
        <v>1172</v>
      </c>
      <c r="D85" s="228" t="str">
        <f t="shared" si="1"/>
        <v>2436154D IN Equity</v>
      </c>
      <c r="E85" s="229"/>
      <c r="F85" s="230"/>
      <c r="G85" s="231" t="e">
        <v>#N/A</v>
      </c>
      <c r="H85" s="232" t="e">
        <v>#N/A</v>
      </c>
      <c r="I85" s="230"/>
      <c r="J85" s="231" t="e">
        <v>#N/A</v>
      </c>
      <c r="K85" s="232" t="e">
        <v>#N/A</v>
      </c>
      <c r="L85" s="230"/>
      <c r="M85" s="233" t="e">
        <v>#N/A</v>
      </c>
      <c r="N85" s="233" t="e">
        <v>#N/A</v>
      </c>
      <c r="O85" s="233" t="e">
        <v>#N/A</v>
      </c>
      <c r="P85" s="233" t="e">
        <v>#N/A</v>
      </c>
      <c r="Q85" s="230"/>
      <c r="R85" s="234" t="e">
        <v>#N/A</v>
      </c>
      <c r="S85" s="234" t="e">
        <v>#N/A</v>
      </c>
      <c r="T85" s="230"/>
      <c r="U85" s="234" t="e">
        <v>#N/A</v>
      </c>
      <c r="V85" s="234" t="e">
        <v>#N/A</v>
      </c>
      <c r="W85" s="234" t="e">
        <v>#N/A</v>
      </c>
      <c r="X85" s="234" t="e">
        <v>#N/A</v>
      </c>
      <c r="Y85" s="234" t="e">
        <v>#N/A</v>
      </c>
      <c r="Z85" s="234" t="e">
        <v>#N/A</v>
      </c>
      <c r="AA85" s="234" t="e">
        <v>#N/A</v>
      </c>
      <c r="AB85" s="234" t="e">
        <v>#N/A</v>
      </c>
      <c r="AC85" s="230"/>
      <c r="AD85" s="232" t="e">
        <v>#N/A</v>
      </c>
      <c r="AE85" s="232" t="e">
        <v>#N/A</v>
      </c>
      <c r="AF85" s="232" t="e">
        <v>#N/A</v>
      </c>
      <c r="AG85" s="232" t="e">
        <v>#N/A</v>
      </c>
      <c r="AH85" s="235" t="e">
        <v>#N/A</v>
      </c>
      <c r="AI85" s="230"/>
      <c r="AJ85" s="232" t="e">
        <v>#N/A</v>
      </c>
      <c r="AK85" s="232" t="e">
        <v>#N/A</v>
      </c>
      <c r="AL85" s="235" t="e">
        <v>#N/A</v>
      </c>
      <c r="AM85" s="230"/>
      <c r="AN85" s="231" t="e">
        <v>#N/A</v>
      </c>
      <c r="AO85" s="232" t="e">
        <v>#N/A</v>
      </c>
      <c r="AP85" s="236" t="e">
        <v>#N/A</v>
      </c>
      <c r="AQ85" s="230"/>
      <c r="AR85" s="237" t="e">
        <v>#N/A</v>
      </c>
      <c r="AS85" s="237" t="e">
        <v>#N/A</v>
      </c>
      <c r="AT85" s="237" t="e">
        <v>#N/A</v>
      </c>
      <c r="AU85" s="230"/>
      <c r="AV85" s="234" t="e">
        <v>#N/A</v>
      </c>
      <c r="AW85" s="234" t="e">
        <v>#N/A</v>
      </c>
      <c r="AX85" s="234" t="e">
        <v>#N/A</v>
      </c>
      <c r="AY85" s="234" t="e">
        <v>#N/A</v>
      </c>
      <c r="AZ85" s="230"/>
      <c r="BA85" s="232" t="e">
        <v>#N/A</v>
      </c>
      <c r="BB85" s="230"/>
      <c r="BC85" s="232" t="e">
        <v>#N/A</v>
      </c>
      <c r="BD85" s="232" t="e">
        <v>#N/A</v>
      </c>
      <c r="BE85" s="230"/>
      <c r="BF85" s="238" t="e">
        <v>#N/A</v>
      </c>
      <c r="BG85" s="238" t="e">
        <v>#N/A</v>
      </c>
      <c r="BH85" s="238" t="e">
        <v>#N/A</v>
      </c>
      <c r="BI85" s="230"/>
      <c r="BJ85" s="239" t="e">
        <v>#N/A</v>
      </c>
      <c r="BK85" s="240" t="e">
        <v>#N/A</v>
      </c>
      <c r="BL85" s="230"/>
      <c r="BM85" s="241" t="e">
        <v>#N/A</v>
      </c>
      <c r="BN85" s="241" t="e">
        <v>#N/A</v>
      </c>
      <c r="BO85" s="241" t="e">
        <v>#N/A</v>
      </c>
      <c r="BP85" s="241" t="e">
        <v>#N/A</v>
      </c>
      <c r="BQ85" s="241" t="e">
        <v>#N/A</v>
      </c>
      <c r="BR85" s="241" t="e">
        <v>#N/A</v>
      </c>
      <c r="BS85" s="241" t="e">
        <v>#N/A</v>
      </c>
      <c r="BT85" s="241" t="e">
        <v>#N/A</v>
      </c>
      <c r="BU85" s="241" t="e">
        <v>#N/A</v>
      </c>
      <c r="BV85" s="241" t="e">
        <v>#N/A</v>
      </c>
      <c r="BW85" s="230"/>
      <c r="BX85" s="232" t="e">
        <v>#N/A</v>
      </c>
      <c r="BY85" s="232" t="e">
        <v>#N/A</v>
      </c>
      <c r="BZ85" s="232" t="e">
        <v>#N/A</v>
      </c>
      <c r="CA85" s="232" t="e">
        <v>#N/A</v>
      </c>
      <c r="CB85" s="232" t="e">
        <v>#N/A</v>
      </c>
      <c r="CC85" s="232" t="e">
        <v>#N/A</v>
      </c>
      <c r="CD85" s="232" t="e">
        <v>#N/A</v>
      </c>
      <c r="CE85" s="232" t="e">
        <v>#N/A</v>
      </c>
      <c r="CF85" s="232" t="e">
        <v>#N/A</v>
      </c>
      <c r="CG85" s="232" t="e">
        <v>#N/A</v>
      </c>
      <c r="CH85" s="230"/>
      <c r="CI85" s="232" t="e">
        <v>#N/A</v>
      </c>
      <c r="CJ85" s="232" t="e">
        <v>#N/A</v>
      </c>
      <c r="CK85" s="232" t="e">
        <v>#N/A</v>
      </c>
      <c r="CL85" s="232" t="e">
        <v>#N/A</v>
      </c>
      <c r="CM85" s="232" t="e">
        <v>#N/A</v>
      </c>
      <c r="CN85" s="232" t="e">
        <v>#N/A</v>
      </c>
      <c r="CO85" s="232" t="e">
        <v>#N/A</v>
      </c>
      <c r="CP85" s="232" t="e">
        <v>#N/A</v>
      </c>
      <c r="CQ85" s="232" t="e">
        <v>#N/A</v>
      </c>
      <c r="CR85" s="232" t="e">
        <v>#N/A</v>
      </c>
      <c r="CS85" s="230"/>
      <c r="CT85" s="232" t="e">
        <v>#N/A</v>
      </c>
      <c r="CU85" s="232" t="e">
        <v>#N/A</v>
      </c>
      <c r="CV85" s="232" t="e">
        <v>#N/A</v>
      </c>
      <c r="CW85" s="232" t="e">
        <v>#N/A</v>
      </c>
      <c r="CX85" s="232" t="e">
        <v>#N/A</v>
      </c>
      <c r="CY85" s="232" t="e">
        <v>#N/A</v>
      </c>
      <c r="CZ85" s="232" t="e">
        <v>#N/A</v>
      </c>
      <c r="DA85" s="232" t="e">
        <v>#N/A</v>
      </c>
      <c r="DB85" s="232" t="e">
        <v>#N/A</v>
      </c>
      <c r="DC85" s="232" t="e">
        <v>#N/A</v>
      </c>
      <c r="DD85" s="230"/>
      <c r="DE85" s="232" t="e">
        <v>#N/A</v>
      </c>
      <c r="DF85" s="232" t="e">
        <v>#N/A</v>
      </c>
      <c r="DG85" s="232" t="e">
        <v>#N/A</v>
      </c>
      <c r="DH85" s="230"/>
      <c r="DI85" s="230"/>
      <c r="DJ85" s="172"/>
    </row>
    <row r="86" spans="1:114" x14ac:dyDescent="0.25">
      <c r="A86" s="225" t="s">
        <v>729</v>
      </c>
      <c r="B86" s="432" t="s">
        <v>1173</v>
      </c>
      <c r="C86" s="227" t="s">
        <v>1174</v>
      </c>
      <c r="D86" s="228" t="str">
        <f t="shared" si="1"/>
        <v>1603332D IN Equity</v>
      </c>
      <c r="E86" s="229"/>
      <c r="F86" s="230"/>
      <c r="G86" s="231" t="e">
        <v>#N/A</v>
      </c>
      <c r="H86" s="232" t="e">
        <v>#N/A</v>
      </c>
      <c r="I86" s="230"/>
      <c r="J86" s="231" t="e">
        <v>#N/A</v>
      </c>
      <c r="K86" s="232" t="e">
        <v>#N/A</v>
      </c>
      <c r="L86" s="230"/>
      <c r="M86" s="233" t="e">
        <v>#N/A</v>
      </c>
      <c r="N86" s="233" t="e">
        <v>#N/A</v>
      </c>
      <c r="O86" s="233" t="e">
        <v>#N/A</v>
      </c>
      <c r="P86" s="233" t="e">
        <v>#N/A</v>
      </c>
      <c r="Q86" s="230"/>
      <c r="R86" s="234" t="e">
        <v>#N/A</v>
      </c>
      <c r="S86" s="234" t="e">
        <v>#N/A</v>
      </c>
      <c r="T86" s="230"/>
      <c r="U86" s="234">
        <v>0.37079794718142339</v>
      </c>
      <c r="V86" s="234" t="e">
        <v>#N/A</v>
      </c>
      <c r="W86" s="234">
        <v>0.37079794718142339</v>
      </c>
      <c r="X86" s="234">
        <v>0.37111838677967413</v>
      </c>
      <c r="Y86" s="234">
        <v>0.33132800432790183</v>
      </c>
      <c r="Z86" s="234">
        <v>0.44703253904156637</v>
      </c>
      <c r="AA86" s="234">
        <v>0.30477791010864763</v>
      </c>
      <c r="AB86" s="234">
        <v>0.36961990431626313</v>
      </c>
      <c r="AC86" s="230"/>
      <c r="AD86" s="232">
        <v>-2078.7399999999998</v>
      </c>
      <c r="AE86" s="232">
        <v>-2078.7399999999998</v>
      </c>
      <c r="AF86" s="232">
        <v>0</v>
      </c>
      <c r="AG86" s="232">
        <v>0</v>
      </c>
      <c r="AH86" s="235">
        <v>-2078.7399999999998</v>
      </c>
      <c r="AI86" s="230"/>
      <c r="AJ86" s="232">
        <v>23.75</v>
      </c>
      <c r="AK86" s="232">
        <v>1.77</v>
      </c>
      <c r="AL86" s="235">
        <v>25.52</v>
      </c>
      <c r="AM86" s="230"/>
      <c r="AN86" s="231">
        <v>-24.632480340000001</v>
      </c>
      <c r="AO86" s="232">
        <v>-2053.2199999999998</v>
      </c>
      <c r="AP86" s="236">
        <v>-1.1228248624645907</v>
      </c>
      <c r="AQ86" s="230"/>
      <c r="AR86" s="237" t="e">
        <v>#N/A</v>
      </c>
      <c r="AS86" s="237" t="e">
        <v>#N/A</v>
      </c>
      <c r="AT86" s="237" t="e">
        <v>#N/A</v>
      </c>
      <c r="AU86" s="230"/>
      <c r="AV86" s="234" t="e">
        <v>#N/A</v>
      </c>
      <c r="AW86" s="234" t="e">
        <v>#N/A</v>
      </c>
      <c r="AX86" s="234" t="e">
        <v>#N/A</v>
      </c>
      <c r="AY86" s="234" t="e">
        <v>#N/A</v>
      </c>
      <c r="AZ86" s="230"/>
      <c r="BA86" s="232">
        <v>0</v>
      </c>
      <c r="BB86" s="230"/>
      <c r="BC86" s="232" t="e">
        <v>#N/A</v>
      </c>
      <c r="BD86" s="232" t="e">
        <v>#N/A</v>
      </c>
      <c r="BE86" s="230"/>
      <c r="BF86" s="238">
        <v>0</v>
      </c>
      <c r="BG86" s="238">
        <v>0</v>
      </c>
      <c r="BH86" s="238">
        <v>0</v>
      </c>
      <c r="BI86" s="230"/>
      <c r="BJ86" s="239" t="e">
        <v>#N/A</v>
      </c>
      <c r="BK86" s="240" t="e">
        <v>#N/A</v>
      </c>
      <c r="BL86" s="230"/>
      <c r="BM86" s="241" t="e">
        <v>#N/A</v>
      </c>
      <c r="BN86" s="241" t="e">
        <v>#N/A</v>
      </c>
      <c r="BO86" s="241" t="e">
        <v>#N/A</v>
      </c>
      <c r="BP86" s="241" t="e">
        <v>#N/A</v>
      </c>
      <c r="BQ86" s="241" t="e">
        <v>#N/A</v>
      </c>
      <c r="BR86" s="241" t="e">
        <v>#N/A</v>
      </c>
      <c r="BS86" s="241" t="e">
        <v>#N/A</v>
      </c>
      <c r="BT86" s="241" t="e">
        <v>#N/A</v>
      </c>
      <c r="BU86" s="241" t="e">
        <v>#N/A</v>
      </c>
      <c r="BV86" s="241" t="e">
        <v>#N/A</v>
      </c>
      <c r="BW86" s="230"/>
      <c r="BX86" s="232" t="e">
        <v>#N/A</v>
      </c>
      <c r="BY86" s="232" t="e">
        <v>#N/A</v>
      </c>
      <c r="BZ86" s="232">
        <v>877.35</v>
      </c>
      <c r="CA86" s="232">
        <v>926.08</v>
      </c>
      <c r="CB86" s="232">
        <v>1465.26</v>
      </c>
      <c r="CC86" s="232" t="e">
        <v>#N/A</v>
      </c>
      <c r="CD86" s="232" t="e">
        <v>#N/A</v>
      </c>
      <c r="CE86" s="232" t="e">
        <v>#N/A</v>
      </c>
      <c r="CF86" s="232" t="e">
        <v>#N/A</v>
      </c>
      <c r="CG86" s="232" t="e">
        <v>#N/A</v>
      </c>
      <c r="CH86" s="230"/>
      <c r="CI86" s="232" t="e">
        <v>#N/A</v>
      </c>
      <c r="CJ86" s="232" t="e">
        <v>#N/A</v>
      </c>
      <c r="CK86" s="232">
        <v>1167.57</v>
      </c>
      <c r="CL86" s="232">
        <v>1144.4000000000001</v>
      </c>
      <c r="CM86" s="232">
        <v>1828.62</v>
      </c>
      <c r="CN86" s="232" t="e">
        <v>#N/A</v>
      </c>
      <c r="CO86" s="232" t="e">
        <v>#N/A</v>
      </c>
      <c r="CP86" s="232" t="e">
        <v>#N/A</v>
      </c>
      <c r="CQ86" s="232" t="e">
        <v>#N/A</v>
      </c>
      <c r="CR86" s="232" t="e">
        <v>#N/A</v>
      </c>
      <c r="CS86" s="230"/>
      <c r="CT86" s="232" t="e">
        <v>#N/A</v>
      </c>
      <c r="CU86" s="232" t="e">
        <v>#N/A</v>
      </c>
      <c r="CV86" s="232">
        <v>3688.88</v>
      </c>
      <c r="CW86" s="232">
        <v>3508.28</v>
      </c>
      <c r="CX86" s="232">
        <v>5160.7700000000004</v>
      </c>
      <c r="CY86" s="232" t="e">
        <v>#N/A</v>
      </c>
      <c r="CZ86" s="232" t="e">
        <v>#N/A</v>
      </c>
      <c r="DA86" s="232" t="e">
        <v>#N/A</v>
      </c>
      <c r="DB86" s="232" t="e">
        <v>#N/A</v>
      </c>
      <c r="DC86" s="232" t="e">
        <v>#N/A</v>
      </c>
      <c r="DD86" s="230"/>
      <c r="DE86" s="232" t="e">
        <v>#N/A</v>
      </c>
      <c r="DF86" s="232" t="e">
        <v>#N/A</v>
      </c>
      <c r="DG86" s="232" t="e">
        <v>#N/A</v>
      </c>
      <c r="DH86" s="230"/>
      <c r="DI86" s="230"/>
      <c r="DJ86" s="172"/>
    </row>
    <row r="87" spans="1:114" x14ac:dyDescent="0.25">
      <c r="A87" s="244" t="s">
        <v>796</v>
      </c>
      <c r="B87" s="226" t="s">
        <v>797</v>
      </c>
      <c r="C87" s="227" t="s">
        <v>798</v>
      </c>
      <c r="D87" s="228" t="str">
        <f t="shared" si="1"/>
        <v>CDSL IN Equity</v>
      </c>
      <c r="E87" s="229" t="s">
        <v>798</v>
      </c>
      <c r="F87" s="230"/>
      <c r="G87" s="231">
        <v>3490.0587632215038</v>
      </c>
      <c r="H87" s="232">
        <v>313270.10510253906</v>
      </c>
      <c r="I87" s="230"/>
      <c r="J87" s="231">
        <v>3475.1317294945038</v>
      </c>
      <c r="K87" s="232">
        <v>311993.30810253904</v>
      </c>
      <c r="L87" s="230"/>
      <c r="M87" s="233">
        <v>59.524044509404867</v>
      </c>
      <c r="N87" s="233">
        <v>57.576185316801372</v>
      </c>
      <c r="O87" s="233">
        <v>42.084646733296594</v>
      </c>
      <c r="P87" s="233">
        <v>45.866120555633742</v>
      </c>
      <c r="Q87" s="230"/>
      <c r="R87" s="234">
        <v>17.795952412191717</v>
      </c>
      <c r="S87" s="234">
        <v>18.230245420241673</v>
      </c>
      <c r="T87" s="230"/>
      <c r="U87" s="234">
        <v>0.32651526678402915</v>
      </c>
      <c r="V87" s="234">
        <v>0.28815333333333332</v>
      </c>
      <c r="W87" s="234">
        <v>0.33438541787272141</v>
      </c>
      <c r="X87" s="234" t="e">
        <v>#N/A</v>
      </c>
      <c r="Y87" s="234">
        <v>0.31035747735104763</v>
      </c>
      <c r="Z87" s="234">
        <v>0.40976153019861317</v>
      </c>
      <c r="AA87" s="234">
        <v>0.28774884824582841</v>
      </c>
      <c r="AB87" s="234">
        <v>0.31750500755627636</v>
      </c>
      <c r="AC87" s="230"/>
      <c r="AD87" s="232">
        <v>-322.565</v>
      </c>
      <c r="AE87" s="232" t="e">
        <v>#N/A</v>
      </c>
      <c r="AF87" s="232">
        <v>-9237.3919999999998</v>
      </c>
      <c r="AG87" s="232">
        <v>-5216.9070000000002</v>
      </c>
      <c r="AH87" s="235" t="e">
        <v>#N/A</v>
      </c>
      <c r="AI87" s="230"/>
      <c r="AJ87" s="232">
        <v>10.246</v>
      </c>
      <c r="AK87" s="232">
        <v>19.541</v>
      </c>
      <c r="AL87" s="235">
        <v>29.786999999999999</v>
      </c>
      <c r="AM87" s="230"/>
      <c r="AN87" s="231">
        <v>-20.015295965999996</v>
      </c>
      <c r="AO87" s="232">
        <v>-1712.0260000000001</v>
      </c>
      <c r="AP87" s="236">
        <v>-0.23093447050646046</v>
      </c>
      <c r="AQ87" s="230"/>
      <c r="AR87" s="237">
        <v>209</v>
      </c>
      <c r="AS87" s="237">
        <v>209</v>
      </c>
      <c r="AT87" s="237">
        <v>209</v>
      </c>
      <c r="AU87" s="230"/>
      <c r="AV87" s="234" t="e">
        <v>#N/A</v>
      </c>
      <c r="AW87" s="234">
        <v>0.20487697638084384</v>
      </c>
      <c r="AX87" s="234" t="e">
        <v>#N/A</v>
      </c>
      <c r="AY87" s="234">
        <v>0.83887769856459327</v>
      </c>
      <c r="AZ87" s="230"/>
      <c r="BA87" s="232">
        <v>435.22899999999998</v>
      </c>
      <c r="BB87" s="230"/>
      <c r="BC87" s="232">
        <v>1216.661987</v>
      </c>
      <c r="BD87" s="232">
        <v>2299</v>
      </c>
      <c r="BE87" s="230"/>
      <c r="BF87" s="238">
        <v>0.96748299999999998</v>
      </c>
      <c r="BG87" s="238">
        <v>1.0676327999999999</v>
      </c>
      <c r="BH87" s="238">
        <v>1.5454131333333321</v>
      </c>
      <c r="BI87" s="230"/>
      <c r="BJ87" s="239">
        <v>16.698845757040687</v>
      </c>
      <c r="BK87" s="240">
        <v>1498.9000244140625</v>
      </c>
      <c r="BL87" s="230"/>
      <c r="BM87" s="241">
        <v>5.08</v>
      </c>
      <c r="BN87" s="241">
        <v>9.5850000000000009</v>
      </c>
      <c r="BO87" s="241">
        <v>14.89</v>
      </c>
      <c r="BP87" s="241">
        <v>13.205</v>
      </c>
      <c r="BQ87" s="241">
        <v>20.055</v>
      </c>
      <c r="BR87" s="241">
        <v>25.2</v>
      </c>
      <c r="BS87" s="241">
        <v>26.033333333333335</v>
      </c>
      <c r="BT87" s="241">
        <v>32.005333333333333</v>
      </c>
      <c r="BU87" s="241">
        <v>37.399285714285718</v>
      </c>
      <c r="BV87" s="241">
        <v>44.829999999999991</v>
      </c>
      <c r="BW87" s="230"/>
      <c r="BX87" s="232">
        <v>1114.0201</v>
      </c>
      <c r="BY87" s="232">
        <v>2003.405</v>
      </c>
      <c r="BZ87" s="232">
        <v>3111.8119999999999</v>
      </c>
      <c r="CA87" s="232">
        <v>2757.3739999999998</v>
      </c>
      <c r="CB87" s="232">
        <v>4190.6113999999998</v>
      </c>
      <c r="CC87" s="232">
        <v>5262.9169000000002</v>
      </c>
      <c r="CD87" s="232" t="e">
        <v>#N/A</v>
      </c>
      <c r="CE87" s="232" t="e">
        <v>#N/A</v>
      </c>
      <c r="CF87" s="232" t="e">
        <v>#N/A</v>
      </c>
      <c r="CG87" s="232" t="e">
        <v>#N/A</v>
      </c>
      <c r="CH87" s="230"/>
      <c r="CI87" s="232">
        <v>1482.096</v>
      </c>
      <c r="CJ87" s="232">
        <v>2669.2560000000003</v>
      </c>
      <c r="CK87" s="232">
        <v>4214.3189999999995</v>
      </c>
      <c r="CL87" s="232">
        <v>3891.9160000000002</v>
      </c>
      <c r="CM87" s="232">
        <v>5844.3850000000002</v>
      </c>
      <c r="CN87" s="232">
        <v>7413.4709999999995</v>
      </c>
      <c r="CO87" s="232">
        <v>6600.7857142857101</v>
      </c>
      <c r="CP87" s="232">
        <v>8227.6</v>
      </c>
      <c r="CQ87" s="232">
        <v>9599.5714285714294</v>
      </c>
      <c r="CR87" s="232">
        <v>11585</v>
      </c>
      <c r="CS87" s="230"/>
      <c r="CT87" s="232">
        <v>2842.4989999999998</v>
      </c>
      <c r="CU87" s="232">
        <v>3988.116</v>
      </c>
      <c r="CV87" s="232">
        <v>6206.7579999999998</v>
      </c>
      <c r="CW87" s="232">
        <v>6209.3509999999997</v>
      </c>
      <c r="CX87" s="232">
        <v>9073.0390000000007</v>
      </c>
      <c r="CY87" s="232">
        <v>11989.823</v>
      </c>
      <c r="CZ87" s="232">
        <v>12148</v>
      </c>
      <c r="DA87" s="232">
        <v>14441.6</v>
      </c>
      <c r="DB87" s="232">
        <v>16603.285714285714</v>
      </c>
      <c r="DC87" s="232">
        <v>19783.5</v>
      </c>
      <c r="DD87" s="230"/>
      <c r="DE87" s="232" t="e">
        <v>#N/A</v>
      </c>
      <c r="DF87" s="232" t="e">
        <v>#N/A</v>
      </c>
      <c r="DG87" s="232" t="e">
        <v>#N/A</v>
      </c>
      <c r="DH87" s="230"/>
      <c r="DI87" s="230"/>
      <c r="DJ87" s="172" t="s">
        <v>277</v>
      </c>
    </row>
    <row r="88" spans="1:114" x14ac:dyDescent="0.25">
      <c r="A88" s="244" t="s">
        <v>796</v>
      </c>
      <c r="B88" s="226" t="s">
        <v>799</v>
      </c>
      <c r="C88" s="227" t="s">
        <v>800</v>
      </c>
      <c r="D88" s="228" t="str">
        <f t="shared" si="1"/>
        <v>NSDL IN Equity</v>
      </c>
      <c r="E88" s="229" t="s">
        <v>800</v>
      </c>
      <c r="F88" s="230"/>
      <c r="G88" s="231">
        <v>2391.2469356438023</v>
      </c>
      <c r="H88" s="232">
        <v>214639.990234375</v>
      </c>
      <c r="I88" s="230"/>
      <c r="J88" s="231">
        <v>2268.804988263802</v>
      </c>
      <c r="K88" s="232">
        <v>204166.81023437501</v>
      </c>
      <c r="L88" s="230"/>
      <c r="M88" s="233" t="e">
        <v>#N/A</v>
      </c>
      <c r="N88" s="233">
        <v>54.504822304310572</v>
      </c>
      <c r="O88" s="233">
        <v>52.226326202686188</v>
      </c>
      <c r="P88" s="233" t="e">
        <v>#N/A</v>
      </c>
      <c r="Q88" s="230"/>
      <c r="R88" s="234" t="e">
        <v>#N/A</v>
      </c>
      <c r="S88" s="234" t="e">
        <v>#N/A</v>
      </c>
      <c r="T88" s="230"/>
      <c r="U88" s="234">
        <v>0.17876972048317388</v>
      </c>
      <c r="V88" s="234">
        <v>0.18112500000000001</v>
      </c>
      <c r="W88" s="234">
        <v>0.19055161138409318</v>
      </c>
      <c r="X88" s="234">
        <v>0.74301187848025607</v>
      </c>
      <c r="Y88" s="234">
        <v>0.14444563332711233</v>
      </c>
      <c r="Z88" s="234">
        <v>0.1908868552265239</v>
      </c>
      <c r="AA88" s="234">
        <v>0.13794549346446588</v>
      </c>
      <c r="AB88" s="234">
        <v>0.18481334807355929</v>
      </c>
      <c r="AC88" s="230"/>
      <c r="AD88" s="232">
        <v>-1451.59</v>
      </c>
      <c r="AE88" s="232">
        <v>-10574.51</v>
      </c>
      <c r="AF88" s="232">
        <v>-9122.92</v>
      </c>
      <c r="AG88" s="232">
        <v>-13123.68</v>
      </c>
      <c r="AH88" s="235">
        <v>-23698.19</v>
      </c>
      <c r="AI88" s="230"/>
      <c r="AJ88" s="232">
        <v>47.78</v>
      </c>
      <c r="AK88" s="232">
        <v>53.55</v>
      </c>
      <c r="AL88" s="235">
        <v>101.33</v>
      </c>
      <c r="AM88" s="230"/>
      <c r="AN88" s="231">
        <v>-122.44194738</v>
      </c>
      <c r="AO88" s="232">
        <v>-10473.18</v>
      </c>
      <c r="AP88" s="236">
        <v>-2.6790628429348704</v>
      </c>
      <c r="AQ88" s="230"/>
      <c r="AR88" s="237">
        <v>200</v>
      </c>
      <c r="AS88" s="237" t="e">
        <v>#N/A</v>
      </c>
      <c r="AT88" s="237" t="e">
        <v>#N/A</v>
      </c>
      <c r="AU88" s="230"/>
      <c r="AV88" s="234" t="e">
        <v>#N/A</v>
      </c>
      <c r="AW88" s="234">
        <v>0.49438209805281036</v>
      </c>
      <c r="AX88" s="234">
        <v>4.6399999999999995E-4</v>
      </c>
      <c r="AY88" s="234">
        <v>0.64447502000000001</v>
      </c>
      <c r="AZ88" s="230"/>
      <c r="BA88" s="232">
        <v>0</v>
      </c>
      <c r="BB88" s="230"/>
      <c r="BC88" s="232" t="e">
        <v>#N/A</v>
      </c>
      <c r="BD88" s="232">
        <v>163.82</v>
      </c>
      <c r="BE88" s="230"/>
      <c r="BF88" s="238">
        <v>0.37192060000000005</v>
      </c>
      <c r="BG88" s="238">
        <v>0.36071369999999969</v>
      </c>
      <c r="BH88" s="238">
        <v>0.71129893333333361</v>
      </c>
      <c r="BI88" s="230"/>
      <c r="BJ88" s="239">
        <v>11.956234678219012</v>
      </c>
      <c r="BK88" s="240">
        <v>1073.199951171875</v>
      </c>
      <c r="BL88" s="230"/>
      <c r="BM88" s="241">
        <v>31.19</v>
      </c>
      <c r="BN88" s="241">
        <v>47.14</v>
      </c>
      <c r="BO88" s="241">
        <v>53.15</v>
      </c>
      <c r="BP88" s="241" t="e">
        <v>#N/A</v>
      </c>
      <c r="BQ88" s="241" t="e">
        <v>#N/A</v>
      </c>
      <c r="BR88" s="241" t="e">
        <v>#N/A</v>
      </c>
      <c r="BS88" s="241">
        <v>19.689999999999998</v>
      </c>
      <c r="BT88" s="241">
        <v>23.216666666666669</v>
      </c>
      <c r="BU88" s="241">
        <v>27.650000000000002</v>
      </c>
      <c r="BV88" s="241" t="e">
        <v>#N/A</v>
      </c>
      <c r="BW88" s="230"/>
      <c r="BX88" s="232">
        <v>1247.6210000000001</v>
      </c>
      <c r="BY88" s="232">
        <v>1885.645</v>
      </c>
      <c r="BZ88" s="232">
        <v>2125.9389999999999</v>
      </c>
      <c r="CA88" s="232">
        <v>2301.1019999999999</v>
      </c>
      <c r="CB88" s="232">
        <v>2632.3629999999998</v>
      </c>
      <c r="CC88" s="232">
        <v>3297.799</v>
      </c>
      <c r="CD88" s="232" t="e">
        <v>#N/A</v>
      </c>
      <c r="CE88" s="232" t="e">
        <v>#N/A</v>
      </c>
      <c r="CF88" s="232" t="e">
        <v>#N/A</v>
      </c>
      <c r="CG88" s="232" t="e">
        <v>#N/A</v>
      </c>
      <c r="CH88" s="230"/>
      <c r="CI88" s="232">
        <v>1228.5550000000001</v>
      </c>
      <c r="CJ88" s="232">
        <v>2059.087</v>
      </c>
      <c r="CK88" s="232">
        <v>2405.3150000000001</v>
      </c>
      <c r="CL88" s="232">
        <v>2655.01</v>
      </c>
      <c r="CM88" s="232">
        <v>2965.18</v>
      </c>
      <c r="CN88" s="232">
        <v>3909.2699999999995</v>
      </c>
      <c r="CO88" s="232">
        <v>4388.75</v>
      </c>
      <c r="CP88" s="232">
        <v>5236.5</v>
      </c>
      <c r="CQ88" s="232">
        <v>6298</v>
      </c>
      <c r="CR88" s="232" t="e">
        <v>#N/A</v>
      </c>
      <c r="CS88" s="230"/>
      <c r="CT88" s="232">
        <v>3260.6959999999999</v>
      </c>
      <c r="CU88" s="232">
        <v>4657.5200000000004</v>
      </c>
      <c r="CV88" s="232">
        <v>7611.0919999999996</v>
      </c>
      <c r="CW88" s="232">
        <v>10219.879999999999</v>
      </c>
      <c r="CX88" s="232">
        <v>12682.44</v>
      </c>
      <c r="CY88" s="232">
        <v>14201.46</v>
      </c>
      <c r="CZ88" s="232">
        <v>14960.5</v>
      </c>
      <c r="DA88" s="232">
        <v>16958.25</v>
      </c>
      <c r="DB88" s="232">
        <v>19255.5</v>
      </c>
      <c r="DC88" s="232">
        <v>22278</v>
      </c>
      <c r="DD88" s="230"/>
      <c r="DE88" s="232" t="e">
        <v>#N/A</v>
      </c>
      <c r="DF88" s="232">
        <v>0</v>
      </c>
      <c r="DG88" s="232">
        <v>0</v>
      </c>
      <c r="DH88" s="230"/>
      <c r="DI88" s="230"/>
      <c r="DJ88" s="172" t="s">
        <v>277</v>
      </c>
    </row>
    <row r="89" spans="1:114" x14ac:dyDescent="0.25">
      <c r="A89" s="244" t="s">
        <v>796</v>
      </c>
      <c r="B89" s="226" t="s">
        <v>801</v>
      </c>
      <c r="C89" s="227" t="s">
        <v>802</v>
      </c>
      <c r="D89" s="228" t="str">
        <f t="shared" si="1"/>
        <v>CAMS IN Equity</v>
      </c>
      <c r="E89" s="229" t="s">
        <v>802</v>
      </c>
      <c r="F89" s="230"/>
      <c r="G89" s="231">
        <v>2097.123230362939</v>
      </c>
      <c r="H89" s="232">
        <v>188239.24161734193</v>
      </c>
      <c r="I89" s="230"/>
      <c r="J89" s="231">
        <v>2027.9292635659392</v>
      </c>
      <c r="K89" s="232">
        <v>182320.67461734192</v>
      </c>
      <c r="L89" s="230"/>
      <c r="M89" s="233">
        <v>42.029969375569756</v>
      </c>
      <c r="N89" s="233">
        <v>39.586249524179372</v>
      </c>
      <c r="O89" s="233">
        <v>27.948487812950304</v>
      </c>
      <c r="P89" s="233" t="e">
        <v>#N/A</v>
      </c>
      <c r="Q89" s="230"/>
      <c r="R89" s="234">
        <v>16.794733976191658</v>
      </c>
      <c r="S89" s="234">
        <v>21.944823522732019</v>
      </c>
      <c r="T89" s="230"/>
      <c r="U89" s="234">
        <v>0.44011969582999094</v>
      </c>
      <c r="V89" s="234">
        <v>0.39781666666666671</v>
      </c>
      <c r="W89" s="234">
        <v>0.6072785528653154</v>
      </c>
      <c r="X89" s="234">
        <v>0.50979955810735911</v>
      </c>
      <c r="Y89" s="234">
        <v>0.38827962516548903</v>
      </c>
      <c r="Z89" s="234">
        <v>0.51511420715840961</v>
      </c>
      <c r="AA89" s="234">
        <v>0.35303580280025798</v>
      </c>
      <c r="AB89" s="234">
        <v>0.41878005692764797</v>
      </c>
      <c r="AC89" s="230"/>
      <c r="AD89" s="232">
        <v>-2561.6570000000002</v>
      </c>
      <c r="AE89" s="232">
        <v>-6807.2910000000002</v>
      </c>
      <c r="AF89" s="232">
        <v>-4245.634</v>
      </c>
      <c r="AG89" s="232">
        <v>-2.4980000000000002</v>
      </c>
      <c r="AH89" s="235">
        <v>-6809.7889999999998</v>
      </c>
      <c r="AI89" s="230"/>
      <c r="AJ89" s="232">
        <v>316.03399999999999</v>
      </c>
      <c r="AK89" s="232">
        <v>569.15499999999997</v>
      </c>
      <c r="AL89" s="235">
        <v>885.18899999999996</v>
      </c>
      <c r="AM89" s="230"/>
      <c r="AN89" s="231">
        <v>-69.235294481999986</v>
      </c>
      <c r="AO89" s="232">
        <v>-5922.1019999999999</v>
      </c>
      <c r="AP89" s="236">
        <v>-0.90781693256363882</v>
      </c>
      <c r="AQ89" s="230"/>
      <c r="AR89" s="237">
        <v>247.65063499999999</v>
      </c>
      <c r="AS89" s="237">
        <v>246.40852000000001</v>
      </c>
      <c r="AT89" s="237">
        <v>247.40473499999999</v>
      </c>
      <c r="AU89" s="230"/>
      <c r="AV89" s="234">
        <v>0</v>
      </c>
      <c r="AW89" s="234">
        <v>0.57538088391984221</v>
      </c>
      <c r="AX89" s="234">
        <v>4.6899999999999997E-3</v>
      </c>
      <c r="AY89" s="234">
        <v>0.90251731839896143</v>
      </c>
      <c r="AZ89" s="230"/>
      <c r="BA89" s="232">
        <v>3.5350000000000001</v>
      </c>
      <c r="BB89" s="230"/>
      <c r="BC89" s="232" t="e">
        <v>#N/A</v>
      </c>
      <c r="BD89" s="232">
        <v>3448.6219999999998</v>
      </c>
      <c r="BE89" s="230"/>
      <c r="BF89" s="238">
        <v>1.1073712000000002</v>
      </c>
      <c r="BG89" s="238">
        <v>0.91326790000000069</v>
      </c>
      <c r="BH89" s="238">
        <v>1.5931065333333334</v>
      </c>
      <c r="BI89" s="230"/>
      <c r="BJ89" s="239">
        <v>8.4680712826072071</v>
      </c>
      <c r="BK89" s="240">
        <v>760.0999755859375</v>
      </c>
      <c r="BL89" s="230"/>
      <c r="BM89" s="241">
        <v>7.048</v>
      </c>
      <c r="BN89" s="241">
        <v>8.4160000000000004</v>
      </c>
      <c r="BO89" s="241">
        <v>11.745999999999999</v>
      </c>
      <c r="BP89" s="241">
        <v>11.576000000000001</v>
      </c>
      <c r="BQ89" s="241">
        <v>14.336000000000002</v>
      </c>
      <c r="BR89" s="241">
        <v>19.006</v>
      </c>
      <c r="BS89" s="241">
        <v>19.201111111111111</v>
      </c>
      <c r="BT89" s="241">
        <v>22.393157894736845</v>
      </c>
      <c r="BU89" s="241">
        <v>25.694705882352938</v>
      </c>
      <c r="BV89" s="241">
        <v>29.74</v>
      </c>
      <c r="BW89" s="230"/>
      <c r="BX89" s="232">
        <v>1600.5165999999999</v>
      </c>
      <c r="BY89" s="232">
        <v>1898.7176999999999</v>
      </c>
      <c r="BZ89" s="232">
        <v>2796.3924999999999</v>
      </c>
      <c r="CA89" s="232">
        <v>2729.6848</v>
      </c>
      <c r="CB89" s="232">
        <v>3357.6253000000002</v>
      </c>
      <c r="CC89" s="232">
        <v>4474.0074999999997</v>
      </c>
      <c r="CD89" s="232">
        <v>4722.6999059259224</v>
      </c>
      <c r="CE89" s="232">
        <v>5496.3427340920234</v>
      </c>
      <c r="CF89" s="232">
        <v>6296.0749969263898</v>
      </c>
      <c r="CG89" s="232">
        <v>7511.8033790240752</v>
      </c>
      <c r="CH89" s="230"/>
      <c r="CI89" s="232">
        <v>2865.8109999999997</v>
      </c>
      <c r="CJ89" s="232">
        <v>2959.8890000000001</v>
      </c>
      <c r="CK89" s="232">
        <v>4241.4189999999999</v>
      </c>
      <c r="CL89" s="232">
        <v>4212.4259999999995</v>
      </c>
      <c r="CM89" s="232">
        <v>5049.2830000000004</v>
      </c>
      <c r="CN89" s="232">
        <v>6523.4539999999997</v>
      </c>
      <c r="CO89" s="232">
        <v>6832.2777777777792</v>
      </c>
      <c r="CP89" s="232">
        <v>7953.4444444444398</v>
      </c>
      <c r="CQ89" s="232">
        <v>9141.1875</v>
      </c>
      <c r="CR89" s="232">
        <v>10656</v>
      </c>
      <c r="CS89" s="230"/>
      <c r="CT89" s="232">
        <v>6996.299</v>
      </c>
      <c r="CU89" s="232">
        <v>7054.9579999999996</v>
      </c>
      <c r="CV89" s="232">
        <v>9096.6749999999993</v>
      </c>
      <c r="CW89" s="232">
        <v>9718.2720000000008</v>
      </c>
      <c r="CX89" s="232">
        <v>11365.181</v>
      </c>
      <c r="CY89" s="232">
        <v>14224.833000000001</v>
      </c>
      <c r="CZ89" s="232">
        <v>15419</v>
      </c>
      <c r="DA89" s="232">
        <v>17563.842105263157</v>
      </c>
      <c r="DB89" s="232">
        <v>19883.705882352941</v>
      </c>
      <c r="DC89" s="232">
        <v>22853</v>
      </c>
      <c r="DD89" s="230"/>
      <c r="DE89" s="232" t="e">
        <v>#N/A</v>
      </c>
      <c r="DF89" s="232">
        <v>9.4030000000000005</v>
      </c>
      <c r="DG89" s="232">
        <v>0</v>
      </c>
      <c r="DH89" s="230"/>
      <c r="DI89" s="230"/>
      <c r="DJ89" s="172" t="s">
        <v>277</v>
      </c>
    </row>
    <row r="90" spans="1:114" x14ac:dyDescent="0.25">
      <c r="A90" s="244" t="s">
        <v>796</v>
      </c>
      <c r="B90" s="226" t="s">
        <v>803</v>
      </c>
      <c r="C90" s="227" t="s">
        <v>804</v>
      </c>
      <c r="D90" s="228" t="str">
        <f t="shared" si="1"/>
        <v>KFINTECH IN Equity</v>
      </c>
      <c r="E90" s="229" t="s">
        <v>804</v>
      </c>
      <c r="F90" s="230"/>
      <c r="G90" s="231">
        <v>2096.0312796078438</v>
      </c>
      <c r="H90" s="232">
        <v>188141.22735711792</v>
      </c>
      <c r="I90" s="230"/>
      <c r="J90" s="231">
        <v>2027.7069712278437</v>
      </c>
      <c r="K90" s="232">
        <v>182297.04735711793</v>
      </c>
      <c r="L90" s="230"/>
      <c r="M90" s="233">
        <v>59.046677758986064</v>
      </c>
      <c r="N90" s="233">
        <v>50.244016981037063</v>
      </c>
      <c r="O90" s="233">
        <v>38.057679791967033</v>
      </c>
      <c r="P90" s="233">
        <v>35.097492806773921</v>
      </c>
      <c r="Q90" s="230"/>
      <c r="R90" s="234">
        <v>13.34898795697025</v>
      </c>
      <c r="S90" s="234">
        <v>27.408502546369338</v>
      </c>
      <c r="T90" s="230"/>
      <c r="U90" s="234">
        <v>0.25031646016588072</v>
      </c>
      <c r="V90" s="234">
        <v>0.2497125</v>
      </c>
      <c r="W90" s="234">
        <v>0.59438769356131371</v>
      </c>
      <c r="X90" s="234">
        <v>0.47929748435864911</v>
      </c>
      <c r="Y90" s="234">
        <v>0.23314444871638895</v>
      </c>
      <c r="Z90" s="234">
        <v>0.31372603923628273</v>
      </c>
      <c r="AA90" s="234">
        <v>0.21162318179032069</v>
      </c>
      <c r="AB90" s="234">
        <v>0.25424064559681159</v>
      </c>
      <c r="AC90" s="230"/>
      <c r="AD90" s="232">
        <v>-1703.83</v>
      </c>
      <c r="AE90" s="232">
        <v>-6309.41</v>
      </c>
      <c r="AF90" s="232">
        <v>-4605.58</v>
      </c>
      <c r="AG90" s="232">
        <v>-10.92</v>
      </c>
      <c r="AH90" s="235">
        <v>-6320.33</v>
      </c>
      <c r="AI90" s="230"/>
      <c r="AJ90" s="232">
        <v>121.27</v>
      </c>
      <c r="AK90" s="232">
        <v>343.96</v>
      </c>
      <c r="AL90" s="235">
        <v>465.23</v>
      </c>
      <c r="AM90" s="230"/>
      <c r="AN90" s="231">
        <v>-68.324308379999991</v>
      </c>
      <c r="AO90" s="232">
        <v>-5844.18</v>
      </c>
      <c r="AP90" s="236">
        <v>-1.2200742376858551</v>
      </c>
      <c r="AQ90" s="230"/>
      <c r="AR90" s="237">
        <v>172.40100699999999</v>
      </c>
      <c r="AS90" s="237">
        <v>171.54</v>
      </c>
      <c r="AT90" s="237">
        <v>172.83</v>
      </c>
      <c r="AU90" s="230"/>
      <c r="AV90" s="234">
        <v>2.2889999999999998E-3</v>
      </c>
      <c r="AW90" s="234">
        <v>0.75926995673144348</v>
      </c>
      <c r="AX90" s="234">
        <v>2.5530000000000001E-3</v>
      </c>
      <c r="AY90" s="234">
        <v>0.85637763125130706</v>
      </c>
      <c r="AZ90" s="230"/>
      <c r="BA90" s="232" t="e">
        <v>#N/A</v>
      </c>
      <c r="BB90" s="230"/>
      <c r="BC90" s="232" t="e">
        <v>#N/A</v>
      </c>
      <c r="BD90" s="232">
        <v>985.18</v>
      </c>
      <c r="BE90" s="230"/>
      <c r="BF90" s="238">
        <v>1.4878846000000006</v>
      </c>
      <c r="BG90" s="238">
        <v>1.1541958000000003</v>
      </c>
      <c r="BH90" s="238">
        <v>0.9653143000000004</v>
      </c>
      <c r="BI90" s="230"/>
      <c r="BJ90" s="239">
        <v>12.157883043037238</v>
      </c>
      <c r="BK90" s="240">
        <v>1091.300048828125</v>
      </c>
      <c r="BL90" s="230"/>
      <c r="BM90" s="241" t="e">
        <v>#N/A</v>
      </c>
      <c r="BN90" s="241" t="e">
        <v>#N/A</v>
      </c>
      <c r="BO90" s="241" t="e">
        <v>#N/A</v>
      </c>
      <c r="BP90" s="241">
        <v>11.566338999999999</v>
      </c>
      <c r="BQ90" s="241">
        <v>14.34</v>
      </c>
      <c r="BR90" s="241">
        <v>19.27</v>
      </c>
      <c r="BS90" s="241">
        <v>21.72</v>
      </c>
      <c r="BT90" s="241">
        <v>26.365789473684213</v>
      </c>
      <c r="BU90" s="241">
        <v>32.006111111111103</v>
      </c>
      <c r="BV90" s="241">
        <v>42.825000000000003</v>
      </c>
      <c r="BW90" s="230"/>
      <c r="BX90" s="232">
        <v>45.23</v>
      </c>
      <c r="BY90" s="232">
        <v>-645.07000000000005</v>
      </c>
      <c r="BZ90" s="232">
        <v>1485.49</v>
      </c>
      <c r="CA90" s="232">
        <v>1957.36</v>
      </c>
      <c r="CB90" s="232">
        <v>2460.48</v>
      </c>
      <c r="CC90" s="232">
        <v>3190.058</v>
      </c>
      <c r="CD90" s="232">
        <v>3729.7250100614588</v>
      </c>
      <c r="CE90" s="232">
        <v>4601.6106218477917</v>
      </c>
      <c r="CF90" s="232">
        <v>5612.1965080387572</v>
      </c>
      <c r="CG90" s="232">
        <v>7640.9747199707717</v>
      </c>
      <c r="CH90" s="230"/>
      <c r="CI90" s="232">
        <v>1586.27</v>
      </c>
      <c r="CJ90" s="232">
        <v>2123.9699999999998</v>
      </c>
      <c r="CK90" s="232">
        <v>2878.51</v>
      </c>
      <c r="CL90" s="232">
        <v>2980.3599999999997</v>
      </c>
      <c r="CM90" s="232">
        <v>3665.9399999999996</v>
      </c>
      <c r="CN90" s="232">
        <v>4790.0200000000004</v>
      </c>
      <c r="CO90" s="232">
        <v>5398.1764705882306</v>
      </c>
      <c r="CP90" s="232">
        <v>6652.7058823529396</v>
      </c>
      <c r="CQ90" s="232">
        <v>8064.1875</v>
      </c>
      <c r="CR90" s="232">
        <v>10592.75</v>
      </c>
      <c r="CS90" s="230"/>
      <c r="CT90" s="232">
        <v>4498.71</v>
      </c>
      <c r="CU90" s="232">
        <v>4811.4399999999996</v>
      </c>
      <c r="CV90" s="232">
        <v>6395.07</v>
      </c>
      <c r="CW90" s="232">
        <v>7200.27</v>
      </c>
      <c r="CX90" s="232">
        <v>8375.33</v>
      </c>
      <c r="CY90" s="232">
        <v>10907.52</v>
      </c>
      <c r="CZ90" s="232">
        <v>13080.368421052632</v>
      </c>
      <c r="DA90" s="232">
        <v>15974.473684210525</v>
      </c>
      <c r="DB90" s="232">
        <v>18774.444444444442</v>
      </c>
      <c r="DC90" s="232">
        <v>22542.5</v>
      </c>
      <c r="DD90" s="230"/>
      <c r="DE90" s="232" t="e">
        <v>#N/A</v>
      </c>
      <c r="DF90" s="232" t="e">
        <v>#N/A</v>
      </c>
      <c r="DG90" s="232" t="e">
        <v>#N/A</v>
      </c>
      <c r="DH90" s="230"/>
      <c r="DI90" s="230"/>
      <c r="DJ90" s="172" t="s">
        <v>277</v>
      </c>
    </row>
    <row r="91" spans="1:114" x14ac:dyDescent="0.25">
      <c r="A91" s="244" t="s">
        <v>796</v>
      </c>
      <c r="B91" s="242" t="s">
        <v>805</v>
      </c>
      <c r="C91" s="227" t="s">
        <v>806</v>
      </c>
      <c r="D91" s="228" t="str">
        <f t="shared" si="1"/>
        <v>PRUDENT IN Equity</v>
      </c>
      <c r="E91" s="229" t="s">
        <v>806</v>
      </c>
      <c r="F91" s="230"/>
      <c r="G91" s="231">
        <v>1196.3374189581298</v>
      </c>
      <c r="H91" s="232">
        <v>107384.0798683789</v>
      </c>
      <c r="I91" s="230"/>
      <c r="J91" s="231">
        <v>1179.0578871381299</v>
      </c>
      <c r="K91" s="232">
        <v>105906.0598683789</v>
      </c>
      <c r="L91" s="230"/>
      <c r="M91" s="233">
        <v>54.886770419973544</v>
      </c>
      <c r="N91" s="233">
        <v>47.873732929460367</v>
      </c>
      <c r="O91" s="233">
        <v>40.361617828363904</v>
      </c>
      <c r="P91" s="233" t="e">
        <v>#N/A</v>
      </c>
      <c r="Q91" s="230"/>
      <c r="R91" s="234">
        <v>16.082999362182917</v>
      </c>
      <c r="S91" s="234">
        <v>16.082999362182917</v>
      </c>
      <c r="T91" s="230"/>
      <c r="U91" s="234">
        <v>0.34053646993131925</v>
      </c>
      <c r="V91" s="234">
        <v>0.29638333333333333</v>
      </c>
      <c r="W91" s="234">
        <v>0.34053646993131925</v>
      </c>
      <c r="X91" s="234" t="e">
        <v>#N/A</v>
      </c>
      <c r="Y91" s="234">
        <v>0.28755328905733013</v>
      </c>
      <c r="Z91" s="234">
        <v>0.38520710632568883</v>
      </c>
      <c r="AA91" s="234">
        <v>0.24923601765919604</v>
      </c>
      <c r="AB91" s="234" t="e">
        <v>#N/A</v>
      </c>
      <c r="AC91" s="230"/>
      <c r="AD91" s="232">
        <v>-1783.356</v>
      </c>
      <c r="AE91" s="232" t="e">
        <v>#N/A</v>
      </c>
      <c r="AF91" s="232">
        <v>-3821.645</v>
      </c>
      <c r="AG91" s="232">
        <v>-11.483000000000001</v>
      </c>
      <c r="AH91" s="235" t="e">
        <v>#N/A</v>
      </c>
      <c r="AI91" s="230"/>
      <c r="AJ91" s="232">
        <v>305.33600000000001</v>
      </c>
      <c r="AK91" s="232" t="e">
        <v>#N/A</v>
      </c>
      <c r="AL91" s="235">
        <v>305.33600000000001</v>
      </c>
      <c r="AM91" s="230"/>
      <c r="AN91" s="231">
        <v>-17.279531819999999</v>
      </c>
      <c r="AO91" s="232">
        <v>-1478.02</v>
      </c>
      <c r="AP91" s="236">
        <v>-0.56328484372677623</v>
      </c>
      <c r="AQ91" s="230"/>
      <c r="AR91" s="237">
        <v>41.406680000000001</v>
      </c>
      <c r="AS91" s="237">
        <v>41.406680000000001</v>
      </c>
      <c r="AT91" s="237">
        <v>41.406680000000001</v>
      </c>
      <c r="AU91" s="230"/>
      <c r="AV91" s="234">
        <v>5.5310000000000003E-3</v>
      </c>
      <c r="AW91" s="234">
        <v>0.85648741353052349</v>
      </c>
      <c r="AX91" s="234">
        <v>1.6850000000000001E-3</v>
      </c>
      <c r="AY91" s="234">
        <v>0.35755933583663313</v>
      </c>
      <c r="AZ91" s="230"/>
      <c r="BA91" s="232">
        <v>0</v>
      </c>
      <c r="BB91" s="230"/>
      <c r="BC91" s="232" t="e">
        <v>#N/A</v>
      </c>
      <c r="BD91" s="232">
        <v>82.813000000000002</v>
      </c>
      <c r="BE91" s="230"/>
      <c r="BF91" s="238">
        <v>5.7965799999999998E-2</v>
      </c>
      <c r="BG91" s="238">
        <v>7.1487599999999971E-2</v>
      </c>
      <c r="BH91" s="238">
        <v>5.7138766666666667E-2</v>
      </c>
      <c r="BI91" s="230"/>
      <c r="BJ91" s="239">
        <v>28.892377243433426</v>
      </c>
      <c r="BK91" s="240">
        <v>2593.39990234375</v>
      </c>
      <c r="BL91" s="230"/>
      <c r="BM91" s="241">
        <v>6.73</v>
      </c>
      <c r="BN91" s="241">
        <v>10.94</v>
      </c>
      <c r="BO91" s="241">
        <v>19.402221000000001</v>
      </c>
      <c r="BP91" s="241">
        <v>28.18</v>
      </c>
      <c r="BQ91" s="241">
        <v>33.51</v>
      </c>
      <c r="BR91" s="241">
        <v>47.25</v>
      </c>
      <c r="BS91" s="241">
        <v>54.17166666666666</v>
      </c>
      <c r="BT91" s="241">
        <v>67.821666666666673</v>
      </c>
      <c r="BU91" s="241">
        <v>86.326666666666654</v>
      </c>
      <c r="BV91" s="241">
        <v>102.15666666666665</v>
      </c>
      <c r="BW91" s="230"/>
      <c r="BX91" s="232">
        <v>278.52999999999997</v>
      </c>
      <c r="BY91" s="232">
        <v>452.971</v>
      </c>
      <c r="BZ91" s="232">
        <v>802.55679999999995</v>
      </c>
      <c r="CA91" s="232">
        <v>1152.5644</v>
      </c>
      <c r="CB91" s="232">
        <v>1387.5043000000001</v>
      </c>
      <c r="CC91" s="232">
        <v>1956.452</v>
      </c>
      <c r="CD91" s="232">
        <v>2216.6586841412791</v>
      </c>
      <c r="CE91" s="232">
        <v>2795.8772781268385</v>
      </c>
      <c r="CF91" s="232">
        <v>3571.5308300948973</v>
      </c>
      <c r="CG91" s="232">
        <v>4522.8636507409337</v>
      </c>
      <c r="CH91" s="230"/>
      <c r="CI91" s="232">
        <v>466.72</v>
      </c>
      <c r="CJ91" s="232">
        <v>786.87900000000002</v>
      </c>
      <c r="CK91" s="232">
        <v>1308.9750000000001</v>
      </c>
      <c r="CL91" s="232">
        <v>1753.7819999999999</v>
      </c>
      <c r="CM91" s="232">
        <v>1931.492</v>
      </c>
      <c r="CN91" s="232">
        <v>2623.93</v>
      </c>
      <c r="CO91" s="232">
        <v>2991.8</v>
      </c>
      <c r="CP91" s="232">
        <v>3724.8</v>
      </c>
      <c r="CQ91" s="232">
        <v>4667.6000000000004</v>
      </c>
      <c r="CR91" s="232">
        <v>5945</v>
      </c>
      <c r="CS91" s="230"/>
      <c r="CT91" s="232">
        <v>2348.33</v>
      </c>
      <c r="CU91" s="232">
        <v>2865.0630000000001</v>
      </c>
      <c r="CV91" s="232">
        <v>4507.527</v>
      </c>
      <c r="CW91" s="232">
        <v>6113.2719999999999</v>
      </c>
      <c r="CX91" s="232">
        <v>8050.9110000000001</v>
      </c>
      <c r="CY91" s="232">
        <v>11035.607</v>
      </c>
      <c r="CZ91" s="232">
        <v>13173.666666666666</v>
      </c>
      <c r="DA91" s="232">
        <v>15981.666666666666</v>
      </c>
      <c r="DB91" s="232">
        <v>19405</v>
      </c>
      <c r="DC91" s="232">
        <v>22538.333333333332</v>
      </c>
      <c r="DD91" s="230"/>
      <c r="DE91" s="232" t="e">
        <v>#N/A</v>
      </c>
      <c r="DF91" s="232" t="e">
        <v>#N/A</v>
      </c>
      <c r="DG91" s="232" t="e">
        <v>#N/A</v>
      </c>
      <c r="DH91" s="230"/>
      <c r="DI91" s="230"/>
      <c r="DJ91" s="172" t="s">
        <v>277</v>
      </c>
    </row>
    <row r="92" spans="1:114" x14ac:dyDescent="0.25">
      <c r="A92" s="244" t="s">
        <v>796</v>
      </c>
      <c r="B92" s="226" t="s">
        <v>807</v>
      </c>
      <c r="C92" s="227" t="s">
        <v>808</v>
      </c>
      <c r="D92" s="228" t="str">
        <f t="shared" si="1"/>
        <v>PROTEAN IN Equity</v>
      </c>
      <c r="E92" s="229" t="s">
        <v>808</v>
      </c>
      <c r="F92" s="230"/>
      <c r="G92" s="231">
        <v>351.61354531778267</v>
      </c>
      <c r="H92" s="232">
        <v>31561.076695311582</v>
      </c>
      <c r="I92" s="230"/>
      <c r="J92" s="231">
        <v>324.57693871778264</v>
      </c>
      <c r="K92" s="232">
        <v>29248.47669531158</v>
      </c>
      <c r="L92" s="230"/>
      <c r="M92" s="233">
        <v>32.651587036708094</v>
      </c>
      <c r="N92" s="233">
        <v>29.347682892741666</v>
      </c>
      <c r="O92" s="233">
        <v>35.448402248589971</v>
      </c>
      <c r="P92" s="233" t="e">
        <v>#N/A</v>
      </c>
      <c r="Q92" s="230"/>
      <c r="R92" s="234">
        <v>3.1553956321707601</v>
      </c>
      <c r="S92" s="234">
        <v>3.3162649284980077</v>
      </c>
      <c r="T92" s="230"/>
      <c r="U92" s="234">
        <v>0.10095462451167818</v>
      </c>
      <c r="V92" s="234">
        <v>0.10187499999999999</v>
      </c>
      <c r="W92" s="234">
        <v>0.10036200224691051</v>
      </c>
      <c r="X92" s="234">
        <v>0.29544509868771407</v>
      </c>
      <c r="Y92" s="234">
        <v>3.9790252070587208E-2</v>
      </c>
      <c r="Z92" s="234">
        <v>5.0499085370245007E-2</v>
      </c>
      <c r="AA92" s="234">
        <v>4.5211887459169493E-2</v>
      </c>
      <c r="AB92" s="234">
        <v>9.362726747037485E-2</v>
      </c>
      <c r="AC92" s="230"/>
      <c r="AD92" s="232">
        <v>-1362.2</v>
      </c>
      <c r="AE92" s="232">
        <v>-2997.9</v>
      </c>
      <c r="AF92" s="232">
        <v>-1635.7</v>
      </c>
      <c r="AG92" s="232">
        <v>-4971.3999999999996</v>
      </c>
      <c r="AH92" s="235">
        <v>-7969.3</v>
      </c>
      <c r="AI92" s="230"/>
      <c r="AJ92" s="232">
        <v>83.3</v>
      </c>
      <c r="AK92" s="232">
        <v>602</v>
      </c>
      <c r="AL92" s="235">
        <v>685.3</v>
      </c>
      <c r="AM92" s="230"/>
      <c r="AN92" s="231">
        <v>-27.036606600000006</v>
      </c>
      <c r="AO92" s="232">
        <v>-2312.6000000000004</v>
      </c>
      <c r="AP92" s="236">
        <v>-2.8028117803902566</v>
      </c>
      <c r="AQ92" s="230"/>
      <c r="AR92" s="237">
        <v>40.608692999999995</v>
      </c>
      <c r="AS92" s="237">
        <v>40.500618000000003</v>
      </c>
      <c r="AT92" s="237">
        <v>40.828454999999998</v>
      </c>
      <c r="AU92" s="230"/>
      <c r="AV92" s="234" t="e">
        <v>#N/A</v>
      </c>
      <c r="AW92" s="234">
        <v>0.20964179318041981</v>
      </c>
      <c r="AX92" s="234">
        <v>4.6899999999999996E-4</v>
      </c>
      <c r="AY92" s="234">
        <v>0.86049302300864494</v>
      </c>
      <c r="AZ92" s="230"/>
      <c r="BA92" s="232">
        <v>0</v>
      </c>
      <c r="BB92" s="230"/>
      <c r="BC92" s="232" t="e">
        <v>#N/A</v>
      </c>
      <c r="BD92" s="232">
        <v>404.6</v>
      </c>
      <c r="BE92" s="230"/>
      <c r="BF92" s="238">
        <v>0.18747280000000016</v>
      </c>
      <c r="BG92" s="238">
        <v>0.18843149999999997</v>
      </c>
      <c r="BH92" s="238">
        <v>0.18527593333333323</v>
      </c>
      <c r="BI92" s="230"/>
      <c r="BJ92" s="239">
        <v>8.658578233921066</v>
      </c>
      <c r="BK92" s="240">
        <v>777.20001220703125</v>
      </c>
      <c r="BL92" s="230"/>
      <c r="BM92" s="241">
        <v>30.41</v>
      </c>
      <c r="BN92" s="241">
        <v>23.03</v>
      </c>
      <c r="BO92" s="241">
        <v>35.729999999999997</v>
      </c>
      <c r="BP92" s="241">
        <v>26.48</v>
      </c>
      <c r="BQ92" s="241">
        <v>23.94</v>
      </c>
      <c r="BR92" s="241">
        <v>22.65</v>
      </c>
      <c r="BS92" s="241">
        <v>26.482500000000002</v>
      </c>
      <c r="BT92" s="241">
        <v>30.21</v>
      </c>
      <c r="BU92" s="241">
        <v>31.71</v>
      </c>
      <c r="BV92" s="241" t="e">
        <v>#N/A</v>
      </c>
      <c r="BW92" s="230"/>
      <c r="BX92" s="232">
        <v>1218.54</v>
      </c>
      <c r="BY92" s="232">
        <v>922.95</v>
      </c>
      <c r="BZ92" s="232">
        <v>1438.6</v>
      </c>
      <c r="CA92" s="232">
        <v>1070.47</v>
      </c>
      <c r="CB92" s="232">
        <v>972.9</v>
      </c>
      <c r="CC92" s="232">
        <v>971.66806999999994</v>
      </c>
      <c r="CD92" s="232">
        <v>1078.3073276811099</v>
      </c>
      <c r="CE92" s="232">
        <v>1306.9774015887456</v>
      </c>
      <c r="CF92" s="232">
        <v>1359.9519514641181</v>
      </c>
      <c r="CG92" s="232" t="e">
        <v>#N/A</v>
      </c>
      <c r="CH92" s="230"/>
      <c r="CI92" s="232">
        <v>1494.7</v>
      </c>
      <c r="CJ92" s="232">
        <v>859.6</v>
      </c>
      <c r="CK92" s="232">
        <v>1257.9000000000001</v>
      </c>
      <c r="CL92" s="232">
        <v>1198.78</v>
      </c>
      <c r="CM92" s="232">
        <v>914.5</v>
      </c>
      <c r="CN92" s="232">
        <v>825.09999999999991</v>
      </c>
      <c r="CO92" s="232">
        <v>1156</v>
      </c>
      <c r="CP92" s="232">
        <v>1435</v>
      </c>
      <c r="CQ92" s="232">
        <v>1469</v>
      </c>
      <c r="CR92" s="232" t="e">
        <v>#N/A</v>
      </c>
      <c r="CS92" s="230"/>
      <c r="CT92" s="232">
        <v>7113.85</v>
      </c>
      <c r="CU92" s="232">
        <v>6020.16</v>
      </c>
      <c r="CV92" s="232">
        <v>6895.8</v>
      </c>
      <c r="CW92" s="232">
        <v>7408.91</v>
      </c>
      <c r="CX92" s="232">
        <v>8759.2000000000007</v>
      </c>
      <c r="CY92" s="232">
        <v>8326.5</v>
      </c>
      <c r="CZ92" s="232">
        <v>9787</v>
      </c>
      <c r="DA92" s="232">
        <v>11739.4</v>
      </c>
      <c r="DB92" s="232">
        <v>12030</v>
      </c>
      <c r="DC92" s="232" t="e">
        <v>#N/A</v>
      </c>
      <c r="DD92" s="230"/>
      <c r="DE92" s="232" t="e">
        <v>#N/A</v>
      </c>
      <c r="DF92" s="232">
        <v>448.5</v>
      </c>
      <c r="DG92" s="232">
        <v>0</v>
      </c>
      <c r="DH92" s="230"/>
      <c r="DI92" s="230"/>
      <c r="DJ92" s="172" t="s">
        <v>277</v>
      </c>
    </row>
    <row r="93" spans="1:114" x14ac:dyDescent="0.25">
      <c r="A93" s="244" t="s">
        <v>796</v>
      </c>
      <c r="B93" s="226" t="s">
        <v>809</v>
      </c>
      <c r="C93" s="227" t="s">
        <v>810</v>
      </c>
      <c r="D93" s="228" t="str">
        <f t="shared" si="1"/>
        <v>63MOONS IN Equity</v>
      </c>
      <c r="E93" s="229" t="s">
        <v>810</v>
      </c>
      <c r="F93" s="230"/>
      <c r="G93" s="231">
        <v>382.5474590527275</v>
      </c>
      <c r="H93" s="232">
        <v>34337.726334882136</v>
      </c>
      <c r="I93" s="230"/>
      <c r="J93" s="231">
        <v>141.70280479272751</v>
      </c>
      <c r="K93" s="232">
        <v>13736.866334882137</v>
      </c>
      <c r="L93" s="230"/>
      <c r="M93" s="233" t="e">
        <v>#N/A</v>
      </c>
      <c r="N93" s="233" t="e">
        <v>#N/A</v>
      </c>
      <c r="O93" s="233" t="e">
        <v>#N/A</v>
      </c>
      <c r="P93" s="233" t="e">
        <v>#N/A</v>
      </c>
      <c r="Q93" s="230"/>
      <c r="R93" s="234">
        <v>1.0056920231820721</v>
      </c>
      <c r="S93" s="234">
        <v>1.0178214506072358</v>
      </c>
      <c r="T93" s="230"/>
      <c r="U93" s="234">
        <v>-1.2135365094035941E-2</v>
      </c>
      <c r="V93" s="234" t="e">
        <v>#N/A</v>
      </c>
      <c r="W93" s="234">
        <v>-9.9545033365940408E-3</v>
      </c>
      <c r="X93" s="234" t="e">
        <v>#N/A</v>
      </c>
      <c r="Y93" s="234">
        <v>-6.0412168819154302E-2</v>
      </c>
      <c r="Z93" s="234">
        <v>-7.9399106943066788E-2</v>
      </c>
      <c r="AA93" s="234">
        <v>-7.924149772910323E-2</v>
      </c>
      <c r="AB93" s="234">
        <v>-1.3843509148966412E-2</v>
      </c>
      <c r="AC93" s="230"/>
      <c r="AD93" s="232">
        <v>-19252.528999999999</v>
      </c>
      <c r="AE93" s="232">
        <v>-20841.580999999998</v>
      </c>
      <c r="AF93" s="232">
        <v>-1589.0519999999999</v>
      </c>
      <c r="AG93" s="232">
        <v>-4792.277</v>
      </c>
      <c r="AH93" s="235">
        <v>-25633.858</v>
      </c>
      <c r="AI93" s="230"/>
      <c r="AJ93" s="232">
        <v>12.169</v>
      </c>
      <c r="AK93" s="232">
        <v>16.311</v>
      </c>
      <c r="AL93" s="235">
        <v>28.48</v>
      </c>
      <c r="AM93" s="230"/>
      <c r="AN93" s="231">
        <v>-243.32596379100002</v>
      </c>
      <c r="AO93" s="232">
        <v>-20813.100999999999</v>
      </c>
      <c r="AP93" s="236" t="e">
        <v>#N/A</v>
      </c>
      <c r="AQ93" s="230"/>
      <c r="AR93" s="237">
        <v>46.078536999999997</v>
      </c>
      <c r="AS93" s="237">
        <v>46.078499999999998</v>
      </c>
      <c r="AT93" s="237">
        <v>46.078499999999998</v>
      </c>
      <c r="AU93" s="230"/>
      <c r="AV93" s="234">
        <v>4.5630000000000002E-3</v>
      </c>
      <c r="AW93" s="234">
        <v>1.1505557245116342E-2</v>
      </c>
      <c r="AX93" s="234">
        <v>1.17E-4</v>
      </c>
      <c r="AY93" s="234">
        <v>0.42245132478923969</v>
      </c>
      <c r="AZ93" s="230"/>
      <c r="BA93" s="232">
        <v>212.24100000000001</v>
      </c>
      <c r="BB93" s="230"/>
      <c r="BC93" s="232" t="e">
        <v>#N/A</v>
      </c>
      <c r="BD93" s="232">
        <v>0</v>
      </c>
      <c r="BE93" s="230"/>
      <c r="BF93" s="238">
        <v>7.6503599999999949E-2</v>
      </c>
      <c r="BG93" s="238">
        <v>0.1019308000000001</v>
      </c>
      <c r="BH93" s="238">
        <v>0.51773050000000054</v>
      </c>
      <c r="BI93" s="230"/>
      <c r="BJ93" s="239">
        <v>8.3020747610265406</v>
      </c>
      <c r="BK93" s="240">
        <v>745.20001220703125</v>
      </c>
      <c r="BL93" s="230"/>
      <c r="BM93" s="241">
        <v>5.8581219999999998</v>
      </c>
      <c r="BN93" s="241">
        <v>-13.732409000000001</v>
      </c>
      <c r="BO93" s="241">
        <v>-8.5549999999999997</v>
      </c>
      <c r="BP93" s="241">
        <v>2.7450000000000001</v>
      </c>
      <c r="BQ93" s="241">
        <v>48.29</v>
      </c>
      <c r="BR93" s="241">
        <v>12.292299</v>
      </c>
      <c r="BS93" s="241" t="e">
        <v>#N/A</v>
      </c>
      <c r="BT93" s="241" t="e">
        <v>#N/A</v>
      </c>
      <c r="BU93" s="241" t="e">
        <v>#N/A</v>
      </c>
      <c r="BV93" s="241" t="e">
        <v>#N/A</v>
      </c>
      <c r="BW93" s="230"/>
      <c r="BX93" s="232">
        <v>269.93369999999999</v>
      </c>
      <c r="BY93" s="232">
        <v>-632.76930000000004</v>
      </c>
      <c r="BZ93" s="232">
        <v>-524.34199999999998</v>
      </c>
      <c r="CA93" s="232">
        <v>-152.8554</v>
      </c>
      <c r="CB93" s="232">
        <v>2093.5587</v>
      </c>
      <c r="CC93" s="232">
        <v>-410.27859999999998</v>
      </c>
      <c r="CD93" s="232" t="e">
        <v>#N/A</v>
      </c>
      <c r="CE93" s="232" t="e">
        <v>#N/A</v>
      </c>
      <c r="CF93" s="232" t="e">
        <v>#N/A</v>
      </c>
      <c r="CG93" s="232" t="e">
        <v>#N/A</v>
      </c>
      <c r="CH93" s="230"/>
      <c r="CI93" s="232">
        <v>-1493.008</v>
      </c>
      <c r="CJ93" s="232">
        <v>-836.24399999999991</v>
      </c>
      <c r="CK93" s="232">
        <v>-1165.846</v>
      </c>
      <c r="CL93" s="232">
        <v>-267.65800000000002</v>
      </c>
      <c r="CM93" s="232">
        <v>867.17900000000009</v>
      </c>
      <c r="CN93" s="232">
        <v>-2351.5889999999999</v>
      </c>
      <c r="CO93" s="232" t="e">
        <v>#N/A</v>
      </c>
      <c r="CP93" s="232" t="e">
        <v>#N/A</v>
      </c>
      <c r="CQ93" s="232" t="e">
        <v>#N/A</v>
      </c>
      <c r="CR93" s="232" t="e">
        <v>#N/A</v>
      </c>
      <c r="CS93" s="230"/>
      <c r="CT93" s="232">
        <v>2117.078</v>
      </c>
      <c r="CU93" s="232">
        <v>1602.2429999999999</v>
      </c>
      <c r="CV93" s="232">
        <v>1602.643</v>
      </c>
      <c r="CW93" s="232">
        <v>2900.6819999999998</v>
      </c>
      <c r="CX93" s="232">
        <v>3688.3580000000002</v>
      </c>
      <c r="CY93" s="232">
        <v>468.20400000000001</v>
      </c>
      <c r="CZ93" s="232" t="e">
        <v>#N/A</v>
      </c>
      <c r="DA93" s="232" t="e">
        <v>#N/A</v>
      </c>
      <c r="DB93" s="232" t="e">
        <v>#N/A</v>
      </c>
      <c r="DC93" s="232" t="e">
        <v>#N/A</v>
      </c>
      <c r="DD93" s="230"/>
      <c r="DE93" s="232" t="e">
        <v>#N/A</v>
      </c>
      <c r="DF93" s="232" t="e">
        <v>#N/A</v>
      </c>
      <c r="DG93" s="232" t="e">
        <v>#N/A</v>
      </c>
      <c r="DH93" s="230"/>
      <c r="DI93" s="230"/>
      <c r="DJ93" s="172" t="s">
        <v>277</v>
      </c>
    </row>
    <row r="94" spans="1:114" x14ac:dyDescent="0.25">
      <c r="A94" s="244" t="s">
        <v>796</v>
      </c>
      <c r="B94" s="226" t="s">
        <v>811</v>
      </c>
      <c r="C94" s="227" t="s">
        <v>812</v>
      </c>
      <c r="D94" s="228" t="str">
        <f t="shared" si="1"/>
        <v>ALAN IN Equity</v>
      </c>
      <c r="E94" s="229" t="s">
        <v>813</v>
      </c>
      <c r="F94" s="230"/>
      <c r="G94" s="231">
        <v>32.958020023312137</v>
      </c>
      <c r="H94" s="232">
        <v>2958.3348296245572</v>
      </c>
      <c r="I94" s="230"/>
      <c r="J94" s="231">
        <v>31.296518485312138</v>
      </c>
      <c r="K94" s="232">
        <v>2816.2168296245568</v>
      </c>
      <c r="L94" s="230"/>
      <c r="M94" s="233">
        <v>14.945205270427547</v>
      </c>
      <c r="N94" s="233" t="e">
        <v>#N/A</v>
      </c>
      <c r="O94" s="233">
        <v>8.6045476838089208</v>
      </c>
      <c r="P94" s="233" t="e">
        <v>#N/A</v>
      </c>
      <c r="Q94" s="230"/>
      <c r="R94" s="234">
        <v>0.99701462952512943</v>
      </c>
      <c r="S94" s="234">
        <v>1.2566579102608895</v>
      </c>
      <c r="T94" s="230"/>
      <c r="U94" s="234">
        <v>6.9317404910235927E-2</v>
      </c>
      <c r="V94" s="234" t="e">
        <v>#N/A</v>
      </c>
      <c r="W94" s="234">
        <v>8.4510369086492579E-2</v>
      </c>
      <c r="X94" s="234">
        <v>0.26480708293724531</v>
      </c>
      <c r="Y94" s="234">
        <v>4.5739829484074269E-2</v>
      </c>
      <c r="Z94" s="234">
        <v>6.5320390631406183E-2</v>
      </c>
      <c r="AA94" s="234">
        <v>5.151173979517272E-2</v>
      </c>
      <c r="AB94" s="234">
        <v>7.2573403672849104E-2</v>
      </c>
      <c r="AC94" s="230"/>
      <c r="AD94" s="232">
        <v>-300.28399999999999</v>
      </c>
      <c r="AE94" s="232">
        <v>-481.30500000000001</v>
      </c>
      <c r="AF94" s="232">
        <v>-181.02099999999999</v>
      </c>
      <c r="AG94" s="232">
        <v>-177.75299999999999</v>
      </c>
      <c r="AH94" s="235">
        <v>-659.05799999999999</v>
      </c>
      <c r="AI94" s="230"/>
      <c r="AJ94" s="232">
        <v>71.763000000000005</v>
      </c>
      <c r="AK94" s="232">
        <v>43.453000000000003</v>
      </c>
      <c r="AL94" s="235">
        <v>115.21599999999999</v>
      </c>
      <c r="AM94" s="230"/>
      <c r="AN94" s="231">
        <v>-4.2799464989999985</v>
      </c>
      <c r="AO94" s="232">
        <v>-366.08899999999994</v>
      </c>
      <c r="AP94" s="236">
        <v>-1.1185325731605222</v>
      </c>
      <c r="AQ94" s="230"/>
      <c r="AR94" s="237">
        <v>271.15809999999999</v>
      </c>
      <c r="AS94" s="237">
        <v>271.15100000000001</v>
      </c>
      <c r="AT94" s="237">
        <v>271.15809999999999</v>
      </c>
      <c r="AU94" s="230"/>
      <c r="AV94" s="234">
        <v>5.4149999999999997E-3</v>
      </c>
      <c r="AW94" s="234">
        <v>3.1426107516108193E-2</v>
      </c>
      <c r="AX94" s="234">
        <v>3.7000000000000005E-5</v>
      </c>
      <c r="AY94" s="234">
        <v>0.3989932589142644</v>
      </c>
      <c r="AZ94" s="230"/>
      <c r="BA94" s="232">
        <v>223.971</v>
      </c>
      <c r="BB94" s="230"/>
      <c r="BC94" s="232" t="e">
        <v>#N/A</v>
      </c>
      <c r="BD94" s="232">
        <v>0</v>
      </c>
      <c r="BE94" s="230"/>
      <c r="BF94" s="238">
        <v>0.19781659999999995</v>
      </c>
      <c r="BG94" s="238">
        <v>0.2152694</v>
      </c>
      <c r="BH94" s="238">
        <v>0.23208113333333344</v>
      </c>
      <c r="BI94" s="230"/>
      <c r="BJ94" s="239">
        <v>0.12154540109003618</v>
      </c>
      <c r="BK94" s="240">
        <v>10.909999847412109</v>
      </c>
      <c r="BL94" s="230"/>
      <c r="BM94" s="241">
        <v>0.98</v>
      </c>
      <c r="BN94" s="241">
        <v>0.77500000000000002</v>
      </c>
      <c r="BO94" s="241">
        <v>0.16500000000000001</v>
      </c>
      <c r="BP94" s="241">
        <v>-4.0000000000000001E-3</v>
      </c>
      <c r="BQ94" s="241">
        <v>0.96</v>
      </c>
      <c r="BR94" s="241">
        <v>0.73</v>
      </c>
      <c r="BS94" s="241" t="e">
        <v>#N/A</v>
      </c>
      <c r="BT94" s="241" t="e">
        <v>#N/A</v>
      </c>
      <c r="BU94" s="241" t="e">
        <v>#N/A</v>
      </c>
      <c r="BV94" s="241" t="e">
        <v>#N/A</v>
      </c>
      <c r="BW94" s="230"/>
      <c r="BX94" s="232">
        <v>139.58000000000001</v>
      </c>
      <c r="BY94" s="232">
        <v>110.742</v>
      </c>
      <c r="BZ94" s="232">
        <v>23.565999999999999</v>
      </c>
      <c r="CA94" s="232">
        <v>-337.37099999999998</v>
      </c>
      <c r="CB94" s="232">
        <v>215.58799999999999</v>
      </c>
      <c r="CC94" s="232">
        <v>198.57</v>
      </c>
      <c r="CD94" s="232" t="e">
        <v>#N/A</v>
      </c>
      <c r="CE94" s="232" t="e">
        <v>#N/A</v>
      </c>
      <c r="CF94" s="232" t="e">
        <v>#N/A</v>
      </c>
      <c r="CG94" s="232" t="e">
        <v>#N/A</v>
      </c>
      <c r="CH94" s="230"/>
      <c r="CI94" s="232">
        <v>218.547</v>
      </c>
      <c r="CJ94" s="232">
        <v>171.59800000000001</v>
      </c>
      <c r="CK94" s="232">
        <v>101.355</v>
      </c>
      <c r="CL94" s="232">
        <v>117.542</v>
      </c>
      <c r="CM94" s="232">
        <v>239.14699999999999</v>
      </c>
      <c r="CN94" s="232">
        <v>327.29399999999998</v>
      </c>
      <c r="CO94" s="232" t="e">
        <v>#N/A</v>
      </c>
      <c r="CP94" s="232" t="e">
        <v>#N/A</v>
      </c>
      <c r="CQ94" s="232" t="e">
        <v>#N/A</v>
      </c>
      <c r="CR94" s="232" t="e">
        <v>#N/A</v>
      </c>
      <c r="CS94" s="230"/>
      <c r="CT94" s="232">
        <v>1561.2239999999999</v>
      </c>
      <c r="CU94" s="232">
        <v>1150.1099999999999</v>
      </c>
      <c r="CV94" s="232">
        <v>1281.4839999999999</v>
      </c>
      <c r="CW94" s="232">
        <v>3116.8829999999998</v>
      </c>
      <c r="CX94" s="232">
        <v>2357.0450000000001</v>
      </c>
      <c r="CY94" s="232">
        <v>3010.5639999999999</v>
      </c>
      <c r="CZ94" s="232" t="e">
        <v>#N/A</v>
      </c>
      <c r="DA94" s="232" t="e">
        <v>#N/A</v>
      </c>
      <c r="DB94" s="232" t="e">
        <v>#N/A</v>
      </c>
      <c r="DC94" s="232" t="e">
        <v>#N/A</v>
      </c>
      <c r="DD94" s="230"/>
      <c r="DE94" s="232" t="e">
        <v>#N/A</v>
      </c>
      <c r="DF94" s="232">
        <v>0</v>
      </c>
      <c r="DG94" s="232" t="e">
        <v>#N/A</v>
      </c>
      <c r="DH94" s="230"/>
      <c r="DI94" s="230"/>
      <c r="DJ94" s="172" t="s">
        <v>277</v>
      </c>
    </row>
    <row r="95" spans="1:114" x14ac:dyDescent="0.25">
      <c r="A95" s="244" t="s">
        <v>796</v>
      </c>
      <c r="B95" s="226" t="s">
        <v>814</v>
      </c>
      <c r="C95" s="227" t="s">
        <v>815</v>
      </c>
      <c r="D95" s="228" t="str">
        <f t="shared" si="1"/>
        <v>ANGELONE IN Equity</v>
      </c>
      <c r="E95" s="229" t="s">
        <v>815</v>
      </c>
      <c r="F95" s="230"/>
      <c r="G95" s="231">
        <v>2554.1282250488416</v>
      </c>
      <c r="H95" s="232">
        <v>229260.3282037146</v>
      </c>
      <c r="I95" s="230"/>
      <c r="J95" s="231">
        <v>1575.2437177988413</v>
      </c>
      <c r="K95" s="232">
        <v>145530.5782037146</v>
      </c>
      <c r="L95" s="230"/>
      <c r="M95" s="233">
        <v>19.900064656112491</v>
      </c>
      <c r="N95" s="233">
        <v>25.721804242626657</v>
      </c>
      <c r="O95" s="233">
        <v>7.3467491384510453</v>
      </c>
      <c r="P95" s="233" t="e">
        <v>#N/A</v>
      </c>
      <c r="Q95" s="230"/>
      <c r="R95" s="234">
        <v>4.05386871716766</v>
      </c>
      <c r="S95" s="234">
        <v>4.0898078784904621</v>
      </c>
      <c r="T95" s="230"/>
      <c r="U95" s="234">
        <v>0.27069634287571098</v>
      </c>
      <c r="V95" s="234">
        <v>0.14798181818181821</v>
      </c>
      <c r="W95" s="234">
        <v>0.27382734883590537</v>
      </c>
      <c r="X95" s="234" t="e">
        <v>#N/A</v>
      </c>
      <c r="Y95" s="234">
        <v>0.15881347033386156</v>
      </c>
      <c r="Z95" s="234">
        <v>0.21570446419487299</v>
      </c>
      <c r="AA95" s="234">
        <v>0.12920625126671939</v>
      </c>
      <c r="AB95" s="234">
        <v>0.16020172541189637</v>
      </c>
      <c r="AC95" s="230"/>
      <c r="AD95" s="232">
        <v>-118044.16</v>
      </c>
      <c r="AE95" s="232" t="e">
        <v>#N/A</v>
      </c>
      <c r="AF95" s="232">
        <v>-2015.86</v>
      </c>
      <c r="AG95" s="232">
        <v>-37019.370000000003</v>
      </c>
      <c r="AH95" s="235" t="e">
        <v>#N/A</v>
      </c>
      <c r="AI95" s="230"/>
      <c r="AJ95" s="232">
        <v>34137.370000000003</v>
      </c>
      <c r="AK95" s="232">
        <v>0</v>
      </c>
      <c r="AL95" s="235">
        <v>34137.370000000003</v>
      </c>
      <c r="AM95" s="230"/>
      <c r="AN95" s="231">
        <v>-980.95428189000017</v>
      </c>
      <c r="AO95" s="232">
        <v>-83906.790000000008</v>
      </c>
      <c r="AP95" s="236">
        <v>-4.2358255203232504</v>
      </c>
      <c r="AQ95" s="230"/>
      <c r="AR95" s="237">
        <v>90.839338999999995</v>
      </c>
      <c r="AS95" s="237">
        <v>90.127607999999995</v>
      </c>
      <c r="AT95" s="237">
        <v>92.417383999999998</v>
      </c>
      <c r="AU95" s="230"/>
      <c r="AV95" s="234">
        <v>2.8910000000000003E-3</v>
      </c>
      <c r="AW95" s="234">
        <v>0.56405087681171029</v>
      </c>
      <c r="AX95" s="234">
        <v>1.3109999999999999E-3</v>
      </c>
      <c r="AY95" s="234">
        <v>0.55679166709920691</v>
      </c>
      <c r="AZ95" s="230"/>
      <c r="BA95" s="232">
        <v>177.04</v>
      </c>
      <c r="BB95" s="230"/>
      <c r="BC95" s="232" t="e">
        <v>#N/A</v>
      </c>
      <c r="BD95" s="232">
        <v>1985.82</v>
      </c>
      <c r="BE95" s="230"/>
      <c r="BF95" s="238">
        <v>0.49913220000000019</v>
      </c>
      <c r="BG95" s="238">
        <v>0.4819001</v>
      </c>
      <c r="BH95" s="238">
        <v>0.77819693333333373</v>
      </c>
      <c r="BI95" s="230"/>
      <c r="BJ95" s="239">
        <v>28.116983821831219</v>
      </c>
      <c r="BK95" s="240">
        <v>2523.800048828125</v>
      </c>
      <c r="BL95" s="230"/>
      <c r="BM95" s="241">
        <v>15.105691</v>
      </c>
      <c r="BN95" s="241">
        <v>38.6</v>
      </c>
      <c r="BO95" s="241">
        <v>75.72</v>
      </c>
      <c r="BP95" s="241">
        <v>106.90900000000001</v>
      </c>
      <c r="BQ95" s="241">
        <v>134.22</v>
      </c>
      <c r="BR95" s="241">
        <v>126.82</v>
      </c>
      <c r="BS95" s="241">
        <v>98.1190909090909</v>
      </c>
      <c r="BT95" s="241">
        <v>134.26545454545453</v>
      </c>
      <c r="BU95" s="241">
        <v>164.87799999999999</v>
      </c>
      <c r="BV95" s="241">
        <v>198.38</v>
      </c>
      <c r="BW95" s="230"/>
      <c r="BX95" s="232">
        <v>1087.5342773</v>
      </c>
      <c r="BY95" s="232">
        <v>3222.808</v>
      </c>
      <c r="BZ95" s="232">
        <v>6330.5700000000006</v>
      </c>
      <c r="CA95" s="232">
        <v>8853.7250000000004</v>
      </c>
      <c r="CB95" s="232">
        <v>11255.785</v>
      </c>
      <c r="CC95" s="232">
        <v>11721.153</v>
      </c>
      <c r="CD95" s="232">
        <v>8883.311746792906</v>
      </c>
      <c r="CE95" s="232">
        <v>12368.790367666714</v>
      </c>
      <c r="CF95" s="232">
        <v>15031.380376091751</v>
      </c>
      <c r="CG95" s="232">
        <v>16134.056709856133</v>
      </c>
      <c r="CH95" s="230"/>
      <c r="CI95" s="232">
        <v>1557.0210610000001</v>
      </c>
      <c r="CJ95" s="232">
        <v>4336.96</v>
      </c>
      <c r="CK95" s="232">
        <v>9274.98</v>
      </c>
      <c r="CL95" s="232">
        <v>13034.12</v>
      </c>
      <c r="CM95" s="232">
        <v>16915.52</v>
      </c>
      <c r="CN95" s="232">
        <v>19808.84</v>
      </c>
      <c r="CO95" s="232">
        <v>13524.111111111099</v>
      </c>
      <c r="CP95" s="232">
        <v>18217.222222222197</v>
      </c>
      <c r="CQ95" s="232">
        <v>22456.833333333303</v>
      </c>
      <c r="CR95" s="232">
        <v>24661</v>
      </c>
      <c r="CS95" s="230"/>
      <c r="CT95" s="232">
        <v>7293.4645689999998</v>
      </c>
      <c r="CU95" s="232">
        <v>12636.84</v>
      </c>
      <c r="CV95" s="232">
        <v>22913.3</v>
      </c>
      <c r="CW95" s="232">
        <v>30021.56</v>
      </c>
      <c r="CX95" s="232">
        <v>42628.23</v>
      </c>
      <c r="CY95" s="232">
        <v>52359.14</v>
      </c>
      <c r="CZ95" s="232">
        <v>49643.857142857138</v>
      </c>
      <c r="DA95" s="232">
        <v>56400</v>
      </c>
      <c r="DB95" s="232">
        <v>68142.25</v>
      </c>
      <c r="DC95" s="232">
        <v>78034.333333333328</v>
      </c>
      <c r="DD95" s="230"/>
      <c r="DE95" s="232" t="e">
        <v>#N/A</v>
      </c>
      <c r="DF95" s="232" t="e">
        <v>#N/A</v>
      </c>
      <c r="DG95" s="232" t="e">
        <v>#N/A</v>
      </c>
      <c r="DH95" s="230"/>
      <c r="DI95" s="230"/>
      <c r="DJ95" s="172" t="s">
        <v>277</v>
      </c>
    </row>
    <row r="96" spans="1:114" x14ac:dyDescent="0.25">
      <c r="A96" s="244" t="s">
        <v>796</v>
      </c>
      <c r="B96" s="226" t="s">
        <v>816</v>
      </c>
      <c r="C96" s="227" t="s">
        <v>817</v>
      </c>
      <c r="D96" s="228" t="str">
        <f t="shared" si="1"/>
        <v>PAYTM IN Equity</v>
      </c>
      <c r="E96" s="229" t="s">
        <v>817</v>
      </c>
      <c r="F96" s="230"/>
      <c r="G96" s="231">
        <v>9438.4029432577063</v>
      </c>
      <c r="H96" s="232">
        <v>847197.62119569734</v>
      </c>
      <c r="I96" s="230"/>
      <c r="J96" s="231">
        <v>7916.0009232577058</v>
      </c>
      <c r="K96" s="232">
        <v>716977.62119569734</v>
      </c>
      <c r="L96" s="230"/>
      <c r="M96" s="233" t="e">
        <v>#N/A</v>
      </c>
      <c r="N96" s="233">
        <v>125.35933505648363</v>
      </c>
      <c r="O96" s="233" t="e">
        <v>#N/A</v>
      </c>
      <c r="P96" s="233">
        <v>119.53406884835485</v>
      </c>
      <c r="Q96" s="230"/>
      <c r="R96" s="234">
        <v>5.6230168978238799</v>
      </c>
      <c r="S96" s="234">
        <v>5.6394548464269336</v>
      </c>
      <c r="T96" s="230"/>
      <c r="U96" s="234">
        <v>-5.1732249861568144E-2</v>
      </c>
      <c r="V96" s="234">
        <v>4.3464285714285712E-2</v>
      </c>
      <c r="W96" s="234">
        <v>-4.6673941386542711E-2</v>
      </c>
      <c r="X96" s="234" t="e">
        <v>#N/A</v>
      </c>
      <c r="Y96" s="234">
        <v>-0.11362382379189473</v>
      </c>
      <c r="Z96" s="234">
        <v>-0.14788749121979525</v>
      </c>
      <c r="AA96" s="234">
        <v>-0.13497681538977346</v>
      </c>
      <c r="AB96" s="234">
        <v>-4.5530727232715167E-2</v>
      </c>
      <c r="AC96" s="230"/>
      <c r="AD96" s="232">
        <v>-115572</v>
      </c>
      <c r="AE96" s="232">
        <v>-131480</v>
      </c>
      <c r="AF96" s="232">
        <v>-15908</v>
      </c>
      <c r="AG96" s="232">
        <v>-25371</v>
      </c>
      <c r="AH96" s="235">
        <v>-156851</v>
      </c>
      <c r="AI96" s="230"/>
      <c r="AJ96" s="232">
        <v>342</v>
      </c>
      <c r="AK96" s="232">
        <v>1214</v>
      </c>
      <c r="AL96" s="235">
        <v>1556</v>
      </c>
      <c r="AM96" s="230"/>
      <c r="AN96" s="231">
        <v>-1518.9414839999999</v>
      </c>
      <c r="AO96" s="232">
        <v>-129924</v>
      </c>
      <c r="AP96" s="236" t="e">
        <v>#N/A</v>
      </c>
      <c r="AQ96" s="230"/>
      <c r="AR96" s="237">
        <v>639.53925600000002</v>
      </c>
      <c r="AS96" s="237">
        <v>638</v>
      </c>
      <c r="AT96" s="237">
        <v>638</v>
      </c>
      <c r="AU96" s="230"/>
      <c r="AV96" s="234" t="e">
        <v>#N/A</v>
      </c>
      <c r="AW96" s="234">
        <v>0.57933650169155226</v>
      </c>
      <c r="AX96" s="234">
        <v>2.4269999999999999E-3</v>
      </c>
      <c r="AY96" s="234">
        <v>0.54073809974223064</v>
      </c>
      <c r="AZ96" s="230"/>
      <c r="BA96" s="232">
        <v>-296</v>
      </c>
      <c r="BB96" s="230"/>
      <c r="BC96" s="232" t="e">
        <v>#N/A</v>
      </c>
      <c r="BD96" s="232">
        <v>0</v>
      </c>
      <c r="BE96" s="230"/>
      <c r="BF96" s="238">
        <v>2.9711613999999984</v>
      </c>
      <c r="BG96" s="238">
        <v>2.7381963000000007</v>
      </c>
      <c r="BH96" s="238">
        <v>5.2409627000000016</v>
      </c>
      <c r="BI96" s="230"/>
      <c r="BJ96" s="239">
        <v>14.758129160499422</v>
      </c>
      <c r="BK96" s="240">
        <v>1324.699951171875</v>
      </c>
      <c r="BL96" s="230"/>
      <c r="BM96" s="241">
        <v>-441.058807</v>
      </c>
      <c r="BN96" s="241">
        <v>-281.69</v>
      </c>
      <c r="BO96" s="241">
        <v>-38</v>
      </c>
      <c r="BP96" s="241">
        <v>-27</v>
      </c>
      <c r="BQ96" s="241">
        <v>-23</v>
      </c>
      <c r="BR96" s="241">
        <v>-10.35</v>
      </c>
      <c r="BS96" s="241">
        <v>10.567222222222222</v>
      </c>
      <c r="BT96" s="241">
        <v>21.289999999999992</v>
      </c>
      <c r="BU96" s="241">
        <v>33.941052631578955</v>
      </c>
      <c r="BV96" s="241">
        <v>44.963333333333331</v>
      </c>
      <c r="BW96" s="230"/>
      <c r="BX96" s="232">
        <v>-26655.4</v>
      </c>
      <c r="BY96" s="232">
        <v>-17616.2</v>
      </c>
      <c r="BZ96" s="232">
        <v>-24052.7</v>
      </c>
      <c r="CA96" s="232">
        <v>-18190.900000000001</v>
      </c>
      <c r="CB96" s="232">
        <v>-13145.2</v>
      </c>
      <c r="CC96" s="232">
        <v>-7333.9</v>
      </c>
      <c r="CD96" s="232">
        <v>7982.7905847801785</v>
      </c>
      <c r="CE96" s="232">
        <v>14091.651047413834</v>
      </c>
      <c r="CF96" s="232">
        <v>22719.071310900606</v>
      </c>
      <c r="CG96" s="232">
        <v>31171.324486731242</v>
      </c>
      <c r="CH96" s="230"/>
      <c r="CI96" s="232">
        <v>-26344</v>
      </c>
      <c r="CJ96" s="232">
        <v>-17673</v>
      </c>
      <c r="CK96" s="232">
        <v>-23402</v>
      </c>
      <c r="CL96" s="232">
        <v>-16315</v>
      </c>
      <c r="CM96" s="232">
        <v>-9068</v>
      </c>
      <c r="CN96" s="232">
        <v>-15065</v>
      </c>
      <c r="CO96" s="232">
        <v>5780.6</v>
      </c>
      <c r="CP96" s="232">
        <v>13127.7</v>
      </c>
      <c r="CQ96" s="232">
        <v>21913.7368421053</v>
      </c>
      <c r="CR96" s="232">
        <v>31201</v>
      </c>
      <c r="CS96" s="230"/>
      <c r="CT96" s="232">
        <v>32808</v>
      </c>
      <c r="CU96" s="232">
        <v>28024</v>
      </c>
      <c r="CV96" s="232">
        <v>49742</v>
      </c>
      <c r="CW96" s="232">
        <v>79903</v>
      </c>
      <c r="CX96" s="232">
        <v>99778</v>
      </c>
      <c r="CY96" s="232">
        <v>69004</v>
      </c>
      <c r="CZ96" s="232">
        <v>85217.631578947374</v>
      </c>
      <c r="DA96" s="232">
        <v>106284.26315789473</v>
      </c>
      <c r="DB96" s="232">
        <v>130328.72222222223</v>
      </c>
      <c r="DC96" s="232">
        <v>157656.5</v>
      </c>
      <c r="DD96" s="230"/>
      <c r="DE96" s="232" t="e">
        <v>#N/A</v>
      </c>
      <c r="DF96" s="232">
        <v>1757</v>
      </c>
      <c r="DG96" s="232">
        <v>376</v>
      </c>
      <c r="DH96" s="230"/>
      <c r="DI96" s="230"/>
      <c r="DJ96" s="172" t="s">
        <v>277</v>
      </c>
    </row>
    <row r="97" spans="1:114" x14ac:dyDescent="0.25">
      <c r="A97" s="244" t="s">
        <v>796</v>
      </c>
      <c r="B97" s="226" t="s">
        <v>818</v>
      </c>
      <c r="C97" s="227" t="s">
        <v>819</v>
      </c>
      <c r="D97" s="228" t="str">
        <f t="shared" si="1"/>
        <v>NUVAMA IN Equity</v>
      </c>
      <c r="E97" s="229" t="s">
        <v>819</v>
      </c>
      <c r="F97" s="230"/>
      <c r="G97" s="231">
        <v>3084.7665847171156</v>
      </c>
      <c r="H97" s="232">
        <v>276890.79690999998</v>
      </c>
      <c r="I97" s="230"/>
      <c r="J97" s="231">
        <v>1635.8301072571155</v>
      </c>
      <c r="K97" s="232">
        <v>152954.73691000001</v>
      </c>
      <c r="L97" s="230"/>
      <c r="M97" s="233">
        <v>27.335191473037039</v>
      </c>
      <c r="N97" s="233">
        <v>26.538417975726844</v>
      </c>
      <c r="O97" s="233">
        <v>6.8933431570759245</v>
      </c>
      <c r="P97" s="233" t="e">
        <v>#N/A</v>
      </c>
      <c r="Q97" s="230"/>
      <c r="R97" s="234">
        <v>7.8490977639025115</v>
      </c>
      <c r="S97" s="234">
        <v>7.9751618547913319</v>
      </c>
      <c r="T97" s="230"/>
      <c r="U97" s="234">
        <v>0.31324215660515298</v>
      </c>
      <c r="V97" s="234">
        <v>0.2782</v>
      </c>
      <c r="W97" s="234">
        <v>0.31492684758760464</v>
      </c>
      <c r="X97" s="234" t="e">
        <v>#N/A</v>
      </c>
      <c r="Y97" s="234">
        <v>9.230461487159719E-2</v>
      </c>
      <c r="Z97" s="234">
        <v>0.12432545937482052</v>
      </c>
      <c r="AA97" s="234">
        <v>8.5816360120894816E-2</v>
      </c>
      <c r="AB97" s="234">
        <v>9.3920684987224751E-2</v>
      </c>
      <c r="AC97" s="230"/>
      <c r="AD97" s="232">
        <v>-202354.05</v>
      </c>
      <c r="AE97" s="232" t="e">
        <v>#N/A</v>
      </c>
      <c r="AF97" s="232">
        <v>-2207.5500000000002</v>
      </c>
      <c r="AG97" s="232">
        <v>-46406.23</v>
      </c>
      <c r="AH97" s="235" t="e">
        <v>#N/A</v>
      </c>
      <c r="AI97" s="230"/>
      <c r="AJ97" s="232">
        <v>67296.89</v>
      </c>
      <c r="AK97" s="232">
        <v>11091.41</v>
      </c>
      <c r="AL97" s="235">
        <v>78388.3</v>
      </c>
      <c r="AM97" s="230"/>
      <c r="AN97" s="231">
        <v>-1449.2835832499998</v>
      </c>
      <c r="AO97" s="232">
        <v>-123965.74999999999</v>
      </c>
      <c r="AP97" s="236">
        <v>-5.5868714610460426</v>
      </c>
      <c r="AQ97" s="230"/>
      <c r="AR97" s="237">
        <v>36.361233999999996</v>
      </c>
      <c r="AS97" s="237">
        <v>35.896999999999998</v>
      </c>
      <c r="AT97" s="237">
        <v>35.896999999999998</v>
      </c>
      <c r="AU97" s="230"/>
      <c r="AV97" s="234">
        <v>5.4650000000000002E-3</v>
      </c>
      <c r="AW97" s="234">
        <v>0.61298813242853878</v>
      </c>
      <c r="AX97" s="234">
        <v>1.6300000000000002E-3</v>
      </c>
      <c r="AY97" s="234">
        <v>0.41654191384153788</v>
      </c>
      <c r="AZ97" s="230"/>
      <c r="BA97" s="232">
        <v>29.69</v>
      </c>
      <c r="BB97" s="230"/>
      <c r="BC97" s="232" t="e">
        <v>#N/A</v>
      </c>
      <c r="BD97" s="232">
        <v>5139.26</v>
      </c>
      <c r="BE97" s="230"/>
      <c r="BF97" s="238">
        <v>0.17665700000000012</v>
      </c>
      <c r="BG97" s="238">
        <v>0.1269082</v>
      </c>
      <c r="BH97" s="238">
        <v>0.1124382333333333</v>
      </c>
      <c r="BI97" s="230"/>
      <c r="BJ97" s="239">
        <v>84.836685815369066</v>
      </c>
      <c r="BK97" s="240">
        <v>7615</v>
      </c>
      <c r="BL97" s="230"/>
      <c r="BM97" s="241">
        <v>109.09</v>
      </c>
      <c r="BN97" s="241">
        <v>-166.81</v>
      </c>
      <c r="BO97" s="241">
        <v>244.67</v>
      </c>
      <c r="BP97" s="241">
        <v>92.07</v>
      </c>
      <c r="BQ97" s="241">
        <v>174.14</v>
      </c>
      <c r="BR97" s="241">
        <v>268.54000000000002</v>
      </c>
      <c r="BS97" s="241">
        <v>286.9425</v>
      </c>
      <c r="BT97" s="241">
        <v>341.45125000000002</v>
      </c>
      <c r="BU97" s="241">
        <v>409.13249999999994</v>
      </c>
      <c r="BV97" s="241">
        <v>449.1</v>
      </c>
      <c r="BW97" s="230"/>
      <c r="BX97" s="232">
        <v>2953.1560813999999</v>
      </c>
      <c r="BY97" s="232">
        <v>-5011.567</v>
      </c>
      <c r="BZ97" s="232">
        <v>8611.8950000000004</v>
      </c>
      <c r="CA97" s="232">
        <v>3108.2750000000001</v>
      </c>
      <c r="CB97" s="232">
        <v>6556.0401376</v>
      </c>
      <c r="CC97" s="232">
        <v>10000.1368176</v>
      </c>
      <c r="CD97" s="232">
        <v>10314.326710480469</v>
      </c>
      <c r="CE97" s="232">
        <v>12264.366190068795</v>
      </c>
      <c r="CF97" s="232">
        <v>14629.677592652886</v>
      </c>
      <c r="CG97" s="232">
        <v>16087.328429339463</v>
      </c>
      <c r="CH97" s="230"/>
      <c r="CI97" s="232">
        <v>4784.3678220000002</v>
      </c>
      <c r="CJ97" s="232">
        <v>3428.6600000000003</v>
      </c>
      <c r="CK97" s="232">
        <v>6415.82</v>
      </c>
      <c r="CL97" s="232">
        <v>8744.5499999999993</v>
      </c>
      <c r="CM97" s="232">
        <v>15657.06</v>
      </c>
      <c r="CN97" s="232">
        <v>22188.76</v>
      </c>
      <c r="CO97" s="232">
        <v>14736.333333333299</v>
      </c>
      <c r="CP97" s="232">
        <v>18084.75</v>
      </c>
      <c r="CQ97" s="232">
        <v>21042</v>
      </c>
      <c r="CR97" s="232">
        <v>22796</v>
      </c>
      <c r="CS97" s="230"/>
      <c r="CT97" s="232">
        <v>7597.740452</v>
      </c>
      <c r="CU97" s="232">
        <v>12727.74</v>
      </c>
      <c r="CV97" s="232">
        <v>17731.84</v>
      </c>
      <c r="CW97" s="232">
        <v>22147.18</v>
      </c>
      <c r="CX97" s="232">
        <v>31558.12</v>
      </c>
      <c r="CY97" s="232">
        <v>41582.69</v>
      </c>
      <c r="CZ97" s="232">
        <v>31029.75</v>
      </c>
      <c r="DA97" s="232">
        <v>36596.625</v>
      </c>
      <c r="DB97" s="232">
        <v>43124.875</v>
      </c>
      <c r="DC97" s="232">
        <v>47123</v>
      </c>
      <c r="DD97" s="230"/>
      <c r="DE97" s="232" t="e">
        <v>#N/A</v>
      </c>
      <c r="DF97" s="232" t="e">
        <v>#N/A</v>
      </c>
      <c r="DG97" s="232" t="e">
        <v>#N/A</v>
      </c>
      <c r="DH97" s="230"/>
      <c r="DI97" s="230"/>
      <c r="DJ97" s="172" t="s">
        <v>277</v>
      </c>
    </row>
    <row r="98" spans="1:114" x14ac:dyDescent="0.25">
      <c r="A98" s="244" t="s">
        <v>796</v>
      </c>
      <c r="B98" s="226" t="s">
        <v>820</v>
      </c>
      <c r="C98" s="227" t="s">
        <v>821</v>
      </c>
      <c r="D98" s="228" t="str">
        <f t="shared" si="1"/>
        <v>360ONE IN Equity</v>
      </c>
      <c r="E98" s="229" t="s">
        <v>821</v>
      </c>
      <c r="F98" s="230"/>
      <c r="G98" s="231">
        <v>5397.1176924593792</v>
      </c>
      <c r="H98" s="232">
        <v>484449.04268800002</v>
      </c>
      <c r="I98" s="230"/>
      <c r="J98" s="231">
        <v>6574.2400566593788</v>
      </c>
      <c r="K98" s="232">
        <v>585135.24268799997</v>
      </c>
      <c r="L98" s="230"/>
      <c r="M98" s="233">
        <v>41.413684514914344</v>
      </c>
      <c r="N98" s="233">
        <v>38.599888507467064</v>
      </c>
      <c r="O98" s="233">
        <v>30.554248287947701</v>
      </c>
      <c r="P98" s="233" t="e">
        <v>#N/A</v>
      </c>
      <c r="Q98" s="230"/>
      <c r="R98" s="234">
        <v>6.6544885295649614</v>
      </c>
      <c r="S98" s="234">
        <v>7.7767419395391002</v>
      </c>
      <c r="T98" s="230"/>
      <c r="U98" s="234">
        <v>0.2054585657427353</v>
      </c>
      <c r="V98" s="234">
        <v>0.15289999999999998</v>
      </c>
      <c r="W98" s="234">
        <v>0.22948989186647861</v>
      </c>
      <c r="X98" s="234" t="e">
        <v>#N/A</v>
      </c>
      <c r="Y98" s="234">
        <v>4.6118354589588122E-2</v>
      </c>
      <c r="Z98" s="234">
        <v>6.1177112506992086E-2</v>
      </c>
      <c r="AA98" s="234">
        <v>4.0434990099044076E-2</v>
      </c>
      <c r="AB98" s="234">
        <v>6.5194121548862838E-2</v>
      </c>
      <c r="AC98" s="230"/>
      <c r="AD98" s="232">
        <v>-10915.8</v>
      </c>
      <c r="AE98" s="232" t="e">
        <v>#N/A</v>
      </c>
      <c r="AF98" s="232">
        <v>-76081.2</v>
      </c>
      <c r="AG98" s="232">
        <v>-83973.7</v>
      </c>
      <c r="AH98" s="235" t="e">
        <v>#N/A</v>
      </c>
      <c r="AI98" s="230"/>
      <c r="AJ98" s="232">
        <v>31157.5</v>
      </c>
      <c r="AK98" s="232">
        <v>80444.5</v>
      </c>
      <c r="AL98" s="235">
        <v>111602</v>
      </c>
      <c r="AM98" s="230"/>
      <c r="AN98" s="231">
        <v>1177.1223642</v>
      </c>
      <c r="AO98" s="232">
        <v>100686.2</v>
      </c>
      <c r="AP98" s="236">
        <v>5.2575728302359703</v>
      </c>
      <c r="AQ98" s="230"/>
      <c r="AR98" s="237">
        <v>405.057728</v>
      </c>
      <c r="AS98" s="237">
        <v>374.03308800000002</v>
      </c>
      <c r="AT98" s="237">
        <v>374.03308800000002</v>
      </c>
      <c r="AU98" s="230"/>
      <c r="AV98" s="234">
        <v>6.2600000000000004E-4</v>
      </c>
      <c r="AW98" s="234">
        <v>0.80991457683072421</v>
      </c>
      <c r="AX98" s="234">
        <v>3.7209999999999999E-3</v>
      </c>
      <c r="AY98" s="234">
        <v>0.58215153223789384</v>
      </c>
      <c r="AZ98" s="230"/>
      <c r="BA98" s="232">
        <v>0</v>
      </c>
      <c r="BB98" s="230"/>
      <c r="BC98" s="232" t="e">
        <v>#N/A</v>
      </c>
      <c r="BD98" s="232">
        <v>2166.9</v>
      </c>
      <c r="BE98" s="230"/>
      <c r="BF98" s="238">
        <v>0.78904679999999949</v>
      </c>
      <c r="BG98" s="238">
        <v>0.68734850000000036</v>
      </c>
      <c r="BH98" s="238">
        <v>0.84137729999999955</v>
      </c>
      <c r="BI98" s="230"/>
      <c r="BJ98" s="239">
        <v>13.324317299432883</v>
      </c>
      <c r="BK98" s="240">
        <v>1196</v>
      </c>
      <c r="BL98" s="230"/>
      <c r="BM98" s="241">
        <v>5.7709535000000001</v>
      </c>
      <c r="BN98" s="241">
        <v>10.44</v>
      </c>
      <c r="BO98" s="241">
        <v>16.024999999999999</v>
      </c>
      <c r="BP98" s="241">
        <v>18.510000000000002</v>
      </c>
      <c r="BQ98" s="241">
        <v>21.86</v>
      </c>
      <c r="BR98" s="241">
        <v>29.49</v>
      </c>
      <c r="BS98" s="241">
        <v>30.984545454545454</v>
      </c>
      <c r="BT98" s="241">
        <v>35.900000000000006</v>
      </c>
      <c r="BU98" s="241">
        <v>42.986666666666665</v>
      </c>
      <c r="BV98" s="241">
        <v>50.5</v>
      </c>
      <c r="BW98" s="230"/>
      <c r="BX98" s="232">
        <v>1956.578</v>
      </c>
      <c r="BY98" s="232">
        <v>3838.0590000000002</v>
      </c>
      <c r="BZ98" s="232">
        <v>5665.723</v>
      </c>
      <c r="CA98" s="232">
        <v>6576.15</v>
      </c>
      <c r="CB98" s="232">
        <v>8111.61</v>
      </c>
      <c r="CC98" s="232">
        <v>10801.83</v>
      </c>
      <c r="CD98" s="232" t="e">
        <v>#N/A</v>
      </c>
      <c r="CE98" s="232" t="e">
        <v>#N/A</v>
      </c>
      <c r="CF98" s="232" t="e">
        <v>#N/A</v>
      </c>
      <c r="CG98" s="232" t="e">
        <v>#N/A</v>
      </c>
      <c r="CH98" s="230"/>
      <c r="CI98" s="232">
        <v>8046.3</v>
      </c>
      <c r="CJ98" s="232">
        <v>8940.4800000000014</v>
      </c>
      <c r="CK98" s="232">
        <v>9356.380000000001</v>
      </c>
      <c r="CL98" s="232">
        <v>12077.300000000001</v>
      </c>
      <c r="CM98" s="232">
        <v>12909.699999999999</v>
      </c>
      <c r="CN98" s="232">
        <v>19150.7</v>
      </c>
      <c r="CO98" s="232">
        <v>14744.6</v>
      </c>
      <c r="CP98" s="232">
        <v>17062.599999999999</v>
      </c>
      <c r="CQ98" s="232">
        <v>20015.25</v>
      </c>
      <c r="CR98" s="232">
        <v>26531</v>
      </c>
      <c r="CS98" s="230"/>
      <c r="CT98" s="232">
        <v>14699.86</v>
      </c>
      <c r="CU98" s="232">
        <v>16116.27</v>
      </c>
      <c r="CV98" s="232">
        <v>18506.5</v>
      </c>
      <c r="CW98" s="232">
        <v>19746.599999999999</v>
      </c>
      <c r="CX98" s="232">
        <v>25070.3</v>
      </c>
      <c r="CY98" s="232">
        <v>32950.9</v>
      </c>
      <c r="CZ98" s="232">
        <v>31337.363636363636</v>
      </c>
      <c r="DA98" s="232">
        <v>36747</v>
      </c>
      <c r="DB98" s="232">
        <v>43388.777777777781</v>
      </c>
      <c r="DC98" s="232">
        <v>53561</v>
      </c>
      <c r="DD98" s="230"/>
      <c r="DE98" s="232" t="e">
        <v>#N/A</v>
      </c>
      <c r="DF98" s="232" t="e">
        <v>#N/A</v>
      </c>
      <c r="DG98" s="232" t="e">
        <v>#N/A</v>
      </c>
      <c r="DH98" s="230"/>
      <c r="DI98" s="230"/>
      <c r="DJ98" s="172" t="s">
        <v>277</v>
      </c>
    </row>
    <row r="99" spans="1:114" x14ac:dyDescent="0.25">
      <c r="A99" s="244" t="s">
        <v>796</v>
      </c>
      <c r="B99" s="226" t="s">
        <v>822</v>
      </c>
      <c r="C99" s="227" t="s">
        <v>823</v>
      </c>
      <c r="D99" s="228" t="str">
        <f t="shared" si="1"/>
        <v>ANANDRAT IN Equity</v>
      </c>
      <c r="E99" s="229" t="s">
        <v>824</v>
      </c>
      <c r="F99" s="230"/>
      <c r="G99" s="231">
        <v>2832.5392046921093</v>
      </c>
      <c r="H99" s="232">
        <v>254250.69162500001</v>
      </c>
      <c r="I99" s="230"/>
      <c r="J99" s="231">
        <v>2802.8147436641093</v>
      </c>
      <c r="K99" s="232">
        <v>251708.18362500001</v>
      </c>
      <c r="L99" s="230"/>
      <c r="M99" s="233">
        <v>87.564419892794845</v>
      </c>
      <c r="N99" s="233">
        <v>66.983814523184606</v>
      </c>
      <c r="O99" s="233">
        <v>62.888322421718833</v>
      </c>
      <c r="P99" s="233" t="e">
        <v>#N/A</v>
      </c>
      <c r="Q99" s="230"/>
      <c r="R99" s="234">
        <v>37.724048206677075</v>
      </c>
      <c r="S99" s="234">
        <v>38.587799887477217</v>
      </c>
      <c r="T99" s="230"/>
      <c r="U99" s="234">
        <v>0.43899598551317021</v>
      </c>
      <c r="V99" s="234">
        <v>0.46204999999999996</v>
      </c>
      <c r="W99" s="234">
        <v>0.46576818896165068</v>
      </c>
      <c r="X99" s="234">
        <v>0.58026945479124581</v>
      </c>
      <c r="Y99" s="234">
        <v>0.37400517106499331</v>
      </c>
      <c r="Z99" s="234">
        <v>0.50334601851697036</v>
      </c>
      <c r="AA99" s="234">
        <v>0.36401364372187411</v>
      </c>
      <c r="AB99" s="234">
        <v>0.41801774694271127</v>
      </c>
      <c r="AC99" s="230"/>
      <c r="AD99" s="232">
        <v>-440.65100000000001</v>
      </c>
      <c r="AE99" s="232">
        <v>-3472.0819999999999</v>
      </c>
      <c r="AF99" s="232">
        <v>-3031.431</v>
      </c>
      <c r="AG99" s="232">
        <v>-2430.4459999999999</v>
      </c>
      <c r="AH99" s="235">
        <v>-5902.5280000000002</v>
      </c>
      <c r="AI99" s="230"/>
      <c r="AJ99" s="232">
        <v>158.04300000000001</v>
      </c>
      <c r="AK99" s="232">
        <v>634.97</v>
      </c>
      <c r="AL99" s="235">
        <v>793.01300000000003</v>
      </c>
      <c r="AM99" s="230"/>
      <c r="AN99" s="231">
        <v>-31.320995679000003</v>
      </c>
      <c r="AO99" s="232">
        <v>-2679.069</v>
      </c>
      <c r="AP99" s="236">
        <v>-0.6693550946004998</v>
      </c>
      <c r="AQ99" s="230"/>
      <c r="AR99" s="237">
        <v>83.020634000000001</v>
      </c>
      <c r="AS99" s="237">
        <v>83.020600000000002</v>
      </c>
      <c r="AT99" s="237">
        <v>83.020600000000002</v>
      </c>
      <c r="AU99" s="230"/>
      <c r="AV99" s="234">
        <v>4.2720000000000006E-3</v>
      </c>
      <c r="AW99" s="234">
        <v>0.28527325106514118</v>
      </c>
      <c r="AX99" s="234">
        <v>5.5599999999999996E-4</v>
      </c>
      <c r="AY99" s="234">
        <v>0.497943583519249</v>
      </c>
      <c r="AZ99" s="230"/>
      <c r="BA99" s="232">
        <v>136.56100000000001</v>
      </c>
      <c r="BB99" s="230"/>
      <c r="BC99" s="232" t="e">
        <v>#N/A</v>
      </c>
      <c r="BD99" s="232">
        <v>667.02700000000004</v>
      </c>
      <c r="BE99" s="230"/>
      <c r="BF99" s="238">
        <v>0.28030720000000009</v>
      </c>
      <c r="BG99" s="238">
        <v>0.31722659999999991</v>
      </c>
      <c r="BH99" s="238">
        <v>0.27217069999999999</v>
      </c>
      <c r="BI99" s="230"/>
      <c r="BJ99" s="239">
        <v>34.118496429358864</v>
      </c>
      <c r="BK99" s="240">
        <v>3062.5</v>
      </c>
      <c r="BL99" s="230"/>
      <c r="BM99" s="241">
        <v>7.2788719999999998</v>
      </c>
      <c r="BN99" s="241">
        <v>5.2029639999999997</v>
      </c>
      <c r="BO99" s="241">
        <v>15.2255</v>
      </c>
      <c r="BP99" s="241">
        <v>20.112500000000001</v>
      </c>
      <c r="BQ99" s="241">
        <v>27.015000000000001</v>
      </c>
      <c r="BR99" s="241">
        <v>36.17</v>
      </c>
      <c r="BS99" s="241">
        <v>45.72</v>
      </c>
      <c r="BT99" s="241">
        <v>58.489999999999995</v>
      </c>
      <c r="BU99" s="241">
        <v>73.319999999999993</v>
      </c>
      <c r="BV99" s="241" t="e">
        <v>#N/A</v>
      </c>
      <c r="BW99" s="230"/>
      <c r="BX99" s="232">
        <v>597.70899999999995</v>
      </c>
      <c r="BY99" s="232">
        <v>432.19</v>
      </c>
      <c r="BZ99" s="232">
        <v>1245.9333025000001</v>
      </c>
      <c r="CA99" s="232">
        <v>1667.9044683</v>
      </c>
      <c r="CB99" s="232">
        <v>2202.2501473000002</v>
      </c>
      <c r="CC99" s="232">
        <v>2903.5833220999998</v>
      </c>
      <c r="CD99" s="232" t="e">
        <v>#N/A</v>
      </c>
      <c r="CE99" s="232" t="e">
        <v>#N/A</v>
      </c>
      <c r="CF99" s="232" t="e">
        <v>#N/A</v>
      </c>
      <c r="CG99" s="232" t="e">
        <v>#N/A</v>
      </c>
      <c r="CH99" s="230"/>
      <c r="CI99" s="232">
        <v>1067.18</v>
      </c>
      <c r="CJ99" s="232">
        <v>698.64</v>
      </c>
      <c r="CK99" s="232">
        <v>1772.857</v>
      </c>
      <c r="CL99" s="232">
        <v>2386.556</v>
      </c>
      <c r="CM99" s="232">
        <v>3037.904</v>
      </c>
      <c r="CN99" s="232">
        <v>4002.4629999999997</v>
      </c>
      <c r="CO99" s="232">
        <v>5325</v>
      </c>
      <c r="CP99" s="232">
        <v>6771</v>
      </c>
      <c r="CQ99" s="232">
        <v>8346</v>
      </c>
      <c r="CR99" s="232" t="e">
        <v>#N/A</v>
      </c>
      <c r="CS99" s="230"/>
      <c r="CT99" s="232">
        <v>3318.27</v>
      </c>
      <c r="CU99" s="232">
        <v>2653.3</v>
      </c>
      <c r="CV99" s="232">
        <v>4174.8509999999997</v>
      </c>
      <c r="CW99" s="232">
        <v>5486.3159999999998</v>
      </c>
      <c r="CX99" s="232">
        <v>7243.2250000000004</v>
      </c>
      <c r="CY99" s="232">
        <v>9390.9459999999999</v>
      </c>
      <c r="CZ99" s="232">
        <v>11585.5</v>
      </c>
      <c r="DA99" s="232">
        <v>14330.5</v>
      </c>
      <c r="DB99" s="232">
        <v>17643</v>
      </c>
      <c r="DC99" s="232" t="e">
        <v>#N/A</v>
      </c>
      <c r="DD99" s="230"/>
      <c r="DE99" s="232" t="e">
        <v>#N/A</v>
      </c>
      <c r="DF99" s="232">
        <v>0</v>
      </c>
      <c r="DG99" s="232" t="e">
        <v>#N/A</v>
      </c>
      <c r="DH99" s="230"/>
      <c r="DI99" s="230"/>
      <c r="DJ99" s="172" t="s">
        <v>277</v>
      </c>
    </row>
    <row r="100" spans="1:114" x14ac:dyDescent="0.25">
      <c r="A100" s="244" t="s">
        <v>796</v>
      </c>
      <c r="B100" s="226" t="s">
        <v>825</v>
      </c>
      <c r="C100" s="227" t="s">
        <v>826</v>
      </c>
      <c r="D100" s="228" t="str">
        <f t="shared" si="1"/>
        <v>MOFS IN Equity</v>
      </c>
      <c r="E100" s="229" t="s">
        <v>827</v>
      </c>
      <c r="F100" s="230"/>
      <c r="G100" s="231">
        <v>5980.9967434198161</v>
      </c>
      <c r="H100" s="232">
        <v>536858.43292208016</v>
      </c>
      <c r="I100" s="230"/>
      <c r="J100" s="231">
        <v>6481.9935046198161</v>
      </c>
      <c r="K100" s="232">
        <v>579711.63292208011</v>
      </c>
      <c r="L100" s="230"/>
      <c r="M100" s="233">
        <v>34.117790896877466</v>
      </c>
      <c r="N100" s="233">
        <v>18.302098834325395</v>
      </c>
      <c r="O100" s="233">
        <v>12.754061503441571</v>
      </c>
      <c r="P100" s="233" t="e">
        <v>#N/A</v>
      </c>
      <c r="Q100" s="230"/>
      <c r="R100" s="234">
        <v>4.833747366213613</v>
      </c>
      <c r="S100" s="234">
        <v>4.8499879287889733</v>
      </c>
      <c r="T100" s="230"/>
      <c r="U100" s="234">
        <v>0.16135580558373841</v>
      </c>
      <c r="V100" s="234">
        <v>0.22500000000000001</v>
      </c>
      <c r="W100" s="234">
        <v>0.25345755418789462</v>
      </c>
      <c r="X100" s="234" t="e">
        <v>#N/A</v>
      </c>
      <c r="Y100" s="234">
        <v>9.9653966745350153E-2</v>
      </c>
      <c r="Z100" s="234">
        <v>0.12773088990747891</v>
      </c>
      <c r="AA100" s="234">
        <v>9.8561390789281236E-2</v>
      </c>
      <c r="AB100" s="234">
        <v>0.1036936560201568</v>
      </c>
      <c r="AC100" s="230"/>
      <c r="AD100" s="232">
        <v>-104977.3</v>
      </c>
      <c r="AE100" s="232" t="e">
        <v>#N/A</v>
      </c>
      <c r="AF100" s="232">
        <v>-88506.4</v>
      </c>
      <c r="AG100" s="232">
        <v>-104503.2</v>
      </c>
      <c r="AH100" s="235" t="e">
        <v>#N/A</v>
      </c>
      <c r="AI100" s="230"/>
      <c r="AJ100" s="232">
        <v>44746.400000000001</v>
      </c>
      <c r="AK100" s="232">
        <v>102569.7</v>
      </c>
      <c r="AL100" s="235">
        <v>147316.1</v>
      </c>
      <c r="AM100" s="230"/>
      <c r="AN100" s="231">
        <v>494.98291080000001</v>
      </c>
      <c r="AO100" s="232">
        <v>42338.8</v>
      </c>
      <c r="AP100" s="236">
        <v>0.93148322116643312</v>
      </c>
      <c r="AQ100" s="230"/>
      <c r="AR100" s="237">
        <v>600.781611</v>
      </c>
      <c r="AS100" s="237">
        <v>598.04899999999998</v>
      </c>
      <c r="AT100" s="237">
        <v>610.00699999999995</v>
      </c>
      <c r="AU100" s="230"/>
      <c r="AV100" s="234">
        <v>6.7689999999999998E-3</v>
      </c>
      <c r="AW100" s="234">
        <v>0.40257102754115498</v>
      </c>
      <c r="AX100" s="234">
        <v>7.5200000000000006E-4</v>
      </c>
      <c r="AY100" s="234">
        <v>0.24167677462418202</v>
      </c>
      <c r="AZ100" s="230"/>
      <c r="BA100" s="232">
        <v>514.4</v>
      </c>
      <c r="BB100" s="230"/>
      <c r="BC100" s="232" t="e">
        <v>#N/A</v>
      </c>
      <c r="BD100" s="232">
        <v>2998.1</v>
      </c>
      <c r="BE100" s="230"/>
      <c r="BF100" s="238">
        <v>1.1177548000000006</v>
      </c>
      <c r="BG100" s="238">
        <v>1.1444318999999996</v>
      </c>
      <c r="BH100" s="238">
        <v>1.2244640666666671</v>
      </c>
      <c r="BI100" s="230"/>
      <c r="BJ100" s="239">
        <v>9.9553592085890532</v>
      </c>
      <c r="BK100" s="240">
        <v>893.5999755859375</v>
      </c>
      <c r="BL100" s="230"/>
      <c r="BM100" s="241">
        <v>3.05</v>
      </c>
      <c r="BN100" s="241">
        <v>4.8327627499999997</v>
      </c>
      <c r="BO100" s="241">
        <v>22.094999999999999</v>
      </c>
      <c r="BP100" s="241">
        <v>15.664999999999999</v>
      </c>
      <c r="BQ100" s="241">
        <v>40.727499999999999</v>
      </c>
      <c r="BR100" s="241">
        <v>41.01</v>
      </c>
      <c r="BS100" s="241">
        <v>48.825000000000003</v>
      </c>
      <c r="BT100" s="241">
        <v>57.16</v>
      </c>
      <c r="BU100" s="241">
        <v>67.353333333333339</v>
      </c>
      <c r="BV100" s="241">
        <v>79.13</v>
      </c>
      <c r="BW100" s="230"/>
      <c r="BX100" s="232">
        <v>1827.19</v>
      </c>
      <c r="BY100" s="232">
        <v>12578.29</v>
      </c>
      <c r="BZ100" s="232">
        <v>9625.94</v>
      </c>
      <c r="CA100" s="232">
        <v>8345.58</v>
      </c>
      <c r="CB100" s="232">
        <v>24417.18</v>
      </c>
      <c r="CC100" s="232">
        <v>15983.18</v>
      </c>
      <c r="CD100" s="232">
        <v>28349.599837697173</v>
      </c>
      <c r="CE100" s="232">
        <v>33825.955622684487</v>
      </c>
      <c r="CF100" s="232">
        <v>41206.597112984993</v>
      </c>
      <c r="CG100" s="232">
        <v>49495.895206596964</v>
      </c>
      <c r="CH100" s="230"/>
      <c r="CI100" s="232">
        <v>8115.1</v>
      </c>
      <c r="CJ100" s="232">
        <v>20153.2</v>
      </c>
      <c r="CK100" s="232">
        <v>21192.6</v>
      </c>
      <c r="CL100" s="232">
        <v>18764.7</v>
      </c>
      <c r="CM100" s="232">
        <v>40805.4</v>
      </c>
      <c r="CN100" s="232">
        <v>45453.1</v>
      </c>
      <c r="CO100" s="232">
        <v>37786.75</v>
      </c>
      <c r="CP100" s="232">
        <v>43995.5</v>
      </c>
      <c r="CQ100" s="232">
        <v>55316.333333333299</v>
      </c>
      <c r="CR100" s="232">
        <v>62988</v>
      </c>
      <c r="CS100" s="230"/>
      <c r="CT100" s="232">
        <v>21385.3</v>
      </c>
      <c r="CU100" s="232">
        <v>36251.1</v>
      </c>
      <c r="CV100" s="232">
        <v>42968</v>
      </c>
      <c r="CW100" s="232">
        <v>41771.300000000003</v>
      </c>
      <c r="CX100" s="232">
        <v>71047.100000000006</v>
      </c>
      <c r="CY100" s="232">
        <v>83390.5</v>
      </c>
      <c r="CZ100" s="232">
        <v>92870.333333333328</v>
      </c>
      <c r="DA100" s="232">
        <v>108948.66666666667</v>
      </c>
      <c r="DB100" s="232">
        <v>128083.33333333333</v>
      </c>
      <c r="DC100" s="232">
        <v>148544</v>
      </c>
      <c r="DD100" s="230"/>
      <c r="DE100" s="232" t="e">
        <v>#N/A</v>
      </c>
      <c r="DF100" s="232" t="e">
        <v>#N/A</v>
      </c>
      <c r="DG100" s="232" t="e">
        <v>#N/A</v>
      </c>
      <c r="DH100" s="230"/>
      <c r="DI100" s="230"/>
      <c r="DJ100" s="172" t="s">
        <v>277</v>
      </c>
    </row>
    <row r="101" spans="1:114" x14ac:dyDescent="0.25">
      <c r="A101" s="244" t="s">
        <v>796</v>
      </c>
      <c r="B101" s="226" t="s">
        <v>828</v>
      </c>
      <c r="C101" s="227" t="s">
        <v>829</v>
      </c>
      <c r="D101" s="228" t="str">
        <f t="shared" si="1"/>
        <v>JM IN Equity</v>
      </c>
      <c r="E101" s="229" t="s">
        <v>830</v>
      </c>
      <c r="F101" s="230"/>
      <c r="G101" s="231">
        <v>1543.9122065618074</v>
      </c>
      <c r="H101" s="232">
        <v>138582.63485863656</v>
      </c>
      <c r="I101" s="230"/>
      <c r="J101" s="231">
        <v>2420.8739912618075</v>
      </c>
      <c r="K101" s="232">
        <v>213594.3348586366</v>
      </c>
      <c r="L101" s="230"/>
      <c r="M101" s="233">
        <v>16.889277816096662</v>
      </c>
      <c r="N101" s="233" t="e">
        <v>#N/A</v>
      </c>
      <c r="O101" s="233">
        <v>9.0292967385719543</v>
      </c>
      <c r="P101" s="233" t="e">
        <v>#N/A</v>
      </c>
      <c r="Q101" s="230"/>
      <c r="R101" s="234">
        <v>1.4238700278634635</v>
      </c>
      <c r="S101" s="234">
        <v>1.4350297972006447</v>
      </c>
      <c r="T101" s="230"/>
      <c r="U101" s="234">
        <v>9.0163187564152522E-2</v>
      </c>
      <c r="V101" s="234" t="e">
        <v>#N/A</v>
      </c>
      <c r="W101" s="234">
        <v>9.0924992499582094E-2</v>
      </c>
      <c r="X101" s="234" t="e">
        <v>#N/A</v>
      </c>
      <c r="Y101" s="234">
        <v>4.9170829785706222E-2</v>
      </c>
      <c r="Z101" s="234">
        <v>4.0903542156068236E-2</v>
      </c>
      <c r="AA101" s="234">
        <v>5.2108616047513143E-2</v>
      </c>
      <c r="AB101" s="234">
        <v>3.156120866793944E-2</v>
      </c>
      <c r="AC101" s="230"/>
      <c r="AD101" s="232">
        <v>-5400</v>
      </c>
      <c r="AE101" s="232" t="e">
        <v>#N/A</v>
      </c>
      <c r="AF101" s="232">
        <v>-94329.8</v>
      </c>
      <c r="AG101" s="232">
        <v>-99175.8</v>
      </c>
      <c r="AH101" s="235" t="e">
        <v>#N/A</v>
      </c>
      <c r="AI101" s="230"/>
      <c r="AJ101" s="232">
        <v>115073.60000000001</v>
      </c>
      <c r="AK101" s="232">
        <v>0</v>
      </c>
      <c r="AL101" s="235">
        <v>115073.60000000001</v>
      </c>
      <c r="AM101" s="230"/>
      <c r="AN101" s="231">
        <v>818.19697320000012</v>
      </c>
      <c r="AO101" s="232">
        <v>69985.200000000012</v>
      </c>
      <c r="AP101" s="236">
        <v>2.9584920336324867</v>
      </c>
      <c r="AQ101" s="230"/>
      <c r="AR101" s="237">
        <v>956.33587299999999</v>
      </c>
      <c r="AS101" s="237">
        <v>955.73015199999998</v>
      </c>
      <c r="AT101" s="237">
        <v>957.06823899999995</v>
      </c>
      <c r="AU101" s="230"/>
      <c r="AV101" s="234">
        <v>5.6599999999999992E-3</v>
      </c>
      <c r="AW101" s="234">
        <v>0.69272476083341217</v>
      </c>
      <c r="AX101" s="234">
        <v>1.7160000000000001E-3</v>
      </c>
      <c r="AY101" s="234">
        <v>0.75041840347235411</v>
      </c>
      <c r="AZ101" s="230"/>
      <c r="BA101" s="232">
        <v>5026.5</v>
      </c>
      <c r="BB101" s="230"/>
      <c r="BC101" s="232" t="e">
        <v>#N/A</v>
      </c>
      <c r="BD101" s="232">
        <v>1960.8</v>
      </c>
      <c r="BE101" s="230"/>
      <c r="BF101" s="238">
        <v>3.396377000000002</v>
      </c>
      <c r="BG101" s="238">
        <v>3.3964115000000015</v>
      </c>
      <c r="BH101" s="238">
        <v>6.4601464333333363</v>
      </c>
      <c r="BI101" s="230"/>
      <c r="BJ101" s="239">
        <v>1.6144037363343866</v>
      </c>
      <c r="BK101" s="240">
        <v>144.91000366210938</v>
      </c>
      <c r="BL101" s="230"/>
      <c r="BM101" s="241">
        <v>6.4790000000000001</v>
      </c>
      <c r="BN101" s="241">
        <v>6.32</v>
      </c>
      <c r="BO101" s="241">
        <v>0.224</v>
      </c>
      <c r="BP101" s="241">
        <v>6.2560000000000002</v>
      </c>
      <c r="BQ101" s="241">
        <v>4.3</v>
      </c>
      <c r="BR101" s="241">
        <v>8.58</v>
      </c>
      <c r="BS101" s="241" t="e">
        <v>#N/A</v>
      </c>
      <c r="BT101" s="241" t="e">
        <v>#N/A</v>
      </c>
      <c r="BU101" s="241" t="e">
        <v>#N/A</v>
      </c>
      <c r="BV101" s="241" t="e">
        <v>#N/A</v>
      </c>
      <c r="BW101" s="230"/>
      <c r="BX101" s="232">
        <v>5449.87</v>
      </c>
      <c r="BY101" s="232">
        <v>5901.4</v>
      </c>
      <c r="BZ101" s="232">
        <v>7731.6</v>
      </c>
      <c r="CA101" s="232">
        <v>5972.9</v>
      </c>
      <c r="CB101" s="232">
        <v>4098.3999999999996</v>
      </c>
      <c r="CC101" s="232">
        <v>8213.1</v>
      </c>
      <c r="CD101" s="232" t="e">
        <v>#N/A</v>
      </c>
      <c r="CE101" s="232" t="e">
        <v>#N/A</v>
      </c>
      <c r="CF101" s="232" t="e">
        <v>#N/A</v>
      </c>
      <c r="CG101" s="232" t="e">
        <v>#N/A</v>
      </c>
      <c r="CH101" s="230"/>
      <c r="CI101" s="232">
        <v>25204.200000000004</v>
      </c>
      <c r="CJ101" s="232">
        <v>22174.7</v>
      </c>
      <c r="CK101" s="232">
        <v>24675.499999999996</v>
      </c>
      <c r="CL101" s="232">
        <v>21729.9</v>
      </c>
      <c r="CM101" s="232">
        <v>28147.8</v>
      </c>
      <c r="CN101" s="232">
        <v>23655.7</v>
      </c>
      <c r="CO101" s="232" t="e">
        <v>#N/A</v>
      </c>
      <c r="CP101" s="232" t="e">
        <v>#N/A</v>
      </c>
      <c r="CQ101" s="232" t="e">
        <v>#N/A</v>
      </c>
      <c r="CR101" s="232" t="e">
        <v>#N/A</v>
      </c>
      <c r="CS101" s="230"/>
      <c r="CT101" s="232">
        <v>32198.3</v>
      </c>
      <c r="CU101" s="232">
        <v>29698.7</v>
      </c>
      <c r="CV101" s="232">
        <v>34149.199999999997</v>
      </c>
      <c r="CW101" s="232">
        <v>32475.1</v>
      </c>
      <c r="CX101" s="232">
        <v>48321.599999999999</v>
      </c>
      <c r="CY101" s="232">
        <v>44528.3</v>
      </c>
      <c r="CZ101" s="232" t="e">
        <v>#N/A</v>
      </c>
      <c r="DA101" s="232" t="e">
        <v>#N/A</v>
      </c>
      <c r="DB101" s="232" t="e">
        <v>#N/A</v>
      </c>
      <c r="DC101" s="232" t="e">
        <v>#N/A</v>
      </c>
      <c r="DD101" s="230"/>
      <c r="DE101" s="232" t="e">
        <v>#N/A</v>
      </c>
      <c r="DF101" s="232" t="e">
        <v>#N/A</v>
      </c>
      <c r="DG101" s="232" t="e">
        <v>#N/A</v>
      </c>
      <c r="DH101" s="230"/>
      <c r="DI101" s="230"/>
      <c r="DJ101" s="172" t="s">
        <v>277</v>
      </c>
    </row>
    <row r="102" spans="1:114" x14ac:dyDescent="0.25">
      <c r="A102" s="244" t="s">
        <v>796</v>
      </c>
      <c r="B102" s="226" t="s">
        <v>831</v>
      </c>
      <c r="C102" s="227" t="s">
        <v>832</v>
      </c>
      <c r="D102" s="228" t="str">
        <f t="shared" si="1"/>
        <v>GEOFSL IN Equity</v>
      </c>
      <c r="E102" s="229" t="s">
        <v>833</v>
      </c>
      <c r="F102" s="230"/>
      <c r="G102" s="231">
        <v>242.30198595801704</v>
      </c>
      <c r="H102" s="232">
        <v>21749.195001392134</v>
      </c>
      <c r="I102" s="230"/>
      <c r="J102" s="231">
        <v>149.69452360701706</v>
      </c>
      <c r="K102" s="232">
        <v>13827.934001392137</v>
      </c>
      <c r="L102" s="230"/>
      <c r="M102" s="233">
        <v>12.564829436942649</v>
      </c>
      <c r="N102" s="233" t="e">
        <v>#N/A</v>
      </c>
      <c r="O102" s="233">
        <v>4.8162981693563616</v>
      </c>
      <c r="P102" s="233" t="e">
        <v>#N/A</v>
      </c>
      <c r="Q102" s="230"/>
      <c r="R102" s="234">
        <v>1.8766269274847573</v>
      </c>
      <c r="S102" s="234">
        <v>1.9127165799431016</v>
      </c>
      <c r="T102" s="230"/>
      <c r="U102" s="234">
        <v>0.1692031818423442</v>
      </c>
      <c r="V102" s="234" t="e">
        <v>#N/A</v>
      </c>
      <c r="W102" s="234">
        <v>0.17201968710447627</v>
      </c>
      <c r="X102" s="234" t="e">
        <v>#N/A</v>
      </c>
      <c r="Y102" s="234">
        <v>0.11794824230336889</v>
      </c>
      <c r="Z102" s="234">
        <v>0.15230393526862912</v>
      </c>
      <c r="AA102" s="234">
        <v>0.1140508253908447</v>
      </c>
      <c r="AB102" s="234">
        <v>0.12736556726263915</v>
      </c>
      <c r="AC102" s="230"/>
      <c r="AD102" s="232">
        <v>-10329.023999999999</v>
      </c>
      <c r="AE102" s="232" t="e">
        <v>#N/A</v>
      </c>
      <c r="AF102" s="232">
        <v>-173.77</v>
      </c>
      <c r="AG102" s="232">
        <v>-5290.8689999999997</v>
      </c>
      <c r="AH102" s="235" t="e">
        <v>#N/A</v>
      </c>
      <c r="AI102" s="230"/>
      <c r="AJ102" s="232">
        <v>1558.2460000000001</v>
      </c>
      <c r="AK102" s="232">
        <v>0</v>
      </c>
      <c r="AL102" s="235">
        <v>1558.2460000000001</v>
      </c>
      <c r="AM102" s="230"/>
      <c r="AN102" s="231">
        <v>-102.53916559799997</v>
      </c>
      <c r="AO102" s="232">
        <v>-8770.7779999999984</v>
      </c>
      <c r="AP102" s="236">
        <v>-3.054880217173312</v>
      </c>
      <c r="AQ102" s="230"/>
      <c r="AR102" s="237">
        <v>279.122119</v>
      </c>
      <c r="AS102" s="237">
        <v>271.229806</v>
      </c>
      <c r="AT102" s="237">
        <v>271.344787</v>
      </c>
      <c r="AU102" s="230"/>
      <c r="AV102" s="234">
        <v>5.1729999999999996E-3</v>
      </c>
      <c r="AW102" s="234">
        <v>0.15570040334613133</v>
      </c>
      <c r="AX102" s="234">
        <v>2.9600000000000004E-4</v>
      </c>
      <c r="AY102" s="234">
        <v>0.53906986855455907</v>
      </c>
      <c r="AZ102" s="230"/>
      <c r="BA102" s="232">
        <v>849.51700000000005</v>
      </c>
      <c r="BB102" s="230"/>
      <c r="BC102" s="232" t="e">
        <v>#N/A</v>
      </c>
      <c r="BD102" s="232">
        <v>357.017</v>
      </c>
      <c r="BE102" s="230"/>
      <c r="BF102" s="238">
        <v>3.4336048000000003</v>
      </c>
      <c r="BG102" s="238">
        <v>13.270304100000006</v>
      </c>
      <c r="BH102" s="238">
        <v>4.9087356666666686</v>
      </c>
      <c r="BI102" s="230"/>
      <c r="BJ102" s="239">
        <v>0.86808593609887674</v>
      </c>
      <c r="BK102" s="240">
        <v>77.919998168945313</v>
      </c>
      <c r="BL102" s="230"/>
      <c r="BM102" s="241">
        <v>1.8926113719999997</v>
      </c>
      <c r="BN102" s="241">
        <v>4.6549956200000002</v>
      </c>
      <c r="BO102" s="241">
        <v>5.6742325719999993</v>
      </c>
      <c r="BP102" s="241">
        <v>3.6591687039999998</v>
      </c>
      <c r="BQ102" s="241">
        <v>5.4563391599999997</v>
      </c>
      <c r="BR102" s="241">
        <v>6.17</v>
      </c>
      <c r="BS102" s="241" t="e">
        <v>#N/A</v>
      </c>
      <c r="BT102" s="241" t="e">
        <v>#N/A</v>
      </c>
      <c r="BU102" s="241" t="e">
        <v>#N/A</v>
      </c>
      <c r="BV102" s="241" t="e">
        <v>#N/A</v>
      </c>
      <c r="BW102" s="230"/>
      <c r="BX102" s="232">
        <v>505.76560000000001</v>
      </c>
      <c r="BY102" s="232">
        <v>1240.2521999999999</v>
      </c>
      <c r="BZ102" s="232">
        <v>1518.5898</v>
      </c>
      <c r="CA102" s="232">
        <v>989.72670000000005</v>
      </c>
      <c r="CB102" s="232">
        <v>1448.0861</v>
      </c>
      <c r="CC102" s="232">
        <v>1683.8412000000001</v>
      </c>
      <c r="CD102" s="232" t="e">
        <v>#N/A</v>
      </c>
      <c r="CE102" s="232" t="e">
        <v>#N/A</v>
      </c>
      <c r="CF102" s="232" t="e">
        <v>#N/A</v>
      </c>
      <c r="CG102" s="232" t="e">
        <v>#N/A</v>
      </c>
      <c r="CH102" s="230"/>
      <c r="CI102" s="232">
        <v>1026.9359999999999</v>
      </c>
      <c r="CJ102" s="232">
        <v>1935.213</v>
      </c>
      <c r="CK102" s="232">
        <v>2339.9520000000002</v>
      </c>
      <c r="CL102" s="232">
        <v>1584.1569999999999</v>
      </c>
      <c r="CM102" s="232">
        <v>2380.0189999999998</v>
      </c>
      <c r="CN102" s="232">
        <v>2871.0709999999999</v>
      </c>
      <c r="CO102" s="232" t="e">
        <v>#N/A</v>
      </c>
      <c r="CP102" s="232" t="e">
        <v>#N/A</v>
      </c>
      <c r="CQ102" s="232" t="e">
        <v>#N/A</v>
      </c>
      <c r="CR102" s="232" t="e">
        <v>#N/A</v>
      </c>
      <c r="CS102" s="230"/>
      <c r="CT102" s="232">
        <v>3063.732</v>
      </c>
      <c r="CU102" s="232">
        <v>4268.143</v>
      </c>
      <c r="CV102" s="232">
        <v>5011.2929999999997</v>
      </c>
      <c r="CW102" s="232">
        <v>4476.3069999999998</v>
      </c>
      <c r="CX102" s="232">
        <v>6239.701</v>
      </c>
      <c r="CY102" s="232">
        <v>7493.22</v>
      </c>
      <c r="CZ102" s="232" t="e">
        <v>#N/A</v>
      </c>
      <c r="DA102" s="232" t="e">
        <v>#N/A</v>
      </c>
      <c r="DB102" s="232" t="e">
        <v>#N/A</v>
      </c>
      <c r="DC102" s="232" t="e">
        <v>#N/A</v>
      </c>
      <c r="DD102" s="230"/>
      <c r="DE102" s="232" t="e">
        <v>#N/A</v>
      </c>
      <c r="DF102" s="232" t="e">
        <v>#N/A</v>
      </c>
      <c r="DG102" s="232" t="e">
        <v>#N/A</v>
      </c>
      <c r="DH102" s="230"/>
      <c r="DI102" s="230"/>
      <c r="DJ102" s="172" t="s">
        <v>277</v>
      </c>
    </row>
    <row r="103" spans="1:114" x14ac:dyDescent="0.25">
      <c r="A103" s="244" t="s">
        <v>796</v>
      </c>
      <c r="B103" s="226" t="s">
        <v>834</v>
      </c>
      <c r="C103" s="227" t="s">
        <v>835</v>
      </c>
      <c r="D103" s="228" t="str">
        <f t="shared" si="1"/>
        <v>5PAISA IN Equity</v>
      </c>
      <c r="E103" s="229" t="s">
        <v>835</v>
      </c>
      <c r="F103" s="230"/>
      <c r="G103" s="231">
        <v>118.58491927493571</v>
      </c>
      <c r="H103" s="232">
        <v>10644.264937976197</v>
      </c>
      <c r="I103" s="230"/>
      <c r="J103" s="231">
        <v>-12.259700535064296</v>
      </c>
      <c r="K103" s="232">
        <v>-547.64506202380369</v>
      </c>
      <c r="L103" s="230"/>
      <c r="M103" s="233">
        <v>15.635613226573257</v>
      </c>
      <c r="N103" s="233" t="e">
        <v>#N/A</v>
      </c>
      <c r="O103" s="233" t="e">
        <v>#N/A</v>
      </c>
      <c r="P103" s="233" t="e">
        <v>#N/A</v>
      </c>
      <c r="Q103" s="230"/>
      <c r="R103" s="234">
        <v>1.7629829570008098</v>
      </c>
      <c r="S103" s="234">
        <v>1.7741100499617957</v>
      </c>
      <c r="T103" s="230"/>
      <c r="U103" s="234">
        <v>0.11933787366815679</v>
      </c>
      <c r="V103" s="234" t="e">
        <v>#N/A</v>
      </c>
      <c r="W103" s="234">
        <v>0.12005514227198828</v>
      </c>
      <c r="X103" s="234" t="e">
        <v>#N/A</v>
      </c>
      <c r="Y103" s="234">
        <v>8.1155497296184279E-2</v>
      </c>
      <c r="Z103" s="234">
        <v>0.10849448716694543</v>
      </c>
      <c r="AA103" s="234">
        <v>8.0625911787242946E-2</v>
      </c>
      <c r="AB103" s="234" t="e">
        <v>#N/A</v>
      </c>
      <c r="AC103" s="230"/>
      <c r="AD103" s="232">
        <v>-13366.07</v>
      </c>
      <c r="AE103" s="232" t="e">
        <v>#N/A</v>
      </c>
      <c r="AF103" s="232">
        <v>-21.03</v>
      </c>
      <c r="AG103" s="232">
        <v>-2248.87</v>
      </c>
      <c r="AH103" s="235" t="e">
        <v>#N/A</v>
      </c>
      <c r="AI103" s="230"/>
      <c r="AJ103" s="232">
        <v>2174.16</v>
      </c>
      <c r="AK103" s="232" t="e">
        <v>#N/A</v>
      </c>
      <c r="AL103" s="235">
        <v>2174.16</v>
      </c>
      <c r="AM103" s="230"/>
      <c r="AN103" s="231">
        <v>-130.84461981000001</v>
      </c>
      <c r="AO103" s="232">
        <v>-11191.91</v>
      </c>
      <c r="AP103" s="236">
        <v>-8.8147624830862625</v>
      </c>
      <c r="AQ103" s="230"/>
      <c r="AR103" s="237">
        <v>31.242338</v>
      </c>
      <c r="AS103" s="237">
        <v>31.236000000000001</v>
      </c>
      <c r="AT103" s="237">
        <v>31.236000000000001</v>
      </c>
      <c r="AU103" s="230"/>
      <c r="AV103" s="234">
        <v>3.2750000000000001E-3</v>
      </c>
      <c r="AW103" s="234">
        <v>0.62365293114389764</v>
      </c>
      <c r="AX103" s="234">
        <v>2.1679999999999998E-3</v>
      </c>
      <c r="AY103" s="234">
        <v>0.57952557839941432</v>
      </c>
      <c r="AZ103" s="230"/>
      <c r="BA103" s="232" t="e">
        <v>#N/A</v>
      </c>
      <c r="BB103" s="230"/>
      <c r="BC103" s="232" t="e">
        <v>#N/A</v>
      </c>
      <c r="BD103" s="232" t="e">
        <v>#N/A</v>
      </c>
      <c r="BE103" s="230"/>
      <c r="BF103" s="238">
        <v>4.6854E-2</v>
      </c>
      <c r="BG103" s="238">
        <v>4.9829300000000007E-2</v>
      </c>
      <c r="BH103" s="238">
        <v>0.59757846666666636</v>
      </c>
      <c r="BI103" s="230"/>
      <c r="BJ103" s="239">
        <v>3.7956480489691811</v>
      </c>
      <c r="BK103" s="240">
        <v>340.70001220703125</v>
      </c>
      <c r="BL103" s="230"/>
      <c r="BM103" s="241">
        <v>-3.39</v>
      </c>
      <c r="BN103" s="241">
        <v>5.73</v>
      </c>
      <c r="BO103" s="241">
        <v>4.68</v>
      </c>
      <c r="BP103" s="241">
        <v>14.33</v>
      </c>
      <c r="BQ103" s="241">
        <v>16.670000000000002</v>
      </c>
      <c r="BR103" s="241">
        <v>21.79</v>
      </c>
      <c r="BS103" s="241" t="e">
        <v>#N/A</v>
      </c>
      <c r="BT103" s="241" t="e">
        <v>#N/A</v>
      </c>
      <c r="BU103" s="241" t="e">
        <v>#N/A</v>
      </c>
      <c r="BV103" s="241" t="e">
        <v>#N/A</v>
      </c>
      <c r="BW103" s="230"/>
      <c r="BX103" s="232">
        <v>-78.959999999999994</v>
      </c>
      <c r="BY103" s="232">
        <v>146.9</v>
      </c>
      <c r="BZ103" s="232">
        <v>137.36000000000001</v>
      </c>
      <c r="CA103" s="232">
        <v>435.67</v>
      </c>
      <c r="CB103" s="232">
        <v>544.41</v>
      </c>
      <c r="CC103" s="232">
        <v>682.33100000000002</v>
      </c>
      <c r="CD103" s="232" t="e">
        <v>#N/A</v>
      </c>
      <c r="CE103" s="232" t="e">
        <v>#N/A</v>
      </c>
      <c r="CF103" s="232" t="e">
        <v>#N/A</v>
      </c>
      <c r="CG103" s="232" t="e">
        <v>#N/A</v>
      </c>
      <c r="CH103" s="230"/>
      <c r="CI103" s="232">
        <v>92.47999999999999</v>
      </c>
      <c r="CJ103" s="232">
        <v>427.92</v>
      </c>
      <c r="CK103" s="232">
        <v>443.85</v>
      </c>
      <c r="CL103" s="232">
        <v>860.1400000000001</v>
      </c>
      <c r="CM103" s="232">
        <v>1100.6199999999999</v>
      </c>
      <c r="CN103" s="232">
        <v>1269.6780000000001</v>
      </c>
      <c r="CO103" s="232" t="e">
        <v>#N/A</v>
      </c>
      <c r="CP103" s="232" t="e">
        <v>#N/A</v>
      </c>
      <c r="CQ103" s="232" t="e">
        <v>#N/A</v>
      </c>
      <c r="CR103" s="232" t="e">
        <v>#N/A</v>
      </c>
      <c r="CS103" s="230"/>
      <c r="CT103" s="232">
        <v>1082.2</v>
      </c>
      <c r="CU103" s="232">
        <v>1929.15</v>
      </c>
      <c r="CV103" s="232">
        <v>2969.64</v>
      </c>
      <c r="CW103" s="232">
        <v>3377.81</v>
      </c>
      <c r="CX103" s="232">
        <v>3945.71</v>
      </c>
      <c r="CY103" s="232">
        <v>3595.701</v>
      </c>
      <c r="CZ103" s="232" t="e">
        <v>#N/A</v>
      </c>
      <c r="DA103" s="232" t="e">
        <v>#N/A</v>
      </c>
      <c r="DB103" s="232" t="e">
        <v>#N/A</v>
      </c>
      <c r="DC103" s="232" t="e">
        <v>#N/A</v>
      </c>
      <c r="DD103" s="230"/>
      <c r="DE103" s="232" t="e">
        <v>#N/A</v>
      </c>
      <c r="DF103" s="232" t="e">
        <v>#N/A</v>
      </c>
      <c r="DG103" s="232" t="e">
        <v>#N/A</v>
      </c>
      <c r="DH103" s="230"/>
      <c r="DI103" s="230"/>
      <c r="DJ103" s="172" t="s">
        <v>277</v>
      </c>
    </row>
    <row r="104" spans="1:114" x14ac:dyDescent="0.25">
      <c r="A104" s="244" t="s">
        <v>796</v>
      </c>
      <c r="B104" s="226" t="s">
        <v>836</v>
      </c>
      <c r="C104" s="227" t="s">
        <v>837</v>
      </c>
      <c r="D104" s="228" t="str">
        <f t="shared" si="1"/>
        <v>IIFLCAPS IN Equity</v>
      </c>
      <c r="E104" s="229" t="s">
        <v>837</v>
      </c>
      <c r="F104" s="230"/>
      <c r="G104" s="231">
        <v>1154.4894573805207</v>
      </c>
      <c r="H104" s="232">
        <v>103627.77769378637</v>
      </c>
      <c r="I104" s="230"/>
      <c r="J104" s="231">
        <v>795.55553195052062</v>
      </c>
      <c r="K104" s="232">
        <v>72926.047693786357</v>
      </c>
      <c r="L104" s="230"/>
      <c r="M104" s="233">
        <v>15.925920183671249</v>
      </c>
      <c r="N104" s="233" t="e">
        <v>#N/A</v>
      </c>
      <c r="O104" s="233">
        <v>7.3140935763058241</v>
      </c>
      <c r="P104" s="233" t="e">
        <v>#N/A</v>
      </c>
      <c r="Q104" s="230"/>
      <c r="R104" s="234">
        <v>4.1210693322260834</v>
      </c>
      <c r="S104" s="234">
        <v>4.1314026669385111</v>
      </c>
      <c r="T104" s="230"/>
      <c r="U104" s="234">
        <v>0.31728150261176752</v>
      </c>
      <c r="V104" s="234" t="e">
        <v>#N/A</v>
      </c>
      <c r="W104" s="234">
        <v>0.33268439285301471</v>
      </c>
      <c r="X104" s="234" t="e">
        <v>#N/A</v>
      </c>
      <c r="Y104" s="234">
        <v>0.22947931197563259</v>
      </c>
      <c r="Z104" s="234">
        <v>0.29762959247110199</v>
      </c>
      <c r="AA104" s="234">
        <v>0.2157821415717476</v>
      </c>
      <c r="AB104" s="234" t="e">
        <v>#N/A</v>
      </c>
      <c r="AC104" s="230"/>
      <c r="AD104" s="232">
        <v>-40101.67</v>
      </c>
      <c r="AE104" s="232" t="e">
        <v>#N/A</v>
      </c>
      <c r="AF104" s="232">
        <v>-4859</v>
      </c>
      <c r="AG104" s="232">
        <v>-10074.31</v>
      </c>
      <c r="AH104" s="235" t="e">
        <v>#N/A</v>
      </c>
      <c r="AI104" s="230"/>
      <c r="AJ104" s="232">
        <v>9372.26</v>
      </c>
      <c r="AK104" s="232" t="e">
        <v>#N/A</v>
      </c>
      <c r="AL104" s="235">
        <v>9372.26</v>
      </c>
      <c r="AM104" s="230"/>
      <c r="AN104" s="231">
        <v>-359.25753230999993</v>
      </c>
      <c r="AO104" s="232">
        <v>-30729.409999999996</v>
      </c>
      <c r="AP104" s="236">
        <v>-3.081995903965852</v>
      </c>
      <c r="AQ104" s="230"/>
      <c r="AR104" s="237">
        <v>310.86778399999997</v>
      </c>
      <c r="AS104" s="237">
        <v>308.93888099999998</v>
      </c>
      <c r="AT104" s="237">
        <v>325.34339199999999</v>
      </c>
      <c r="AU104" s="230"/>
      <c r="AV104" s="234">
        <v>3.0980000000000001E-3</v>
      </c>
      <c r="AW104" s="234">
        <v>0.40426304266897289</v>
      </c>
      <c r="AX104" s="234">
        <v>1.6930000000000001E-3</v>
      </c>
      <c r="AY104" s="234">
        <v>0.39426413513469766</v>
      </c>
      <c r="AZ104" s="230"/>
      <c r="BA104" s="232">
        <v>27.68</v>
      </c>
      <c r="BB104" s="230"/>
      <c r="BC104" s="232" t="e">
        <v>#N/A</v>
      </c>
      <c r="BD104" s="232">
        <v>929.5</v>
      </c>
      <c r="BE104" s="230"/>
      <c r="BF104" s="238">
        <v>0.82217380000000051</v>
      </c>
      <c r="BG104" s="238">
        <v>0.56331490000000006</v>
      </c>
      <c r="BH104" s="238">
        <v>0.74026279999999944</v>
      </c>
      <c r="BI104" s="230"/>
      <c r="BJ104" s="239">
        <v>3.7137635895410788</v>
      </c>
      <c r="BK104" s="240">
        <v>333.35000610351563</v>
      </c>
      <c r="BL104" s="230"/>
      <c r="BM104" s="241">
        <v>5.0851819999999996</v>
      </c>
      <c r="BN104" s="241">
        <v>6.91</v>
      </c>
      <c r="BO104" s="241">
        <v>9.94</v>
      </c>
      <c r="BP104" s="241">
        <v>8.16</v>
      </c>
      <c r="BQ104" s="241">
        <v>16.399999999999999</v>
      </c>
      <c r="BR104" s="241">
        <v>21.89</v>
      </c>
      <c r="BS104" s="241" t="e">
        <v>#N/A</v>
      </c>
      <c r="BT104" s="241" t="e">
        <v>#N/A</v>
      </c>
      <c r="BU104" s="241" t="e">
        <v>#N/A</v>
      </c>
      <c r="BV104" s="241" t="e">
        <v>#N/A</v>
      </c>
      <c r="BW104" s="230"/>
      <c r="BX104" s="232">
        <v>1627.7270000000001</v>
      </c>
      <c r="BY104" s="232">
        <v>2203.35</v>
      </c>
      <c r="BZ104" s="232">
        <v>3060.57</v>
      </c>
      <c r="CA104" s="232">
        <v>2501.5700000000002</v>
      </c>
      <c r="CB104" s="232">
        <v>5123.4399999999996</v>
      </c>
      <c r="CC104" s="232">
        <v>6811.4691000000003</v>
      </c>
      <c r="CD104" s="232" t="e">
        <v>#N/A</v>
      </c>
      <c r="CE104" s="232" t="e">
        <v>#N/A</v>
      </c>
      <c r="CF104" s="232" t="e">
        <v>#N/A</v>
      </c>
      <c r="CG104" s="232" t="e">
        <v>#N/A</v>
      </c>
      <c r="CH104" s="230"/>
      <c r="CI104" s="232">
        <v>2911.49</v>
      </c>
      <c r="CJ104" s="232">
        <v>3033.0299999999997</v>
      </c>
      <c r="CK104" s="232">
        <v>4828.6299999999992</v>
      </c>
      <c r="CL104" s="232">
        <v>4649.5999999999995</v>
      </c>
      <c r="CM104" s="232">
        <v>8743.9699999999993</v>
      </c>
      <c r="CN104" s="232">
        <v>9970.619999999999</v>
      </c>
      <c r="CO104" s="232" t="e">
        <v>#N/A</v>
      </c>
      <c r="CP104" s="232" t="e">
        <v>#N/A</v>
      </c>
      <c r="CQ104" s="232" t="e">
        <v>#N/A</v>
      </c>
      <c r="CR104" s="232" t="e">
        <v>#N/A</v>
      </c>
      <c r="CS104" s="230"/>
      <c r="CT104" s="232">
        <v>7239.06</v>
      </c>
      <c r="CU104" s="232">
        <v>7908.51</v>
      </c>
      <c r="CV104" s="232">
        <v>12323.27</v>
      </c>
      <c r="CW104" s="232">
        <v>13520.81</v>
      </c>
      <c r="CX104" s="232">
        <v>21612.78</v>
      </c>
      <c r="CY104" s="232">
        <v>24050.2</v>
      </c>
      <c r="CZ104" s="232" t="e">
        <v>#N/A</v>
      </c>
      <c r="DA104" s="232" t="e">
        <v>#N/A</v>
      </c>
      <c r="DB104" s="232" t="e">
        <v>#N/A</v>
      </c>
      <c r="DC104" s="232" t="e">
        <v>#N/A</v>
      </c>
      <c r="DD104" s="230"/>
      <c r="DE104" s="232" t="e">
        <v>#N/A</v>
      </c>
      <c r="DF104" s="232" t="e">
        <v>#N/A</v>
      </c>
      <c r="DG104" s="232" t="e">
        <v>#N/A</v>
      </c>
      <c r="DH104" s="230"/>
      <c r="DI104" s="230"/>
      <c r="DJ104" s="172" t="s">
        <v>277</v>
      </c>
    </row>
    <row r="105" spans="1:114" x14ac:dyDescent="0.25">
      <c r="A105" s="244" t="s">
        <v>796</v>
      </c>
      <c r="B105" s="226" t="s">
        <v>838</v>
      </c>
      <c r="C105" s="227" t="s">
        <v>839</v>
      </c>
      <c r="D105" s="228" t="str">
        <f t="shared" si="1"/>
        <v>SISLTD IN Equity</v>
      </c>
      <c r="E105" s="229" t="s">
        <v>840</v>
      </c>
      <c r="F105" s="230"/>
      <c r="G105" s="231">
        <v>418.29092619901689</v>
      </c>
      <c r="H105" s="232">
        <v>37546.084838081515</v>
      </c>
      <c r="I105" s="230"/>
      <c r="J105" s="231">
        <v>188.96817331501691</v>
      </c>
      <c r="K105" s="232">
        <v>17930.760838081515</v>
      </c>
      <c r="L105" s="230"/>
      <c r="M105" s="233">
        <v>1.142858342577098</v>
      </c>
      <c r="N105" s="233" t="e">
        <v>#N/A</v>
      </c>
      <c r="O105" s="233">
        <v>3.4688629727806446</v>
      </c>
      <c r="P105" s="233" t="e">
        <v>#N/A</v>
      </c>
      <c r="Q105" s="230"/>
      <c r="R105" s="234">
        <v>0.16041909094807949</v>
      </c>
      <c r="S105" s="234">
        <v>0.16074100363227148</v>
      </c>
      <c r="T105" s="230"/>
      <c r="U105" s="234">
        <v>0.1605660146734017</v>
      </c>
      <c r="V105" s="234" t="e">
        <v>#N/A</v>
      </c>
      <c r="W105" s="234">
        <v>0.16091415606976858</v>
      </c>
      <c r="X105" s="234" t="e">
        <v>#N/A</v>
      </c>
      <c r="Y105" s="234">
        <v>0.15197328006262636</v>
      </c>
      <c r="Z105" s="234">
        <v>0.19945347133340013</v>
      </c>
      <c r="AA105" s="234">
        <v>0.13439301137397411</v>
      </c>
      <c r="AB105" s="234">
        <v>0.1313438509827061</v>
      </c>
      <c r="AC105" s="230"/>
      <c r="AD105" s="232">
        <v>-24597.567999999999</v>
      </c>
      <c r="AE105" s="232" t="e">
        <v>#N/A</v>
      </c>
      <c r="AF105" s="232">
        <v>-3545.1019999999999</v>
      </c>
      <c r="AG105" s="232">
        <v>-5289.4610000000002</v>
      </c>
      <c r="AH105" s="235" t="e">
        <v>#N/A</v>
      </c>
      <c r="AI105" s="230"/>
      <c r="AJ105" s="232">
        <v>4833.1859999999997</v>
      </c>
      <c r="AK105" s="232">
        <v>0</v>
      </c>
      <c r="AL105" s="235">
        <v>4833.1859999999997</v>
      </c>
      <c r="AM105" s="230"/>
      <c r="AN105" s="231">
        <v>-231.06538996199995</v>
      </c>
      <c r="AO105" s="232">
        <v>-19764.381999999998</v>
      </c>
      <c r="AP105" s="236">
        <v>-3.8235930710806221</v>
      </c>
      <c r="AQ105" s="230"/>
      <c r="AR105" s="237">
        <v>218.82552999999999</v>
      </c>
      <c r="AS105" s="237">
        <v>21.821999999999999</v>
      </c>
      <c r="AT105" s="237">
        <v>21.821999999999999</v>
      </c>
      <c r="AU105" s="230"/>
      <c r="AV105" s="234">
        <v>4.8609999999999999E-3</v>
      </c>
      <c r="AW105" s="234">
        <v>0.17277944531391842</v>
      </c>
      <c r="AX105" s="234">
        <v>7.2000000000000002E-5</v>
      </c>
      <c r="AY105" s="234">
        <v>0.4412310940135733</v>
      </c>
      <c r="AZ105" s="230"/>
      <c r="BA105" s="232">
        <v>149.05799999999999</v>
      </c>
      <c r="BB105" s="230"/>
      <c r="BC105" s="232" t="e">
        <v>#N/A</v>
      </c>
      <c r="BD105" s="232">
        <v>276.21199999999999</v>
      </c>
      <c r="BE105" s="230"/>
      <c r="BF105" s="238">
        <v>0.30624900000000005</v>
      </c>
      <c r="BG105" s="238">
        <v>0.70957939999999975</v>
      </c>
      <c r="BH105" s="238">
        <v>0.50823456666666689</v>
      </c>
      <c r="BI105" s="230"/>
      <c r="BJ105" s="239">
        <v>1.9115270791256251</v>
      </c>
      <c r="BK105" s="240">
        <v>171.58000183105469</v>
      </c>
      <c r="BL105" s="230"/>
      <c r="BM105" s="241">
        <v>2.5074000000000001</v>
      </c>
      <c r="BN105" s="241">
        <v>5.0617999999999999</v>
      </c>
      <c r="BO105" s="241">
        <v>12.6518</v>
      </c>
      <c r="BP105" s="241">
        <v>20.125800000000002</v>
      </c>
      <c r="BQ105" s="241">
        <v>21.834</v>
      </c>
      <c r="BR105" s="241">
        <v>14.9</v>
      </c>
      <c r="BS105" s="241" t="e">
        <v>#N/A</v>
      </c>
      <c r="BT105" s="241" t="e">
        <v>#N/A</v>
      </c>
      <c r="BU105" s="241" t="e">
        <v>#N/A</v>
      </c>
      <c r="BV105" s="241" t="e">
        <v>#N/A</v>
      </c>
      <c r="BW105" s="230"/>
      <c r="BX105" s="232">
        <v>400.01790799999998</v>
      </c>
      <c r="BY105" s="232">
        <v>806.9079999999999</v>
      </c>
      <c r="BZ105" s="232">
        <v>2011.63</v>
      </c>
      <c r="CA105" s="232">
        <v>3288.317</v>
      </c>
      <c r="CB105" s="232">
        <v>4254.1890000000003</v>
      </c>
      <c r="CC105" s="232">
        <v>3276.1880000000001</v>
      </c>
      <c r="CD105" s="232" t="e">
        <v>#N/A</v>
      </c>
      <c r="CE105" s="232" t="e">
        <v>#N/A</v>
      </c>
      <c r="CF105" s="232" t="e">
        <v>#N/A</v>
      </c>
      <c r="CG105" s="232" t="e">
        <v>#N/A</v>
      </c>
      <c r="CH105" s="230"/>
      <c r="CI105" s="232">
        <v>536.54873299999997</v>
      </c>
      <c r="CJ105" s="232">
        <v>1269.7059999999999</v>
      </c>
      <c r="CK105" s="232">
        <v>2988.0640000000003</v>
      </c>
      <c r="CL105" s="232">
        <v>4926.3779999999997</v>
      </c>
      <c r="CM105" s="232">
        <v>6567.9990000000007</v>
      </c>
      <c r="CN105" s="232">
        <v>5169.0599999999995</v>
      </c>
      <c r="CO105" s="232" t="e">
        <v>#N/A</v>
      </c>
      <c r="CP105" s="232" t="e">
        <v>#N/A</v>
      </c>
      <c r="CQ105" s="232" t="e">
        <v>#N/A</v>
      </c>
      <c r="CR105" s="232" t="e">
        <v>#N/A</v>
      </c>
      <c r="CS105" s="230"/>
      <c r="CT105" s="232">
        <v>2600.0139439999998</v>
      </c>
      <c r="CU105" s="232">
        <v>4620.9189999999999</v>
      </c>
      <c r="CV105" s="232">
        <v>8379.5789999999997</v>
      </c>
      <c r="CW105" s="232">
        <v>10892.647999999999</v>
      </c>
      <c r="CX105" s="232">
        <v>14828.145</v>
      </c>
      <c r="CY105" s="232">
        <v>14485.683999999999</v>
      </c>
      <c r="CZ105" s="232" t="e">
        <v>#N/A</v>
      </c>
      <c r="DA105" s="232" t="e">
        <v>#N/A</v>
      </c>
      <c r="DB105" s="232" t="e">
        <v>#N/A</v>
      </c>
      <c r="DC105" s="232" t="e">
        <v>#N/A</v>
      </c>
      <c r="DD105" s="230"/>
      <c r="DE105" s="232" t="e">
        <v>#N/A</v>
      </c>
      <c r="DF105" s="232" t="e">
        <v>#N/A</v>
      </c>
      <c r="DG105" s="232" t="e">
        <v>#N/A</v>
      </c>
      <c r="DH105" s="230"/>
      <c r="DI105" s="230"/>
      <c r="DJ105" s="172" t="s">
        <v>277</v>
      </c>
    </row>
    <row r="106" spans="1:114" x14ac:dyDescent="0.25">
      <c r="A106" s="244" t="s">
        <v>796</v>
      </c>
      <c r="B106" s="226" t="s">
        <v>841</v>
      </c>
      <c r="C106" s="227" t="s">
        <v>842</v>
      </c>
      <c r="D106" s="228" t="str">
        <f t="shared" si="1"/>
        <v>MNCL IN Equity</v>
      </c>
      <c r="E106" s="229" t="s">
        <v>843</v>
      </c>
      <c r="F106" s="230"/>
      <c r="G106" s="231">
        <v>271.29061354085985</v>
      </c>
      <c r="H106" s="232">
        <v>24351.234401231079</v>
      </c>
      <c r="I106" s="230"/>
      <c r="J106" s="231">
        <v>197.64211854185987</v>
      </c>
      <c r="K106" s="232">
        <v>18051.645401231079</v>
      </c>
      <c r="L106" s="230"/>
      <c r="M106" s="233">
        <v>16.147817080512176</v>
      </c>
      <c r="N106" s="233" t="e">
        <v>#N/A</v>
      </c>
      <c r="O106" s="233">
        <v>8.3277837064491234</v>
      </c>
      <c r="P106" s="233" t="e">
        <v>#N/A</v>
      </c>
      <c r="Q106" s="230"/>
      <c r="R106" s="234">
        <v>3.0250358263984443</v>
      </c>
      <c r="S106" s="234">
        <v>3.0250358263984443</v>
      </c>
      <c r="T106" s="230"/>
      <c r="U106" s="234">
        <v>0.26125039325564919</v>
      </c>
      <c r="V106" s="234" t="e">
        <v>#N/A</v>
      </c>
      <c r="W106" s="234">
        <v>0.2612554002310003</v>
      </c>
      <c r="X106" s="234" t="e">
        <v>#N/A</v>
      </c>
      <c r="Y106" s="234">
        <v>0.23634803190145628</v>
      </c>
      <c r="Z106" s="234">
        <v>0.30508428958142469</v>
      </c>
      <c r="AA106" s="234">
        <v>0.18562711986081312</v>
      </c>
      <c r="AB106" s="234" t="e">
        <v>#N/A</v>
      </c>
      <c r="AC106" s="230"/>
      <c r="AD106" s="232">
        <v>-6322.1059999999998</v>
      </c>
      <c r="AE106" s="232" t="e">
        <v>#N/A</v>
      </c>
      <c r="AF106" s="232">
        <v>0</v>
      </c>
      <c r="AG106" s="232">
        <v>-4688.2610000000004</v>
      </c>
      <c r="AH106" s="235" t="e">
        <v>#N/A</v>
      </c>
      <c r="AI106" s="230"/>
      <c r="AJ106" s="232">
        <v>22.516999999999999</v>
      </c>
      <c r="AK106" s="232" t="e">
        <v>#N/A</v>
      </c>
      <c r="AL106" s="235">
        <v>22.516999999999999</v>
      </c>
      <c r="AM106" s="230"/>
      <c r="AN106" s="231">
        <v>-73.648494998999993</v>
      </c>
      <c r="AO106" s="232">
        <v>-6299.5889999999999</v>
      </c>
      <c r="AP106" s="236">
        <v>-2.9061957215239982</v>
      </c>
      <c r="AQ106" s="230"/>
      <c r="AR106" s="237">
        <v>79.268338</v>
      </c>
      <c r="AS106" s="237">
        <v>78.460937999999999</v>
      </c>
      <c r="AT106" s="237">
        <v>78.460937999999999</v>
      </c>
      <c r="AU106" s="230"/>
      <c r="AV106" s="234">
        <v>5.2859999999999999E-3</v>
      </c>
      <c r="AW106" s="234">
        <v>0.20337437326716659</v>
      </c>
      <c r="AX106" s="234">
        <v>1.7799999999999999E-4</v>
      </c>
      <c r="AY106" s="234">
        <v>0.32915608751630443</v>
      </c>
      <c r="AZ106" s="230"/>
      <c r="BA106" s="232">
        <v>0</v>
      </c>
      <c r="BB106" s="230"/>
      <c r="BC106" s="232" t="e">
        <v>#N/A</v>
      </c>
      <c r="BD106" s="232">
        <v>33.869999999999997</v>
      </c>
      <c r="BE106" s="230"/>
      <c r="BF106" s="238">
        <v>5.7323599999999961E-2</v>
      </c>
      <c r="BG106" s="238">
        <v>6.0925200000000027E-2</v>
      </c>
      <c r="BH106" s="238">
        <v>0.10063549999999993</v>
      </c>
      <c r="BI106" s="230"/>
      <c r="BJ106" s="239">
        <v>3.4224334757827251</v>
      </c>
      <c r="BK106" s="240">
        <v>307.20001220703125</v>
      </c>
      <c r="BL106" s="230"/>
      <c r="BM106" s="241">
        <v>0.36249999999999999</v>
      </c>
      <c r="BN106" s="241">
        <v>4.1449999999999996</v>
      </c>
      <c r="BO106" s="241">
        <v>9.3149999999999995</v>
      </c>
      <c r="BP106" s="241">
        <v>6.3440000000000003</v>
      </c>
      <c r="BQ106" s="241">
        <v>18.18</v>
      </c>
      <c r="BR106" s="241">
        <v>19.024243999999999</v>
      </c>
      <c r="BS106" s="241" t="e">
        <v>#N/A</v>
      </c>
      <c r="BT106" s="241" t="e">
        <v>#N/A</v>
      </c>
      <c r="BU106" s="241" t="e">
        <v>#N/A</v>
      </c>
      <c r="BV106" s="241" t="e">
        <v>#N/A</v>
      </c>
      <c r="BW106" s="230"/>
      <c r="BX106" s="232">
        <v>22.503885</v>
      </c>
      <c r="BY106" s="232">
        <v>243.45523700000001</v>
      </c>
      <c r="BZ106" s="232">
        <v>540.50699999999995</v>
      </c>
      <c r="CA106" s="232">
        <v>429.72500000000002</v>
      </c>
      <c r="CB106" s="232">
        <v>1231.8225</v>
      </c>
      <c r="CC106" s="232">
        <v>1492.66</v>
      </c>
      <c r="CD106" s="232" t="e">
        <v>#N/A</v>
      </c>
      <c r="CE106" s="232" t="e">
        <v>#N/A</v>
      </c>
      <c r="CF106" s="232" t="e">
        <v>#N/A</v>
      </c>
      <c r="CG106" s="232" t="e">
        <v>#N/A</v>
      </c>
      <c r="CH106" s="230"/>
      <c r="CI106" s="232">
        <v>219.08378300000001</v>
      </c>
      <c r="CJ106" s="232">
        <v>381.40921399999996</v>
      </c>
      <c r="CK106" s="232">
        <v>874.36899999999991</v>
      </c>
      <c r="CL106" s="232">
        <v>647.59199999999998</v>
      </c>
      <c r="CM106" s="232">
        <v>1595.5169999999998</v>
      </c>
      <c r="CN106" s="232">
        <v>2167.6409999999996</v>
      </c>
      <c r="CO106" s="232" t="e">
        <v>#N/A</v>
      </c>
      <c r="CP106" s="232" t="e">
        <v>#N/A</v>
      </c>
      <c r="CQ106" s="232" t="e">
        <v>#N/A</v>
      </c>
      <c r="CR106" s="232" t="e">
        <v>#N/A</v>
      </c>
      <c r="CS106" s="230"/>
      <c r="CT106" s="232">
        <v>704.3904</v>
      </c>
      <c r="CU106" s="232">
        <v>1030.876892</v>
      </c>
      <c r="CV106" s="232">
        <v>1545.6130000000001</v>
      </c>
      <c r="CW106" s="232">
        <v>1620.1130000000001</v>
      </c>
      <c r="CX106" s="232">
        <v>2596.444</v>
      </c>
      <c r="CY106" s="232">
        <v>3268.049</v>
      </c>
      <c r="CZ106" s="232" t="e">
        <v>#N/A</v>
      </c>
      <c r="DA106" s="232" t="e">
        <v>#N/A</v>
      </c>
      <c r="DB106" s="232" t="e">
        <v>#N/A</v>
      </c>
      <c r="DC106" s="232" t="e">
        <v>#N/A</v>
      </c>
      <c r="DD106" s="230"/>
      <c r="DE106" s="232" t="e">
        <v>#N/A</v>
      </c>
      <c r="DF106" s="232" t="e">
        <v>#N/A</v>
      </c>
      <c r="DG106" s="232" t="e">
        <v>#N/A</v>
      </c>
      <c r="DH106" s="230"/>
      <c r="DI106" s="230"/>
      <c r="DJ106" s="172" t="s">
        <v>277</v>
      </c>
    </row>
    <row r="107" spans="1:114" x14ac:dyDescent="0.25">
      <c r="A107" s="244" t="s">
        <v>796</v>
      </c>
      <c r="B107" s="226" t="s">
        <v>844</v>
      </c>
      <c r="C107" s="227" t="s">
        <v>845</v>
      </c>
      <c r="D107" s="228" t="str">
        <f t="shared" si="1"/>
        <v>CFIS IN Equity</v>
      </c>
      <c r="E107" s="229" t="s">
        <v>846</v>
      </c>
      <c r="F107" s="230"/>
      <c r="G107" s="231">
        <v>1866.0296898573192</v>
      </c>
      <c r="H107" s="232">
        <v>167496.12448544314</v>
      </c>
      <c r="I107" s="230"/>
      <c r="J107" s="231">
        <v>1871.9470778163193</v>
      </c>
      <c r="K107" s="232">
        <v>168002.27348544315</v>
      </c>
      <c r="L107" s="230"/>
      <c r="M107" s="233">
        <v>101.94331431197135</v>
      </c>
      <c r="N107" s="233" t="e">
        <v>#N/A</v>
      </c>
      <c r="O107" s="233">
        <v>59.032074533114667</v>
      </c>
      <c r="P107" s="233" t="e">
        <v>#N/A</v>
      </c>
      <c r="Q107" s="230"/>
      <c r="R107" s="234">
        <v>15.826742102339253</v>
      </c>
      <c r="S107" s="234">
        <v>17.593015178473379</v>
      </c>
      <c r="T107" s="230"/>
      <c r="U107" s="234">
        <v>0.19615726440658121</v>
      </c>
      <c r="V107" s="234" t="e">
        <v>#N/A</v>
      </c>
      <c r="W107" s="234">
        <v>0.2130744492184671</v>
      </c>
      <c r="X107" s="234" t="e">
        <v>#N/A</v>
      </c>
      <c r="Y107" s="234">
        <v>0.114435236278779</v>
      </c>
      <c r="Z107" s="234">
        <v>0.15756208470927352</v>
      </c>
      <c r="AA107" s="234">
        <v>9.342627219887463E-2</v>
      </c>
      <c r="AB107" s="234">
        <v>0.12214241508518159</v>
      </c>
      <c r="AC107" s="230"/>
      <c r="AD107" s="232">
        <v>-4905.9889999999996</v>
      </c>
      <c r="AE107" s="232" t="e">
        <v>#N/A</v>
      </c>
      <c r="AF107" s="232">
        <v>-276.11900000000003</v>
      </c>
      <c r="AG107" s="232">
        <v>-7621.7889999999998</v>
      </c>
      <c r="AH107" s="235" t="e">
        <v>#N/A</v>
      </c>
      <c r="AI107" s="230"/>
      <c r="AJ107" s="232">
        <v>1690.7170000000001</v>
      </c>
      <c r="AK107" s="232">
        <v>2938.585</v>
      </c>
      <c r="AL107" s="235">
        <v>4629.3019999999997</v>
      </c>
      <c r="AM107" s="230"/>
      <c r="AN107" s="231">
        <v>-3.234747716999999</v>
      </c>
      <c r="AO107" s="232">
        <v>-276.6869999999999</v>
      </c>
      <c r="AP107" s="236">
        <v>-9.7221348660850873E-2</v>
      </c>
      <c r="AQ107" s="230"/>
      <c r="AR107" s="237">
        <v>205.65550000000002</v>
      </c>
      <c r="AS107" s="237">
        <v>199.42599999999999</v>
      </c>
      <c r="AT107" s="237">
        <v>203.61799999999999</v>
      </c>
      <c r="AU107" s="230"/>
      <c r="AV107" s="234">
        <v>5.365E-3</v>
      </c>
      <c r="AW107" s="234">
        <v>0.61588541943212793</v>
      </c>
      <c r="AX107" s="234">
        <v>1.214E-3</v>
      </c>
      <c r="AY107" s="234">
        <v>0.30823374526817904</v>
      </c>
      <c r="AZ107" s="230"/>
      <c r="BA107" s="232">
        <v>782.83600000000001</v>
      </c>
      <c r="BB107" s="230"/>
      <c r="BC107" s="232" t="e">
        <v>#N/A</v>
      </c>
      <c r="BD107" s="232">
        <v>0</v>
      </c>
      <c r="BE107" s="230"/>
      <c r="BF107" s="238">
        <v>0.4566518</v>
      </c>
      <c r="BG107" s="238">
        <v>0.70960449999999964</v>
      </c>
      <c r="BH107" s="238">
        <v>0.62560509999999936</v>
      </c>
      <c r="BI107" s="230"/>
      <c r="BJ107" s="239">
        <v>9.073570557837348</v>
      </c>
      <c r="BK107" s="240">
        <v>814.45001220703125</v>
      </c>
      <c r="BL107" s="230"/>
      <c r="BM107" s="241">
        <v>1.3005995210000001</v>
      </c>
      <c r="BN107" s="241">
        <v>1.2246230765000001</v>
      </c>
      <c r="BO107" s="241">
        <v>2.6932499999999999</v>
      </c>
      <c r="BP107" s="241">
        <v>3.0179999999999998</v>
      </c>
      <c r="BQ107" s="241">
        <v>6.52</v>
      </c>
      <c r="BR107" s="241">
        <v>7.99</v>
      </c>
      <c r="BS107" s="241" t="e">
        <v>#N/A</v>
      </c>
      <c r="BT107" s="241" t="e">
        <v>#N/A</v>
      </c>
      <c r="BU107" s="241" t="e">
        <v>#N/A</v>
      </c>
      <c r="BV107" s="241" t="e">
        <v>#N/A</v>
      </c>
      <c r="BW107" s="230"/>
      <c r="BX107" s="232">
        <v>124.31100000000001</v>
      </c>
      <c r="BY107" s="232">
        <v>167.3877</v>
      </c>
      <c r="BZ107" s="232">
        <v>535.76199999999994</v>
      </c>
      <c r="CA107" s="232">
        <v>600.67899999999997</v>
      </c>
      <c r="CB107" s="232">
        <v>1308.588</v>
      </c>
      <c r="CC107" s="232">
        <v>1626.982</v>
      </c>
      <c r="CD107" s="232" t="e">
        <v>#N/A</v>
      </c>
      <c r="CE107" s="232" t="e">
        <v>#N/A</v>
      </c>
      <c r="CF107" s="232" t="e">
        <v>#N/A</v>
      </c>
      <c r="CG107" s="232" t="e">
        <v>#N/A</v>
      </c>
      <c r="CH107" s="230"/>
      <c r="CI107" s="232">
        <v>389.56700000000001</v>
      </c>
      <c r="CJ107" s="232">
        <v>342.88099999999997</v>
      </c>
      <c r="CK107" s="232">
        <v>783.577</v>
      </c>
      <c r="CL107" s="232">
        <v>1026.894</v>
      </c>
      <c r="CM107" s="232">
        <v>2192.4520000000002</v>
      </c>
      <c r="CN107" s="232">
        <v>2845.9490000000001</v>
      </c>
      <c r="CO107" s="232">
        <v>4073</v>
      </c>
      <c r="CP107" s="232">
        <v>5340</v>
      </c>
      <c r="CQ107" s="232" t="e">
        <v>#N/A</v>
      </c>
      <c r="CR107" s="232" t="e">
        <v>#N/A</v>
      </c>
      <c r="CS107" s="230"/>
      <c r="CT107" s="232">
        <v>1323.5609999999999</v>
      </c>
      <c r="CU107" s="232">
        <v>3374.87</v>
      </c>
      <c r="CV107" s="232">
        <v>2718.18</v>
      </c>
      <c r="CW107" s="232">
        <v>3891.9259999999999</v>
      </c>
      <c r="CX107" s="232">
        <v>7508.11</v>
      </c>
      <c r="CY107" s="232">
        <v>9103.8209999999999</v>
      </c>
      <c r="CZ107" s="232" t="e">
        <v>#N/A</v>
      </c>
      <c r="DA107" s="232" t="e">
        <v>#N/A</v>
      </c>
      <c r="DB107" s="232" t="e">
        <v>#N/A</v>
      </c>
      <c r="DC107" s="232" t="e">
        <v>#N/A</v>
      </c>
      <c r="DD107" s="230"/>
      <c r="DE107" s="232" t="e">
        <v>#N/A</v>
      </c>
      <c r="DF107" s="232" t="e">
        <v>#N/A</v>
      </c>
      <c r="DG107" s="232" t="e">
        <v>#N/A</v>
      </c>
      <c r="DH107" s="230"/>
      <c r="DI107" s="230"/>
      <c r="DJ107" s="172" t="s">
        <v>277</v>
      </c>
    </row>
    <row r="108" spans="1:114" x14ac:dyDescent="0.25">
      <c r="A108" s="244" t="s">
        <v>796</v>
      </c>
      <c r="B108" s="226" t="s">
        <v>847</v>
      </c>
      <c r="C108" s="227" t="s">
        <v>848</v>
      </c>
      <c r="D108" s="228" t="str">
        <f t="shared" si="1"/>
        <v>ACM IN Equity</v>
      </c>
      <c r="E108" s="229" t="s">
        <v>849</v>
      </c>
      <c r="F108" s="230"/>
      <c r="G108" s="231">
        <v>107.74708115508274</v>
      </c>
      <c r="H108" s="232">
        <v>9671.4530407470702</v>
      </c>
      <c r="I108" s="230"/>
      <c r="J108" s="231">
        <v>71.634844783082727</v>
      </c>
      <c r="K108" s="232">
        <v>6582.5610407470704</v>
      </c>
      <c r="L108" s="230"/>
      <c r="M108" s="233">
        <v>16.384705625269664</v>
      </c>
      <c r="N108" s="233" t="e">
        <v>#N/A</v>
      </c>
      <c r="O108" s="233">
        <v>8.4067179567453252</v>
      </c>
      <c r="P108" s="233" t="e">
        <v>#N/A</v>
      </c>
      <c r="Q108" s="230"/>
      <c r="R108" s="234">
        <v>2.5036026423561424</v>
      </c>
      <c r="S108" s="234">
        <v>2.5176191347790051</v>
      </c>
      <c r="T108" s="230"/>
      <c r="U108" s="234">
        <v>0.16614248070842227</v>
      </c>
      <c r="V108" s="234" t="e">
        <v>#N/A</v>
      </c>
      <c r="W108" s="234">
        <v>0.16715972161118342</v>
      </c>
      <c r="X108" s="234" t="e">
        <v>#N/A</v>
      </c>
      <c r="Y108" s="234">
        <v>0.11358350661977573</v>
      </c>
      <c r="Z108" s="234">
        <v>0.1351790037587145</v>
      </c>
      <c r="AA108" s="234">
        <v>0.10824411245483896</v>
      </c>
      <c r="AB108" s="234">
        <v>0.1301718097231708</v>
      </c>
      <c r="AC108" s="230"/>
      <c r="AD108" s="232">
        <v>-4045.6039999999998</v>
      </c>
      <c r="AE108" s="232" t="e">
        <v>#N/A</v>
      </c>
      <c r="AF108" s="232">
        <v>-729.81799999999998</v>
      </c>
      <c r="AG108" s="232">
        <v>-1606.0719999999999</v>
      </c>
      <c r="AH108" s="235" t="e">
        <v>#N/A</v>
      </c>
      <c r="AI108" s="230"/>
      <c r="AJ108" s="232">
        <v>956.71199999999999</v>
      </c>
      <c r="AK108" s="232">
        <v>0</v>
      </c>
      <c r="AL108" s="235">
        <v>956.71199999999999</v>
      </c>
      <c r="AM108" s="230"/>
      <c r="AN108" s="231">
        <v>-36.112236371999998</v>
      </c>
      <c r="AO108" s="232">
        <v>-3088.8919999999998</v>
      </c>
      <c r="AP108" s="236">
        <v>-3.9448846250121328</v>
      </c>
      <c r="AQ108" s="230"/>
      <c r="AR108" s="237">
        <v>104.61279999999999</v>
      </c>
      <c r="AS108" s="237">
        <v>104.08297899999999</v>
      </c>
      <c r="AT108" s="237">
        <v>109.31620100000001</v>
      </c>
      <c r="AU108" s="230"/>
      <c r="AV108" s="234">
        <v>6.7669999999999996E-3</v>
      </c>
      <c r="AW108" s="234">
        <v>4.9986043381118805E-5</v>
      </c>
      <c r="AX108" s="234">
        <v>1.5999999999999999E-5</v>
      </c>
      <c r="AY108" s="234">
        <v>0.23732209634002724</v>
      </c>
      <c r="AZ108" s="230"/>
      <c r="BA108" s="232">
        <v>0</v>
      </c>
      <c r="BB108" s="230"/>
      <c r="BC108" s="232" t="e">
        <v>#N/A</v>
      </c>
      <c r="BD108" s="232">
        <v>52.055999999999997</v>
      </c>
      <c r="BE108" s="230"/>
      <c r="BF108" s="238">
        <v>0.50353960000000031</v>
      </c>
      <c r="BG108" s="238">
        <v>0.33969640000000001</v>
      </c>
      <c r="BH108" s="238">
        <v>0.79973316666666661</v>
      </c>
      <c r="BI108" s="230"/>
      <c r="BJ108" s="239">
        <v>1.0299607806605189</v>
      </c>
      <c r="BK108" s="240">
        <v>92.449996948242188</v>
      </c>
      <c r="BL108" s="230"/>
      <c r="BM108" s="241">
        <v>1.6796</v>
      </c>
      <c r="BN108" s="241">
        <v>3.3273999999999999</v>
      </c>
      <c r="BO108" s="241">
        <v>4.8045999999999998</v>
      </c>
      <c r="BP108" s="241">
        <v>2.7997899999999998</v>
      </c>
      <c r="BQ108" s="241">
        <v>6.7301820000000001</v>
      </c>
      <c r="BR108" s="241">
        <v>5.37</v>
      </c>
      <c r="BS108" s="241" t="e">
        <v>#N/A</v>
      </c>
      <c r="BT108" s="241" t="e">
        <v>#N/A</v>
      </c>
      <c r="BU108" s="241" t="e">
        <v>#N/A</v>
      </c>
      <c r="BV108" s="241" t="e">
        <v>#N/A</v>
      </c>
      <c r="BW108" s="230"/>
      <c r="BX108" s="232">
        <v>174.87778299999999</v>
      </c>
      <c r="BY108" s="232">
        <v>344.5776027</v>
      </c>
      <c r="BZ108" s="232">
        <v>556.84032049999996</v>
      </c>
      <c r="CA108" s="232">
        <v>291.49402750000002</v>
      </c>
      <c r="CB108" s="232">
        <v>705.94957899999997</v>
      </c>
      <c r="CC108" s="232">
        <v>587.29663970000001</v>
      </c>
      <c r="CD108" s="232" t="e">
        <v>#N/A</v>
      </c>
      <c r="CE108" s="232" t="e">
        <v>#N/A</v>
      </c>
      <c r="CF108" s="232" t="e">
        <v>#N/A</v>
      </c>
      <c r="CG108" s="232" t="e">
        <v>#N/A</v>
      </c>
      <c r="CH108" s="230"/>
      <c r="CI108" s="232">
        <v>322.78770299999996</v>
      </c>
      <c r="CJ108" s="232">
        <v>479.92942300000004</v>
      </c>
      <c r="CK108" s="232">
        <v>717.44899999999996</v>
      </c>
      <c r="CL108" s="232">
        <v>490.06</v>
      </c>
      <c r="CM108" s="232">
        <v>1010.58</v>
      </c>
      <c r="CN108" s="232">
        <v>783.01199999999994</v>
      </c>
      <c r="CO108" s="232" t="e">
        <v>#N/A</v>
      </c>
      <c r="CP108" s="232" t="e">
        <v>#N/A</v>
      </c>
      <c r="CQ108" s="232" t="e">
        <v>#N/A</v>
      </c>
      <c r="CR108" s="232" t="e">
        <v>#N/A</v>
      </c>
      <c r="CS108" s="230"/>
      <c r="CT108" s="232">
        <v>908.763915</v>
      </c>
      <c r="CU108" s="232">
        <v>1161.6232070000001</v>
      </c>
      <c r="CV108" s="232">
        <v>2115.3820000000001</v>
      </c>
      <c r="CW108" s="232">
        <v>1962.18</v>
      </c>
      <c r="CX108" s="232">
        <v>2356.0549999999998</v>
      </c>
      <c r="CY108" s="232">
        <v>2480.1</v>
      </c>
      <c r="CZ108" s="232" t="e">
        <v>#N/A</v>
      </c>
      <c r="DA108" s="232" t="e">
        <v>#N/A</v>
      </c>
      <c r="DB108" s="232" t="e">
        <v>#N/A</v>
      </c>
      <c r="DC108" s="232" t="e">
        <v>#N/A</v>
      </c>
      <c r="DD108" s="230"/>
      <c r="DE108" s="232" t="e">
        <v>#N/A</v>
      </c>
      <c r="DF108" s="232" t="e">
        <v>#N/A</v>
      </c>
      <c r="DG108" s="232" t="e">
        <v>#N/A</v>
      </c>
      <c r="DH108" s="230"/>
      <c r="DI108" s="230"/>
      <c r="DJ108" s="172" t="s">
        <v>277</v>
      </c>
    </row>
    <row r="109" spans="1:114" x14ac:dyDescent="0.25">
      <c r="A109" s="244" t="s">
        <v>796</v>
      </c>
      <c r="B109" s="226" t="s">
        <v>1029</v>
      </c>
      <c r="C109" s="227" t="s">
        <v>1030</v>
      </c>
      <c r="D109" s="228" t="str">
        <f t="shared" si="1"/>
        <v>EDEL IN Equity</v>
      </c>
      <c r="E109" s="229" t="s">
        <v>1031</v>
      </c>
      <c r="F109" s="230"/>
      <c r="G109" s="231">
        <v>1152.9254330432741</v>
      </c>
      <c r="H109" s="232">
        <v>103487.38978007116</v>
      </c>
      <c r="I109" s="230"/>
      <c r="J109" s="231">
        <v>2819.723110953274</v>
      </c>
      <c r="K109" s="232">
        <v>246058.39978007117</v>
      </c>
      <c r="L109" s="230"/>
      <c r="M109" s="233">
        <v>25.148188092512083</v>
      </c>
      <c r="N109" s="233" t="e">
        <v>#N/A</v>
      </c>
      <c r="O109" s="233">
        <v>8.072120061677067</v>
      </c>
      <c r="P109" s="233" t="e">
        <v>#N/A</v>
      </c>
      <c r="Q109" s="230"/>
      <c r="R109" s="234">
        <v>2.3373085415140746</v>
      </c>
      <c r="S109" s="234">
        <v>2.451728961375788</v>
      </c>
      <c r="T109" s="230"/>
      <c r="U109" s="234">
        <v>8.7263828423618697E-2</v>
      </c>
      <c r="V109" s="234" t="e">
        <v>#N/A</v>
      </c>
      <c r="W109" s="234">
        <v>9.0828440873322189E-2</v>
      </c>
      <c r="X109" s="234" t="e">
        <v>#N/A</v>
      </c>
      <c r="Y109" s="234">
        <v>8.9763104448964699E-3</v>
      </c>
      <c r="Z109" s="234">
        <v>1.3429117947889046E-2</v>
      </c>
      <c r="AA109" s="234">
        <v>5.6525288311179553E-3</v>
      </c>
      <c r="AB109" s="234">
        <v>2.1293115882225648E-2</v>
      </c>
      <c r="AC109" s="230"/>
      <c r="AD109" s="232">
        <v>-52406.83</v>
      </c>
      <c r="AE109" s="232" t="e">
        <v>#N/A</v>
      </c>
      <c r="AF109" s="232">
        <v>-175741.32</v>
      </c>
      <c r="AG109" s="232">
        <v>-123479.27</v>
      </c>
      <c r="AH109" s="235" t="e">
        <v>#N/A</v>
      </c>
      <c r="AI109" s="230"/>
      <c r="AJ109" s="232">
        <v>124902.71</v>
      </c>
      <c r="AK109" s="232">
        <v>55140.73</v>
      </c>
      <c r="AL109" s="235">
        <v>180043.44</v>
      </c>
      <c r="AM109" s="230"/>
      <c r="AN109" s="231">
        <v>1492.1996075100001</v>
      </c>
      <c r="AO109" s="232">
        <v>127636.61</v>
      </c>
      <c r="AP109" s="236">
        <v>4.1872093824325436</v>
      </c>
      <c r="AQ109" s="230"/>
      <c r="AR109" s="237">
        <v>946.47332399999993</v>
      </c>
      <c r="AS109" s="237">
        <v>910.47331999999994</v>
      </c>
      <c r="AT109" s="237">
        <v>921.955465</v>
      </c>
      <c r="AU109" s="230"/>
      <c r="AV109" s="234">
        <v>3.2700000000000003E-3</v>
      </c>
      <c r="AW109" s="234">
        <v>0.25684328751257329</v>
      </c>
      <c r="AX109" s="234">
        <v>1.9550000000000001E-3</v>
      </c>
      <c r="AY109" s="234">
        <v>0.5845436210096504</v>
      </c>
      <c r="AZ109" s="230"/>
      <c r="BA109" s="232">
        <v>14934.4</v>
      </c>
      <c r="BB109" s="230"/>
      <c r="BC109" s="232" t="e">
        <v>#N/A</v>
      </c>
      <c r="BD109" s="232">
        <v>1375.4</v>
      </c>
      <c r="BE109" s="230"/>
      <c r="BF109" s="238">
        <v>2.8251419999999987</v>
      </c>
      <c r="BG109" s="238">
        <v>3.2518918999999986</v>
      </c>
      <c r="BH109" s="238">
        <v>4.5862657000000011</v>
      </c>
      <c r="BI109" s="230"/>
      <c r="BJ109" s="239">
        <v>1.2181277631478964</v>
      </c>
      <c r="BK109" s="240">
        <v>109.33999633789063</v>
      </c>
      <c r="BL109" s="230"/>
      <c r="BM109" s="241">
        <v>-23.01</v>
      </c>
      <c r="BN109" s="241">
        <v>2.98</v>
      </c>
      <c r="BO109" s="241">
        <v>2.1311170000000002</v>
      </c>
      <c r="BP109" s="241">
        <v>3.7617660000000002</v>
      </c>
      <c r="BQ109" s="241">
        <v>4.68</v>
      </c>
      <c r="BR109" s="241">
        <v>5.81</v>
      </c>
      <c r="BS109" s="241" t="e">
        <v>#N/A</v>
      </c>
      <c r="BT109" s="241" t="e">
        <v>#N/A</v>
      </c>
      <c r="BU109" s="241" t="e">
        <v>#N/A</v>
      </c>
      <c r="BV109" s="241" t="e">
        <v>#N/A</v>
      </c>
      <c r="BW109" s="230"/>
      <c r="BX109" s="232">
        <v>-20452.45</v>
      </c>
      <c r="BY109" s="232">
        <v>2819.1907630000001</v>
      </c>
      <c r="BZ109" s="232">
        <v>1906.7345749999999</v>
      </c>
      <c r="CA109" s="232">
        <v>3444.0993899999999</v>
      </c>
      <c r="CB109" s="232">
        <v>4207</v>
      </c>
      <c r="CC109" s="232">
        <v>4008.5041000000001</v>
      </c>
      <c r="CD109" s="232" t="e">
        <v>#N/A</v>
      </c>
      <c r="CE109" s="232" t="e">
        <v>#N/A</v>
      </c>
      <c r="CF109" s="232" t="e">
        <v>#N/A</v>
      </c>
      <c r="CG109" s="232" t="e">
        <v>#N/A</v>
      </c>
      <c r="CH109" s="230"/>
      <c r="CI109" s="232">
        <v>22702.95</v>
      </c>
      <c r="CJ109" s="232">
        <v>27486.830000000005</v>
      </c>
      <c r="CK109" s="232">
        <v>28727.71</v>
      </c>
      <c r="CL109" s="232">
        <v>28140.989999999998</v>
      </c>
      <c r="CM109" s="232">
        <v>30625.039999999997</v>
      </c>
      <c r="CN109" s="232">
        <v>30482.5</v>
      </c>
      <c r="CO109" s="232" t="e">
        <v>#N/A</v>
      </c>
      <c r="CP109" s="232" t="e">
        <v>#N/A</v>
      </c>
      <c r="CQ109" s="232" t="e">
        <v>#N/A</v>
      </c>
      <c r="CR109" s="232" t="e">
        <v>#N/A</v>
      </c>
      <c r="CS109" s="230"/>
      <c r="CT109" s="232">
        <v>95133.14</v>
      </c>
      <c r="CU109" s="232">
        <v>93573.6</v>
      </c>
      <c r="CV109" s="232">
        <v>69114.039999999994</v>
      </c>
      <c r="CW109" s="232">
        <v>84810.36</v>
      </c>
      <c r="CX109" s="232">
        <v>93140.5</v>
      </c>
      <c r="CY109" s="232">
        <v>90811.61</v>
      </c>
      <c r="CZ109" s="232" t="e">
        <v>#N/A</v>
      </c>
      <c r="DA109" s="232" t="e">
        <v>#N/A</v>
      </c>
      <c r="DB109" s="232" t="e">
        <v>#N/A</v>
      </c>
      <c r="DC109" s="232" t="e">
        <v>#N/A</v>
      </c>
      <c r="DD109" s="230"/>
      <c r="DE109" s="232" t="e">
        <v>#N/A</v>
      </c>
      <c r="DF109" s="232" t="e">
        <v>#N/A</v>
      </c>
      <c r="DG109" s="232" t="e">
        <v>#N/A</v>
      </c>
      <c r="DH109" s="230"/>
      <c r="DI109" s="230"/>
      <c r="DJ109" s="172"/>
    </row>
    <row r="110" spans="1:114" ht="14.4" x14ac:dyDescent="0.25">
      <c r="A110" s="244" t="s">
        <v>796</v>
      </c>
      <c r="B110" s="226" t="s">
        <v>1032</v>
      </c>
      <c r="C110" s="243" t="s">
        <v>1033</v>
      </c>
      <c r="D110" s="228" t="str">
        <f t="shared" si="1"/>
        <v>7174525Z IN Equity</v>
      </c>
      <c r="E110" s="229"/>
      <c r="F110" s="230"/>
      <c r="G110" s="231" t="e">
        <v>#N/A</v>
      </c>
      <c r="H110" s="232" t="e">
        <v>#N/A</v>
      </c>
      <c r="I110" s="230"/>
      <c r="J110" s="231" t="e">
        <v>#N/A</v>
      </c>
      <c r="K110" s="232" t="e">
        <v>#N/A</v>
      </c>
      <c r="L110" s="230"/>
      <c r="M110" s="233" t="e">
        <v>#N/A</v>
      </c>
      <c r="N110" s="233" t="e">
        <v>#N/A</v>
      </c>
      <c r="O110" s="233" t="e">
        <v>#N/A</v>
      </c>
      <c r="P110" s="233" t="e">
        <v>#N/A</v>
      </c>
      <c r="Q110" s="230"/>
      <c r="R110" s="234" t="e">
        <v>#N/A</v>
      </c>
      <c r="S110" s="234" t="e">
        <v>#N/A</v>
      </c>
      <c r="T110" s="230"/>
      <c r="U110" s="234" t="e">
        <v>#N/A</v>
      </c>
      <c r="V110" s="234" t="e">
        <v>#N/A</v>
      </c>
      <c r="W110" s="234" t="e">
        <v>#N/A</v>
      </c>
      <c r="X110" s="234" t="e">
        <v>#N/A</v>
      </c>
      <c r="Y110" s="234" t="e">
        <v>#N/A</v>
      </c>
      <c r="Z110" s="234" t="e">
        <v>#N/A</v>
      </c>
      <c r="AA110" s="234" t="e">
        <v>#N/A</v>
      </c>
      <c r="AB110" s="234" t="e">
        <v>#N/A</v>
      </c>
      <c r="AC110" s="230"/>
      <c r="AD110" s="232" t="e">
        <v>#N/A</v>
      </c>
      <c r="AE110" s="232" t="e">
        <v>#N/A</v>
      </c>
      <c r="AF110" s="232" t="e">
        <v>#N/A</v>
      </c>
      <c r="AG110" s="232" t="e">
        <v>#N/A</v>
      </c>
      <c r="AH110" s="235" t="e">
        <v>#N/A</v>
      </c>
      <c r="AI110" s="230"/>
      <c r="AJ110" s="232" t="e">
        <v>#N/A</v>
      </c>
      <c r="AK110" s="232" t="e">
        <v>#N/A</v>
      </c>
      <c r="AL110" s="235" t="e">
        <v>#N/A</v>
      </c>
      <c r="AM110" s="230"/>
      <c r="AN110" s="231" t="e">
        <v>#N/A</v>
      </c>
      <c r="AO110" s="232" t="e">
        <v>#N/A</v>
      </c>
      <c r="AP110" s="236" t="e">
        <v>#N/A</v>
      </c>
      <c r="AQ110" s="230"/>
      <c r="AR110" s="237" t="e">
        <v>#N/A</v>
      </c>
      <c r="AS110" s="237" t="e">
        <v>#N/A</v>
      </c>
      <c r="AT110" s="237" t="e">
        <v>#N/A</v>
      </c>
      <c r="AU110" s="230"/>
      <c r="AV110" s="234" t="e">
        <v>#N/A</v>
      </c>
      <c r="AW110" s="234" t="e">
        <v>#N/A</v>
      </c>
      <c r="AX110" s="234" t="e">
        <v>#N/A</v>
      </c>
      <c r="AY110" s="234" t="e">
        <v>#N/A</v>
      </c>
      <c r="AZ110" s="230"/>
      <c r="BA110" s="232" t="e">
        <v>#N/A</v>
      </c>
      <c r="BB110" s="230"/>
      <c r="BC110" s="232" t="e">
        <v>#N/A</v>
      </c>
      <c r="BD110" s="232" t="e">
        <v>#N/A</v>
      </c>
      <c r="BE110" s="230"/>
      <c r="BF110" s="238" t="e">
        <v>#N/A</v>
      </c>
      <c r="BG110" s="238" t="e">
        <v>#N/A</v>
      </c>
      <c r="BH110" s="238" t="e">
        <v>#N/A</v>
      </c>
      <c r="BI110" s="230"/>
      <c r="BJ110" s="239" t="e">
        <v>#N/A</v>
      </c>
      <c r="BK110" s="240" t="e">
        <v>#N/A</v>
      </c>
      <c r="BL110" s="230"/>
      <c r="BM110" s="241" t="e">
        <v>#N/A</v>
      </c>
      <c r="BN110" s="241" t="e">
        <v>#N/A</v>
      </c>
      <c r="BO110" s="241" t="e">
        <v>#N/A</v>
      </c>
      <c r="BP110" s="241" t="e">
        <v>#N/A</v>
      </c>
      <c r="BQ110" s="241" t="e">
        <v>#N/A</v>
      </c>
      <c r="BR110" s="241" t="e">
        <v>#N/A</v>
      </c>
      <c r="BS110" s="241" t="e">
        <v>#N/A</v>
      </c>
      <c r="BT110" s="241" t="e">
        <v>#N/A</v>
      </c>
      <c r="BU110" s="241" t="e">
        <v>#N/A</v>
      </c>
      <c r="BV110" s="241" t="e">
        <v>#N/A</v>
      </c>
      <c r="BW110" s="230"/>
      <c r="BX110" s="232" t="e">
        <v>#N/A</v>
      </c>
      <c r="BY110" s="232" t="e">
        <v>#N/A</v>
      </c>
      <c r="BZ110" s="232" t="e">
        <v>#N/A</v>
      </c>
      <c r="CA110" s="232" t="e">
        <v>#N/A</v>
      </c>
      <c r="CB110" s="232" t="e">
        <v>#N/A</v>
      </c>
      <c r="CC110" s="232" t="e">
        <v>#N/A</v>
      </c>
      <c r="CD110" s="232" t="e">
        <v>#N/A</v>
      </c>
      <c r="CE110" s="232" t="e">
        <v>#N/A</v>
      </c>
      <c r="CF110" s="232" t="e">
        <v>#N/A</v>
      </c>
      <c r="CG110" s="232" t="e">
        <v>#N/A</v>
      </c>
      <c r="CH110" s="230"/>
      <c r="CI110" s="232" t="e">
        <v>#N/A</v>
      </c>
      <c r="CJ110" s="232" t="e">
        <v>#N/A</v>
      </c>
      <c r="CK110" s="232" t="e">
        <v>#N/A</v>
      </c>
      <c r="CL110" s="232" t="e">
        <v>#N/A</v>
      </c>
      <c r="CM110" s="232" t="e">
        <v>#N/A</v>
      </c>
      <c r="CN110" s="232" t="e">
        <v>#N/A</v>
      </c>
      <c r="CO110" s="232" t="e">
        <v>#N/A</v>
      </c>
      <c r="CP110" s="232" t="e">
        <v>#N/A</v>
      </c>
      <c r="CQ110" s="232" t="e">
        <v>#N/A</v>
      </c>
      <c r="CR110" s="232" t="e">
        <v>#N/A</v>
      </c>
      <c r="CS110" s="230"/>
      <c r="CT110" s="232" t="e">
        <v>#N/A</v>
      </c>
      <c r="CU110" s="232" t="e">
        <v>#N/A</v>
      </c>
      <c r="CV110" s="232" t="e">
        <v>#N/A</v>
      </c>
      <c r="CW110" s="232" t="e">
        <v>#N/A</v>
      </c>
      <c r="CX110" s="232" t="e">
        <v>#N/A</v>
      </c>
      <c r="CY110" s="232" t="e">
        <v>#N/A</v>
      </c>
      <c r="CZ110" s="232" t="e">
        <v>#N/A</v>
      </c>
      <c r="DA110" s="232" t="e">
        <v>#N/A</v>
      </c>
      <c r="DB110" s="232" t="e">
        <v>#N/A</v>
      </c>
      <c r="DC110" s="232" t="e">
        <v>#N/A</v>
      </c>
      <c r="DD110" s="230"/>
      <c r="DE110" s="232" t="e">
        <v>#N/A</v>
      </c>
      <c r="DF110" s="232" t="e">
        <v>#N/A</v>
      </c>
      <c r="DG110" s="232" t="e">
        <v>#N/A</v>
      </c>
      <c r="DH110" s="230"/>
      <c r="DI110" s="230"/>
      <c r="DJ110" s="172"/>
    </row>
    <row r="111" spans="1:114" x14ac:dyDescent="0.25">
      <c r="A111" s="244" t="s">
        <v>796</v>
      </c>
      <c r="B111" s="226" t="s">
        <v>1034</v>
      </c>
      <c r="C111" s="227" t="s">
        <v>1035</v>
      </c>
      <c r="D111" s="228" t="str">
        <f t="shared" si="1"/>
        <v>BBG00LG75HR8 IN Equity</v>
      </c>
      <c r="E111" s="229"/>
      <c r="F111" s="230"/>
      <c r="G111" s="231" t="e">
        <v>#N/A</v>
      </c>
      <c r="H111" s="232" t="e">
        <v>#N/A</v>
      </c>
      <c r="I111" s="230"/>
      <c r="J111" s="231" t="e">
        <v>#N/A</v>
      </c>
      <c r="K111" s="232" t="e">
        <v>#N/A</v>
      </c>
      <c r="L111" s="230"/>
      <c r="M111" s="233" t="e">
        <v>#N/A</v>
      </c>
      <c r="N111" s="233" t="e">
        <v>#N/A</v>
      </c>
      <c r="O111" s="233" t="e">
        <v>#N/A</v>
      </c>
      <c r="P111" s="233" t="e">
        <v>#N/A</v>
      </c>
      <c r="Q111" s="230"/>
      <c r="R111" s="234" t="e">
        <v>#N/A</v>
      </c>
      <c r="S111" s="234" t="e">
        <v>#N/A</v>
      </c>
      <c r="T111" s="230"/>
      <c r="U111" s="234" t="e">
        <v>#N/A</v>
      </c>
      <c r="V111" s="234" t="e">
        <v>#N/A</v>
      </c>
      <c r="W111" s="234" t="e">
        <v>#N/A</v>
      </c>
      <c r="X111" s="234" t="e">
        <v>#N/A</v>
      </c>
      <c r="Y111" s="234" t="e">
        <v>#N/A</v>
      </c>
      <c r="Z111" s="234" t="e">
        <v>#N/A</v>
      </c>
      <c r="AA111" s="234" t="e">
        <v>#N/A</v>
      </c>
      <c r="AB111" s="234" t="e">
        <v>#N/A</v>
      </c>
      <c r="AC111" s="230"/>
      <c r="AD111" s="232" t="e">
        <v>#N/A</v>
      </c>
      <c r="AE111" s="232" t="e">
        <v>#N/A</v>
      </c>
      <c r="AF111" s="232" t="e">
        <v>#N/A</v>
      </c>
      <c r="AG111" s="232" t="e">
        <v>#N/A</v>
      </c>
      <c r="AH111" s="235" t="e">
        <v>#N/A</v>
      </c>
      <c r="AI111" s="230"/>
      <c r="AJ111" s="232" t="e">
        <v>#N/A</v>
      </c>
      <c r="AK111" s="232" t="e">
        <v>#N/A</v>
      </c>
      <c r="AL111" s="235" t="e">
        <v>#N/A</v>
      </c>
      <c r="AM111" s="230"/>
      <c r="AN111" s="231" t="e">
        <v>#N/A</v>
      </c>
      <c r="AO111" s="232" t="e">
        <v>#N/A</v>
      </c>
      <c r="AP111" s="236" t="e">
        <v>#N/A</v>
      </c>
      <c r="AQ111" s="230"/>
      <c r="AR111" s="237" t="e">
        <v>#N/A</v>
      </c>
      <c r="AS111" s="237" t="e">
        <v>#N/A</v>
      </c>
      <c r="AT111" s="237" t="e">
        <v>#N/A</v>
      </c>
      <c r="AU111" s="230"/>
      <c r="AV111" s="234" t="e">
        <v>#N/A</v>
      </c>
      <c r="AW111" s="234" t="e">
        <v>#N/A</v>
      </c>
      <c r="AX111" s="234" t="e">
        <v>#N/A</v>
      </c>
      <c r="AY111" s="234" t="e">
        <v>#N/A</v>
      </c>
      <c r="AZ111" s="230"/>
      <c r="BA111" s="232" t="e">
        <v>#N/A</v>
      </c>
      <c r="BB111" s="230"/>
      <c r="BC111" s="232" t="e">
        <v>#N/A</v>
      </c>
      <c r="BD111" s="232" t="e">
        <v>#N/A</v>
      </c>
      <c r="BE111" s="230"/>
      <c r="BF111" s="238" t="e">
        <v>#N/A</v>
      </c>
      <c r="BG111" s="238" t="e">
        <v>#N/A</v>
      </c>
      <c r="BH111" s="238" t="e">
        <v>#N/A</v>
      </c>
      <c r="BI111" s="230"/>
      <c r="BJ111" s="239" t="e">
        <v>#N/A</v>
      </c>
      <c r="BK111" s="240" t="e">
        <v>#N/A</v>
      </c>
      <c r="BL111" s="230"/>
      <c r="BM111" s="241" t="e">
        <v>#N/A</v>
      </c>
      <c r="BN111" s="241" t="e">
        <v>#N/A</v>
      </c>
      <c r="BO111" s="241" t="e">
        <v>#N/A</v>
      </c>
      <c r="BP111" s="241" t="e">
        <v>#N/A</v>
      </c>
      <c r="BQ111" s="241" t="e">
        <v>#N/A</v>
      </c>
      <c r="BR111" s="241" t="e">
        <v>#N/A</v>
      </c>
      <c r="BS111" s="241" t="e">
        <v>#N/A</v>
      </c>
      <c r="BT111" s="241" t="e">
        <v>#N/A</v>
      </c>
      <c r="BU111" s="241" t="e">
        <v>#N/A</v>
      </c>
      <c r="BV111" s="241" t="e">
        <v>#N/A</v>
      </c>
      <c r="BW111" s="230"/>
      <c r="BX111" s="232" t="e">
        <v>#N/A</v>
      </c>
      <c r="BY111" s="232" t="e">
        <v>#N/A</v>
      </c>
      <c r="BZ111" s="232" t="e">
        <v>#N/A</v>
      </c>
      <c r="CA111" s="232" t="e">
        <v>#N/A</v>
      </c>
      <c r="CB111" s="232" t="e">
        <v>#N/A</v>
      </c>
      <c r="CC111" s="232" t="e">
        <v>#N/A</v>
      </c>
      <c r="CD111" s="232" t="e">
        <v>#N/A</v>
      </c>
      <c r="CE111" s="232" t="e">
        <v>#N/A</v>
      </c>
      <c r="CF111" s="232" t="e">
        <v>#N/A</v>
      </c>
      <c r="CG111" s="232" t="e">
        <v>#N/A</v>
      </c>
      <c r="CH111" s="230"/>
      <c r="CI111" s="232" t="e">
        <v>#N/A</v>
      </c>
      <c r="CJ111" s="232" t="e">
        <v>#N/A</v>
      </c>
      <c r="CK111" s="232" t="e">
        <v>#N/A</v>
      </c>
      <c r="CL111" s="232" t="e">
        <v>#N/A</v>
      </c>
      <c r="CM111" s="232" t="e">
        <v>#N/A</v>
      </c>
      <c r="CN111" s="232" t="e">
        <v>#N/A</v>
      </c>
      <c r="CO111" s="232" t="e">
        <v>#N/A</v>
      </c>
      <c r="CP111" s="232" t="e">
        <v>#N/A</v>
      </c>
      <c r="CQ111" s="232" t="e">
        <v>#N/A</v>
      </c>
      <c r="CR111" s="232" t="e">
        <v>#N/A</v>
      </c>
      <c r="CS111" s="230"/>
      <c r="CT111" s="232" t="e">
        <v>#N/A</v>
      </c>
      <c r="CU111" s="232" t="e">
        <v>#N/A</v>
      </c>
      <c r="CV111" s="232" t="e">
        <v>#N/A</v>
      </c>
      <c r="CW111" s="232" t="e">
        <v>#N/A</v>
      </c>
      <c r="CX111" s="232" t="e">
        <v>#N/A</v>
      </c>
      <c r="CY111" s="232" t="e">
        <v>#N/A</v>
      </c>
      <c r="CZ111" s="232" t="e">
        <v>#N/A</v>
      </c>
      <c r="DA111" s="232" t="e">
        <v>#N/A</v>
      </c>
      <c r="DB111" s="232" t="e">
        <v>#N/A</v>
      </c>
      <c r="DC111" s="232" t="e">
        <v>#N/A</v>
      </c>
      <c r="DD111" s="230"/>
      <c r="DE111" s="232" t="e">
        <v>#N/A</v>
      </c>
      <c r="DF111" s="232" t="e">
        <v>#N/A</v>
      </c>
      <c r="DG111" s="232" t="e">
        <v>#N/A</v>
      </c>
      <c r="DH111" s="230"/>
      <c r="DI111" s="230"/>
      <c r="DJ111" s="172"/>
    </row>
    <row r="112" spans="1:114" x14ac:dyDescent="0.25">
      <c r="A112" s="244" t="s">
        <v>796</v>
      </c>
      <c r="B112" s="226" t="s">
        <v>1036</v>
      </c>
      <c r="C112" s="227" t="s">
        <v>1037</v>
      </c>
      <c r="D112" s="228" t="str">
        <f t="shared" si="1"/>
        <v>1716651D IN Equity</v>
      </c>
      <c r="E112" s="229"/>
      <c r="F112" s="230"/>
      <c r="G112" s="231" t="e">
        <v>#N/A</v>
      </c>
      <c r="H112" s="232" t="e">
        <v>#N/A</v>
      </c>
      <c r="I112" s="230"/>
      <c r="J112" s="231" t="e">
        <v>#N/A</v>
      </c>
      <c r="K112" s="232" t="e">
        <v>#N/A</v>
      </c>
      <c r="L112" s="230"/>
      <c r="M112" s="233" t="e">
        <v>#N/A</v>
      </c>
      <c r="N112" s="233" t="e">
        <v>#N/A</v>
      </c>
      <c r="O112" s="233" t="e">
        <v>#N/A</v>
      </c>
      <c r="P112" s="233" t="e">
        <v>#N/A</v>
      </c>
      <c r="Q112" s="230"/>
      <c r="R112" s="234" t="e">
        <v>#N/A</v>
      </c>
      <c r="S112" s="234" t="e">
        <v>#N/A</v>
      </c>
      <c r="T112" s="230"/>
      <c r="U112" s="234" t="e">
        <v>#N/A</v>
      </c>
      <c r="V112" s="234" t="e">
        <v>#N/A</v>
      </c>
      <c r="W112" s="234" t="e">
        <v>#N/A</v>
      </c>
      <c r="X112" s="234" t="e">
        <v>#N/A</v>
      </c>
      <c r="Y112" s="234" t="e">
        <v>#N/A</v>
      </c>
      <c r="Z112" s="234" t="e">
        <v>#N/A</v>
      </c>
      <c r="AA112" s="234" t="e">
        <v>#N/A</v>
      </c>
      <c r="AB112" s="234" t="e">
        <v>#N/A</v>
      </c>
      <c r="AC112" s="230"/>
      <c r="AD112" s="232" t="e">
        <v>#N/A</v>
      </c>
      <c r="AE112" s="232" t="e">
        <v>#N/A</v>
      </c>
      <c r="AF112" s="232" t="e">
        <v>#N/A</v>
      </c>
      <c r="AG112" s="232" t="e">
        <v>#N/A</v>
      </c>
      <c r="AH112" s="235" t="e">
        <v>#N/A</v>
      </c>
      <c r="AI112" s="230"/>
      <c r="AJ112" s="232" t="e">
        <v>#N/A</v>
      </c>
      <c r="AK112" s="232" t="e">
        <v>#N/A</v>
      </c>
      <c r="AL112" s="235" t="e">
        <v>#N/A</v>
      </c>
      <c r="AM112" s="230"/>
      <c r="AN112" s="231" t="e">
        <v>#N/A</v>
      </c>
      <c r="AO112" s="232" t="e">
        <v>#N/A</v>
      </c>
      <c r="AP112" s="236" t="e">
        <v>#N/A</v>
      </c>
      <c r="AQ112" s="230"/>
      <c r="AR112" s="237" t="e">
        <v>#N/A</v>
      </c>
      <c r="AS112" s="237" t="e">
        <v>#N/A</v>
      </c>
      <c r="AT112" s="237" t="e">
        <v>#N/A</v>
      </c>
      <c r="AU112" s="230"/>
      <c r="AV112" s="234" t="e">
        <v>#N/A</v>
      </c>
      <c r="AW112" s="234" t="e">
        <v>#N/A</v>
      </c>
      <c r="AX112" s="234" t="e">
        <v>#N/A</v>
      </c>
      <c r="AY112" s="234" t="e">
        <v>#N/A</v>
      </c>
      <c r="AZ112" s="230"/>
      <c r="BA112" s="232" t="e">
        <v>#N/A</v>
      </c>
      <c r="BB112" s="230"/>
      <c r="BC112" s="232" t="e">
        <v>#N/A</v>
      </c>
      <c r="BD112" s="232" t="e">
        <v>#N/A</v>
      </c>
      <c r="BE112" s="230"/>
      <c r="BF112" s="238" t="e">
        <v>#N/A</v>
      </c>
      <c r="BG112" s="238" t="e">
        <v>#N/A</v>
      </c>
      <c r="BH112" s="238" t="e">
        <v>#N/A</v>
      </c>
      <c r="BI112" s="230"/>
      <c r="BJ112" s="239" t="e">
        <v>#N/A</v>
      </c>
      <c r="BK112" s="240" t="e">
        <v>#N/A</v>
      </c>
      <c r="BL112" s="230"/>
      <c r="BM112" s="241" t="e">
        <v>#N/A</v>
      </c>
      <c r="BN112" s="241" t="e">
        <v>#N/A</v>
      </c>
      <c r="BO112" s="241" t="e">
        <v>#N/A</v>
      </c>
      <c r="BP112" s="241" t="e">
        <v>#N/A</v>
      </c>
      <c r="BQ112" s="241" t="e">
        <v>#N/A</v>
      </c>
      <c r="BR112" s="241" t="e">
        <v>#N/A</v>
      </c>
      <c r="BS112" s="241" t="e">
        <v>#N/A</v>
      </c>
      <c r="BT112" s="241" t="e">
        <v>#N/A</v>
      </c>
      <c r="BU112" s="241" t="e">
        <v>#N/A</v>
      </c>
      <c r="BV112" s="241" t="e">
        <v>#N/A</v>
      </c>
      <c r="BW112" s="230"/>
      <c r="BX112" s="232" t="e">
        <v>#N/A</v>
      </c>
      <c r="BY112" s="232" t="e">
        <v>#N/A</v>
      </c>
      <c r="BZ112" s="232" t="e">
        <v>#N/A</v>
      </c>
      <c r="CA112" s="232" t="e">
        <v>#N/A</v>
      </c>
      <c r="CB112" s="232" t="e">
        <v>#N/A</v>
      </c>
      <c r="CC112" s="232" t="e">
        <v>#N/A</v>
      </c>
      <c r="CD112" s="232" t="e">
        <v>#N/A</v>
      </c>
      <c r="CE112" s="232" t="e">
        <v>#N/A</v>
      </c>
      <c r="CF112" s="232" t="e">
        <v>#N/A</v>
      </c>
      <c r="CG112" s="232" t="e">
        <v>#N/A</v>
      </c>
      <c r="CH112" s="230"/>
      <c r="CI112" s="232" t="e">
        <v>#N/A</v>
      </c>
      <c r="CJ112" s="232" t="e">
        <v>#N/A</v>
      </c>
      <c r="CK112" s="232" t="e">
        <v>#N/A</v>
      </c>
      <c r="CL112" s="232" t="e">
        <v>#N/A</v>
      </c>
      <c r="CM112" s="232" t="e">
        <v>#N/A</v>
      </c>
      <c r="CN112" s="232" t="e">
        <v>#N/A</v>
      </c>
      <c r="CO112" s="232" t="e">
        <v>#N/A</v>
      </c>
      <c r="CP112" s="232" t="e">
        <v>#N/A</v>
      </c>
      <c r="CQ112" s="232" t="e">
        <v>#N/A</v>
      </c>
      <c r="CR112" s="232" t="e">
        <v>#N/A</v>
      </c>
      <c r="CS112" s="230"/>
      <c r="CT112" s="232" t="e">
        <v>#N/A</v>
      </c>
      <c r="CU112" s="232" t="e">
        <v>#N/A</v>
      </c>
      <c r="CV112" s="232" t="e">
        <v>#N/A</v>
      </c>
      <c r="CW112" s="232" t="e">
        <v>#N/A</v>
      </c>
      <c r="CX112" s="232" t="e">
        <v>#N/A</v>
      </c>
      <c r="CY112" s="232" t="e">
        <v>#N/A</v>
      </c>
      <c r="CZ112" s="232" t="e">
        <v>#N/A</v>
      </c>
      <c r="DA112" s="232" t="e">
        <v>#N/A</v>
      </c>
      <c r="DB112" s="232" t="e">
        <v>#N/A</v>
      </c>
      <c r="DC112" s="232" t="e">
        <v>#N/A</v>
      </c>
      <c r="DD112" s="230"/>
      <c r="DE112" s="232" t="e">
        <v>#N/A</v>
      </c>
      <c r="DF112" s="232" t="e">
        <v>#N/A</v>
      </c>
      <c r="DG112" s="232" t="e">
        <v>#N/A</v>
      </c>
      <c r="DH112" s="230"/>
      <c r="DI112" s="230"/>
      <c r="DJ112" s="172"/>
    </row>
    <row r="113" spans="1:114" x14ac:dyDescent="0.25">
      <c r="A113" s="244" t="s">
        <v>796</v>
      </c>
      <c r="B113" s="226" t="s">
        <v>1038</v>
      </c>
      <c r="C113" s="227" t="s">
        <v>1039</v>
      </c>
      <c r="D113" s="228" t="str">
        <f t="shared" si="1"/>
        <v>ABCAP IN Equity</v>
      </c>
      <c r="E113" s="229"/>
      <c r="F113" s="230"/>
      <c r="G113" s="231">
        <v>10123.787863309231</v>
      </c>
      <c r="H113" s="232">
        <v>908718.24892921094</v>
      </c>
      <c r="I113" s="230"/>
      <c r="J113" s="231">
        <v>26019.36131620923</v>
      </c>
      <c r="K113" s="232">
        <v>2268360.1489292108</v>
      </c>
      <c r="L113" s="230"/>
      <c r="M113" s="233">
        <v>27.616565829617421</v>
      </c>
      <c r="N113" s="233">
        <v>23.648740224403291</v>
      </c>
      <c r="O113" s="233">
        <v>15.668738569295602</v>
      </c>
      <c r="P113" s="233">
        <v>76.941918384400381</v>
      </c>
      <c r="Q113" s="230"/>
      <c r="R113" s="234">
        <v>2.9803017160672409</v>
      </c>
      <c r="S113" s="234">
        <v>3.0862943418483404</v>
      </c>
      <c r="T113" s="230"/>
      <c r="U113" s="234">
        <v>0.11553802591966784</v>
      </c>
      <c r="V113" s="234">
        <v>0.12156</v>
      </c>
      <c r="W113" s="234">
        <v>0.12060446276902897</v>
      </c>
      <c r="X113" s="234" t="e">
        <v>#N/A</v>
      </c>
      <c r="Y113" s="234">
        <v>2.936627208952463E-2</v>
      </c>
      <c r="Z113" s="234">
        <v>2.8463394145474861E-2</v>
      </c>
      <c r="AA113" s="234">
        <v>2.6215789766738259E-2</v>
      </c>
      <c r="AB113" s="234">
        <v>2.1919157418406918E-2</v>
      </c>
      <c r="AC113" s="230"/>
      <c r="AD113" s="232">
        <v>-60032.800000000003</v>
      </c>
      <c r="AE113" s="232" t="e">
        <v>#N/A</v>
      </c>
      <c r="AF113" s="232">
        <v>-703337.6</v>
      </c>
      <c r="AG113" s="232">
        <v>-1575144.7</v>
      </c>
      <c r="AH113" s="235" t="e">
        <v>#N/A</v>
      </c>
      <c r="AI113" s="230"/>
      <c r="AJ113" s="232">
        <v>1341443.8999999999</v>
      </c>
      <c r="AK113" s="232">
        <v>58647.5</v>
      </c>
      <c r="AL113" s="235">
        <v>1400091.4</v>
      </c>
      <c r="AM113" s="230"/>
      <c r="AN113" s="231">
        <v>15666.625092599996</v>
      </c>
      <c r="AO113" s="232">
        <v>1340058.5999999999</v>
      </c>
      <c r="AP113" s="236">
        <v>9.2564789065122657</v>
      </c>
      <c r="AQ113" s="230"/>
      <c r="AR113" s="237">
        <v>2615.7693289999997</v>
      </c>
      <c r="AS113" s="237">
        <v>2604.1852549999999</v>
      </c>
      <c r="AT113" s="237">
        <v>2627.0977979999998</v>
      </c>
      <c r="AU113" s="230"/>
      <c r="AV113" s="234">
        <v>6.8700000000000002E-3</v>
      </c>
      <c r="AW113" s="234">
        <v>0.55627882015784114</v>
      </c>
      <c r="AX113" s="234">
        <v>4.0599999999999995E-4</v>
      </c>
      <c r="AY113" s="234">
        <v>0.31534662244676848</v>
      </c>
      <c r="AZ113" s="230"/>
      <c r="BA113" s="232">
        <v>19583.3</v>
      </c>
      <c r="BB113" s="230"/>
      <c r="BC113" s="232" t="e">
        <v>#N/A</v>
      </c>
      <c r="BD113" s="232">
        <v>615.6</v>
      </c>
      <c r="BE113" s="230"/>
      <c r="BF113" s="238">
        <v>3.7703445999999996</v>
      </c>
      <c r="BG113" s="238">
        <v>4.0043358999999983</v>
      </c>
      <c r="BH113" s="238">
        <v>3.9985838999999999</v>
      </c>
      <c r="BI113" s="230"/>
      <c r="BJ113" s="239">
        <v>3.8702907596135492</v>
      </c>
      <c r="BK113" s="240">
        <v>347.39999389648438</v>
      </c>
      <c r="BL113" s="230"/>
      <c r="BM113" s="241">
        <v>4.07</v>
      </c>
      <c r="BN113" s="241">
        <v>4.67</v>
      </c>
      <c r="BO113" s="241">
        <v>7.06</v>
      </c>
      <c r="BP113" s="241">
        <v>8.507066</v>
      </c>
      <c r="BQ113" s="241">
        <v>12.95</v>
      </c>
      <c r="BR113" s="241">
        <v>12.62</v>
      </c>
      <c r="BS113" s="241">
        <v>14.690000000000001</v>
      </c>
      <c r="BT113" s="241">
        <v>18.941111111111113</v>
      </c>
      <c r="BU113" s="241">
        <v>22.371428571428574</v>
      </c>
      <c r="BV113" s="241" t="e">
        <v>#N/A</v>
      </c>
      <c r="BW113" s="230"/>
      <c r="BX113" s="232">
        <v>9265.07</v>
      </c>
      <c r="BY113" s="232">
        <v>11264.42</v>
      </c>
      <c r="BZ113" s="232">
        <v>17067.75</v>
      </c>
      <c r="CA113" s="232">
        <v>47956.51</v>
      </c>
      <c r="CB113" s="232">
        <v>33349.379999999997</v>
      </c>
      <c r="CC113" s="232">
        <v>33047.33</v>
      </c>
      <c r="CD113" s="232">
        <v>39148.833333333299</v>
      </c>
      <c r="CE113" s="232">
        <v>49228.5</v>
      </c>
      <c r="CF113" s="232">
        <v>57691.833333333299</v>
      </c>
      <c r="CG113" s="232" t="e">
        <v>#N/A</v>
      </c>
      <c r="CH113" s="230"/>
      <c r="CI113" s="232">
        <v>66281.8</v>
      </c>
      <c r="CJ113" s="232">
        <v>61880.3</v>
      </c>
      <c r="CK113" s="232">
        <v>63898.8</v>
      </c>
      <c r="CL113" s="232">
        <v>85324.5</v>
      </c>
      <c r="CM113" s="232">
        <v>134843.9</v>
      </c>
      <c r="CN113" s="232">
        <v>144769.80000000002</v>
      </c>
      <c r="CO113" s="232">
        <v>34417.5</v>
      </c>
      <c r="CP113" s="232">
        <v>44562.5</v>
      </c>
      <c r="CQ113" s="232">
        <v>55275.5</v>
      </c>
      <c r="CR113" s="232">
        <v>15096</v>
      </c>
      <c r="CS113" s="230"/>
      <c r="CT113" s="232">
        <v>168104.1</v>
      </c>
      <c r="CU113" s="232">
        <v>192737.8</v>
      </c>
      <c r="CV113" s="232">
        <v>222413.5</v>
      </c>
      <c r="CW113" s="232">
        <v>274156.5</v>
      </c>
      <c r="CX113" s="232">
        <v>345055.4</v>
      </c>
      <c r="CY113" s="232">
        <v>407237.5</v>
      </c>
      <c r="CZ113" s="232">
        <v>364493.6</v>
      </c>
      <c r="DA113" s="232">
        <v>435042.4</v>
      </c>
      <c r="DB113" s="232">
        <v>514528</v>
      </c>
      <c r="DC113" s="232" t="e">
        <v>#N/A</v>
      </c>
      <c r="DD113" s="230"/>
      <c r="DE113" s="232" t="e">
        <v>#N/A</v>
      </c>
      <c r="DF113" s="232" t="e">
        <v>#N/A</v>
      </c>
      <c r="DG113" s="232" t="e">
        <v>#N/A</v>
      </c>
      <c r="DH113" s="230"/>
      <c r="DI113" s="230"/>
      <c r="DJ113" s="172"/>
    </row>
    <row r="114" spans="1:114" x14ac:dyDescent="0.25">
      <c r="A114" s="244" t="s">
        <v>796</v>
      </c>
      <c r="B114" s="226" t="s">
        <v>1040</v>
      </c>
      <c r="C114" s="227" t="s">
        <v>1041</v>
      </c>
      <c r="D114" s="228" t="str">
        <f t="shared" si="1"/>
        <v>0340381D IN Equity</v>
      </c>
      <c r="E114" s="229"/>
      <c r="F114" s="230"/>
      <c r="G114" s="231" t="e">
        <v>#N/A</v>
      </c>
      <c r="H114" s="232" t="e">
        <v>#N/A</v>
      </c>
      <c r="I114" s="230"/>
      <c r="J114" s="231" t="e">
        <v>#N/A</v>
      </c>
      <c r="K114" s="232" t="e">
        <v>#N/A</v>
      </c>
      <c r="L114" s="230"/>
      <c r="M114" s="233" t="e">
        <v>#N/A</v>
      </c>
      <c r="N114" s="233" t="e">
        <v>#N/A</v>
      </c>
      <c r="O114" s="233" t="e">
        <v>#N/A</v>
      </c>
      <c r="P114" s="233" t="e">
        <v>#N/A</v>
      </c>
      <c r="Q114" s="230"/>
      <c r="R114" s="234" t="e">
        <v>#N/A</v>
      </c>
      <c r="S114" s="234" t="e">
        <v>#N/A</v>
      </c>
      <c r="T114" s="230"/>
      <c r="U114" s="234">
        <v>6.2752930433299534E-2</v>
      </c>
      <c r="V114" s="234" t="e">
        <v>#N/A</v>
      </c>
      <c r="W114" s="234">
        <v>7.3070124614893164E-2</v>
      </c>
      <c r="X114" s="234">
        <v>0.12618671898239944</v>
      </c>
      <c r="Y114" s="234" t="e">
        <v>#N/A</v>
      </c>
      <c r="Z114" s="234" t="e">
        <v>#N/A</v>
      </c>
      <c r="AA114" s="234">
        <v>2.8018223358195826E-2</v>
      </c>
      <c r="AB114" s="234" t="e">
        <v>#N/A</v>
      </c>
      <c r="AC114" s="230"/>
      <c r="AD114" s="232">
        <v>-1374.5596370000001</v>
      </c>
      <c r="AE114" s="232">
        <v>-3135.965944</v>
      </c>
      <c r="AF114" s="232">
        <v>-1761.406307</v>
      </c>
      <c r="AG114" s="232">
        <v>-363.04715099999999</v>
      </c>
      <c r="AH114" s="235">
        <v>-3499.0130949999998</v>
      </c>
      <c r="AI114" s="230"/>
      <c r="AJ114" s="232">
        <v>237.13448199999999</v>
      </c>
      <c r="AK114" s="232" t="e">
        <v>#N/A</v>
      </c>
      <c r="AL114" s="235" t="e">
        <v>#N/A</v>
      </c>
      <c r="AM114" s="230"/>
      <c r="AN114" s="231" t="e">
        <v>#N/A</v>
      </c>
      <c r="AO114" s="232" t="e">
        <v>#N/A</v>
      </c>
      <c r="AP114" s="236" t="e">
        <v>#N/A</v>
      </c>
      <c r="AQ114" s="230"/>
      <c r="AR114" s="237" t="e">
        <v>#N/A</v>
      </c>
      <c r="AS114" s="237" t="e">
        <v>#N/A</v>
      </c>
      <c r="AT114" s="237">
        <v>2.9877689442119997</v>
      </c>
      <c r="AU114" s="230"/>
      <c r="AV114" s="234" t="e">
        <v>#N/A</v>
      </c>
      <c r="AW114" s="234" t="e">
        <v>#N/A</v>
      </c>
      <c r="AX114" s="234" t="e">
        <v>#N/A</v>
      </c>
      <c r="AY114" s="234" t="e">
        <v>#N/A</v>
      </c>
      <c r="AZ114" s="230"/>
      <c r="BA114" s="232">
        <v>67.717453000000006</v>
      </c>
      <c r="BB114" s="230"/>
      <c r="BC114" s="232" t="e">
        <v>#N/A</v>
      </c>
      <c r="BD114" s="232" t="e">
        <v>#N/A</v>
      </c>
      <c r="BE114" s="230"/>
      <c r="BF114" s="238" t="e">
        <v>#N/A</v>
      </c>
      <c r="BG114" s="238" t="e">
        <v>#N/A</v>
      </c>
      <c r="BH114" s="238" t="e">
        <v>#N/A</v>
      </c>
      <c r="BI114" s="230"/>
      <c r="BJ114" s="239" t="e">
        <v>#N/A</v>
      </c>
      <c r="BK114" s="240" t="e">
        <v>#N/A</v>
      </c>
      <c r="BL114" s="230"/>
      <c r="BM114" s="241" t="e">
        <v>#N/A</v>
      </c>
      <c r="BN114" s="241" t="e">
        <v>#N/A</v>
      </c>
      <c r="BO114" s="241" t="e">
        <v>#N/A</v>
      </c>
      <c r="BP114" s="241" t="e">
        <v>#N/A</v>
      </c>
      <c r="BQ114" s="241" t="e">
        <v>#N/A</v>
      </c>
      <c r="BR114" s="241" t="e">
        <v>#N/A</v>
      </c>
      <c r="BS114" s="241" t="e">
        <v>#N/A</v>
      </c>
      <c r="BT114" s="241" t="e">
        <v>#N/A</v>
      </c>
      <c r="BU114" s="241" t="e">
        <v>#N/A</v>
      </c>
      <c r="BV114" s="241" t="e">
        <v>#N/A</v>
      </c>
      <c r="BW114" s="230"/>
      <c r="BX114" s="232" t="e">
        <v>#N/A</v>
      </c>
      <c r="BY114" s="232" t="e">
        <v>#N/A</v>
      </c>
      <c r="BZ114" s="232" t="e">
        <v>#N/A</v>
      </c>
      <c r="CA114" s="232" t="e">
        <v>#N/A</v>
      </c>
      <c r="CB114" s="232" t="e">
        <v>#N/A</v>
      </c>
      <c r="CC114" s="232" t="e">
        <v>#N/A</v>
      </c>
      <c r="CD114" s="232" t="e">
        <v>#N/A</v>
      </c>
      <c r="CE114" s="232" t="e">
        <v>#N/A</v>
      </c>
      <c r="CF114" s="232" t="e">
        <v>#N/A</v>
      </c>
      <c r="CG114" s="232" t="e">
        <v>#N/A</v>
      </c>
      <c r="CH114" s="230"/>
      <c r="CI114" s="232" t="e">
        <v>#N/A</v>
      </c>
      <c r="CJ114" s="232" t="e">
        <v>#N/A</v>
      </c>
      <c r="CK114" s="232" t="e">
        <v>#N/A</v>
      </c>
      <c r="CL114" s="232" t="e">
        <v>#N/A</v>
      </c>
      <c r="CM114" s="232" t="e">
        <v>#N/A</v>
      </c>
      <c r="CN114" s="232" t="e">
        <v>#N/A</v>
      </c>
      <c r="CO114" s="232" t="e">
        <v>#N/A</v>
      </c>
      <c r="CP114" s="232" t="e">
        <v>#N/A</v>
      </c>
      <c r="CQ114" s="232" t="e">
        <v>#N/A</v>
      </c>
      <c r="CR114" s="232" t="e">
        <v>#N/A</v>
      </c>
      <c r="CS114" s="230"/>
      <c r="CT114" s="232" t="e">
        <v>#N/A</v>
      </c>
      <c r="CU114" s="232" t="e">
        <v>#N/A</v>
      </c>
      <c r="CV114" s="232" t="e">
        <v>#N/A</v>
      </c>
      <c r="CW114" s="232" t="e">
        <v>#N/A</v>
      </c>
      <c r="CX114" s="232" t="e">
        <v>#N/A</v>
      </c>
      <c r="CY114" s="232" t="e">
        <v>#N/A</v>
      </c>
      <c r="CZ114" s="232" t="e">
        <v>#N/A</v>
      </c>
      <c r="DA114" s="232" t="e">
        <v>#N/A</v>
      </c>
      <c r="DB114" s="232" t="e">
        <v>#N/A</v>
      </c>
      <c r="DC114" s="232" t="e">
        <v>#N/A</v>
      </c>
      <c r="DD114" s="230"/>
      <c r="DE114" s="232" t="e">
        <v>#N/A</v>
      </c>
      <c r="DF114" s="232" t="e">
        <v>#N/A</v>
      </c>
      <c r="DG114" s="232">
        <v>0</v>
      </c>
      <c r="DH114" s="230"/>
      <c r="DI114" s="230"/>
      <c r="DJ114" s="172"/>
    </row>
    <row r="115" spans="1:114" x14ac:dyDescent="0.25">
      <c r="A115" s="244" t="s">
        <v>796</v>
      </c>
      <c r="B115" s="226" t="s">
        <v>1042</v>
      </c>
      <c r="C115" s="227" t="s">
        <v>1043</v>
      </c>
      <c r="D115" s="228" t="str">
        <f t="shared" si="1"/>
        <v>570451Z IN Equity</v>
      </c>
      <c r="E115" s="229"/>
      <c r="F115" s="230"/>
      <c r="G115" s="231" t="e">
        <v>#N/A</v>
      </c>
      <c r="H115" s="232" t="e">
        <v>#N/A</v>
      </c>
      <c r="I115" s="230"/>
      <c r="J115" s="231" t="e">
        <v>#N/A</v>
      </c>
      <c r="K115" s="232" t="e">
        <v>#N/A</v>
      </c>
      <c r="L115" s="230"/>
      <c r="M115" s="233" t="e">
        <v>#N/A</v>
      </c>
      <c r="N115" s="233" t="e">
        <v>#N/A</v>
      </c>
      <c r="O115" s="233" t="e">
        <v>#N/A</v>
      </c>
      <c r="P115" s="233" t="e">
        <v>#N/A</v>
      </c>
      <c r="Q115" s="230"/>
      <c r="R115" s="234" t="e">
        <v>#N/A</v>
      </c>
      <c r="S115" s="234" t="e">
        <v>#N/A</v>
      </c>
      <c r="T115" s="230"/>
      <c r="U115" s="234" t="e">
        <v>#N/A</v>
      </c>
      <c r="V115" s="234" t="e">
        <v>#N/A</v>
      </c>
      <c r="W115" s="234" t="e">
        <v>#N/A</v>
      </c>
      <c r="X115" s="234" t="e">
        <v>#N/A</v>
      </c>
      <c r="Y115" s="234" t="e">
        <v>#N/A</v>
      </c>
      <c r="Z115" s="234" t="e">
        <v>#N/A</v>
      </c>
      <c r="AA115" s="234" t="e">
        <v>#N/A</v>
      </c>
      <c r="AB115" s="234" t="e">
        <v>#N/A</v>
      </c>
      <c r="AC115" s="230"/>
      <c r="AD115" s="232" t="e">
        <v>#N/A</v>
      </c>
      <c r="AE115" s="232" t="e">
        <v>#N/A</v>
      </c>
      <c r="AF115" s="232" t="e">
        <v>#N/A</v>
      </c>
      <c r="AG115" s="232" t="e">
        <v>#N/A</v>
      </c>
      <c r="AH115" s="235" t="e">
        <v>#N/A</v>
      </c>
      <c r="AI115" s="230"/>
      <c r="AJ115" s="232" t="e">
        <v>#N/A</v>
      </c>
      <c r="AK115" s="232" t="e">
        <v>#N/A</v>
      </c>
      <c r="AL115" s="235" t="e">
        <v>#N/A</v>
      </c>
      <c r="AM115" s="230"/>
      <c r="AN115" s="231" t="e">
        <v>#N/A</v>
      </c>
      <c r="AO115" s="232" t="e">
        <v>#N/A</v>
      </c>
      <c r="AP115" s="236" t="e">
        <v>#N/A</v>
      </c>
      <c r="AQ115" s="230"/>
      <c r="AR115" s="237" t="e">
        <v>#N/A</v>
      </c>
      <c r="AS115" s="237" t="e">
        <v>#N/A</v>
      </c>
      <c r="AT115" s="237" t="e">
        <v>#N/A</v>
      </c>
      <c r="AU115" s="230"/>
      <c r="AV115" s="234" t="e">
        <v>#N/A</v>
      </c>
      <c r="AW115" s="234" t="e">
        <v>#N/A</v>
      </c>
      <c r="AX115" s="234" t="e">
        <v>#N/A</v>
      </c>
      <c r="AY115" s="234" t="e">
        <v>#N/A</v>
      </c>
      <c r="AZ115" s="230"/>
      <c r="BA115" s="232" t="e">
        <v>#N/A</v>
      </c>
      <c r="BB115" s="230"/>
      <c r="BC115" s="232" t="e">
        <v>#N/A</v>
      </c>
      <c r="BD115" s="232" t="e">
        <v>#N/A</v>
      </c>
      <c r="BE115" s="230"/>
      <c r="BF115" s="238" t="e">
        <v>#N/A</v>
      </c>
      <c r="BG115" s="238" t="e">
        <v>#N/A</v>
      </c>
      <c r="BH115" s="238" t="e">
        <v>#N/A</v>
      </c>
      <c r="BI115" s="230"/>
      <c r="BJ115" s="239" t="e">
        <v>#N/A</v>
      </c>
      <c r="BK115" s="240" t="e">
        <v>#N/A</v>
      </c>
      <c r="BL115" s="230"/>
      <c r="BM115" s="241" t="e">
        <v>#N/A</v>
      </c>
      <c r="BN115" s="241" t="e">
        <v>#N/A</v>
      </c>
      <c r="BO115" s="241" t="e">
        <v>#N/A</v>
      </c>
      <c r="BP115" s="241" t="e">
        <v>#N/A</v>
      </c>
      <c r="BQ115" s="241" t="e">
        <v>#N/A</v>
      </c>
      <c r="BR115" s="241" t="e">
        <v>#N/A</v>
      </c>
      <c r="BS115" s="241" t="e">
        <v>#N/A</v>
      </c>
      <c r="BT115" s="241" t="e">
        <v>#N/A</v>
      </c>
      <c r="BU115" s="241" t="e">
        <v>#N/A</v>
      </c>
      <c r="BV115" s="241" t="e">
        <v>#N/A</v>
      </c>
      <c r="BW115" s="230"/>
      <c r="BX115" s="232" t="e">
        <v>#N/A</v>
      </c>
      <c r="BY115" s="232" t="e">
        <v>#N/A</v>
      </c>
      <c r="BZ115" s="232" t="e">
        <v>#N/A</v>
      </c>
      <c r="CA115" s="232" t="e">
        <v>#N/A</v>
      </c>
      <c r="CB115" s="232" t="e">
        <v>#N/A</v>
      </c>
      <c r="CC115" s="232" t="e">
        <v>#N/A</v>
      </c>
      <c r="CD115" s="232" t="e">
        <v>#N/A</v>
      </c>
      <c r="CE115" s="232" t="e">
        <v>#N/A</v>
      </c>
      <c r="CF115" s="232" t="e">
        <v>#N/A</v>
      </c>
      <c r="CG115" s="232" t="e">
        <v>#N/A</v>
      </c>
      <c r="CH115" s="230"/>
      <c r="CI115" s="232" t="e">
        <v>#N/A</v>
      </c>
      <c r="CJ115" s="232" t="e">
        <v>#N/A</v>
      </c>
      <c r="CK115" s="232" t="e">
        <v>#N/A</v>
      </c>
      <c r="CL115" s="232" t="e">
        <v>#N/A</v>
      </c>
      <c r="CM115" s="232" t="e">
        <v>#N/A</v>
      </c>
      <c r="CN115" s="232" t="e">
        <v>#N/A</v>
      </c>
      <c r="CO115" s="232" t="e">
        <v>#N/A</v>
      </c>
      <c r="CP115" s="232" t="e">
        <v>#N/A</v>
      </c>
      <c r="CQ115" s="232" t="e">
        <v>#N/A</v>
      </c>
      <c r="CR115" s="232" t="e">
        <v>#N/A</v>
      </c>
      <c r="CS115" s="230"/>
      <c r="CT115" s="232" t="e">
        <v>#N/A</v>
      </c>
      <c r="CU115" s="232" t="e">
        <v>#N/A</v>
      </c>
      <c r="CV115" s="232" t="e">
        <v>#N/A</v>
      </c>
      <c r="CW115" s="232" t="e">
        <v>#N/A</v>
      </c>
      <c r="CX115" s="232" t="e">
        <v>#N/A</v>
      </c>
      <c r="CY115" s="232" t="e">
        <v>#N/A</v>
      </c>
      <c r="CZ115" s="232" t="e">
        <v>#N/A</v>
      </c>
      <c r="DA115" s="232" t="e">
        <v>#N/A</v>
      </c>
      <c r="DB115" s="232" t="e">
        <v>#N/A</v>
      </c>
      <c r="DC115" s="232" t="e">
        <v>#N/A</v>
      </c>
      <c r="DD115" s="230"/>
      <c r="DE115" s="232" t="e">
        <v>#N/A</v>
      </c>
      <c r="DF115" s="232" t="e">
        <v>#N/A</v>
      </c>
      <c r="DG115" s="232" t="e">
        <v>#N/A</v>
      </c>
      <c r="DH115" s="230"/>
      <c r="DI115" s="230"/>
      <c r="DJ115" s="172"/>
    </row>
    <row r="116" spans="1:114" x14ac:dyDescent="0.25">
      <c r="A116" s="244" t="s">
        <v>796</v>
      </c>
      <c r="B116" s="226" t="s">
        <v>1044</v>
      </c>
      <c r="C116" s="227" t="s">
        <v>1045</v>
      </c>
      <c r="D116" s="228" t="str">
        <f t="shared" si="1"/>
        <v>1368744D IN Equity</v>
      </c>
      <c r="E116" s="229"/>
      <c r="F116" s="230"/>
      <c r="G116" s="231" t="e">
        <v>#N/A</v>
      </c>
      <c r="H116" s="232" t="e">
        <v>#N/A</v>
      </c>
      <c r="I116" s="230"/>
      <c r="J116" s="231" t="e">
        <v>#N/A</v>
      </c>
      <c r="K116" s="232" t="e">
        <v>#N/A</v>
      </c>
      <c r="L116" s="230"/>
      <c r="M116" s="233" t="e">
        <v>#N/A</v>
      </c>
      <c r="N116" s="233" t="e">
        <v>#N/A</v>
      </c>
      <c r="O116" s="233" t="e">
        <v>#N/A</v>
      </c>
      <c r="P116" s="233" t="e">
        <v>#N/A</v>
      </c>
      <c r="Q116" s="230"/>
      <c r="R116" s="234" t="e">
        <v>#N/A</v>
      </c>
      <c r="S116" s="234" t="e">
        <v>#N/A</v>
      </c>
      <c r="T116" s="230"/>
      <c r="U116" s="234">
        <v>3.4995625546806651E-2</v>
      </c>
      <c r="V116" s="234" t="e">
        <v>#N/A</v>
      </c>
      <c r="W116" s="234">
        <v>3.8847523470378766E-2</v>
      </c>
      <c r="X116" s="234" t="e">
        <v>#N/A</v>
      </c>
      <c r="Y116" s="234">
        <v>-0.46215362539482546</v>
      </c>
      <c r="Z116" s="234">
        <v>-0.62390739428301445</v>
      </c>
      <c r="AA116" s="234">
        <v>-0.45341290311704507</v>
      </c>
      <c r="AB116" s="234">
        <v>4.7274164921223737E-2</v>
      </c>
      <c r="AC116" s="230"/>
      <c r="AD116" s="232">
        <v>-66.7</v>
      </c>
      <c r="AE116" s="232">
        <v>-66.7</v>
      </c>
      <c r="AF116" s="232">
        <v>0</v>
      </c>
      <c r="AG116" s="232">
        <v>-8.6</v>
      </c>
      <c r="AH116" s="235">
        <v>-75.3</v>
      </c>
      <c r="AI116" s="230"/>
      <c r="AJ116" s="232">
        <v>319.10000000000002</v>
      </c>
      <c r="AK116" s="232">
        <v>9.3000000000000007</v>
      </c>
      <c r="AL116" s="235">
        <v>328.4</v>
      </c>
      <c r="AM116" s="230"/>
      <c r="AN116" s="231">
        <v>3.186720900000001</v>
      </c>
      <c r="AO116" s="232">
        <v>261.70000000000005</v>
      </c>
      <c r="AP116" s="236" t="e">
        <v>#N/A</v>
      </c>
      <c r="AQ116" s="230"/>
      <c r="AR116" s="237" t="e">
        <v>#N/A</v>
      </c>
      <c r="AS116" s="237" t="e">
        <v>#N/A</v>
      </c>
      <c r="AT116" s="237" t="e">
        <v>#N/A</v>
      </c>
      <c r="AU116" s="230"/>
      <c r="AV116" s="234" t="e">
        <v>#N/A</v>
      </c>
      <c r="AW116" s="234" t="e">
        <v>#N/A</v>
      </c>
      <c r="AX116" s="234" t="e">
        <v>#N/A</v>
      </c>
      <c r="AY116" s="234" t="e">
        <v>#N/A</v>
      </c>
      <c r="AZ116" s="230"/>
      <c r="BA116" s="232">
        <v>1</v>
      </c>
      <c r="BB116" s="230"/>
      <c r="BC116" s="232" t="e">
        <v>#N/A</v>
      </c>
      <c r="BD116" s="232" t="e">
        <v>#N/A</v>
      </c>
      <c r="BE116" s="230"/>
      <c r="BF116" s="238" t="e">
        <v>#N/A</v>
      </c>
      <c r="BG116" s="238" t="e">
        <v>#N/A</v>
      </c>
      <c r="BH116" s="238" t="e">
        <v>#N/A</v>
      </c>
      <c r="BI116" s="230"/>
      <c r="BJ116" s="239" t="e">
        <v>#N/A</v>
      </c>
      <c r="BK116" s="240" t="e">
        <v>#N/A</v>
      </c>
      <c r="BL116" s="230"/>
      <c r="BM116" s="241">
        <v>-25.52</v>
      </c>
      <c r="BN116" s="241">
        <v>0.53</v>
      </c>
      <c r="BO116" s="241">
        <v>24.37</v>
      </c>
      <c r="BP116" s="241">
        <v>1.41</v>
      </c>
      <c r="BQ116" s="241" t="e">
        <v>#N/A</v>
      </c>
      <c r="BR116" s="241" t="e">
        <v>#N/A</v>
      </c>
      <c r="BS116" s="241" t="e">
        <v>#N/A</v>
      </c>
      <c r="BT116" s="241" t="e">
        <v>#N/A</v>
      </c>
      <c r="BU116" s="241" t="e">
        <v>#N/A</v>
      </c>
      <c r="BV116" s="241" t="e">
        <v>#N/A</v>
      </c>
      <c r="BW116" s="230"/>
      <c r="BX116" s="232">
        <v>-109.716241</v>
      </c>
      <c r="BY116" s="232">
        <v>2.2790140000000001</v>
      </c>
      <c r="BZ116" s="232">
        <v>104.8</v>
      </c>
      <c r="CA116" s="232">
        <v>6</v>
      </c>
      <c r="CB116" s="232" t="e">
        <v>#N/A</v>
      </c>
      <c r="CC116" s="232" t="e">
        <v>#N/A</v>
      </c>
      <c r="CD116" s="232" t="e">
        <v>#N/A</v>
      </c>
      <c r="CE116" s="232" t="e">
        <v>#N/A</v>
      </c>
      <c r="CF116" s="232" t="e">
        <v>#N/A</v>
      </c>
      <c r="CG116" s="232" t="e">
        <v>#N/A</v>
      </c>
      <c r="CH116" s="230"/>
      <c r="CI116" s="232">
        <v>-583.23409900000001</v>
      </c>
      <c r="CJ116" s="232">
        <v>-211.78531699999999</v>
      </c>
      <c r="CK116" s="232">
        <v>-189.6</v>
      </c>
      <c r="CL116" s="232">
        <v>-217.10000000000002</v>
      </c>
      <c r="CM116" s="232" t="e">
        <v>#N/A</v>
      </c>
      <c r="CN116" s="232" t="e">
        <v>#N/A</v>
      </c>
      <c r="CO116" s="232" t="e">
        <v>#N/A</v>
      </c>
      <c r="CP116" s="232" t="e">
        <v>#N/A</v>
      </c>
      <c r="CQ116" s="232" t="e">
        <v>#N/A</v>
      </c>
      <c r="CR116" s="232" t="e">
        <v>#N/A</v>
      </c>
      <c r="CS116" s="230"/>
      <c r="CT116" s="232">
        <v>2744.7504490000001</v>
      </c>
      <c r="CU116" s="232">
        <v>1966.0947860000001</v>
      </c>
      <c r="CV116" s="232">
        <v>1472.2</v>
      </c>
      <c r="CW116" s="232">
        <v>1579.5</v>
      </c>
      <c r="CX116" s="232" t="e">
        <v>#N/A</v>
      </c>
      <c r="CY116" s="232" t="e">
        <v>#N/A</v>
      </c>
      <c r="CZ116" s="232" t="e">
        <v>#N/A</v>
      </c>
      <c r="DA116" s="232" t="e">
        <v>#N/A</v>
      </c>
      <c r="DB116" s="232" t="e">
        <v>#N/A</v>
      </c>
      <c r="DC116" s="232" t="e">
        <v>#N/A</v>
      </c>
      <c r="DD116" s="230"/>
      <c r="DE116" s="232" t="e">
        <v>#N/A</v>
      </c>
      <c r="DF116" s="232">
        <v>0</v>
      </c>
      <c r="DG116" s="232">
        <v>0</v>
      </c>
      <c r="DH116" s="230"/>
      <c r="DI116" s="230"/>
      <c r="DJ116" s="172"/>
    </row>
    <row r="117" spans="1:114" ht="14.4" x14ac:dyDescent="0.25">
      <c r="A117" s="244" t="s">
        <v>796</v>
      </c>
      <c r="B117" s="226" t="s">
        <v>1046</v>
      </c>
      <c r="C117" s="243" t="s">
        <v>1047</v>
      </c>
      <c r="D117" s="228" t="str">
        <f t="shared" si="1"/>
        <v>3403549Z IN Equity</v>
      </c>
      <c r="E117" s="229"/>
      <c r="F117" s="230"/>
      <c r="G117" s="231" t="e">
        <v>#N/A</v>
      </c>
      <c r="H117" s="232" t="e">
        <v>#N/A</v>
      </c>
      <c r="I117" s="230"/>
      <c r="J117" s="231" t="e">
        <v>#N/A</v>
      </c>
      <c r="K117" s="232" t="e">
        <v>#N/A</v>
      </c>
      <c r="L117" s="230"/>
      <c r="M117" s="233" t="e">
        <v>#N/A</v>
      </c>
      <c r="N117" s="233" t="e">
        <v>#N/A</v>
      </c>
      <c r="O117" s="233" t="e">
        <v>#N/A</v>
      </c>
      <c r="P117" s="233" t="e">
        <v>#N/A</v>
      </c>
      <c r="Q117" s="230"/>
      <c r="R117" s="234" t="e">
        <v>#N/A</v>
      </c>
      <c r="S117" s="234" t="e">
        <v>#N/A</v>
      </c>
      <c r="T117" s="230"/>
      <c r="U117" s="234" t="e">
        <v>#N/A</v>
      </c>
      <c r="V117" s="234" t="e">
        <v>#N/A</v>
      </c>
      <c r="W117" s="234" t="e">
        <v>#N/A</v>
      </c>
      <c r="X117" s="234" t="e">
        <v>#N/A</v>
      </c>
      <c r="Y117" s="234" t="e">
        <v>#N/A</v>
      </c>
      <c r="Z117" s="234" t="e">
        <v>#N/A</v>
      </c>
      <c r="AA117" s="234" t="e">
        <v>#N/A</v>
      </c>
      <c r="AB117" s="234" t="e">
        <v>#N/A</v>
      </c>
      <c r="AC117" s="230"/>
      <c r="AD117" s="232" t="e">
        <v>#N/A</v>
      </c>
      <c r="AE117" s="232" t="e">
        <v>#N/A</v>
      </c>
      <c r="AF117" s="232" t="e">
        <v>#N/A</v>
      </c>
      <c r="AG117" s="232" t="e">
        <v>#N/A</v>
      </c>
      <c r="AH117" s="235" t="e">
        <v>#N/A</v>
      </c>
      <c r="AI117" s="230"/>
      <c r="AJ117" s="232" t="e">
        <v>#N/A</v>
      </c>
      <c r="AK117" s="232" t="e">
        <v>#N/A</v>
      </c>
      <c r="AL117" s="235" t="e">
        <v>#N/A</v>
      </c>
      <c r="AM117" s="230"/>
      <c r="AN117" s="231" t="e">
        <v>#N/A</v>
      </c>
      <c r="AO117" s="232" t="e">
        <v>#N/A</v>
      </c>
      <c r="AP117" s="236" t="e">
        <v>#N/A</v>
      </c>
      <c r="AQ117" s="230"/>
      <c r="AR117" s="237" t="e">
        <v>#N/A</v>
      </c>
      <c r="AS117" s="237" t="e">
        <v>#N/A</v>
      </c>
      <c r="AT117" s="237" t="e">
        <v>#N/A</v>
      </c>
      <c r="AU117" s="230"/>
      <c r="AV117" s="234" t="e">
        <v>#N/A</v>
      </c>
      <c r="AW117" s="234" t="e">
        <v>#N/A</v>
      </c>
      <c r="AX117" s="234" t="e">
        <v>#N/A</v>
      </c>
      <c r="AY117" s="234" t="e">
        <v>#N/A</v>
      </c>
      <c r="AZ117" s="230"/>
      <c r="BA117" s="232" t="e">
        <v>#N/A</v>
      </c>
      <c r="BB117" s="230"/>
      <c r="BC117" s="232" t="e">
        <v>#N/A</v>
      </c>
      <c r="BD117" s="232" t="e">
        <v>#N/A</v>
      </c>
      <c r="BE117" s="230"/>
      <c r="BF117" s="238" t="e">
        <v>#N/A</v>
      </c>
      <c r="BG117" s="238" t="e">
        <v>#N/A</v>
      </c>
      <c r="BH117" s="238" t="e">
        <v>#N/A</v>
      </c>
      <c r="BI117" s="230"/>
      <c r="BJ117" s="239" t="e">
        <v>#N/A</v>
      </c>
      <c r="BK117" s="240" t="e">
        <v>#N/A</v>
      </c>
      <c r="BL117" s="230"/>
      <c r="BM117" s="241" t="e">
        <v>#N/A</v>
      </c>
      <c r="BN117" s="241" t="e">
        <v>#N/A</v>
      </c>
      <c r="BO117" s="241" t="e">
        <v>#N/A</v>
      </c>
      <c r="BP117" s="241" t="e">
        <v>#N/A</v>
      </c>
      <c r="BQ117" s="241" t="e">
        <v>#N/A</v>
      </c>
      <c r="BR117" s="241" t="e">
        <v>#N/A</v>
      </c>
      <c r="BS117" s="241" t="e">
        <v>#N/A</v>
      </c>
      <c r="BT117" s="241" t="e">
        <v>#N/A</v>
      </c>
      <c r="BU117" s="241" t="e">
        <v>#N/A</v>
      </c>
      <c r="BV117" s="241" t="e">
        <v>#N/A</v>
      </c>
      <c r="BW117" s="230"/>
      <c r="BX117" s="232" t="e">
        <v>#N/A</v>
      </c>
      <c r="BY117" s="232" t="e">
        <v>#N/A</v>
      </c>
      <c r="BZ117" s="232" t="e">
        <v>#N/A</v>
      </c>
      <c r="CA117" s="232" t="e">
        <v>#N/A</v>
      </c>
      <c r="CB117" s="232" t="e">
        <v>#N/A</v>
      </c>
      <c r="CC117" s="232" t="e">
        <v>#N/A</v>
      </c>
      <c r="CD117" s="232" t="e">
        <v>#N/A</v>
      </c>
      <c r="CE117" s="232" t="e">
        <v>#N/A</v>
      </c>
      <c r="CF117" s="232" t="e">
        <v>#N/A</v>
      </c>
      <c r="CG117" s="232" t="e">
        <v>#N/A</v>
      </c>
      <c r="CH117" s="230"/>
      <c r="CI117" s="232" t="e">
        <v>#N/A</v>
      </c>
      <c r="CJ117" s="232" t="e">
        <v>#N/A</v>
      </c>
      <c r="CK117" s="232" t="e">
        <v>#N/A</v>
      </c>
      <c r="CL117" s="232" t="e">
        <v>#N/A</v>
      </c>
      <c r="CM117" s="232" t="e">
        <v>#N/A</v>
      </c>
      <c r="CN117" s="232" t="e">
        <v>#N/A</v>
      </c>
      <c r="CO117" s="232" t="e">
        <v>#N/A</v>
      </c>
      <c r="CP117" s="232" t="e">
        <v>#N/A</v>
      </c>
      <c r="CQ117" s="232" t="e">
        <v>#N/A</v>
      </c>
      <c r="CR117" s="232" t="e">
        <v>#N/A</v>
      </c>
      <c r="CS117" s="230"/>
      <c r="CT117" s="232" t="e">
        <v>#N/A</v>
      </c>
      <c r="CU117" s="232" t="e">
        <v>#N/A</v>
      </c>
      <c r="CV117" s="232" t="e">
        <v>#N/A</v>
      </c>
      <c r="CW117" s="232" t="e">
        <v>#N/A</v>
      </c>
      <c r="CX117" s="232" t="e">
        <v>#N/A</v>
      </c>
      <c r="CY117" s="232" t="e">
        <v>#N/A</v>
      </c>
      <c r="CZ117" s="232" t="e">
        <v>#N/A</v>
      </c>
      <c r="DA117" s="232" t="e">
        <v>#N/A</v>
      </c>
      <c r="DB117" s="232" t="e">
        <v>#N/A</v>
      </c>
      <c r="DC117" s="232" t="e">
        <v>#N/A</v>
      </c>
      <c r="DD117" s="230"/>
      <c r="DE117" s="232" t="e">
        <v>#N/A</v>
      </c>
      <c r="DF117" s="232" t="e">
        <v>#N/A</v>
      </c>
      <c r="DG117" s="232" t="e">
        <v>#N/A</v>
      </c>
      <c r="DH117" s="230"/>
      <c r="DI117" s="230"/>
      <c r="DJ117" s="172"/>
    </row>
    <row r="118" spans="1:114" x14ac:dyDescent="0.25">
      <c r="A118" s="244" t="s">
        <v>796</v>
      </c>
      <c r="B118" s="226" t="s">
        <v>1048</v>
      </c>
      <c r="C118" s="227" t="s">
        <v>1049</v>
      </c>
      <c r="D118" s="228" t="str">
        <f t="shared" si="1"/>
        <v>1021Z IN Equity</v>
      </c>
      <c r="E118" s="229"/>
      <c r="F118" s="230"/>
      <c r="G118" s="231" t="e">
        <v>#N/A</v>
      </c>
      <c r="H118" s="232" t="e">
        <v>#N/A</v>
      </c>
      <c r="I118" s="230"/>
      <c r="J118" s="231" t="e">
        <v>#N/A</v>
      </c>
      <c r="K118" s="232" t="e">
        <v>#N/A</v>
      </c>
      <c r="L118" s="230"/>
      <c r="M118" s="233" t="e">
        <v>#N/A</v>
      </c>
      <c r="N118" s="233" t="e">
        <v>#N/A</v>
      </c>
      <c r="O118" s="233" t="e">
        <v>#N/A</v>
      </c>
      <c r="P118" s="233" t="e">
        <v>#N/A</v>
      </c>
      <c r="Q118" s="230"/>
      <c r="R118" s="234" t="e">
        <v>#N/A</v>
      </c>
      <c r="S118" s="234" t="e">
        <v>#N/A</v>
      </c>
      <c r="T118" s="230"/>
      <c r="U118" s="234" t="e">
        <v>#N/A</v>
      </c>
      <c r="V118" s="234" t="e">
        <v>#N/A</v>
      </c>
      <c r="W118" s="234" t="e">
        <v>#N/A</v>
      </c>
      <c r="X118" s="234" t="e">
        <v>#N/A</v>
      </c>
      <c r="Y118" s="234" t="e">
        <v>#N/A</v>
      </c>
      <c r="Z118" s="234" t="e">
        <v>#N/A</v>
      </c>
      <c r="AA118" s="234" t="e">
        <v>#N/A</v>
      </c>
      <c r="AB118" s="234" t="e">
        <v>#N/A</v>
      </c>
      <c r="AC118" s="230"/>
      <c r="AD118" s="232" t="e">
        <v>#N/A</v>
      </c>
      <c r="AE118" s="232" t="e">
        <v>#N/A</v>
      </c>
      <c r="AF118" s="232" t="e">
        <v>#N/A</v>
      </c>
      <c r="AG118" s="232" t="e">
        <v>#N/A</v>
      </c>
      <c r="AH118" s="235" t="e">
        <v>#N/A</v>
      </c>
      <c r="AI118" s="230"/>
      <c r="AJ118" s="232" t="e">
        <v>#N/A</v>
      </c>
      <c r="AK118" s="232" t="e">
        <v>#N/A</v>
      </c>
      <c r="AL118" s="235" t="e">
        <v>#N/A</v>
      </c>
      <c r="AM118" s="230"/>
      <c r="AN118" s="231" t="e">
        <v>#N/A</v>
      </c>
      <c r="AO118" s="232" t="e">
        <v>#N/A</v>
      </c>
      <c r="AP118" s="236" t="e">
        <v>#N/A</v>
      </c>
      <c r="AQ118" s="230"/>
      <c r="AR118" s="237" t="e">
        <v>#N/A</v>
      </c>
      <c r="AS118" s="237" t="e">
        <v>#N/A</v>
      </c>
      <c r="AT118" s="237" t="e">
        <v>#N/A</v>
      </c>
      <c r="AU118" s="230"/>
      <c r="AV118" s="234" t="e">
        <v>#N/A</v>
      </c>
      <c r="AW118" s="234" t="e">
        <v>#N/A</v>
      </c>
      <c r="AX118" s="234" t="e">
        <v>#N/A</v>
      </c>
      <c r="AY118" s="234" t="e">
        <v>#N/A</v>
      </c>
      <c r="AZ118" s="230"/>
      <c r="BA118" s="232" t="e">
        <v>#N/A</v>
      </c>
      <c r="BB118" s="230"/>
      <c r="BC118" s="232" t="e">
        <v>#N/A</v>
      </c>
      <c r="BD118" s="232" t="e">
        <v>#N/A</v>
      </c>
      <c r="BE118" s="230"/>
      <c r="BF118" s="238" t="e">
        <v>#N/A</v>
      </c>
      <c r="BG118" s="238" t="e">
        <v>#N/A</v>
      </c>
      <c r="BH118" s="238" t="e">
        <v>#N/A</v>
      </c>
      <c r="BI118" s="230"/>
      <c r="BJ118" s="239" t="e">
        <v>#N/A</v>
      </c>
      <c r="BK118" s="240" t="e">
        <v>#N/A</v>
      </c>
      <c r="BL118" s="230"/>
      <c r="BM118" s="241" t="e">
        <v>#N/A</v>
      </c>
      <c r="BN118" s="241" t="e">
        <v>#N/A</v>
      </c>
      <c r="BO118" s="241" t="e">
        <v>#N/A</v>
      </c>
      <c r="BP118" s="241" t="e">
        <v>#N/A</v>
      </c>
      <c r="BQ118" s="241" t="e">
        <v>#N/A</v>
      </c>
      <c r="BR118" s="241" t="e">
        <v>#N/A</v>
      </c>
      <c r="BS118" s="241" t="e">
        <v>#N/A</v>
      </c>
      <c r="BT118" s="241" t="e">
        <v>#N/A</v>
      </c>
      <c r="BU118" s="241" t="e">
        <v>#N/A</v>
      </c>
      <c r="BV118" s="241" t="e">
        <v>#N/A</v>
      </c>
      <c r="BW118" s="230"/>
      <c r="BX118" s="232" t="e">
        <v>#N/A</v>
      </c>
      <c r="BY118" s="232" t="e">
        <v>#N/A</v>
      </c>
      <c r="BZ118" s="232" t="e">
        <v>#N/A</v>
      </c>
      <c r="CA118" s="232" t="e">
        <v>#N/A</v>
      </c>
      <c r="CB118" s="232" t="e">
        <v>#N/A</v>
      </c>
      <c r="CC118" s="232" t="e">
        <v>#N/A</v>
      </c>
      <c r="CD118" s="232" t="e">
        <v>#N/A</v>
      </c>
      <c r="CE118" s="232" t="e">
        <v>#N/A</v>
      </c>
      <c r="CF118" s="232" t="e">
        <v>#N/A</v>
      </c>
      <c r="CG118" s="232" t="e">
        <v>#N/A</v>
      </c>
      <c r="CH118" s="230"/>
      <c r="CI118" s="232" t="e">
        <v>#N/A</v>
      </c>
      <c r="CJ118" s="232" t="e">
        <v>#N/A</v>
      </c>
      <c r="CK118" s="232" t="e">
        <v>#N/A</v>
      </c>
      <c r="CL118" s="232" t="e">
        <v>#N/A</v>
      </c>
      <c r="CM118" s="232" t="e">
        <v>#N/A</v>
      </c>
      <c r="CN118" s="232" t="e">
        <v>#N/A</v>
      </c>
      <c r="CO118" s="232" t="e">
        <v>#N/A</v>
      </c>
      <c r="CP118" s="232" t="e">
        <v>#N/A</v>
      </c>
      <c r="CQ118" s="232" t="e">
        <v>#N/A</v>
      </c>
      <c r="CR118" s="232" t="e">
        <v>#N/A</v>
      </c>
      <c r="CS118" s="230"/>
      <c r="CT118" s="232" t="e">
        <v>#N/A</v>
      </c>
      <c r="CU118" s="232" t="e">
        <v>#N/A</v>
      </c>
      <c r="CV118" s="232" t="e">
        <v>#N/A</v>
      </c>
      <c r="CW118" s="232" t="e">
        <v>#N/A</v>
      </c>
      <c r="CX118" s="232" t="e">
        <v>#N/A</v>
      </c>
      <c r="CY118" s="232" t="e">
        <v>#N/A</v>
      </c>
      <c r="CZ118" s="232" t="e">
        <v>#N/A</v>
      </c>
      <c r="DA118" s="232" t="e">
        <v>#N/A</v>
      </c>
      <c r="DB118" s="232" t="e">
        <v>#N/A</v>
      </c>
      <c r="DC118" s="232" t="e">
        <v>#N/A</v>
      </c>
      <c r="DD118" s="230"/>
      <c r="DE118" s="232" t="e">
        <v>#N/A</v>
      </c>
      <c r="DF118" s="232" t="e">
        <v>#N/A</v>
      </c>
      <c r="DG118" s="232" t="e">
        <v>#N/A</v>
      </c>
      <c r="DH118" s="230"/>
      <c r="DI118" s="230"/>
      <c r="DJ118" s="172"/>
    </row>
    <row r="119" spans="1:114" x14ac:dyDescent="0.25">
      <c r="A119" s="244" t="s">
        <v>796</v>
      </c>
      <c r="B119" s="226" t="s">
        <v>1050</v>
      </c>
      <c r="C119" s="227" t="s">
        <v>1051</v>
      </c>
      <c r="D119" s="228" t="str">
        <f t="shared" si="1"/>
        <v>840649Z IN Equity</v>
      </c>
      <c r="E119" s="229"/>
      <c r="F119" s="230"/>
      <c r="G119" s="231" t="e">
        <v>#N/A</v>
      </c>
      <c r="H119" s="232" t="e">
        <v>#N/A</v>
      </c>
      <c r="I119" s="230"/>
      <c r="J119" s="231" t="e">
        <v>#N/A</v>
      </c>
      <c r="K119" s="232" t="e">
        <v>#N/A</v>
      </c>
      <c r="L119" s="230"/>
      <c r="M119" s="233" t="e">
        <v>#N/A</v>
      </c>
      <c r="N119" s="233" t="e">
        <v>#N/A</v>
      </c>
      <c r="O119" s="233" t="e">
        <v>#N/A</v>
      </c>
      <c r="P119" s="233" t="e">
        <v>#N/A</v>
      </c>
      <c r="Q119" s="230"/>
      <c r="R119" s="234" t="e">
        <v>#N/A</v>
      </c>
      <c r="S119" s="234" t="e">
        <v>#N/A</v>
      </c>
      <c r="T119" s="230"/>
      <c r="U119" s="234">
        <v>0.11707022249083972</v>
      </c>
      <c r="V119" s="234" t="e">
        <v>#N/A</v>
      </c>
      <c r="W119" s="234">
        <v>0.11707464490782714</v>
      </c>
      <c r="X119" s="234">
        <v>0.11805847858446841</v>
      </c>
      <c r="Y119" s="234">
        <v>0.1085258289622609</v>
      </c>
      <c r="Z119" s="234">
        <v>0.14781531660283162</v>
      </c>
      <c r="AA119" s="234">
        <v>9.7485135684756918E-2</v>
      </c>
      <c r="AB119" s="234">
        <v>0.11930002583781771</v>
      </c>
      <c r="AC119" s="230"/>
      <c r="AD119" s="232">
        <v>-10999</v>
      </c>
      <c r="AE119" s="232">
        <v>-14063.2</v>
      </c>
      <c r="AF119" s="232">
        <v>-3064.2</v>
      </c>
      <c r="AG119" s="232">
        <v>0</v>
      </c>
      <c r="AH119" s="235">
        <v>-14063.2</v>
      </c>
      <c r="AI119" s="230"/>
      <c r="AJ119" s="232">
        <v>0</v>
      </c>
      <c r="AK119" s="232">
        <v>0</v>
      </c>
      <c r="AL119" s="235">
        <v>0</v>
      </c>
      <c r="AM119" s="230"/>
      <c r="AN119" s="231">
        <v>-189.40317760000002</v>
      </c>
      <c r="AO119" s="232">
        <v>-14063.2</v>
      </c>
      <c r="AP119" s="236">
        <v>-6.7336365812784296</v>
      </c>
      <c r="AQ119" s="230"/>
      <c r="AR119" s="237" t="e">
        <v>#N/A</v>
      </c>
      <c r="AS119" s="237">
        <v>239.33330000000001</v>
      </c>
      <c r="AT119" s="237">
        <v>239.33330000000001</v>
      </c>
      <c r="AU119" s="230"/>
      <c r="AV119" s="234" t="e">
        <v>#N/A</v>
      </c>
      <c r="AW119" s="234" t="e">
        <v>#N/A</v>
      </c>
      <c r="AX119" s="234" t="e">
        <v>#N/A</v>
      </c>
      <c r="AY119" s="234" t="e">
        <v>#N/A</v>
      </c>
      <c r="AZ119" s="230"/>
      <c r="BA119" s="232" t="e">
        <v>#N/A</v>
      </c>
      <c r="BB119" s="230"/>
      <c r="BC119" s="232" t="e">
        <v>#N/A</v>
      </c>
      <c r="BD119" s="232">
        <v>0</v>
      </c>
      <c r="BE119" s="230"/>
      <c r="BF119" s="238" t="e">
        <v>#N/A</v>
      </c>
      <c r="BG119" s="238" t="e">
        <v>#N/A</v>
      </c>
      <c r="BH119" s="238" t="e">
        <v>#N/A</v>
      </c>
      <c r="BI119" s="230"/>
      <c r="BJ119" s="239" t="e">
        <v>#N/A</v>
      </c>
      <c r="BK119" s="240" t="e">
        <v>#N/A</v>
      </c>
      <c r="BL119" s="230"/>
      <c r="BM119" s="241">
        <v>9.2440540000000002</v>
      </c>
      <c r="BN119" s="241">
        <v>6.47</v>
      </c>
      <c r="BO119" s="241" t="e">
        <v>#N/A</v>
      </c>
      <c r="BP119" s="241" t="e">
        <v>#N/A</v>
      </c>
      <c r="BQ119" s="241" t="e">
        <v>#N/A</v>
      </c>
      <c r="BR119" s="241" t="e">
        <v>#N/A</v>
      </c>
      <c r="BS119" s="241" t="e">
        <v>#N/A</v>
      </c>
      <c r="BT119" s="241" t="e">
        <v>#N/A</v>
      </c>
      <c r="BU119" s="241" t="e">
        <v>#N/A</v>
      </c>
      <c r="BV119" s="241" t="e">
        <v>#N/A</v>
      </c>
      <c r="BW119" s="230"/>
      <c r="BX119" s="232">
        <v>2212.41</v>
      </c>
      <c r="BY119" s="232">
        <v>1549.6</v>
      </c>
      <c r="BZ119" s="232" t="e">
        <v>#N/A</v>
      </c>
      <c r="CA119" s="232" t="e">
        <v>#N/A</v>
      </c>
      <c r="CB119" s="232" t="e">
        <v>#N/A</v>
      </c>
      <c r="CC119" s="232" t="e">
        <v>#N/A</v>
      </c>
      <c r="CD119" s="232" t="e">
        <v>#N/A</v>
      </c>
      <c r="CE119" s="232" t="e">
        <v>#N/A</v>
      </c>
      <c r="CF119" s="232" t="e">
        <v>#N/A</v>
      </c>
      <c r="CG119" s="232" t="e">
        <v>#N/A</v>
      </c>
      <c r="CH119" s="230"/>
      <c r="CI119" s="232">
        <v>3155.9</v>
      </c>
      <c r="CJ119" s="232">
        <v>2088.5</v>
      </c>
      <c r="CK119" s="232" t="e">
        <v>#N/A</v>
      </c>
      <c r="CL119" s="232" t="e">
        <v>#N/A</v>
      </c>
      <c r="CM119" s="232" t="e">
        <v>#N/A</v>
      </c>
      <c r="CN119" s="232" t="e">
        <v>#N/A</v>
      </c>
      <c r="CO119" s="232" t="e">
        <v>#N/A</v>
      </c>
      <c r="CP119" s="232" t="e">
        <v>#N/A</v>
      </c>
      <c r="CQ119" s="232" t="e">
        <v>#N/A</v>
      </c>
      <c r="CR119" s="232" t="e">
        <v>#N/A</v>
      </c>
      <c r="CS119" s="230"/>
      <c r="CT119" s="232">
        <v>5901.7</v>
      </c>
      <c r="CU119" s="232">
        <v>4815.8</v>
      </c>
      <c r="CV119" s="232" t="e">
        <v>#N/A</v>
      </c>
      <c r="CW119" s="232" t="e">
        <v>#N/A</v>
      </c>
      <c r="CX119" s="232" t="e">
        <v>#N/A</v>
      </c>
      <c r="CY119" s="232" t="e">
        <v>#N/A</v>
      </c>
      <c r="CZ119" s="232" t="e">
        <v>#N/A</v>
      </c>
      <c r="DA119" s="232" t="e">
        <v>#N/A</v>
      </c>
      <c r="DB119" s="232" t="e">
        <v>#N/A</v>
      </c>
      <c r="DC119" s="232" t="e">
        <v>#N/A</v>
      </c>
      <c r="DD119" s="230"/>
      <c r="DE119" s="232" t="e">
        <v>#N/A</v>
      </c>
      <c r="DF119" s="232">
        <v>0</v>
      </c>
      <c r="DG119" s="232">
        <v>0</v>
      </c>
      <c r="DH119" s="230"/>
      <c r="DI119" s="230"/>
      <c r="DJ119" s="172"/>
    </row>
    <row r="120" spans="1:114" x14ac:dyDescent="0.25">
      <c r="A120" s="244" t="s">
        <v>796</v>
      </c>
      <c r="B120" s="226" t="s">
        <v>1052</v>
      </c>
      <c r="C120" s="227" t="s">
        <v>1053</v>
      </c>
      <c r="D120" s="228" t="str">
        <f t="shared" si="1"/>
        <v>1774360D IN Equity</v>
      </c>
      <c r="E120" s="229"/>
      <c r="F120" s="230"/>
      <c r="G120" s="231" t="e">
        <v>#N/A</v>
      </c>
      <c r="H120" s="232" t="e">
        <v>#N/A</v>
      </c>
      <c r="I120" s="230"/>
      <c r="J120" s="231" t="e">
        <v>#N/A</v>
      </c>
      <c r="K120" s="232" t="e">
        <v>#N/A</v>
      </c>
      <c r="L120" s="230"/>
      <c r="M120" s="233" t="e">
        <v>#N/A</v>
      </c>
      <c r="N120" s="233" t="e">
        <v>#N/A</v>
      </c>
      <c r="O120" s="233" t="e">
        <v>#N/A</v>
      </c>
      <c r="P120" s="233" t="e">
        <v>#N/A</v>
      </c>
      <c r="Q120" s="230"/>
      <c r="R120" s="234" t="e">
        <v>#N/A</v>
      </c>
      <c r="S120" s="234" t="e">
        <v>#N/A</v>
      </c>
      <c r="T120" s="230"/>
      <c r="U120" s="234" t="e">
        <v>#N/A</v>
      </c>
      <c r="V120" s="234" t="e">
        <v>#N/A</v>
      </c>
      <c r="W120" s="234" t="e">
        <v>#N/A</v>
      </c>
      <c r="X120" s="234" t="e">
        <v>#N/A</v>
      </c>
      <c r="Y120" s="234" t="e">
        <v>#N/A</v>
      </c>
      <c r="Z120" s="234" t="e">
        <v>#N/A</v>
      </c>
      <c r="AA120" s="234" t="e">
        <v>#N/A</v>
      </c>
      <c r="AB120" s="234" t="e">
        <v>#N/A</v>
      </c>
      <c r="AC120" s="230"/>
      <c r="AD120" s="232" t="e">
        <v>#N/A</v>
      </c>
      <c r="AE120" s="232" t="e">
        <v>#N/A</v>
      </c>
      <c r="AF120" s="232" t="e">
        <v>#N/A</v>
      </c>
      <c r="AG120" s="232" t="e">
        <v>#N/A</v>
      </c>
      <c r="AH120" s="235" t="e">
        <v>#N/A</v>
      </c>
      <c r="AI120" s="230"/>
      <c r="AJ120" s="232" t="e">
        <v>#N/A</v>
      </c>
      <c r="AK120" s="232" t="e">
        <v>#N/A</v>
      </c>
      <c r="AL120" s="235" t="e">
        <v>#N/A</v>
      </c>
      <c r="AM120" s="230"/>
      <c r="AN120" s="231" t="e">
        <v>#N/A</v>
      </c>
      <c r="AO120" s="232" t="e">
        <v>#N/A</v>
      </c>
      <c r="AP120" s="236" t="e">
        <v>#N/A</v>
      </c>
      <c r="AQ120" s="230"/>
      <c r="AR120" s="237" t="e">
        <v>#N/A</v>
      </c>
      <c r="AS120" s="237" t="e">
        <v>#N/A</v>
      </c>
      <c r="AT120" s="237" t="e">
        <v>#N/A</v>
      </c>
      <c r="AU120" s="230"/>
      <c r="AV120" s="234" t="e">
        <v>#N/A</v>
      </c>
      <c r="AW120" s="234" t="e">
        <v>#N/A</v>
      </c>
      <c r="AX120" s="234" t="e">
        <v>#N/A</v>
      </c>
      <c r="AY120" s="234" t="e">
        <v>#N/A</v>
      </c>
      <c r="AZ120" s="230"/>
      <c r="BA120" s="232" t="e">
        <v>#N/A</v>
      </c>
      <c r="BB120" s="230"/>
      <c r="BC120" s="232" t="e">
        <v>#N/A</v>
      </c>
      <c r="BD120" s="232" t="e">
        <v>#N/A</v>
      </c>
      <c r="BE120" s="230"/>
      <c r="BF120" s="238" t="e">
        <v>#N/A</v>
      </c>
      <c r="BG120" s="238" t="e">
        <v>#N/A</v>
      </c>
      <c r="BH120" s="238" t="e">
        <v>#N/A</v>
      </c>
      <c r="BI120" s="230"/>
      <c r="BJ120" s="239" t="e">
        <v>#N/A</v>
      </c>
      <c r="BK120" s="240" t="e">
        <v>#N/A</v>
      </c>
      <c r="BL120" s="230"/>
      <c r="BM120" s="241" t="e">
        <v>#N/A</v>
      </c>
      <c r="BN120" s="241" t="e">
        <v>#N/A</v>
      </c>
      <c r="BO120" s="241" t="e">
        <v>#N/A</v>
      </c>
      <c r="BP120" s="241" t="e">
        <v>#N/A</v>
      </c>
      <c r="BQ120" s="241" t="e">
        <v>#N/A</v>
      </c>
      <c r="BR120" s="241" t="e">
        <v>#N/A</v>
      </c>
      <c r="BS120" s="241" t="e">
        <v>#N/A</v>
      </c>
      <c r="BT120" s="241" t="e">
        <v>#N/A</v>
      </c>
      <c r="BU120" s="241" t="e">
        <v>#N/A</v>
      </c>
      <c r="BV120" s="241" t="e">
        <v>#N/A</v>
      </c>
      <c r="BW120" s="230"/>
      <c r="BX120" s="232" t="e">
        <v>#N/A</v>
      </c>
      <c r="BY120" s="232" t="e">
        <v>#N/A</v>
      </c>
      <c r="BZ120" s="232" t="e">
        <v>#N/A</v>
      </c>
      <c r="CA120" s="232" t="e">
        <v>#N/A</v>
      </c>
      <c r="CB120" s="232" t="e">
        <v>#N/A</v>
      </c>
      <c r="CC120" s="232" t="e">
        <v>#N/A</v>
      </c>
      <c r="CD120" s="232" t="e">
        <v>#N/A</v>
      </c>
      <c r="CE120" s="232" t="e">
        <v>#N/A</v>
      </c>
      <c r="CF120" s="232" t="e">
        <v>#N/A</v>
      </c>
      <c r="CG120" s="232" t="e">
        <v>#N/A</v>
      </c>
      <c r="CH120" s="230"/>
      <c r="CI120" s="232" t="e">
        <v>#N/A</v>
      </c>
      <c r="CJ120" s="232" t="e">
        <v>#N/A</v>
      </c>
      <c r="CK120" s="232" t="e">
        <v>#N/A</v>
      </c>
      <c r="CL120" s="232" t="e">
        <v>#N/A</v>
      </c>
      <c r="CM120" s="232" t="e">
        <v>#N/A</v>
      </c>
      <c r="CN120" s="232" t="e">
        <v>#N/A</v>
      </c>
      <c r="CO120" s="232" t="e">
        <v>#N/A</v>
      </c>
      <c r="CP120" s="232" t="e">
        <v>#N/A</v>
      </c>
      <c r="CQ120" s="232" t="e">
        <v>#N/A</v>
      </c>
      <c r="CR120" s="232" t="e">
        <v>#N/A</v>
      </c>
      <c r="CS120" s="230"/>
      <c r="CT120" s="232" t="e">
        <v>#N/A</v>
      </c>
      <c r="CU120" s="232" t="e">
        <v>#N/A</v>
      </c>
      <c r="CV120" s="232" t="e">
        <v>#N/A</v>
      </c>
      <c r="CW120" s="232" t="e">
        <v>#N/A</v>
      </c>
      <c r="CX120" s="232" t="e">
        <v>#N/A</v>
      </c>
      <c r="CY120" s="232" t="e">
        <v>#N/A</v>
      </c>
      <c r="CZ120" s="232" t="e">
        <v>#N/A</v>
      </c>
      <c r="DA120" s="232" t="e">
        <v>#N/A</v>
      </c>
      <c r="DB120" s="232" t="e">
        <v>#N/A</v>
      </c>
      <c r="DC120" s="232" t="e">
        <v>#N/A</v>
      </c>
      <c r="DD120" s="230"/>
      <c r="DE120" s="232" t="e">
        <v>#N/A</v>
      </c>
      <c r="DF120" s="232" t="e">
        <v>#N/A</v>
      </c>
      <c r="DG120" s="232" t="e">
        <v>#N/A</v>
      </c>
      <c r="DH120" s="230"/>
      <c r="DI120" s="230"/>
      <c r="DJ120" s="172"/>
    </row>
    <row r="121" spans="1:114" x14ac:dyDescent="0.25">
      <c r="A121" s="244" t="s">
        <v>796</v>
      </c>
      <c r="B121" s="226" t="s">
        <v>1054</v>
      </c>
      <c r="C121" s="227" t="s">
        <v>1055</v>
      </c>
      <c r="D121" s="228" t="str">
        <f t="shared" si="1"/>
        <v>1305710D IN Equity</v>
      </c>
      <c r="E121" s="229"/>
      <c r="F121" s="230"/>
      <c r="G121" s="231" t="e">
        <v>#N/A</v>
      </c>
      <c r="H121" s="232" t="e">
        <v>#N/A</v>
      </c>
      <c r="I121" s="230"/>
      <c r="J121" s="231" t="e">
        <v>#N/A</v>
      </c>
      <c r="K121" s="232" t="e">
        <v>#N/A</v>
      </c>
      <c r="L121" s="230"/>
      <c r="M121" s="233" t="e">
        <v>#N/A</v>
      </c>
      <c r="N121" s="233" t="e">
        <v>#N/A</v>
      </c>
      <c r="O121" s="233" t="e">
        <v>#N/A</v>
      </c>
      <c r="P121" s="233" t="e">
        <v>#N/A</v>
      </c>
      <c r="Q121" s="230"/>
      <c r="R121" s="234" t="e">
        <v>#N/A</v>
      </c>
      <c r="S121" s="234" t="e">
        <v>#N/A</v>
      </c>
      <c r="T121" s="230"/>
      <c r="U121" s="234" t="e">
        <v>#N/A</v>
      </c>
      <c r="V121" s="234" t="e">
        <v>#N/A</v>
      </c>
      <c r="W121" s="234" t="e">
        <v>#N/A</v>
      </c>
      <c r="X121" s="234" t="e">
        <v>#N/A</v>
      </c>
      <c r="Y121" s="234" t="e">
        <v>#N/A</v>
      </c>
      <c r="Z121" s="234" t="e">
        <v>#N/A</v>
      </c>
      <c r="AA121" s="234" t="e">
        <v>#N/A</v>
      </c>
      <c r="AB121" s="234" t="e">
        <v>#N/A</v>
      </c>
      <c r="AC121" s="230"/>
      <c r="AD121" s="232" t="e">
        <v>#N/A</v>
      </c>
      <c r="AE121" s="232" t="e">
        <v>#N/A</v>
      </c>
      <c r="AF121" s="232" t="e">
        <v>#N/A</v>
      </c>
      <c r="AG121" s="232" t="e">
        <v>#N/A</v>
      </c>
      <c r="AH121" s="235" t="e">
        <v>#N/A</v>
      </c>
      <c r="AI121" s="230"/>
      <c r="AJ121" s="232" t="e">
        <v>#N/A</v>
      </c>
      <c r="AK121" s="232" t="e">
        <v>#N/A</v>
      </c>
      <c r="AL121" s="235" t="e">
        <v>#N/A</v>
      </c>
      <c r="AM121" s="230"/>
      <c r="AN121" s="231" t="e">
        <v>#N/A</v>
      </c>
      <c r="AO121" s="232" t="e">
        <v>#N/A</v>
      </c>
      <c r="AP121" s="236" t="e">
        <v>#N/A</v>
      </c>
      <c r="AQ121" s="230"/>
      <c r="AR121" s="237" t="e">
        <v>#N/A</v>
      </c>
      <c r="AS121" s="237" t="e">
        <v>#N/A</v>
      </c>
      <c r="AT121" s="237" t="e">
        <v>#N/A</v>
      </c>
      <c r="AU121" s="230"/>
      <c r="AV121" s="234" t="e">
        <v>#N/A</v>
      </c>
      <c r="AW121" s="234" t="e">
        <v>#N/A</v>
      </c>
      <c r="AX121" s="234" t="e">
        <v>#N/A</v>
      </c>
      <c r="AY121" s="234" t="e">
        <v>#N/A</v>
      </c>
      <c r="AZ121" s="230"/>
      <c r="BA121" s="232" t="e">
        <v>#N/A</v>
      </c>
      <c r="BB121" s="230"/>
      <c r="BC121" s="232" t="e">
        <v>#N/A</v>
      </c>
      <c r="BD121" s="232" t="e">
        <v>#N/A</v>
      </c>
      <c r="BE121" s="230"/>
      <c r="BF121" s="238" t="e">
        <v>#N/A</v>
      </c>
      <c r="BG121" s="238" t="e">
        <v>#N/A</v>
      </c>
      <c r="BH121" s="238" t="e">
        <v>#N/A</v>
      </c>
      <c r="BI121" s="230"/>
      <c r="BJ121" s="239" t="e">
        <v>#N/A</v>
      </c>
      <c r="BK121" s="240" t="e">
        <v>#N/A</v>
      </c>
      <c r="BL121" s="230"/>
      <c r="BM121" s="241" t="e">
        <v>#N/A</v>
      </c>
      <c r="BN121" s="241" t="e">
        <v>#N/A</v>
      </c>
      <c r="BO121" s="241" t="e">
        <v>#N/A</v>
      </c>
      <c r="BP121" s="241" t="e">
        <v>#N/A</v>
      </c>
      <c r="BQ121" s="241" t="e">
        <v>#N/A</v>
      </c>
      <c r="BR121" s="241" t="e">
        <v>#N/A</v>
      </c>
      <c r="BS121" s="241" t="e">
        <v>#N/A</v>
      </c>
      <c r="BT121" s="241" t="e">
        <v>#N/A</v>
      </c>
      <c r="BU121" s="241" t="e">
        <v>#N/A</v>
      </c>
      <c r="BV121" s="241" t="e">
        <v>#N/A</v>
      </c>
      <c r="BW121" s="230"/>
      <c r="BX121" s="232" t="e">
        <v>#N/A</v>
      </c>
      <c r="BY121" s="232" t="e">
        <v>#N/A</v>
      </c>
      <c r="BZ121" s="232" t="e">
        <v>#N/A</v>
      </c>
      <c r="CA121" s="232" t="e">
        <v>#N/A</v>
      </c>
      <c r="CB121" s="232" t="e">
        <v>#N/A</v>
      </c>
      <c r="CC121" s="232" t="e">
        <v>#N/A</v>
      </c>
      <c r="CD121" s="232" t="e">
        <v>#N/A</v>
      </c>
      <c r="CE121" s="232" t="e">
        <v>#N/A</v>
      </c>
      <c r="CF121" s="232" t="e">
        <v>#N/A</v>
      </c>
      <c r="CG121" s="232" t="e">
        <v>#N/A</v>
      </c>
      <c r="CH121" s="230"/>
      <c r="CI121" s="232" t="e">
        <v>#N/A</v>
      </c>
      <c r="CJ121" s="232" t="e">
        <v>#N/A</v>
      </c>
      <c r="CK121" s="232" t="e">
        <v>#N/A</v>
      </c>
      <c r="CL121" s="232" t="e">
        <v>#N/A</v>
      </c>
      <c r="CM121" s="232" t="e">
        <v>#N/A</v>
      </c>
      <c r="CN121" s="232" t="e">
        <v>#N/A</v>
      </c>
      <c r="CO121" s="232" t="e">
        <v>#N/A</v>
      </c>
      <c r="CP121" s="232" t="e">
        <v>#N/A</v>
      </c>
      <c r="CQ121" s="232" t="e">
        <v>#N/A</v>
      </c>
      <c r="CR121" s="232" t="e">
        <v>#N/A</v>
      </c>
      <c r="CS121" s="230"/>
      <c r="CT121" s="232" t="e">
        <v>#N/A</v>
      </c>
      <c r="CU121" s="232" t="e">
        <v>#N/A</v>
      </c>
      <c r="CV121" s="232" t="e">
        <v>#N/A</v>
      </c>
      <c r="CW121" s="232" t="e">
        <v>#N/A</v>
      </c>
      <c r="CX121" s="232" t="e">
        <v>#N/A</v>
      </c>
      <c r="CY121" s="232" t="e">
        <v>#N/A</v>
      </c>
      <c r="CZ121" s="232" t="e">
        <v>#N/A</v>
      </c>
      <c r="DA121" s="232" t="e">
        <v>#N/A</v>
      </c>
      <c r="DB121" s="232" t="e">
        <v>#N/A</v>
      </c>
      <c r="DC121" s="232" t="e">
        <v>#N/A</v>
      </c>
      <c r="DD121" s="230"/>
      <c r="DE121" s="232" t="e">
        <v>#N/A</v>
      </c>
      <c r="DF121" s="232" t="e">
        <v>#N/A</v>
      </c>
      <c r="DG121" s="232" t="e">
        <v>#N/A</v>
      </c>
      <c r="DH121" s="230"/>
      <c r="DI121" s="230"/>
      <c r="DJ121" s="172"/>
    </row>
    <row r="122" spans="1:114" x14ac:dyDescent="0.25">
      <c r="A122" s="244" t="s">
        <v>796</v>
      </c>
      <c r="B122" s="226" t="s">
        <v>1056</v>
      </c>
      <c r="C122" s="227" t="s">
        <v>1057</v>
      </c>
      <c r="D122" s="228" t="str">
        <f t="shared" si="1"/>
        <v>EMKAY IN Equity</v>
      </c>
      <c r="E122" s="229" t="s">
        <v>1057</v>
      </c>
      <c r="F122" s="230"/>
      <c r="G122" s="231">
        <v>74.974940222489636</v>
      </c>
      <c r="H122" s="232">
        <v>6729.8028477537227</v>
      </c>
      <c r="I122" s="230"/>
      <c r="J122" s="231">
        <v>11.934578039489642</v>
      </c>
      <c r="K122" s="232">
        <v>1337.5898477537232</v>
      </c>
      <c r="L122" s="230"/>
      <c r="M122" s="233">
        <v>11.961275070294704</v>
      </c>
      <c r="N122" s="233" t="e">
        <v>#N/A</v>
      </c>
      <c r="O122" s="233">
        <v>2.465376182386366</v>
      </c>
      <c r="P122" s="233" t="e">
        <v>#N/A</v>
      </c>
      <c r="Q122" s="230"/>
      <c r="R122" s="234">
        <v>2.1968401134764135</v>
      </c>
      <c r="S122" s="234">
        <v>2.2063520144198736</v>
      </c>
      <c r="T122" s="230"/>
      <c r="U122" s="234">
        <v>0.2089163282947766</v>
      </c>
      <c r="V122" s="234" t="e">
        <v>#N/A</v>
      </c>
      <c r="W122" s="234">
        <v>0.20998254536210614</v>
      </c>
      <c r="X122" s="234" t="e">
        <v>#N/A</v>
      </c>
      <c r="Y122" s="234">
        <v>0.11731253430856552</v>
      </c>
      <c r="Z122" s="234">
        <v>0.1254937277418903</v>
      </c>
      <c r="AA122" s="234">
        <v>8.3671658944591179E-2</v>
      </c>
      <c r="AB122" s="234">
        <v>0.19712132372005597</v>
      </c>
      <c r="AC122" s="230"/>
      <c r="AD122" s="232">
        <v>-5392.2129999999997</v>
      </c>
      <c r="AE122" s="232" t="e">
        <v>#N/A</v>
      </c>
      <c r="AF122" s="232">
        <v>-319.42</v>
      </c>
      <c r="AG122" s="232">
        <v>-179.94399999999999</v>
      </c>
      <c r="AH122" s="235" t="e">
        <v>#N/A</v>
      </c>
      <c r="AI122" s="230"/>
      <c r="AJ122" s="232">
        <v>0</v>
      </c>
      <c r="AK122" s="232">
        <v>0</v>
      </c>
      <c r="AL122" s="235">
        <v>0</v>
      </c>
      <c r="AM122" s="230"/>
      <c r="AN122" s="231">
        <v>-63.040362182999999</v>
      </c>
      <c r="AO122" s="232">
        <v>-5392.2129999999997</v>
      </c>
      <c r="AP122" s="236">
        <v>-9.9386471292968377</v>
      </c>
      <c r="AQ122" s="230"/>
      <c r="AR122" s="237">
        <v>25.632462999999998</v>
      </c>
      <c r="AS122" s="237">
        <v>25.482203999999999</v>
      </c>
      <c r="AT122" s="237">
        <v>25.890933940774001</v>
      </c>
      <c r="AU122" s="230"/>
      <c r="AV122" s="234">
        <v>7.1679999999999999E-3</v>
      </c>
      <c r="AW122" s="234">
        <v>0</v>
      </c>
      <c r="AX122" s="234">
        <v>8.8000000000000011E-5</v>
      </c>
      <c r="AY122" s="234">
        <v>0.21648489261449433</v>
      </c>
      <c r="AZ122" s="230"/>
      <c r="BA122" s="232">
        <v>0</v>
      </c>
      <c r="BB122" s="230"/>
      <c r="BC122" s="232" t="e">
        <v>#N/A</v>
      </c>
      <c r="BD122" s="232">
        <v>37.185000000000002</v>
      </c>
      <c r="BE122" s="230"/>
      <c r="BF122" s="238">
        <v>1.0686600000000008E-2</v>
      </c>
      <c r="BG122" s="238">
        <v>1.304620000000001E-2</v>
      </c>
      <c r="BH122" s="238">
        <v>2.13105E-2</v>
      </c>
      <c r="BI122" s="230"/>
      <c r="BJ122" s="239">
        <v>2.9249994517690183</v>
      </c>
      <c r="BK122" s="240">
        <v>262.54998779296875</v>
      </c>
      <c r="BL122" s="230"/>
      <c r="BM122" s="241">
        <v>-5.1152300000000004</v>
      </c>
      <c r="BN122" s="241">
        <v>4.524</v>
      </c>
      <c r="BO122" s="241">
        <v>13.72</v>
      </c>
      <c r="BP122" s="241">
        <v>5.7130000000000001</v>
      </c>
      <c r="BQ122" s="241">
        <v>12.74</v>
      </c>
      <c r="BR122" s="241">
        <v>21.95</v>
      </c>
      <c r="BS122" s="241" t="e">
        <v>#N/A</v>
      </c>
      <c r="BT122" s="241" t="e">
        <v>#N/A</v>
      </c>
      <c r="BU122" s="241" t="e">
        <v>#N/A</v>
      </c>
      <c r="BV122" s="241" t="e">
        <v>#N/A</v>
      </c>
      <c r="BW122" s="230"/>
      <c r="BX122" s="232">
        <v>-125.932</v>
      </c>
      <c r="BY122" s="232">
        <v>112.5598</v>
      </c>
      <c r="BZ122" s="232">
        <v>339.9588</v>
      </c>
      <c r="CA122" s="232">
        <v>142.1062</v>
      </c>
      <c r="CB122" s="232">
        <v>308.86399999999998</v>
      </c>
      <c r="CC122" s="232">
        <v>568.30600000000004</v>
      </c>
      <c r="CD122" s="232" t="e">
        <v>#N/A</v>
      </c>
      <c r="CE122" s="232" t="e">
        <v>#N/A</v>
      </c>
      <c r="CF122" s="232" t="e">
        <v>#N/A</v>
      </c>
      <c r="CG122" s="232" t="e">
        <v>#N/A</v>
      </c>
      <c r="CH122" s="230"/>
      <c r="CI122" s="232">
        <v>-38.25</v>
      </c>
      <c r="CJ122" s="232">
        <v>254.95499999999998</v>
      </c>
      <c r="CK122" s="232">
        <v>537.60599999999999</v>
      </c>
      <c r="CL122" s="232">
        <v>135.35900000000001</v>
      </c>
      <c r="CM122" s="232">
        <v>264.46699999999998</v>
      </c>
      <c r="CN122" s="232">
        <v>542.55000000000007</v>
      </c>
      <c r="CO122" s="232" t="e">
        <v>#N/A</v>
      </c>
      <c r="CP122" s="232" t="e">
        <v>#N/A</v>
      </c>
      <c r="CQ122" s="232" t="e">
        <v>#N/A</v>
      </c>
      <c r="CR122" s="232" t="e">
        <v>#N/A</v>
      </c>
      <c r="CS122" s="230"/>
      <c r="CT122" s="232">
        <v>1335.6980000000001</v>
      </c>
      <c r="CU122" s="232">
        <v>1593.335</v>
      </c>
      <c r="CV122" s="232">
        <v>2712.0430000000001</v>
      </c>
      <c r="CW122" s="232">
        <v>2030.058</v>
      </c>
      <c r="CX122" s="232">
        <v>2842.8470000000002</v>
      </c>
      <c r="CY122" s="232">
        <v>3361.694</v>
      </c>
      <c r="CZ122" s="232" t="e">
        <v>#N/A</v>
      </c>
      <c r="DA122" s="232" t="e">
        <v>#N/A</v>
      </c>
      <c r="DB122" s="232" t="e">
        <v>#N/A</v>
      </c>
      <c r="DC122" s="232" t="e">
        <v>#N/A</v>
      </c>
      <c r="DD122" s="230"/>
      <c r="DE122" s="232" t="e">
        <v>#N/A</v>
      </c>
      <c r="DF122" s="232" t="e">
        <v>#N/A</v>
      </c>
      <c r="DG122" s="232" t="e">
        <v>#N/A</v>
      </c>
      <c r="DH122" s="230"/>
      <c r="DI122" s="230"/>
      <c r="DJ122" s="172"/>
    </row>
    <row r="123" spans="1:114" x14ac:dyDescent="0.25">
      <c r="A123" s="244" t="s">
        <v>796</v>
      </c>
      <c r="B123" s="226" t="s">
        <v>1058</v>
      </c>
      <c r="C123" s="227" t="s">
        <v>1059</v>
      </c>
      <c r="D123" s="228" t="str">
        <f t="shared" si="1"/>
        <v>CECA IN Equity</v>
      </c>
      <c r="E123" s="229" t="s">
        <v>1060</v>
      </c>
      <c r="F123" s="230"/>
      <c r="G123" s="231">
        <v>145.6654074968767</v>
      </c>
      <c r="H123" s="232">
        <v>13075.028419931099</v>
      </c>
      <c r="I123" s="230"/>
      <c r="J123" s="231">
        <v>462.71616175287676</v>
      </c>
      <c r="K123" s="232">
        <v>40194.244419931099</v>
      </c>
      <c r="L123" s="230"/>
      <c r="M123" s="233">
        <v>5.1458166615098992</v>
      </c>
      <c r="N123" s="233" t="e">
        <v>#N/A</v>
      </c>
      <c r="O123" s="233">
        <v>3.0486602799413038</v>
      </c>
      <c r="P123" s="233" t="e">
        <v>#N/A</v>
      </c>
      <c r="Q123" s="230"/>
      <c r="R123" s="234">
        <v>4.2383276375589087</v>
      </c>
      <c r="S123" s="234">
        <v>4.6211585370064494</v>
      </c>
      <c r="T123" s="230"/>
      <c r="U123" s="234">
        <v>0.63902801139786636</v>
      </c>
      <c r="V123" s="234" t="e">
        <v>#N/A</v>
      </c>
      <c r="W123" s="234">
        <v>-0.61441580234872917</v>
      </c>
      <c r="X123" s="234" t="e">
        <v>#N/A</v>
      </c>
      <c r="Y123" s="234">
        <v>-6.0166248916786881E-2</v>
      </c>
      <c r="Z123" s="234">
        <v>-8.0574992881068189E-2</v>
      </c>
      <c r="AA123" s="234">
        <v>-0.10271880859866721</v>
      </c>
      <c r="AB123" s="234">
        <v>-2.8159655719539888E-2</v>
      </c>
      <c r="AC123" s="230"/>
      <c r="AD123" s="232">
        <v>-14550.902</v>
      </c>
      <c r="AE123" s="232" t="e">
        <v>#N/A</v>
      </c>
      <c r="AF123" s="232">
        <v>0</v>
      </c>
      <c r="AG123" s="232">
        <v>-186834.443</v>
      </c>
      <c r="AH123" s="235" t="e">
        <v>#N/A</v>
      </c>
      <c r="AI123" s="230"/>
      <c r="AJ123" s="232">
        <v>0</v>
      </c>
      <c r="AK123" s="232">
        <v>28206.116000000002</v>
      </c>
      <c r="AL123" s="235">
        <v>28206.116000000002</v>
      </c>
      <c r="AM123" s="230"/>
      <c r="AN123" s="231">
        <v>159.64310687400001</v>
      </c>
      <c r="AO123" s="232">
        <v>13655.214000000002</v>
      </c>
      <c r="AP123" s="236">
        <v>1.0357231274449663</v>
      </c>
      <c r="AQ123" s="230"/>
      <c r="AR123" s="237">
        <v>459.57919399999997</v>
      </c>
      <c r="AS123" s="237">
        <v>416.03273999999999</v>
      </c>
      <c r="AT123" s="237">
        <v>416.03273999999999</v>
      </c>
      <c r="AU123" s="230"/>
      <c r="AV123" s="234">
        <v>3.4839999999999997E-3</v>
      </c>
      <c r="AW123" s="234">
        <v>0.1752263929931413</v>
      </c>
      <c r="AX123" s="234">
        <v>1.55E-4</v>
      </c>
      <c r="AY123" s="234">
        <v>0.31838961143223554</v>
      </c>
      <c r="AZ123" s="230"/>
      <c r="BA123" s="232">
        <v>13464.002</v>
      </c>
      <c r="BB123" s="230"/>
      <c r="BC123" s="232" t="e">
        <v>#N/A</v>
      </c>
      <c r="BD123" s="232">
        <v>0</v>
      </c>
      <c r="BE123" s="230"/>
      <c r="BF123" s="238">
        <v>0.14051500000000006</v>
      </c>
      <c r="BG123" s="238">
        <v>0.15882440000000009</v>
      </c>
      <c r="BH123" s="238">
        <v>0.37395729999999999</v>
      </c>
      <c r="BI123" s="230"/>
      <c r="BJ123" s="239">
        <v>0.31695387736999403</v>
      </c>
      <c r="BK123" s="240">
        <v>28.450000762939453</v>
      </c>
      <c r="BL123" s="230"/>
      <c r="BM123" s="241">
        <v>-0.95516800000000002</v>
      </c>
      <c r="BN123" s="241">
        <v>-0.84090900000000002</v>
      </c>
      <c r="BO123" s="241">
        <v>-4.5650000000000004</v>
      </c>
      <c r="BP123" s="241">
        <v>-3.6</v>
      </c>
      <c r="BQ123" s="241">
        <v>-2.39</v>
      </c>
      <c r="BR123" s="241">
        <v>-4.51</v>
      </c>
      <c r="BS123" s="241" t="e">
        <v>#N/A</v>
      </c>
      <c r="BT123" s="241" t="e">
        <v>#N/A</v>
      </c>
      <c r="BU123" s="241" t="e">
        <v>#N/A</v>
      </c>
      <c r="BV123" s="241" t="e">
        <v>#N/A</v>
      </c>
      <c r="BW123" s="230"/>
      <c r="BX123" s="232">
        <v>-397.38139999999999</v>
      </c>
      <c r="BY123" s="232">
        <v>-349.84570000000002</v>
      </c>
      <c r="BZ123" s="232">
        <v>-1027.7453</v>
      </c>
      <c r="CA123" s="232">
        <v>-1028.3869</v>
      </c>
      <c r="CB123" s="232">
        <v>-214.75380000000001</v>
      </c>
      <c r="CC123" s="232">
        <v>2300.1464999999994</v>
      </c>
      <c r="CD123" s="232" t="e">
        <v>#N/A</v>
      </c>
      <c r="CE123" s="232" t="e">
        <v>#N/A</v>
      </c>
      <c r="CF123" s="232" t="e">
        <v>#N/A</v>
      </c>
      <c r="CG123" s="232" t="e">
        <v>#N/A</v>
      </c>
      <c r="CH123" s="230"/>
      <c r="CI123" s="232">
        <v>1529.3790000000001</v>
      </c>
      <c r="CJ123" s="232">
        <v>2126.9629999999997</v>
      </c>
      <c r="CK123" s="232">
        <v>1486.229</v>
      </c>
      <c r="CL123" s="232">
        <v>4402.6729999999998</v>
      </c>
      <c r="CM123" s="232">
        <v>9525.98</v>
      </c>
      <c r="CN123" s="232">
        <v>13184.232</v>
      </c>
      <c r="CO123" s="232" t="e">
        <v>#N/A</v>
      </c>
      <c r="CP123" s="232" t="e">
        <v>#N/A</v>
      </c>
      <c r="CQ123" s="232" t="e">
        <v>#N/A</v>
      </c>
      <c r="CR123" s="232" t="e">
        <v>#N/A</v>
      </c>
      <c r="CS123" s="230"/>
      <c r="CT123" s="232">
        <v>4698.299</v>
      </c>
      <c r="CU123" s="232">
        <v>5001.9279999999999</v>
      </c>
      <c r="CV123" s="232">
        <v>6851.299</v>
      </c>
      <c r="CW123" s="232">
        <v>13100.59</v>
      </c>
      <c r="CX123" s="232">
        <v>22068.102999999999</v>
      </c>
      <c r="CY123" s="232">
        <v>34934.000999999997</v>
      </c>
      <c r="CZ123" s="232" t="e">
        <v>#N/A</v>
      </c>
      <c r="DA123" s="232" t="e">
        <v>#N/A</v>
      </c>
      <c r="DB123" s="232" t="e">
        <v>#N/A</v>
      </c>
      <c r="DC123" s="232" t="e">
        <v>#N/A</v>
      </c>
      <c r="DD123" s="230"/>
      <c r="DE123" s="232" t="e">
        <v>#N/A</v>
      </c>
      <c r="DF123" s="232" t="e">
        <v>#N/A</v>
      </c>
      <c r="DG123" s="232" t="e">
        <v>#N/A</v>
      </c>
      <c r="DH123" s="230"/>
      <c r="DI123" s="230"/>
      <c r="DJ123" s="172"/>
    </row>
    <row r="124" spans="1:114" x14ac:dyDescent="0.25">
      <c r="A124" s="244" t="s">
        <v>796</v>
      </c>
      <c r="B124" s="226" t="s">
        <v>1061</v>
      </c>
      <c r="C124" s="227" t="s">
        <v>1062</v>
      </c>
      <c r="D124" s="228" t="str">
        <f t="shared" si="1"/>
        <v>2831728Z IN Equity</v>
      </c>
      <c r="E124" s="229"/>
      <c r="F124" s="230"/>
      <c r="G124" s="231" t="e">
        <v>#N/A</v>
      </c>
      <c r="H124" s="232" t="e">
        <v>#N/A</v>
      </c>
      <c r="I124" s="230"/>
      <c r="J124" s="231" t="e">
        <v>#N/A</v>
      </c>
      <c r="K124" s="232" t="e">
        <v>#N/A</v>
      </c>
      <c r="L124" s="230"/>
      <c r="M124" s="233" t="e">
        <v>#N/A</v>
      </c>
      <c r="N124" s="233" t="e">
        <v>#N/A</v>
      </c>
      <c r="O124" s="233" t="e">
        <v>#N/A</v>
      </c>
      <c r="P124" s="233" t="e">
        <v>#N/A</v>
      </c>
      <c r="Q124" s="230"/>
      <c r="R124" s="234" t="e">
        <v>#N/A</v>
      </c>
      <c r="S124" s="234" t="e">
        <v>#N/A</v>
      </c>
      <c r="T124" s="230"/>
      <c r="U124" s="234" t="e">
        <v>#N/A</v>
      </c>
      <c r="V124" s="234" t="e">
        <v>#N/A</v>
      </c>
      <c r="W124" s="234" t="e">
        <v>#N/A</v>
      </c>
      <c r="X124" s="234" t="e">
        <v>#N/A</v>
      </c>
      <c r="Y124" s="234" t="e">
        <v>#N/A</v>
      </c>
      <c r="Z124" s="234" t="e">
        <v>#N/A</v>
      </c>
      <c r="AA124" s="234" t="e">
        <v>#N/A</v>
      </c>
      <c r="AB124" s="234" t="e">
        <v>#N/A</v>
      </c>
      <c r="AC124" s="230"/>
      <c r="AD124" s="232" t="e">
        <v>#N/A</v>
      </c>
      <c r="AE124" s="232" t="e">
        <v>#N/A</v>
      </c>
      <c r="AF124" s="232" t="e">
        <v>#N/A</v>
      </c>
      <c r="AG124" s="232" t="e">
        <v>#N/A</v>
      </c>
      <c r="AH124" s="235" t="e">
        <v>#N/A</v>
      </c>
      <c r="AI124" s="230"/>
      <c r="AJ124" s="232" t="e">
        <v>#N/A</v>
      </c>
      <c r="AK124" s="232" t="e">
        <v>#N/A</v>
      </c>
      <c r="AL124" s="235" t="e">
        <v>#N/A</v>
      </c>
      <c r="AM124" s="230"/>
      <c r="AN124" s="231" t="e">
        <v>#N/A</v>
      </c>
      <c r="AO124" s="232" t="e">
        <v>#N/A</v>
      </c>
      <c r="AP124" s="236" t="e">
        <v>#N/A</v>
      </c>
      <c r="AQ124" s="230"/>
      <c r="AR124" s="237" t="e">
        <v>#N/A</v>
      </c>
      <c r="AS124" s="237" t="e">
        <v>#N/A</v>
      </c>
      <c r="AT124" s="237" t="e">
        <v>#N/A</v>
      </c>
      <c r="AU124" s="230"/>
      <c r="AV124" s="234" t="e">
        <v>#N/A</v>
      </c>
      <c r="AW124" s="234" t="e">
        <v>#N/A</v>
      </c>
      <c r="AX124" s="234" t="e">
        <v>#N/A</v>
      </c>
      <c r="AY124" s="234" t="e">
        <v>#N/A</v>
      </c>
      <c r="AZ124" s="230"/>
      <c r="BA124" s="232" t="e">
        <v>#N/A</v>
      </c>
      <c r="BB124" s="230"/>
      <c r="BC124" s="232" t="e">
        <v>#N/A</v>
      </c>
      <c r="BD124" s="232" t="e">
        <v>#N/A</v>
      </c>
      <c r="BE124" s="230"/>
      <c r="BF124" s="238" t="e">
        <v>#N/A</v>
      </c>
      <c r="BG124" s="238" t="e">
        <v>#N/A</v>
      </c>
      <c r="BH124" s="238" t="e">
        <v>#N/A</v>
      </c>
      <c r="BI124" s="230"/>
      <c r="BJ124" s="239" t="e">
        <v>#N/A</v>
      </c>
      <c r="BK124" s="240" t="e">
        <v>#N/A</v>
      </c>
      <c r="BL124" s="230"/>
      <c r="BM124" s="241" t="e">
        <v>#N/A</v>
      </c>
      <c r="BN124" s="241" t="e">
        <v>#N/A</v>
      </c>
      <c r="BO124" s="241" t="e">
        <v>#N/A</v>
      </c>
      <c r="BP124" s="241" t="e">
        <v>#N/A</v>
      </c>
      <c r="BQ124" s="241" t="e">
        <v>#N/A</v>
      </c>
      <c r="BR124" s="241" t="e">
        <v>#N/A</v>
      </c>
      <c r="BS124" s="241" t="e">
        <v>#N/A</v>
      </c>
      <c r="BT124" s="241" t="e">
        <v>#N/A</v>
      </c>
      <c r="BU124" s="241" t="e">
        <v>#N/A</v>
      </c>
      <c r="BV124" s="241" t="e">
        <v>#N/A</v>
      </c>
      <c r="BW124" s="230"/>
      <c r="BX124" s="232" t="e">
        <v>#N/A</v>
      </c>
      <c r="BY124" s="232" t="e">
        <v>#N/A</v>
      </c>
      <c r="BZ124" s="232" t="e">
        <v>#N/A</v>
      </c>
      <c r="CA124" s="232" t="e">
        <v>#N/A</v>
      </c>
      <c r="CB124" s="232" t="e">
        <v>#N/A</v>
      </c>
      <c r="CC124" s="232" t="e">
        <v>#N/A</v>
      </c>
      <c r="CD124" s="232" t="e">
        <v>#N/A</v>
      </c>
      <c r="CE124" s="232" t="e">
        <v>#N/A</v>
      </c>
      <c r="CF124" s="232" t="e">
        <v>#N/A</v>
      </c>
      <c r="CG124" s="232" t="e">
        <v>#N/A</v>
      </c>
      <c r="CH124" s="230"/>
      <c r="CI124" s="232" t="e">
        <v>#N/A</v>
      </c>
      <c r="CJ124" s="232" t="e">
        <v>#N/A</v>
      </c>
      <c r="CK124" s="232" t="e">
        <v>#N/A</v>
      </c>
      <c r="CL124" s="232" t="e">
        <v>#N/A</v>
      </c>
      <c r="CM124" s="232" t="e">
        <v>#N/A</v>
      </c>
      <c r="CN124" s="232" t="e">
        <v>#N/A</v>
      </c>
      <c r="CO124" s="232" t="e">
        <v>#N/A</v>
      </c>
      <c r="CP124" s="232" t="e">
        <v>#N/A</v>
      </c>
      <c r="CQ124" s="232" t="e">
        <v>#N/A</v>
      </c>
      <c r="CR124" s="232" t="e">
        <v>#N/A</v>
      </c>
      <c r="CS124" s="230"/>
      <c r="CT124" s="232" t="e">
        <v>#N/A</v>
      </c>
      <c r="CU124" s="232" t="e">
        <v>#N/A</v>
      </c>
      <c r="CV124" s="232" t="e">
        <v>#N/A</v>
      </c>
      <c r="CW124" s="232" t="e">
        <v>#N/A</v>
      </c>
      <c r="CX124" s="232" t="e">
        <v>#N/A</v>
      </c>
      <c r="CY124" s="232" t="e">
        <v>#N/A</v>
      </c>
      <c r="CZ124" s="232" t="e">
        <v>#N/A</v>
      </c>
      <c r="DA124" s="232" t="e">
        <v>#N/A</v>
      </c>
      <c r="DB124" s="232" t="e">
        <v>#N/A</v>
      </c>
      <c r="DC124" s="232" t="e">
        <v>#N/A</v>
      </c>
      <c r="DD124" s="230"/>
      <c r="DE124" s="232" t="e">
        <v>#N/A</v>
      </c>
      <c r="DF124" s="232" t="e">
        <v>#N/A</v>
      </c>
      <c r="DG124" s="232" t="e">
        <v>#N/A</v>
      </c>
      <c r="DH124" s="230"/>
      <c r="DI124" s="230"/>
      <c r="DJ124" s="172"/>
    </row>
    <row r="125" spans="1:114" x14ac:dyDescent="0.25">
      <c r="A125" s="244" t="s">
        <v>796</v>
      </c>
      <c r="B125" s="226" t="s">
        <v>1063</v>
      </c>
      <c r="C125" s="227" t="s">
        <v>1064</v>
      </c>
      <c r="D125" s="228" t="str">
        <f t="shared" si="1"/>
        <v>0285837D IN Equity</v>
      </c>
      <c r="E125" s="229"/>
      <c r="F125" s="230"/>
      <c r="G125" s="231" t="e">
        <v>#N/A</v>
      </c>
      <c r="H125" s="232" t="e">
        <v>#N/A</v>
      </c>
      <c r="I125" s="230"/>
      <c r="J125" s="231" t="e">
        <v>#N/A</v>
      </c>
      <c r="K125" s="232" t="e">
        <v>#N/A</v>
      </c>
      <c r="L125" s="230"/>
      <c r="M125" s="233" t="e">
        <v>#N/A</v>
      </c>
      <c r="N125" s="233" t="e">
        <v>#N/A</v>
      </c>
      <c r="O125" s="233" t="e">
        <v>#N/A</v>
      </c>
      <c r="P125" s="233" t="e">
        <v>#N/A</v>
      </c>
      <c r="Q125" s="230"/>
      <c r="R125" s="234" t="e">
        <v>#N/A</v>
      </c>
      <c r="S125" s="234" t="e">
        <v>#N/A</v>
      </c>
      <c r="T125" s="230"/>
      <c r="U125" s="234" t="e">
        <v>#N/A</v>
      </c>
      <c r="V125" s="234" t="e">
        <v>#N/A</v>
      </c>
      <c r="W125" s="234" t="e">
        <v>#N/A</v>
      </c>
      <c r="X125" s="234" t="e">
        <v>#N/A</v>
      </c>
      <c r="Y125" s="234" t="e">
        <v>#N/A</v>
      </c>
      <c r="Z125" s="234" t="e">
        <v>#N/A</v>
      </c>
      <c r="AA125" s="234" t="e">
        <v>#N/A</v>
      </c>
      <c r="AB125" s="234" t="e">
        <v>#N/A</v>
      </c>
      <c r="AC125" s="230"/>
      <c r="AD125" s="232" t="e">
        <v>#N/A</v>
      </c>
      <c r="AE125" s="232" t="e">
        <v>#N/A</v>
      </c>
      <c r="AF125" s="232" t="e">
        <v>#N/A</v>
      </c>
      <c r="AG125" s="232" t="e">
        <v>#N/A</v>
      </c>
      <c r="AH125" s="235" t="e">
        <v>#N/A</v>
      </c>
      <c r="AI125" s="230"/>
      <c r="AJ125" s="232" t="e">
        <v>#N/A</v>
      </c>
      <c r="AK125" s="232" t="e">
        <v>#N/A</v>
      </c>
      <c r="AL125" s="235" t="e">
        <v>#N/A</v>
      </c>
      <c r="AM125" s="230"/>
      <c r="AN125" s="231" t="e">
        <v>#N/A</v>
      </c>
      <c r="AO125" s="232" t="e">
        <v>#N/A</v>
      </c>
      <c r="AP125" s="236" t="e">
        <v>#N/A</v>
      </c>
      <c r="AQ125" s="230"/>
      <c r="AR125" s="237" t="e">
        <v>#N/A</v>
      </c>
      <c r="AS125" s="237" t="e">
        <v>#N/A</v>
      </c>
      <c r="AT125" s="237" t="e">
        <v>#N/A</v>
      </c>
      <c r="AU125" s="230"/>
      <c r="AV125" s="234" t="e">
        <v>#N/A</v>
      </c>
      <c r="AW125" s="234" t="e">
        <v>#N/A</v>
      </c>
      <c r="AX125" s="234" t="e">
        <v>#N/A</v>
      </c>
      <c r="AY125" s="234" t="e">
        <v>#N/A</v>
      </c>
      <c r="AZ125" s="230"/>
      <c r="BA125" s="232" t="e">
        <v>#N/A</v>
      </c>
      <c r="BB125" s="230"/>
      <c r="BC125" s="232" t="e">
        <v>#N/A</v>
      </c>
      <c r="BD125" s="232" t="e">
        <v>#N/A</v>
      </c>
      <c r="BE125" s="230"/>
      <c r="BF125" s="238" t="e">
        <v>#N/A</v>
      </c>
      <c r="BG125" s="238" t="e">
        <v>#N/A</v>
      </c>
      <c r="BH125" s="238" t="e">
        <v>#N/A</v>
      </c>
      <c r="BI125" s="230"/>
      <c r="BJ125" s="239" t="e">
        <v>#N/A</v>
      </c>
      <c r="BK125" s="240" t="e">
        <v>#N/A</v>
      </c>
      <c r="BL125" s="230"/>
      <c r="BM125" s="241" t="e">
        <v>#N/A</v>
      </c>
      <c r="BN125" s="241" t="e">
        <v>#N/A</v>
      </c>
      <c r="BO125" s="241" t="e">
        <v>#N/A</v>
      </c>
      <c r="BP125" s="241" t="e">
        <v>#N/A</v>
      </c>
      <c r="BQ125" s="241" t="e">
        <v>#N/A</v>
      </c>
      <c r="BR125" s="241" t="e">
        <v>#N/A</v>
      </c>
      <c r="BS125" s="241" t="e">
        <v>#N/A</v>
      </c>
      <c r="BT125" s="241" t="e">
        <v>#N/A</v>
      </c>
      <c r="BU125" s="241" t="e">
        <v>#N/A</v>
      </c>
      <c r="BV125" s="241" t="e">
        <v>#N/A</v>
      </c>
      <c r="BW125" s="230"/>
      <c r="BX125" s="232" t="e">
        <v>#N/A</v>
      </c>
      <c r="BY125" s="232" t="e">
        <v>#N/A</v>
      </c>
      <c r="BZ125" s="232" t="e">
        <v>#N/A</v>
      </c>
      <c r="CA125" s="232" t="e">
        <v>#N/A</v>
      </c>
      <c r="CB125" s="232" t="e">
        <v>#N/A</v>
      </c>
      <c r="CC125" s="232" t="e">
        <v>#N/A</v>
      </c>
      <c r="CD125" s="232" t="e">
        <v>#N/A</v>
      </c>
      <c r="CE125" s="232" t="e">
        <v>#N/A</v>
      </c>
      <c r="CF125" s="232" t="e">
        <v>#N/A</v>
      </c>
      <c r="CG125" s="232" t="e">
        <v>#N/A</v>
      </c>
      <c r="CH125" s="230"/>
      <c r="CI125" s="232" t="e">
        <v>#N/A</v>
      </c>
      <c r="CJ125" s="232" t="e">
        <v>#N/A</v>
      </c>
      <c r="CK125" s="232" t="e">
        <v>#N/A</v>
      </c>
      <c r="CL125" s="232" t="e">
        <v>#N/A</v>
      </c>
      <c r="CM125" s="232" t="e">
        <v>#N/A</v>
      </c>
      <c r="CN125" s="232" t="e">
        <v>#N/A</v>
      </c>
      <c r="CO125" s="232" t="e">
        <v>#N/A</v>
      </c>
      <c r="CP125" s="232" t="e">
        <v>#N/A</v>
      </c>
      <c r="CQ125" s="232" t="e">
        <v>#N/A</v>
      </c>
      <c r="CR125" s="232" t="e">
        <v>#N/A</v>
      </c>
      <c r="CS125" s="230"/>
      <c r="CT125" s="232" t="e">
        <v>#N/A</v>
      </c>
      <c r="CU125" s="232" t="e">
        <v>#N/A</v>
      </c>
      <c r="CV125" s="232" t="e">
        <v>#N/A</v>
      </c>
      <c r="CW125" s="232" t="e">
        <v>#N/A</v>
      </c>
      <c r="CX125" s="232" t="e">
        <v>#N/A</v>
      </c>
      <c r="CY125" s="232" t="e">
        <v>#N/A</v>
      </c>
      <c r="CZ125" s="232" t="e">
        <v>#N/A</v>
      </c>
      <c r="DA125" s="232" t="e">
        <v>#N/A</v>
      </c>
      <c r="DB125" s="232" t="e">
        <v>#N/A</v>
      </c>
      <c r="DC125" s="232" t="e">
        <v>#N/A</v>
      </c>
      <c r="DD125" s="230"/>
      <c r="DE125" s="232" t="e">
        <v>#N/A</v>
      </c>
      <c r="DF125" s="232" t="e">
        <v>#N/A</v>
      </c>
      <c r="DG125" s="232" t="e">
        <v>#N/A</v>
      </c>
      <c r="DH125" s="230"/>
      <c r="DI125" s="230"/>
      <c r="DJ125" s="172"/>
    </row>
    <row r="126" spans="1:114" x14ac:dyDescent="0.25">
      <c r="A126" s="244" t="s">
        <v>796</v>
      </c>
      <c r="B126" s="226" t="s">
        <v>1065</v>
      </c>
      <c r="C126" s="227" t="s">
        <v>1066</v>
      </c>
      <c r="D126" s="228" t="str">
        <f t="shared" si="1"/>
        <v>8157094Z IN Equity</v>
      </c>
      <c r="E126" s="229"/>
      <c r="F126" s="230"/>
      <c r="G126" s="231" t="e">
        <v>#N/A</v>
      </c>
      <c r="H126" s="232" t="e">
        <v>#N/A</v>
      </c>
      <c r="I126" s="230"/>
      <c r="J126" s="231" t="e">
        <v>#N/A</v>
      </c>
      <c r="K126" s="232" t="e">
        <v>#N/A</v>
      </c>
      <c r="L126" s="230"/>
      <c r="M126" s="233" t="e">
        <v>#N/A</v>
      </c>
      <c r="N126" s="233" t="e">
        <v>#N/A</v>
      </c>
      <c r="O126" s="233" t="e">
        <v>#N/A</v>
      </c>
      <c r="P126" s="233" t="e">
        <v>#N/A</v>
      </c>
      <c r="Q126" s="230"/>
      <c r="R126" s="234" t="e">
        <v>#N/A</v>
      </c>
      <c r="S126" s="234" t="e">
        <v>#N/A</v>
      </c>
      <c r="T126" s="230"/>
      <c r="U126" s="234">
        <v>0.11014922894237256</v>
      </c>
      <c r="V126" s="234" t="e">
        <v>#N/A</v>
      </c>
      <c r="W126" s="234">
        <v>0.11389833581798159</v>
      </c>
      <c r="X126" s="234">
        <v>0.19121373325699889</v>
      </c>
      <c r="Y126" s="234">
        <v>0.10387785368968289</v>
      </c>
      <c r="Z126" s="234">
        <v>0.10417851799815386</v>
      </c>
      <c r="AA126" s="234">
        <v>0.10374163263668863</v>
      </c>
      <c r="AB126" s="234">
        <v>0.10255956979257816</v>
      </c>
      <c r="AC126" s="230"/>
      <c r="AD126" s="232">
        <v>-15.463856</v>
      </c>
      <c r="AE126" s="232">
        <v>-15.463856</v>
      </c>
      <c r="AF126" s="232">
        <v>0</v>
      </c>
      <c r="AG126" s="232">
        <v>-7.8862870000000003</v>
      </c>
      <c r="AH126" s="235">
        <v>-23.350142999999999</v>
      </c>
      <c r="AI126" s="230"/>
      <c r="AJ126" s="232">
        <v>85.017403000000002</v>
      </c>
      <c r="AK126" s="232">
        <v>3.5689690000000001</v>
      </c>
      <c r="AL126" s="235">
        <v>88.586371999999997</v>
      </c>
      <c r="AM126" s="230"/>
      <c r="AN126" s="231">
        <v>1.0547922932999998</v>
      </c>
      <c r="AO126" s="232">
        <v>73.12251599999999</v>
      </c>
      <c r="AP126" s="236">
        <v>1.8551505561949326</v>
      </c>
      <c r="AQ126" s="230"/>
      <c r="AR126" s="237" t="e">
        <v>#N/A</v>
      </c>
      <c r="AS126" s="237">
        <v>9.6313499999999994</v>
      </c>
      <c r="AT126" s="237">
        <v>9.6313499999999994</v>
      </c>
      <c r="AU126" s="230"/>
      <c r="AV126" s="234" t="e">
        <v>#N/A</v>
      </c>
      <c r="AW126" s="234" t="e">
        <v>#N/A</v>
      </c>
      <c r="AX126" s="234" t="e">
        <v>#N/A</v>
      </c>
      <c r="AY126" s="234" t="e">
        <v>#N/A</v>
      </c>
      <c r="AZ126" s="230"/>
      <c r="BA126" s="232">
        <v>0</v>
      </c>
      <c r="BB126" s="230"/>
      <c r="BC126" s="232" t="e">
        <v>#N/A</v>
      </c>
      <c r="BD126" s="232">
        <v>0</v>
      </c>
      <c r="BE126" s="230"/>
      <c r="BF126" s="238" t="e">
        <v>#N/A</v>
      </c>
      <c r="BG126" s="238" t="e">
        <v>#N/A</v>
      </c>
      <c r="BH126" s="238" t="e">
        <v>#N/A</v>
      </c>
      <c r="BI126" s="230"/>
      <c r="BJ126" s="239" t="e">
        <v>#N/A</v>
      </c>
      <c r="BK126" s="240" t="e">
        <v>#N/A</v>
      </c>
      <c r="BL126" s="230"/>
      <c r="BM126" s="241" t="e">
        <v>#N/A</v>
      </c>
      <c r="BN126" s="241" t="e">
        <v>#N/A</v>
      </c>
      <c r="BO126" s="241" t="e">
        <v>#N/A</v>
      </c>
      <c r="BP126" s="241" t="e">
        <v>#N/A</v>
      </c>
      <c r="BQ126" s="241" t="e">
        <v>#N/A</v>
      </c>
      <c r="BR126" s="241" t="e">
        <v>#N/A</v>
      </c>
      <c r="BS126" s="241" t="e">
        <v>#N/A</v>
      </c>
      <c r="BT126" s="241" t="e">
        <v>#N/A</v>
      </c>
      <c r="BU126" s="241" t="e">
        <v>#N/A</v>
      </c>
      <c r="BV126" s="241" t="e">
        <v>#N/A</v>
      </c>
      <c r="BW126" s="230"/>
      <c r="BX126" s="232" t="e">
        <v>#N/A</v>
      </c>
      <c r="BY126" s="232" t="e">
        <v>#N/A</v>
      </c>
      <c r="BZ126" s="232" t="e">
        <v>#N/A</v>
      </c>
      <c r="CA126" s="232" t="e">
        <v>#N/A</v>
      </c>
      <c r="CB126" s="232" t="e">
        <v>#N/A</v>
      </c>
      <c r="CC126" s="232" t="e">
        <v>#N/A</v>
      </c>
      <c r="CD126" s="232" t="e">
        <v>#N/A</v>
      </c>
      <c r="CE126" s="232" t="e">
        <v>#N/A</v>
      </c>
      <c r="CF126" s="232" t="e">
        <v>#N/A</v>
      </c>
      <c r="CG126" s="232" t="e">
        <v>#N/A</v>
      </c>
      <c r="CH126" s="230"/>
      <c r="CI126" s="232" t="e">
        <v>#N/A</v>
      </c>
      <c r="CJ126" s="232" t="e">
        <v>#N/A</v>
      </c>
      <c r="CK126" s="232" t="e">
        <v>#N/A</v>
      </c>
      <c r="CL126" s="232" t="e">
        <v>#N/A</v>
      </c>
      <c r="CM126" s="232" t="e">
        <v>#N/A</v>
      </c>
      <c r="CN126" s="232" t="e">
        <v>#N/A</v>
      </c>
      <c r="CO126" s="232" t="e">
        <v>#N/A</v>
      </c>
      <c r="CP126" s="232" t="e">
        <v>#N/A</v>
      </c>
      <c r="CQ126" s="232" t="e">
        <v>#N/A</v>
      </c>
      <c r="CR126" s="232" t="e">
        <v>#N/A</v>
      </c>
      <c r="CS126" s="230"/>
      <c r="CT126" s="232" t="e">
        <v>#N/A</v>
      </c>
      <c r="CU126" s="232" t="e">
        <v>#N/A</v>
      </c>
      <c r="CV126" s="232" t="e">
        <v>#N/A</v>
      </c>
      <c r="CW126" s="232" t="e">
        <v>#N/A</v>
      </c>
      <c r="CX126" s="232" t="e">
        <v>#N/A</v>
      </c>
      <c r="CY126" s="232" t="e">
        <v>#N/A</v>
      </c>
      <c r="CZ126" s="232" t="e">
        <v>#N/A</v>
      </c>
      <c r="DA126" s="232" t="e">
        <v>#N/A</v>
      </c>
      <c r="DB126" s="232" t="e">
        <v>#N/A</v>
      </c>
      <c r="DC126" s="232" t="e">
        <v>#N/A</v>
      </c>
      <c r="DD126" s="230"/>
      <c r="DE126" s="232" t="e">
        <v>#N/A</v>
      </c>
      <c r="DF126" s="232">
        <v>0</v>
      </c>
      <c r="DG126" s="232">
        <v>0</v>
      </c>
      <c r="DH126" s="230"/>
      <c r="DI126" s="230"/>
      <c r="DJ126" s="172"/>
    </row>
    <row r="127" spans="1:114" x14ac:dyDescent="0.25">
      <c r="A127" s="244" t="s">
        <v>796</v>
      </c>
      <c r="B127" s="226" t="s">
        <v>1067</v>
      </c>
      <c r="C127" s="227" t="s">
        <v>1068</v>
      </c>
      <c r="D127" s="228" t="str">
        <f t="shared" si="1"/>
        <v>SMCGLOBA IN Equity</v>
      </c>
      <c r="E127" s="229" t="s">
        <v>1069</v>
      </c>
      <c r="F127" s="230"/>
      <c r="G127" s="231">
        <v>208.41856158809853</v>
      </c>
      <c r="H127" s="232">
        <v>18707.795233154298</v>
      </c>
      <c r="I127" s="230"/>
      <c r="J127" s="231">
        <v>157.82343257909849</v>
      </c>
      <c r="K127" s="232">
        <v>14380.096233154292</v>
      </c>
      <c r="L127" s="230"/>
      <c r="M127" s="233">
        <v>11.691943877082332</v>
      </c>
      <c r="N127" s="233" t="e">
        <v>#N/A</v>
      </c>
      <c r="O127" s="233">
        <v>3.3491261897479916</v>
      </c>
      <c r="P127" s="233" t="e">
        <v>#N/A</v>
      </c>
      <c r="Q127" s="230"/>
      <c r="R127" s="234">
        <v>1.5369895127460118</v>
      </c>
      <c r="S127" s="234">
        <v>1.540825209813248</v>
      </c>
      <c r="T127" s="230"/>
      <c r="U127" s="234">
        <v>0.13835960974334197</v>
      </c>
      <c r="V127" s="234" t="e">
        <v>#N/A</v>
      </c>
      <c r="W127" s="234">
        <v>0.12631520813622027</v>
      </c>
      <c r="X127" s="234" t="e">
        <v>#N/A</v>
      </c>
      <c r="Y127" s="234">
        <v>5.6148132464855116E-2</v>
      </c>
      <c r="Z127" s="234">
        <v>7.3443182732585585E-2</v>
      </c>
      <c r="AA127" s="234">
        <v>5.3149678205877092E-2</v>
      </c>
      <c r="AB127" s="234">
        <v>5.5557018794650234E-2</v>
      </c>
      <c r="AC127" s="230"/>
      <c r="AD127" s="232">
        <v>-19755.776000000002</v>
      </c>
      <c r="AE127" s="232" t="e">
        <v>#N/A</v>
      </c>
      <c r="AF127" s="232">
        <v>-270.83600000000001</v>
      </c>
      <c r="AG127" s="232">
        <v>-14868.468999999999</v>
      </c>
      <c r="AH127" s="235" t="e">
        <v>#N/A</v>
      </c>
      <c r="AI127" s="230"/>
      <c r="AJ127" s="232">
        <v>15026.773999999999</v>
      </c>
      <c r="AK127" s="232">
        <v>375.51600000000002</v>
      </c>
      <c r="AL127" s="235">
        <v>15402.29</v>
      </c>
      <c r="AM127" s="230"/>
      <c r="AN127" s="231">
        <v>-50.896604826000036</v>
      </c>
      <c r="AO127" s="232">
        <v>-4353.4860000000026</v>
      </c>
      <c r="AP127" s="236">
        <v>-1.0139274273898937</v>
      </c>
      <c r="AQ127" s="230"/>
      <c r="AR127" s="237">
        <v>209.4</v>
      </c>
      <c r="AS127" s="237">
        <v>209.4</v>
      </c>
      <c r="AT127" s="237">
        <v>209.4</v>
      </c>
      <c r="AU127" s="230"/>
      <c r="AV127" s="234">
        <v>6.7650000000000002E-3</v>
      </c>
      <c r="AW127" s="234">
        <v>0.16830059605825856</v>
      </c>
      <c r="AX127" s="234">
        <v>2.3599999999999999E-4</v>
      </c>
      <c r="AY127" s="234">
        <v>0.29945216809933145</v>
      </c>
      <c r="AZ127" s="230"/>
      <c r="BA127" s="232">
        <v>25.786999999999999</v>
      </c>
      <c r="BB127" s="230"/>
      <c r="BC127" s="232">
        <v>750</v>
      </c>
      <c r="BD127" s="232">
        <v>258.77999999999997</v>
      </c>
      <c r="BE127" s="230"/>
      <c r="BF127" s="238">
        <v>3.5783517999999992</v>
      </c>
      <c r="BG127" s="238">
        <v>3.2722345999999991</v>
      </c>
      <c r="BH127" s="238">
        <v>1.617429100000001</v>
      </c>
      <c r="BI127" s="230"/>
      <c r="BJ127" s="239">
        <v>0.99531309258881806</v>
      </c>
      <c r="BK127" s="240">
        <v>89.339996337890625</v>
      </c>
      <c r="BL127" s="230"/>
      <c r="BM127" s="241" t="e">
        <v>#N/A</v>
      </c>
      <c r="BN127" s="241">
        <v>44.198500000000003</v>
      </c>
      <c r="BO127" s="241">
        <v>7.7065000000000001</v>
      </c>
      <c r="BP127" s="241">
        <v>5.7332665</v>
      </c>
      <c r="BQ127" s="241">
        <v>8.9450000000000003</v>
      </c>
      <c r="BR127" s="241">
        <v>6.96</v>
      </c>
      <c r="BS127" s="241" t="e">
        <v>#N/A</v>
      </c>
      <c r="BT127" s="241" t="e">
        <v>#N/A</v>
      </c>
      <c r="BU127" s="241" t="e">
        <v>#N/A</v>
      </c>
      <c r="BV127" s="241" t="e">
        <v>#N/A</v>
      </c>
      <c r="BW127" s="230"/>
      <c r="BX127" s="232" t="e">
        <v>#N/A</v>
      </c>
      <c r="BY127" s="232">
        <v>1185.1576</v>
      </c>
      <c r="BZ127" s="232">
        <v>1857.1077</v>
      </c>
      <c r="CA127" s="232">
        <v>1240.0528999999999</v>
      </c>
      <c r="CB127" s="232">
        <v>1985.0317</v>
      </c>
      <c r="CC127" s="232">
        <v>1600.0586000000001</v>
      </c>
      <c r="CD127" s="232" t="e">
        <v>#N/A</v>
      </c>
      <c r="CE127" s="232" t="e">
        <v>#N/A</v>
      </c>
      <c r="CF127" s="232" t="e">
        <v>#N/A</v>
      </c>
      <c r="CG127" s="232" t="e">
        <v>#N/A</v>
      </c>
      <c r="CH127" s="230"/>
      <c r="CI127" s="232" t="e">
        <v>#N/A</v>
      </c>
      <c r="CJ127" s="232">
        <v>1955.38</v>
      </c>
      <c r="CK127" s="232">
        <v>2990.3519999999999</v>
      </c>
      <c r="CL127" s="232">
        <v>2739.7659999999996</v>
      </c>
      <c r="CM127" s="232">
        <v>4321.0529999999999</v>
      </c>
      <c r="CN127" s="232">
        <v>4293.6859999999997</v>
      </c>
      <c r="CO127" s="232" t="e">
        <v>#N/A</v>
      </c>
      <c r="CP127" s="232" t="e">
        <v>#N/A</v>
      </c>
      <c r="CQ127" s="232" t="e">
        <v>#N/A</v>
      </c>
      <c r="CR127" s="232" t="e">
        <v>#N/A</v>
      </c>
      <c r="CS127" s="230"/>
      <c r="CT127" s="232" t="e">
        <v>#N/A</v>
      </c>
      <c r="CU127" s="232">
        <v>9012.9740000000002</v>
      </c>
      <c r="CV127" s="232">
        <v>11208.208000000001</v>
      </c>
      <c r="CW127" s="232">
        <v>12207.572</v>
      </c>
      <c r="CX127" s="232">
        <v>16445.853999999999</v>
      </c>
      <c r="CY127" s="232">
        <v>17857.201000000001</v>
      </c>
      <c r="CZ127" s="232" t="e">
        <v>#N/A</v>
      </c>
      <c r="DA127" s="232" t="e">
        <v>#N/A</v>
      </c>
      <c r="DB127" s="232" t="e">
        <v>#N/A</v>
      </c>
      <c r="DC127" s="232" t="e">
        <v>#N/A</v>
      </c>
      <c r="DD127" s="230"/>
      <c r="DE127" s="232" t="e">
        <v>#N/A</v>
      </c>
      <c r="DF127" s="232" t="e">
        <v>#N/A</v>
      </c>
      <c r="DG127" s="232" t="e">
        <v>#N/A</v>
      </c>
      <c r="DH127" s="230"/>
      <c r="DI127" s="230"/>
      <c r="DJ127" s="172"/>
    </row>
    <row r="128" spans="1:114" x14ac:dyDescent="0.25">
      <c r="A128" s="244" t="s">
        <v>796</v>
      </c>
      <c r="B128" s="226" t="s">
        <v>1070</v>
      </c>
      <c r="C128" s="227" t="s">
        <v>1071</v>
      </c>
      <c r="D128" s="228" t="str">
        <f t="shared" si="1"/>
        <v>LKPSEC IN Equity</v>
      </c>
      <c r="E128" s="229">
        <v>540192</v>
      </c>
      <c r="F128" s="230"/>
      <c r="G128" s="231">
        <v>15.305593318688478</v>
      </c>
      <c r="H128" s="232">
        <v>1373.8407152710593</v>
      </c>
      <c r="I128" s="230"/>
      <c r="J128" s="231">
        <v>2.0355600946884809</v>
      </c>
      <c r="K128" s="232">
        <v>238.77671527105952</v>
      </c>
      <c r="L128" s="230"/>
      <c r="M128" s="233">
        <v>9.8943225525677327</v>
      </c>
      <c r="N128" s="233" t="e">
        <v>#N/A</v>
      </c>
      <c r="O128" s="233">
        <v>0.90110201511440169</v>
      </c>
      <c r="P128" s="233" t="e">
        <v>#N/A</v>
      </c>
      <c r="Q128" s="230"/>
      <c r="R128" s="234">
        <v>1.4768301663117864</v>
      </c>
      <c r="S128" s="234">
        <v>1.5742106818619221</v>
      </c>
      <c r="T128" s="230"/>
      <c r="U128" s="234">
        <v>0.16129423554832095</v>
      </c>
      <c r="V128" s="234" t="e">
        <v>#N/A</v>
      </c>
      <c r="W128" s="234">
        <v>0.16557554209375563</v>
      </c>
      <c r="X128" s="234" t="e">
        <v>#N/A</v>
      </c>
      <c r="Y128" s="234">
        <v>8.5031487445139053E-2</v>
      </c>
      <c r="Z128" s="234">
        <v>0.1172398086582027</v>
      </c>
      <c r="AA128" s="234">
        <v>6.8475556511927618E-2</v>
      </c>
      <c r="AB128" s="234">
        <v>0.11846600821819754</v>
      </c>
      <c r="AC128" s="230"/>
      <c r="AD128" s="232">
        <v>-1525.5039999999999</v>
      </c>
      <c r="AE128" s="232" t="e">
        <v>#N/A</v>
      </c>
      <c r="AF128" s="232">
        <v>-126.04</v>
      </c>
      <c r="AG128" s="232">
        <v>-255.66900000000001</v>
      </c>
      <c r="AH128" s="235" t="e">
        <v>#N/A</v>
      </c>
      <c r="AI128" s="230"/>
      <c r="AJ128" s="232">
        <v>302.18200000000002</v>
      </c>
      <c r="AK128" s="232">
        <v>88.257999999999996</v>
      </c>
      <c r="AL128" s="235">
        <v>390.44</v>
      </c>
      <c r="AM128" s="230"/>
      <c r="AN128" s="231">
        <v>-13.270033223999997</v>
      </c>
      <c r="AO128" s="232">
        <v>-1135.0639999999999</v>
      </c>
      <c r="AP128" s="236">
        <v>-4.2835351701807278</v>
      </c>
      <c r="AQ128" s="230"/>
      <c r="AR128" s="237">
        <v>82.315199000000007</v>
      </c>
      <c r="AS128" s="237">
        <v>81.854556000000002</v>
      </c>
      <c r="AT128" s="237">
        <v>82.321889999999996</v>
      </c>
      <c r="AU128" s="230"/>
      <c r="AV128" s="234">
        <v>7.1040000000000001E-3</v>
      </c>
      <c r="AW128" s="234">
        <v>0.51832187376875105</v>
      </c>
      <c r="AX128" s="234">
        <v>4.1599999999999997E-4</v>
      </c>
      <c r="AY128" s="234">
        <v>0.45109544107401106</v>
      </c>
      <c r="AZ128" s="230"/>
      <c r="BA128" s="232">
        <v>0</v>
      </c>
      <c r="BB128" s="230"/>
      <c r="BC128" s="232" t="e">
        <v>#N/A</v>
      </c>
      <c r="BD128" s="232">
        <v>11.888999999999999</v>
      </c>
      <c r="BE128" s="230"/>
      <c r="BF128" s="238">
        <v>2.1757600000000019E-2</v>
      </c>
      <c r="BG128" s="238">
        <v>1.9115900000000012E-2</v>
      </c>
      <c r="BH128" s="238">
        <v>2.1288666666666671E-2</v>
      </c>
      <c r="BI128" s="230"/>
      <c r="BJ128" s="239">
        <v>0.18593884853134446</v>
      </c>
      <c r="BK128" s="240">
        <v>16.690000534057617</v>
      </c>
      <c r="BL128" s="230"/>
      <c r="BM128" s="241">
        <v>0.22</v>
      </c>
      <c r="BN128" s="241">
        <v>0.54</v>
      </c>
      <c r="BO128" s="241">
        <v>1.7989999999999999</v>
      </c>
      <c r="BP128" s="241">
        <v>0.499</v>
      </c>
      <c r="BQ128" s="241">
        <v>1.19</v>
      </c>
      <c r="BR128" s="241">
        <v>1.6</v>
      </c>
      <c r="BS128" s="241" t="e">
        <v>#N/A</v>
      </c>
      <c r="BT128" s="241" t="e">
        <v>#N/A</v>
      </c>
      <c r="BU128" s="241" t="e">
        <v>#N/A</v>
      </c>
      <c r="BV128" s="241" t="e">
        <v>#N/A</v>
      </c>
      <c r="BW128" s="230"/>
      <c r="BX128" s="232">
        <v>16.2592</v>
      </c>
      <c r="BY128" s="232">
        <v>39.712000000000003</v>
      </c>
      <c r="BZ128" s="232">
        <v>134.673</v>
      </c>
      <c r="CA128" s="232">
        <v>37.266599999999997</v>
      </c>
      <c r="CB128" s="232">
        <v>97.075200000000009</v>
      </c>
      <c r="CC128" s="232">
        <v>139.21870000000001</v>
      </c>
      <c r="CD128" s="232" t="e">
        <v>#N/A</v>
      </c>
      <c r="CE128" s="232" t="e">
        <v>#N/A</v>
      </c>
      <c r="CF128" s="232" t="e">
        <v>#N/A</v>
      </c>
      <c r="CG128" s="232" t="e">
        <v>#N/A</v>
      </c>
      <c r="CH128" s="230"/>
      <c r="CI128" s="232">
        <v>81.06</v>
      </c>
      <c r="CJ128" s="232">
        <v>77.89</v>
      </c>
      <c r="CK128" s="232">
        <v>220.114</v>
      </c>
      <c r="CL128" s="232">
        <v>92.691999999999993</v>
      </c>
      <c r="CM128" s="232">
        <v>218.166</v>
      </c>
      <c r="CN128" s="232">
        <v>264.983</v>
      </c>
      <c r="CO128" s="232" t="e">
        <v>#N/A</v>
      </c>
      <c r="CP128" s="232" t="e">
        <v>#N/A</v>
      </c>
      <c r="CQ128" s="232" t="e">
        <v>#N/A</v>
      </c>
      <c r="CR128" s="232" t="e">
        <v>#N/A</v>
      </c>
      <c r="CS128" s="230"/>
      <c r="CT128" s="232">
        <v>738.53</v>
      </c>
      <c r="CU128" s="232">
        <v>831.25900000000001</v>
      </c>
      <c r="CV128" s="232">
        <v>926.27499999999998</v>
      </c>
      <c r="CW128" s="232">
        <v>771.30499999999995</v>
      </c>
      <c r="CX128" s="232">
        <v>937.29499999999996</v>
      </c>
      <c r="CY128" s="232">
        <v>1116.5409999999999</v>
      </c>
      <c r="CZ128" s="232" t="e">
        <v>#N/A</v>
      </c>
      <c r="DA128" s="232" t="e">
        <v>#N/A</v>
      </c>
      <c r="DB128" s="232" t="e">
        <v>#N/A</v>
      </c>
      <c r="DC128" s="232" t="e">
        <v>#N/A</v>
      </c>
      <c r="DD128" s="230"/>
      <c r="DE128" s="232" t="e">
        <v>#N/A</v>
      </c>
      <c r="DF128" s="232" t="e">
        <v>#N/A</v>
      </c>
      <c r="DG128" s="232" t="e">
        <v>#N/A</v>
      </c>
      <c r="DH128" s="230"/>
      <c r="DI128" s="230"/>
      <c r="DJ128" s="172"/>
    </row>
    <row r="129" spans="1:114" x14ac:dyDescent="0.25">
      <c r="A129" s="245" t="s">
        <v>850</v>
      </c>
      <c r="B129" s="226" t="s">
        <v>851</v>
      </c>
      <c r="C129" s="227" t="s">
        <v>852</v>
      </c>
      <c r="D129" s="228" t="str">
        <f t="shared" si="1"/>
        <v>DCAL IN Equity</v>
      </c>
      <c r="E129" s="229" t="s">
        <v>853</v>
      </c>
      <c r="F129" s="230"/>
      <c r="G129" s="231">
        <v>445.05373377995915</v>
      </c>
      <c r="H129" s="232">
        <v>39948.333084464037</v>
      </c>
      <c r="I129" s="230"/>
      <c r="J129" s="231">
        <v>662.09597967995921</v>
      </c>
      <c r="K129" s="232">
        <v>58513.233084464038</v>
      </c>
      <c r="L129" s="230"/>
      <c r="M129" s="233">
        <v>1006.7604797196157</v>
      </c>
      <c r="N129" s="233" t="e">
        <v>#N/A</v>
      </c>
      <c r="O129" s="233">
        <v>12.178585747921582</v>
      </c>
      <c r="P129" s="233" t="e">
        <v>#N/A</v>
      </c>
      <c r="Q129" s="230"/>
      <c r="R129" s="234">
        <v>0.68511538121305648</v>
      </c>
      <c r="S129" s="234">
        <v>2.6903410331382083</v>
      </c>
      <c r="T129" s="230"/>
      <c r="U129" s="234">
        <v>6.9255486071234716E-4</v>
      </c>
      <c r="V129" s="234" t="e">
        <v>#N/A</v>
      </c>
      <c r="W129" s="234">
        <v>2.1754310576354951E-3</v>
      </c>
      <c r="X129" s="234">
        <v>9.4577280135537192E-3</v>
      </c>
      <c r="Y129" s="234">
        <v>3.862273578136332E-3</v>
      </c>
      <c r="Z129" s="234">
        <v>2.3018673701794019E-2</v>
      </c>
      <c r="AA129" s="234">
        <v>8.3047309098615626E-3</v>
      </c>
      <c r="AB129" s="234">
        <v>3.5469033137658112E-3</v>
      </c>
      <c r="AC129" s="230"/>
      <c r="AD129" s="232">
        <v>-5070.3</v>
      </c>
      <c r="AE129" s="232">
        <v>-5324.6</v>
      </c>
      <c r="AF129" s="232">
        <v>-254.3</v>
      </c>
      <c r="AG129" s="232">
        <v>-0.2</v>
      </c>
      <c r="AH129" s="235">
        <v>-5324.8</v>
      </c>
      <c r="AI129" s="230"/>
      <c r="AJ129" s="232">
        <v>9994.4</v>
      </c>
      <c r="AK129" s="232">
        <v>13895.1</v>
      </c>
      <c r="AL129" s="235">
        <v>23889.5</v>
      </c>
      <c r="AM129" s="230"/>
      <c r="AN129" s="231">
        <v>217.04224590000001</v>
      </c>
      <c r="AO129" s="232">
        <v>18564.900000000001</v>
      </c>
      <c r="AP129" s="236">
        <v>3.8639845148399452</v>
      </c>
      <c r="AQ129" s="230"/>
      <c r="AR129" s="237">
        <v>156.783095</v>
      </c>
      <c r="AS129" s="237">
        <v>156.783095</v>
      </c>
      <c r="AT129" s="237">
        <v>156.783095</v>
      </c>
      <c r="AU129" s="230"/>
      <c r="AV129" s="234">
        <v>5.9319999999999998E-3</v>
      </c>
      <c r="AW129" s="234">
        <v>0.13925370087363265</v>
      </c>
      <c r="AX129" s="234">
        <v>8.0699999999999999E-4</v>
      </c>
      <c r="AY129" s="234">
        <v>0.32988049508781542</v>
      </c>
      <c r="AZ129" s="230"/>
      <c r="BA129" s="232">
        <v>0</v>
      </c>
      <c r="BB129" s="230"/>
      <c r="BC129" s="232" t="e">
        <v>#N/A</v>
      </c>
      <c r="BD129" s="232">
        <v>0</v>
      </c>
      <c r="BE129" s="230"/>
      <c r="BF129" s="238">
        <v>0.74359880000000056</v>
      </c>
      <c r="BG129" s="238">
        <v>0.46200440000000009</v>
      </c>
      <c r="BH129" s="238">
        <v>0.28425683333333335</v>
      </c>
      <c r="BI129" s="230"/>
      <c r="BJ129" s="239">
        <v>2.8386589369214783</v>
      </c>
      <c r="BK129" s="240">
        <v>254.80000305175781</v>
      </c>
      <c r="BL129" s="230"/>
      <c r="BM129" s="241">
        <v>11.491</v>
      </c>
      <c r="BN129" s="241">
        <v>-9.11</v>
      </c>
      <c r="BO129" s="241">
        <v>2.0819999999999999</v>
      </c>
      <c r="BP129" s="241">
        <v>-1.9</v>
      </c>
      <c r="BQ129" s="241">
        <v>-9.7899999999999991</v>
      </c>
      <c r="BR129" s="241">
        <v>0.21</v>
      </c>
      <c r="BS129" s="241" t="e">
        <v>#N/A</v>
      </c>
      <c r="BT129" s="241" t="e">
        <v>#N/A</v>
      </c>
      <c r="BU129" s="241" t="e">
        <v>#N/A</v>
      </c>
      <c r="BV129" s="241" t="e">
        <v>#N/A</v>
      </c>
      <c r="BW129" s="230"/>
      <c r="BX129" s="232">
        <v>1545.2</v>
      </c>
      <c r="BY129" s="232">
        <v>-1668.94</v>
      </c>
      <c r="BZ129" s="232">
        <v>193.61</v>
      </c>
      <c r="CA129" s="232">
        <v>-273.01</v>
      </c>
      <c r="CB129" s="232">
        <v>-1496.77</v>
      </c>
      <c r="CC129" s="232">
        <v>39.68</v>
      </c>
      <c r="CD129" s="232" t="e">
        <v>#N/A</v>
      </c>
      <c r="CE129" s="232" t="e">
        <v>#N/A</v>
      </c>
      <c r="CF129" s="232" t="e">
        <v>#N/A</v>
      </c>
      <c r="CG129" s="232" t="e">
        <v>#N/A</v>
      </c>
      <c r="CH129" s="230"/>
      <c r="CI129" s="232">
        <v>5067.3999999999996</v>
      </c>
      <c r="CJ129" s="232">
        <v>2784.5</v>
      </c>
      <c r="CK129" s="232">
        <v>3441.9</v>
      </c>
      <c r="CL129" s="232">
        <v>3868.2999999999997</v>
      </c>
      <c r="CM129" s="232">
        <v>2983.7999999999997</v>
      </c>
      <c r="CN129" s="232">
        <v>4804.6000000000004</v>
      </c>
      <c r="CO129" s="232" t="e">
        <v>#N/A</v>
      </c>
      <c r="CP129" s="232" t="e">
        <v>#N/A</v>
      </c>
      <c r="CQ129" s="232" t="e">
        <v>#N/A</v>
      </c>
      <c r="CR129" s="232" t="e">
        <v>#N/A</v>
      </c>
      <c r="CS129" s="230"/>
      <c r="CT129" s="232">
        <v>20436</v>
      </c>
      <c r="CU129" s="232">
        <v>19120.3</v>
      </c>
      <c r="CV129" s="232">
        <v>21406.9</v>
      </c>
      <c r="CW129" s="232">
        <v>24129.200000000001</v>
      </c>
      <c r="CX129" s="232">
        <v>26157.7</v>
      </c>
      <c r="CY129" s="232">
        <v>27115</v>
      </c>
      <c r="CZ129" s="232" t="e">
        <v>#N/A</v>
      </c>
      <c r="DA129" s="232" t="e">
        <v>#N/A</v>
      </c>
      <c r="DB129" s="232" t="e">
        <v>#N/A</v>
      </c>
      <c r="DC129" s="232" t="e">
        <v>#N/A</v>
      </c>
      <c r="DD129" s="230"/>
      <c r="DE129" s="232" t="e">
        <v>#N/A</v>
      </c>
      <c r="DF129" s="232">
        <v>0</v>
      </c>
      <c r="DG129" s="232">
        <v>0</v>
      </c>
      <c r="DH129" s="230"/>
      <c r="DI129" s="230"/>
      <c r="DJ129" s="172" t="s">
        <v>277</v>
      </c>
    </row>
    <row r="130" spans="1:114" x14ac:dyDescent="0.25">
      <c r="A130" s="245" t="s">
        <v>850</v>
      </c>
      <c r="B130" s="226" t="s">
        <v>854</v>
      </c>
      <c r="C130" s="227" t="s">
        <v>855</v>
      </c>
      <c r="D130" s="228" t="str">
        <f t="shared" si="1"/>
        <v>DIVI IN Equity</v>
      </c>
      <c r="E130" s="229" t="s">
        <v>856</v>
      </c>
      <c r="F130" s="230"/>
      <c r="G130" s="231">
        <v>19213.49431237367</v>
      </c>
      <c r="H130" s="232">
        <v>1724616.6299700004</v>
      </c>
      <c r="I130" s="230"/>
      <c r="J130" s="231">
        <v>18779.641302373668</v>
      </c>
      <c r="K130" s="232">
        <v>1687506.6299700004</v>
      </c>
      <c r="L130" s="230"/>
      <c r="M130" s="233">
        <v>78.740568812463636</v>
      </c>
      <c r="N130" s="233">
        <v>67.386794441525936</v>
      </c>
      <c r="O130" s="233">
        <v>56.85669238443397</v>
      </c>
      <c r="P130" s="233">
        <v>48.408547959602288</v>
      </c>
      <c r="Q130" s="230"/>
      <c r="R130" s="234">
        <v>11.521254793038946</v>
      </c>
      <c r="S130" s="234">
        <v>11.524334313197459</v>
      </c>
      <c r="T130" s="230"/>
      <c r="U130" s="234">
        <v>0.15348645269796776</v>
      </c>
      <c r="V130" s="234">
        <v>0.16092000000000004</v>
      </c>
      <c r="W130" s="234">
        <v>0.1535819430814524</v>
      </c>
      <c r="X130" s="234">
        <v>0.15121229997477326</v>
      </c>
      <c r="Y130" s="234">
        <v>0.12979882671837659</v>
      </c>
      <c r="Z130" s="234">
        <v>0.1729285305118442</v>
      </c>
      <c r="AA130" s="234">
        <v>0.11965498709527271</v>
      </c>
      <c r="AB130" s="234">
        <v>0.15360652562330368</v>
      </c>
      <c r="AC130" s="230"/>
      <c r="AD130" s="232">
        <v>-37150</v>
      </c>
      <c r="AE130" s="232">
        <v>-37150</v>
      </c>
      <c r="AF130" s="232">
        <v>0</v>
      </c>
      <c r="AG130" s="232">
        <v>-650</v>
      </c>
      <c r="AH130" s="235">
        <v>-37800</v>
      </c>
      <c r="AI130" s="230"/>
      <c r="AJ130" s="232">
        <v>20</v>
      </c>
      <c r="AK130" s="232">
        <v>20</v>
      </c>
      <c r="AL130" s="235">
        <v>40</v>
      </c>
      <c r="AM130" s="230"/>
      <c r="AN130" s="231">
        <v>-433.85300999999998</v>
      </c>
      <c r="AO130" s="232">
        <v>-37110</v>
      </c>
      <c r="AP130" s="236">
        <v>-1.2503369272237197</v>
      </c>
      <c r="AQ130" s="230"/>
      <c r="AR130" s="237">
        <v>265.46858000000003</v>
      </c>
      <c r="AS130" s="237">
        <v>265.46857999999997</v>
      </c>
      <c r="AT130" s="237">
        <v>265.46857999999997</v>
      </c>
      <c r="AU130" s="230"/>
      <c r="AV130" s="234">
        <v>5.189E-3</v>
      </c>
      <c r="AW130" s="234">
        <v>0.62178933877920328</v>
      </c>
      <c r="AX130" s="234">
        <v>1.939E-3</v>
      </c>
      <c r="AY130" s="234">
        <v>0.41582540577871785</v>
      </c>
      <c r="AZ130" s="230"/>
      <c r="BA130" s="232">
        <v>0</v>
      </c>
      <c r="BB130" s="230"/>
      <c r="BC130" s="232" t="e">
        <v>#N/A</v>
      </c>
      <c r="BD130" s="232">
        <v>7960</v>
      </c>
      <c r="BE130" s="230"/>
      <c r="BF130" s="238">
        <v>0.37203560000000008</v>
      </c>
      <c r="BG130" s="238">
        <v>0.28505460000000005</v>
      </c>
      <c r="BH130" s="238">
        <v>0.23702673333333329</v>
      </c>
      <c r="BI130" s="230"/>
      <c r="BJ130" s="239">
        <v>72.375775364352606</v>
      </c>
      <c r="BK130" s="240">
        <v>6496.5</v>
      </c>
      <c r="BL130" s="230"/>
      <c r="BM130" s="241">
        <v>51.856999999999999</v>
      </c>
      <c r="BN130" s="241">
        <v>74.75</v>
      </c>
      <c r="BO130" s="241">
        <v>111.526</v>
      </c>
      <c r="BP130" s="241">
        <v>68.69</v>
      </c>
      <c r="BQ130" s="241">
        <v>60.27</v>
      </c>
      <c r="BR130" s="241">
        <v>82.53</v>
      </c>
      <c r="BS130" s="241">
        <v>96.406129032258065</v>
      </c>
      <c r="BT130" s="241">
        <v>118.50903225806451</v>
      </c>
      <c r="BU130" s="241">
        <v>144.03629629629626</v>
      </c>
      <c r="BV130" s="241">
        <v>161.18333333333331</v>
      </c>
      <c r="BW130" s="230"/>
      <c r="BX130" s="232">
        <v>13372.42</v>
      </c>
      <c r="BY130" s="232">
        <v>19866.07</v>
      </c>
      <c r="BZ130" s="232">
        <v>29617.836480000002</v>
      </c>
      <c r="CA130" s="232">
        <v>18208.363104</v>
      </c>
      <c r="CB130" s="232">
        <v>15993.4944</v>
      </c>
      <c r="CC130" s="232">
        <v>21902.516800000001</v>
      </c>
      <c r="CD130" s="232">
        <v>25676.62553576738</v>
      </c>
      <c r="CE130" s="232">
        <v>31642.545674571043</v>
      </c>
      <c r="CF130" s="232">
        <v>38467.660834303744</v>
      </c>
      <c r="CG130" s="232">
        <v>17957.574067513648</v>
      </c>
      <c r="CH130" s="230"/>
      <c r="CI130" s="232">
        <v>18221.7</v>
      </c>
      <c r="CJ130" s="232">
        <v>28599.4</v>
      </c>
      <c r="CK130" s="232">
        <v>38819.4</v>
      </c>
      <c r="CL130" s="232">
        <v>23678.2</v>
      </c>
      <c r="CM130" s="232">
        <v>22050</v>
      </c>
      <c r="CN130" s="232">
        <v>29680</v>
      </c>
      <c r="CO130" s="232">
        <v>34792.483870967699</v>
      </c>
      <c r="CP130" s="232">
        <v>43399.2580645161</v>
      </c>
      <c r="CQ130" s="232">
        <v>52853.851851851898</v>
      </c>
      <c r="CR130" s="232">
        <v>34383</v>
      </c>
      <c r="CS130" s="230"/>
      <c r="CT130" s="232">
        <v>52911.7</v>
      </c>
      <c r="CU130" s="232">
        <v>68583.399999999994</v>
      </c>
      <c r="CV130" s="232">
        <v>87992.3</v>
      </c>
      <c r="CW130" s="232">
        <v>76659.399999999994</v>
      </c>
      <c r="CX130" s="232">
        <v>77960</v>
      </c>
      <c r="CY130" s="232">
        <v>93250</v>
      </c>
      <c r="CZ130" s="232">
        <v>106572.96774193548</v>
      </c>
      <c r="DA130" s="232">
        <v>125173.83333333333</v>
      </c>
      <c r="DB130" s="232">
        <v>147065.96153846156</v>
      </c>
      <c r="DC130" s="232">
        <v>169695.66666666666</v>
      </c>
      <c r="DD130" s="230"/>
      <c r="DE130" s="232" t="e">
        <v>#N/A</v>
      </c>
      <c r="DF130" s="232">
        <v>10</v>
      </c>
      <c r="DG130" s="232">
        <v>0</v>
      </c>
      <c r="DH130" s="230"/>
      <c r="DI130" s="230"/>
      <c r="DJ130" s="172" t="s">
        <v>277</v>
      </c>
    </row>
    <row r="131" spans="1:114" x14ac:dyDescent="0.25">
      <c r="A131" s="245" t="s">
        <v>850</v>
      </c>
      <c r="B131" s="226" t="s">
        <v>857</v>
      </c>
      <c r="C131" s="227" t="s">
        <v>858</v>
      </c>
      <c r="D131" s="228" t="str">
        <f t="shared" si="1"/>
        <v>GLAND IN Equity</v>
      </c>
      <c r="E131" s="229" t="s">
        <v>858</v>
      </c>
      <c r="F131" s="230"/>
      <c r="G131" s="231">
        <v>3028.5872193420646</v>
      </c>
      <c r="H131" s="232">
        <v>271848.09794999997</v>
      </c>
      <c r="I131" s="230"/>
      <c r="J131" s="231">
        <v>2766.4193501820646</v>
      </c>
      <c r="K131" s="232">
        <v>249423.33794999996</v>
      </c>
      <c r="L131" s="230"/>
      <c r="M131" s="233">
        <v>39.008521588852545</v>
      </c>
      <c r="N131" s="233">
        <v>28.776904610460225</v>
      </c>
      <c r="O131" s="233">
        <v>19.656286582175131</v>
      </c>
      <c r="P131" s="233">
        <v>18.717161340808403</v>
      </c>
      <c r="Q131" s="230"/>
      <c r="R131" s="234">
        <v>2.9707768797084304</v>
      </c>
      <c r="S131" s="234">
        <v>3.0902929785346758</v>
      </c>
      <c r="T131" s="230"/>
      <c r="U131" s="234">
        <v>7.797138104025246E-2</v>
      </c>
      <c r="V131" s="234">
        <v>9.8275000000000001E-2</v>
      </c>
      <c r="W131" s="234">
        <v>8.138386331654919E-2</v>
      </c>
      <c r="X131" s="234">
        <v>8.3741212869710396E-2</v>
      </c>
      <c r="Y131" s="234">
        <v>6.0679108021324077E-2</v>
      </c>
      <c r="Z131" s="234">
        <v>9.351410102492945E-2</v>
      </c>
      <c r="AA131" s="234">
        <v>5.8765821139308422E-2</v>
      </c>
      <c r="AB131" s="234">
        <v>7.7778614681115674E-2</v>
      </c>
      <c r="AC131" s="230"/>
      <c r="AD131" s="232">
        <v>-25562.09</v>
      </c>
      <c r="AE131" s="232">
        <v>-25562.09</v>
      </c>
      <c r="AF131" s="232">
        <v>0</v>
      </c>
      <c r="AG131" s="232">
        <v>0</v>
      </c>
      <c r="AH131" s="235">
        <v>-25562.09</v>
      </c>
      <c r="AI131" s="230"/>
      <c r="AJ131" s="232">
        <v>2065.8200000000002</v>
      </c>
      <c r="AK131" s="232">
        <v>1071.51</v>
      </c>
      <c r="AL131" s="235">
        <v>3137.33</v>
      </c>
      <c r="AM131" s="230"/>
      <c r="AN131" s="231">
        <v>-262.16786916000007</v>
      </c>
      <c r="AO131" s="232">
        <v>-22424.760000000002</v>
      </c>
      <c r="AP131" s="236">
        <v>-1.7672264059943703</v>
      </c>
      <c r="AQ131" s="230"/>
      <c r="AR131" s="237">
        <v>164.75642299999998</v>
      </c>
      <c r="AS131" s="237">
        <v>164.744598</v>
      </c>
      <c r="AT131" s="237">
        <v>164.745847</v>
      </c>
      <c r="AU131" s="230"/>
      <c r="AV131" s="234">
        <v>5.1830000000000001E-3</v>
      </c>
      <c r="AW131" s="234">
        <v>0.79797700000285199</v>
      </c>
      <c r="AX131" s="234">
        <v>7.9000000000000001E-4</v>
      </c>
      <c r="AY131" s="234">
        <v>0.46820623193549177</v>
      </c>
      <c r="AZ131" s="230"/>
      <c r="BA131" s="232">
        <v>0</v>
      </c>
      <c r="BB131" s="230"/>
      <c r="BC131" s="232" t="e">
        <v>#N/A</v>
      </c>
      <c r="BD131" s="232">
        <v>3294.88</v>
      </c>
      <c r="BE131" s="230"/>
      <c r="BF131" s="238">
        <v>6.2990199999999968E-2</v>
      </c>
      <c r="BG131" s="238">
        <v>8.0354599999999929E-2</v>
      </c>
      <c r="BH131" s="238">
        <v>0.15490806666666659</v>
      </c>
      <c r="BI131" s="230"/>
      <c r="BJ131" s="239">
        <v>18.38221032112396</v>
      </c>
      <c r="BK131" s="240">
        <v>1650</v>
      </c>
      <c r="BL131" s="230"/>
      <c r="BM131" s="241">
        <v>49.88</v>
      </c>
      <c r="BN131" s="241">
        <v>63.99</v>
      </c>
      <c r="BO131" s="241">
        <v>73.64</v>
      </c>
      <c r="BP131" s="241">
        <v>47.44</v>
      </c>
      <c r="BQ131" s="241">
        <v>46.89</v>
      </c>
      <c r="BR131" s="241">
        <v>42.4</v>
      </c>
      <c r="BS131" s="241">
        <v>57.337647058823528</v>
      </c>
      <c r="BT131" s="241">
        <v>72.911764705882334</v>
      </c>
      <c r="BU131" s="241">
        <v>86.586666666666659</v>
      </c>
      <c r="BV131" s="241">
        <v>108.16499999999999</v>
      </c>
      <c r="BW131" s="230"/>
      <c r="BX131" s="232">
        <v>7606.8289999999997</v>
      </c>
      <c r="BY131" s="232">
        <v>9969.6299999999992</v>
      </c>
      <c r="BZ131" s="232">
        <v>12117.886</v>
      </c>
      <c r="CA131" s="232">
        <v>7855.8879999999999</v>
      </c>
      <c r="CB131" s="232">
        <v>7720.4210000000003</v>
      </c>
      <c r="CC131" s="232">
        <v>6968.53</v>
      </c>
      <c r="CD131" s="232">
        <v>9364.8971651462289</v>
      </c>
      <c r="CE131" s="232">
        <v>11857.452535613014</v>
      </c>
      <c r="CF131" s="232">
        <v>14078.527422425919</v>
      </c>
      <c r="CG131" s="232">
        <v>17832.240737952667</v>
      </c>
      <c r="CH131" s="230"/>
      <c r="CI131" s="232">
        <v>9554.67</v>
      </c>
      <c r="CJ131" s="232">
        <v>13022.25</v>
      </c>
      <c r="CK131" s="232">
        <v>15101.52</v>
      </c>
      <c r="CL131" s="232">
        <v>10247.630000000001</v>
      </c>
      <c r="CM131" s="232">
        <v>13330.73</v>
      </c>
      <c r="CN131" s="232">
        <v>12689.24</v>
      </c>
      <c r="CO131" s="232">
        <v>15458.9411764706</v>
      </c>
      <c r="CP131" s="232">
        <v>18827</v>
      </c>
      <c r="CQ131" s="232">
        <v>21640.583333333303</v>
      </c>
      <c r="CR131" s="232">
        <v>27010</v>
      </c>
      <c r="CS131" s="230"/>
      <c r="CT131" s="232">
        <v>26332.400000000001</v>
      </c>
      <c r="CU131" s="232">
        <v>34628.76</v>
      </c>
      <c r="CV131" s="232">
        <v>44007.08</v>
      </c>
      <c r="CW131" s="232">
        <v>36246.01</v>
      </c>
      <c r="CX131" s="232">
        <v>56417.32</v>
      </c>
      <c r="CY131" s="232">
        <v>55836.26</v>
      </c>
      <c r="CZ131" s="232">
        <v>63291.764705882357</v>
      </c>
      <c r="DA131" s="232">
        <v>71950.647058823539</v>
      </c>
      <c r="DB131" s="232">
        <v>80377.5</v>
      </c>
      <c r="DC131" s="232">
        <v>92180.5</v>
      </c>
      <c r="DD131" s="230"/>
      <c r="DE131" s="232" t="e">
        <v>#N/A</v>
      </c>
      <c r="DF131" s="232">
        <v>417.76</v>
      </c>
      <c r="DG131" s="232">
        <v>413.85</v>
      </c>
      <c r="DH131" s="230"/>
      <c r="DI131" s="230"/>
      <c r="DJ131" s="172" t="s">
        <v>277</v>
      </c>
    </row>
    <row r="132" spans="1:114" x14ac:dyDescent="0.25">
      <c r="A132" s="245" t="s">
        <v>850</v>
      </c>
      <c r="B132" s="226" t="s">
        <v>859</v>
      </c>
      <c r="C132" s="227" t="s">
        <v>860</v>
      </c>
      <c r="D132" s="228" t="str">
        <f t="shared" si="1"/>
        <v>SUNP IN Equity</v>
      </c>
      <c r="E132" s="229" t="s">
        <v>861</v>
      </c>
      <c r="F132" s="230"/>
      <c r="G132" s="231">
        <v>46429.487993178154</v>
      </c>
      <c r="H132" s="232">
        <v>4167543.1762800007</v>
      </c>
      <c r="I132" s="230"/>
      <c r="J132" s="231">
        <v>43913.043320178156</v>
      </c>
      <c r="K132" s="232">
        <v>3943958.5762800006</v>
      </c>
      <c r="L132" s="230"/>
      <c r="M132" s="233">
        <v>39.047901119114641</v>
      </c>
      <c r="N132" s="233">
        <v>41.08179700341757</v>
      </c>
      <c r="O132" s="233">
        <v>24.983236074296773</v>
      </c>
      <c r="P132" s="233">
        <v>23.063863927079357</v>
      </c>
      <c r="Q132" s="230"/>
      <c r="R132" s="234">
        <v>5.3553818701480802</v>
      </c>
      <c r="S132" s="234">
        <v>7.597251885584658</v>
      </c>
      <c r="T132" s="230"/>
      <c r="U132" s="234">
        <v>0.14525043859643152</v>
      </c>
      <c r="V132" s="234">
        <v>0.15210000000000001</v>
      </c>
      <c r="W132" s="234">
        <v>0.19763060911915636</v>
      </c>
      <c r="X132" s="234">
        <v>0.26731092539182005</v>
      </c>
      <c r="Y132" s="234">
        <v>0.12944986671286121</v>
      </c>
      <c r="Z132" s="234">
        <v>0.17377186338242517</v>
      </c>
      <c r="AA132" s="234">
        <v>0.11827560189733351</v>
      </c>
      <c r="AB132" s="234">
        <v>0.13768165711464841</v>
      </c>
      <c r="AC132" s="230"/>
      <c r="AD132" s="232">
        <v>-122574.2</v>
      </c>
      <c r="AE132" s="232">
        <v>-278804.3</v>
      </c>
      <c r="AF132" s="232">
        <v>-156230.1</v>
      </c>
      <c r="AG132" s="232">
        <v>-39200.5</v>
      </c>
      <c r="AH132" s="235">
        <v>-318004.8</v>
      </c>
      <c r="AI132" s="230"/>
      <c r="AJ132" s="232">
        <v>48532</v>
      </c>
      <c r="AK132" s="232">
        <v>3619</v>
      </c>
      <c r="AL132" s="235">
        <v>52151</v>
      </c>
      <c r="AM132" s="230"/>
      <c r="AN132" s="231">
        <v>-2550.9828914999998</v>
      </c>
      <c r="AO132" s="232">
        <v>-226653.3</v>
      </c>
      <c r="AP132" s="236">
        <v>-1.435748573774168</v>
      </c>
      <c r="AQ132" s="230"/>
      <c r="AR132" s="237">
        <v>2399.2764400000001</v>
      </c>
      <c r="AS132" s="237">
        <v>2399.3000000000002</v>
      </c>
      <c r="AT132" s="237">
        <v>2399.3000000000002</v>
      </c>
      <c r="AU132" s="230"/>
      <c r="AV132" s="234">
        <v>5.4479999999999997E-3</v>
      </c>
      <c r="AW132" s="234">
        <v>0.65201365082444562</v>
      </c>
      <c r="AX132" s="234">
        <v>1.655E-3</v>
      </c>
      <c r="AY132" s="234">
        <v>0.41299156007216903</v>
      </c>
      <c r="AZ132" s="230"/>
      <c r="BA132" s="232">
        <v>3068.7</v>
      </c>
      <c r="BB132" s="230"/>
      <c r="BC132" s="232" t="e">
        <v>#N/A</v>
      </c>
      <c r="BD132" s="232" t="e">
        <v>#N/A</v>
      </c>
      <c r="BE132" s="230"/>
      <c r="BF132" s="238">
        <v>2.2948925999999981</v>
      </c>
      <c r="BG132" s="238">
        <v>1.9896895000000001</v>
      </c>
      <c r="BH132" s="238">
        <v>2.0389940000000006</v>
      </c>
      <c r="BI132" s="230"/>
      <c r="BJ132" s="239">
        <v>19.351454138055949</v>
      </c>
      <c r="BK132" s="240">
        <v>1737</v>
      </c>
      <c r="BL132" s="230"/>
      <c r="BM132" s="241">
        <v>15.69</v>
      </c>
      <c r="BN132" s="241">
        <v>12.1</v>
      </c>
      <c r="BO132" s="241">
        <v>32.355812</v>
      </c>
      <c r="BP132" s="241">
        <v>35.884635000000003</v>
      </c>
      <c r="BQ132" s="241">
        <v>39.9</v>
      </c>
      <c r="BR132" s="241">
        <v>45.6</v>
      </c>
      <c r="BS132" s="241">
        <v>42.281500000000001</v>
      </c>
      <c r="BT132" s="241">
        <v>66.458333333333343</v>
      </c>
      <c r="BU132" s="241">
        <v>37.5</v>
      </c>
      <c r="BV132" s="241">
        <v>50.150000000000006</v>
      </c>
      <c r="BW132" s="230"/>
      <c r="BX132" s="232">
        <v>38765.1</v>
      </c>
      <c r="BY132" s="232">
        <v>56849.9</v>
      </c>
      <c r="BZ132" s="232">
        <v>66783</v>
      </c>
      <c r="CA132" s="232">
        <v>86099.26</v>
      </c>
      <c r="CB132" s="232">
        <v>100291.89</v>
      </c>
      <c r="CC132" s="232">
        <v>110224.13</v>
      </c>
      <c r="CD132" s="232">
        <v>121694.94065324808</v>
      </c>
      <c r="CE132" s="232">
        <v>203982.38342202432</v>
      </c>
      <c r="CF132" s="232">
        <v>103426.11874867699</v>
      </c>
      <c r="CG132" s="232">
        <v>121332.97968102152</v>
      </c>
      <c r="CH132" s="230"/>
      <c r="CI132" s="232">
        <v>69741.5</v>
      </c>
      <c r="CJ132" s="232">
        <v>84677.2</v>
      </c>
      <c r="CK132" s="232">
        <v>102437.6</v>
      </c>
      <c r="CL132" s="232">
        <v>117728.90000000001</v>
      </c>
      <c r="CM132" s="232">
        <v>129870</v>
      </c>
      <c r="CN132" s="232">
        <v>150861.6</v>
      </c>
      <c r="CO132" s="232">
        <v>170419.5454545455</v>
      </c>
      <c r="CP132" s="232">
        <v>250536.25</v>
      </c>
      <c r="CQ132" s="232">
        <v>153399.5</v>
      </c>
      <c r="CR132" s="232">
        <v>172847.1</v>
      </c>
      <c r="CS132" s="230"/>
      <c r="CT132" s="232">
        <v>323251.7</v>
      </c>
      <c r="CU132" s="232">
        <v>331391.8</v>
      </c>
      <c r="CV132" s="232">
        <v>384264.2</v>
      </c>
      <c r="CW132" s="232">
        <v>432788.7</v>
      </c>
      <c r="CX132" s="232">
        <v>477584.5</v>
      </c>
      <c r="CY132" s="232">
        <v>520412.5</v>
      </c>
      <c r="CZ132" s="232">
        <v>598214.80000000005</v>
      </c>
      <c r="DA132" s="232">
        <v>673884.5</v>
      </c>
      <c r="DB132" s="232">
        <v>737856.16666666674</v>
      </c>
      <c r="DC132" s="232">
        <v>809060</v>
      </c>
      <c r="DD132" s="230"/>
      <c r="DE132" s="232" t="e">
        <v>#N/A</v>
      </c>
      <c r="DF132" s="232">
        <v>1095.9000000000001</v>
      </c>
      <c r="DG132" s="232">
        <v>0</v>
      </c>
      <c r="DH132" s="230"/>
      <c r="DI132" s="230"/>
      <c r="DJ132" s="172" t="s">
        <v>277</v>
      </c>
    </row>
    <row r="133" spans="1:114" x14ac:dyDescent="0.25">
      <c r="A133" s="245" t="s">
        <v>850</v>
      </c>
      <c r="B133" s="226" t="s">
        <v>862</v>
      </c>
      <c r="C133" s="227" t="s">
        <v>863</v>
      </c>
      <c r="D133" s="228" t="str">
        <f t="shared" si="1"/>
        <v>LAURUS IN Equity</v>
      </c>
      <c r="E133" s="229" t="s">
        <v>864</v>
      </c>
      <c r="F133" s="230"/>
      <c r="G133" s="231">
        <v>6524.0366909765498</v>
      </c>
      <c r="H133" s="232">
        <v>585602.07679383759</v>
      </c>
      <c r="I133" s="230"/>
      <c r="J133" s="231">
        <v>6845.4783977765501</v>
      </c>
      <c r="K133" s="232">
        <v>613096.87679383764</v>
      </c>
      <c r="L133" s="230"/>
      <c r="M133" s="233">
        <v>185.47271498294361</v>
      </c>
      <c r="N133" s="233">
        <v>81.517944679926728</v>
      </c>
      <c r="O133" s="233">
        <v>58.098028655317798</v>
      </c>
      <c r="P133" s="233">
        <v>33.149952404853124</v>
      </c>
      <c r="Q133" s="230"/>
      <c r="R133" s="234">
        <v>13.079335516292414</v>
      </c>
      <c r="S133" s="234">
        <v>13.905145511166975</v>
      </c>
      <c r="T133" s="230"/>
      <c r="U133" s="234">
        <v>7.3543220663807696E-2</v>
      </c>
      <c r="V133" s="234">
        <v>0.14562142857142857</v>
      </c>
      <c r="W133" s="234">
        <v>8.8995190355377229E-2</v>
      </c>
      <c r="X133" s="234">
        <v>0.1031555248855809</v>
      </c>
      <c r="Y133" s="234">
        <v>7.2011824564608362E-2</v>
      </c>
      <c r="Z133" s="234">
        <v>8.7451391803049366E-2</v>
      </c>
      <c r="AA133" s="234">
        <v>6.5232006977244752E-2</v>
      </c>
      <c r="AB133" s="234">
        <v>7.2482736320306454E-2</v>
      </c>
      <c r="AC133" s="230"/>
      <c r="AD133" s="232">
        <v>-1442.1</v>
      </c>
      <c r="AE133" s="232">
        <v>-1442.1</v>
      </c>
      <c r="AF133" s="232">
        <v>0</v>
      </c>
      <c r="AG133" s="232">
        <v>-34.1</v>
      </c>
      <c r="AH133" s="235">
        <v>-1476.2</v>
      </c>
      <c r="AI133" s="230"/>
      <c r="AJ133" s="232">
        <v>20559.599999999999</v>
      </c>
      <c r="AK133" s="232">
        <v>7077.7</v>
      </c>
      <c r="AL133" s="235">
        <v>27637.3</v>
      </c>
      <c r="AM133" s="230"/>
      <c r="AN133" s="231">
        <v>306.2480832</v>
      </c>
      <c r="AO133" s="232">
        <v>26195.200000000001</v>
      </c>
      <c r="AP133" s="236">
        <v>2.4822985368812067</v>
      </c>
      <c r="AQ133" s="230"/>
      <c r="AR133" s="237">
        <v>539.82489899999996</v>
      </c>
      <c r="AS133" s="237">
        <v>539.152333</v>
      </c>
      <c r="AT133" s="237">
        <v>539.59352000000001</v>
      </c>
      <c r="AU133" s="230"/>
      <c r="AV133" s="234">
        <v>2.7589999999999997E-3</v>
      </c>
      <c r="AW133" s="234">
        <v>0.53150776336266914</v>
      </c>
      <c r="AX133" s="234">
        <v>2.617E-3</v>
      </c>
      <c r="AY133" s="234">
        <v>0.64795457498895404</v>
      </c>
      <c r="AZ133" s="230"/>
      <c r="BA133" s="232">
        <v>1299.5999999999999</v>
      </c>
      <c r="BB133" s="230"/>
      <c r="BC133" s="232" t="e">
        <v>#N/A</v>
      </c>
      <c r="BD133" s="232">
        <v>431.3</v>
      </c>
      <c r="BE133" s="230"/>
      <c r="BF133" s="238">
        <v>1.5609547999999986</v>
      </c>
      <c r="BG133" s="238">
        <v>1.3553937</v>
      </c>
      <c r="BH133" s="238">
        <v>1.5825688666666673</v>
      </c>
      <c r="BI133" s="230"/>
      <c r="BJ133" s="239">
        <v>12.085468275105537</v>
      </c>
      <c r="BK133" s="240">
        <v>1084.800048828125</v>
      </c>
      <c r="BL133" s="230"/>
      <c r="BM133" s="241">
        <v>4.7859999999999996</v>
      </c>
      <c r="BN133" s="241">
        <v>18.36</v>
      </c>
      <c r="BO133" s="241">
        <v>15.42</v>
      </c>
      <c r="BP133" s="241">
        <v>14.64</v>
      </c>
      <c r="BQ133" s="241">
        <v>2.98</v>
      </c>
      <c r="BR133" s="241">
        <v>6.64</v>
      </c>
      <c r="BS133" s="241">
        <v>13.307500000000001</v>
      </c>
      <c r="BT133" s="241">
        <v>17.571249999999999</v>
      </c>
      <c r="BU133" s="241">
        <v>22.420666666666669</v>
      </c>
      <c r="BV133" s="241">
        <v>27.51</v>
      </c>
      <c r="BW133" s="230"/>
      <c r="BX133" s="232">
        <v>2557.5792000000001</v>
      </c>
      <c r="BY133" s="232">
        <v>9839.7684160000008</v>
      </c>
      <c r="BZ133" s="232">
        <v>8283.0717760000007</v>
      </c>
      <c r="CA133" s="232">
        <v>7902.6714300000003</v>
      </c>
      <c r="CB133" s="232">
        <v>1619.94219</v>
      </c>
      <c r="CC133" s="232">
        <v>3156.2948500000002</v>
      </c>
      <c r="CD133" s="232">
        <v>7093.0367406686737</v>
      </c>
      <c r="CE133" s="232">
        <v>9322.1634152464339</v>
      </c>
      <c r="CF133" s="232">
        <v>11809.151035037239</v>
      </c>
      <c r="CG133" s="232">
        <v>14680.931578904982</v>
      </c>
      <c r="CH133" s="230"/>
      <c r="CI133" s="232">
        <v>5654.7</v>
      </c>
      <c r="CJ133" s="232">
        <v>15506.8</v>
      </c>
      <c r="CK133" s="232">
        <v>14031</v>
      </c>
      <c r="CL133" s="232">
        <v>15685.3</v>
      </c>
      <c r="CM133" s="232">
        <v>7487.2000000000007</v>
      </c>
      <c r="CN133" s="232">
        <v>10552.8</v>
      </c>
      <c r="CO133" s="232">
        <v>16072.125</v>
      </c>
      <c r="CP133" s="232">
        <v>19736.5</v>
      </c>
      <c r="CQ133" s="232">
        <v>23697.200000000001</v>
      </c>
      <c r="CR133" s="232">
        <v>27828</v>
      </c>
      <c r="CS133" s="230"/>
      <c r="CT133" s="232">
        <v>27586</v>
      </c>
      <c r="CU133" s="232">
        <v>47232.2</v>
      </c>
      <c r="CV133" s="232">
        <v>48885.4</v>
      </c>
      <c r="CW133" s="232">
        <v>60142.2</v>
      </c>
      <c r="CX133" s="232">
        <v>50018</v>
      </c>
      <c r="CY133" s="232">
        <v>55078.6</v>
      </c>
      <c r="CZ133" s="232">
        <v>66356.875</v>
      </c>
      <c r="DA133" s="232">
        <v>76825.1875</v>
      </c>
      <c r="DB133" s="232">
        <v>87375.666666666672</v>
      </c>
      <c r="DC133" s="232">
        <v>100018</v>
      </c>
      <c r="DD133" s="230"/>
      <c r="DE133" s="232" t="e">
        <v>#N/A</v>
      </c>
      <c r="DF133" s="232" t="e">
        <v>#N/A</v>
      </c>
      <c r="DG133" s="232" t="e">
        <v>#N/A</v>
      </c>
      <c r="DH133" s="230"/>
      <c r="DI133" s="230"/>
      <c r="DJ133" s="172" t="s">
        <v>277</v>
      </c>
    </row>
    <row r="134" spans="1:114" x14ac:dyDescent="0.25">
      <c r="A134" s="245" t="s">
        <v>850</v>
      </c>
      <c r="B134" s="226" t="s">
        <v>865</v>
      </c>
      <c r="C134" s="227" t="s">
        <v>866</v>
      </c>
      <c r="D134" s="228" t="str">
        <f t="shared" si="1"/>
        <v>SYNG IN Equity</v>
      </c>
      <c r="E134" s="229" t="s">
        <v>867</v>
      </c>
      <c r="F134" s="230"/>
      <c r="G134" s="231">
        <v>2931.1191838643363</v>
      </c>
      <c r="H134" s="232">
        <v>263099.29920769413</v>
      </c>
      <c r="I134" s="230"/>
      <c r="J134" s="231">
        <v>2835.2997478643365</v>
      </c>
      <c r="K134" s="232">
        <v>254903.29920769413</v>
      </c>
      <c r="L134" s="230"/>
      <c r="M134" s="233">
        <v>53.838244356860876</v>
      </c>
      <c r="N134" s="233">
        <v>63.352200408185446</v>
      </c>
      <c r="O134" s="233">
        <v>24.423042944111728</v>
      </c>
      <c r="P134" s="233">
        <v>25.883071458318216</v>
      </c>
      <c r="Q134" s="230"/>
      <c r="R134" s="234">
        <v>5.5605595044793841</v>
      </c>
      <c r="S134" s="234">
        <v>5.5964340819276392</v>
      </c>
      <c r="T134" s="230"/>
      <c r="U134" s="234">
        <v>0.10855701978941745</v>
      </c>
      <c r="V134" s="234">
        <v>8.4062499999999998E-2</v>
      </c>
      <c r="W134" s="234">
        <v>0.11119576909286483</v>
      </c>
      <c r="X134" s="234">
        <v>0.11496989086682217</v>
      </c>
      <c r="Y134" s="234">
        <v>9.1645757782455733E-2</v>
      </c>
      <c r="Z134" s="234">
        <v>0.12059438765441843</v>
      </c>
      <c r="AA134" s="234">
        <v>8.9708152665525412E-2</v>
      </c>
      <c r="AB134" s="234">
        <v>0.1059781561204948</v>
      </c>
      <c r="AC134" s="230"/>
      <c r="AD134" s="232">
        <v>-7870</v>
      </c>
      <c r="AE134" s="232">
        <v>-13975</v>
      </c>
      <c r="AF134" s="232">
        <v>-6105</v>
      </c>
      <c r="AG134" s="232">
        <v>-705</v>
      </c>
      <c r="AH134" s="235">
        <v>-14680</v>
      </c>
      <c r="AI134" s="230"/>
      <c r="AJ134" s="232">
        <v>1691</v>
      </c>
      <c r="AK134" s="232">
        <v>4088</v>
      </c>
      <c r="AL134" s="235">
        <v>5779</v>
      </c>
      <c r="AM134" s="230"/>
      <c r="AN134" s="231">
        <v>-95.819435999999996</v>
      </c>
      <c r="AO134" s="232">
        <v>-8196</v>
      </c>
      <c r="AP134" s="236">
        <v>-0.78528312733544126</v>
      </c>
      <c r="AQ134" s="230"/>
      <c r="AR134" s="237">
        <v>402.93942000000004</v>
      </c>
      <c r="AS134" s="237">
        <v>401.92577399999999</v>
      </c>
      <c r="AT134" s="237">
        <v>402.31799000000001</v>
      </c>
      <c r="AU134" s="230"/>
      <c r="AV134" s="234">
        <v>5.2680000000000001E-3</v>
      </c>
      <c r="AW134" s="234">
        <v>0.75229687508121368</v>
      </c>
      <c r="AX134" s="234">
        <v>1.6309999999999999E-3</v>
      </c>
      <c r="AY134" s="234">
        <v>0.42390687910356351</v>
      </c>
      <c r="AZ134" s="230"/>
      <c r="BA134" s="232">
        <v>0</v>
      </c>
      <c r="BB134" s="230"/>
      <c r="BC134" s="232" t="e">
        <v>#N/A</v>
      </c>
      <c r="BD134" s="232">
        <v>503</v>
      </c>
      <c r="BE134" s="230"/>
      <c r="BF134" s="238">
        <v>0.6181503999999991</v>
      </c>
      <c r="BG134" s="238">
        <v>0.59751430000000039</v>
      </c>
      <c r="BH134" s="238">
        <v>0.52361876666666651</v>
      </c>
      <c r="BI134" s="230"/>
      <c r="BJ134" s="239">
        <v>7.2743420930727911</v>
      </c>
      <c r="BK134" s="240">
        <v>652.95001220703125</v>
      </c>
      <c r="BL134" s="230"/>
      <c r="BM134" s="241">
        <v>8.5839999999999996</v>
      </c>
      <c r="BN134" s="241">
        <v>10.18</v>
      </c>
      <c r="BO134" s="241">
        <v>9.82</v>
      </c>
      <c r="BP134" s="241">
        <v>11.59</v>
      </c>
      <c r="BQ134" s="241">
        <v>12.85</v>
      </c>
      <c r="BR134" s="241">
        <v>10.837198000000001</v>
      </c>
      <c r="BS134" s="241">
        <v>10.306666666666665</v>
      </c>
      <c r="BT134" s="241">
        <v>14.264444444444443</v>
      </c>
      <c r="BU134" s="241">
        <v>17.821428571428573</v>
      </c>
      <c r="BV134" s="241">
        <v>21.17</v>
      </c>
      <c r="BW134" s="230"/>
      <c r="BX134" s="232">
        <v>4121</v>
      </c>
      <c r="BY134" s="232">
        <v>4075.6</v>
      </c>
      <c r="BZ134" s="232">
        <v>3930.0241999999998</v>
      </c>
      <c r="CA134" s="232">
        <v>4623.8314</v>
      </c>
      <c r="CB134" s="232">
        <v>5022.5785999999998</v>
      </c>
      <c r="CC134" s="232">
        <v>4876.7070000000003</v>
      </c>
      <c r="CD134" s="232">
        <v>4051.9653741763368</v>
      </c>
      <c r="CE134" s="232">
        <v>5756.9744639752407</v>
      </c>
      <c r="CF134" s="232">
        <v>7268.9375195660514</v>
      </c>
      <c r="CG134" s="232">
        <v>8503.3870001826326</v>
      </c>
      <c r="CH134" s="230"/>
      <c r="CI134" s="232">
        <v>6035</v>
      </c>
      <c r="CJ134" s="232">
        <v>6547</v>
      </c>
      <c r="CK134" s="232">
        <v>7413</v>
      </c>
      <c r="CL134" s="232">
        <v>9762</v>
      </c>
      <c r="CM134" s="232">
        <v>10702</v>
      </c>
      <c r="CN134" s="232">
        <v>10437</v>
      </c>
      <c r="CO134" s="232">
        <v>9796.4444444444416</v>
      </c>
      <c r="CP134" s="232">
        <v>12407.111111111099</v>
      </c>
      <c r="CQ134" s="232">
        <v>14602.5714285714</v>
      </c>
      <c r="CR134" s="232">
        <v>17091</v>
      </c>
      <c r="CS134" s="230"/>
      <c r="CT134" s="232">
        <v>20119</v>
      </c>
      <c r="CU134" s="232">
        <v>21843</v>
      </c>
      <c r="CV134" s="232">
        <v>26042</v>
      </c>
      <c r="CW134" s="232">
        <v>31929</v>
      </c>
      <c r="CX134" s="232">
        <v>34886</v>
      </c>
      <c r="CY134" s="232">
        <v>36424</v>
      </c>
      <c r="CZ134" s="232">
        <v>38458.111111111117</v>
      </c>
      <c r="DA134" s="232">
        <v>44760.666666666664</v>
      </c>
      <c r="DB134" s="232">
        <v>51243.428571428572</v>
      </c>
      <c r="DC134" s="232">
        <v>57476</v>
      </c>
      <c r="DD134" s="230"/>
      <c r="DE134" s="232" t="e">
        <v>#N/A</v>
      </c>
      <c r="DF134" s="232">
        <v>544</v>
      </c>
      <c r="DG134" s="232" t="e">
        <v>#N/A</v>
      </c>
      <c r="DH134" s="230"/>
      <c r="DI134" s="230"/>
      <c r="DJ134" s="172" t="s">
        <v>277</v>
      </c>
    </row>
    <row r="135" spans="1:114" x14ac:dyDescent="0.25">
      <c r="A135" s="245" t="s">
        <v>850</v>
      </c>
      <c r="B135" s="226" t="s">
        <v>868</v>
      </c>
      <c r="C135" s="227" t="s">
        <v>869</v>
      </c>
      <c r="D135" s="228" t="str">
        <f t="shared" si="1"/>
        <v>SRF IN Equity</v>
      </c>
      <c r="E135" s="229" t="s">
        <v>869</v>
      </c>
      <c r="F135" s="230"/>
      <c r="G135" s="231">
        <v>10231.46449460063</v>
      </c>
      <c r="H135" s="232">
        <v>918383.37834113161</v>
      </c>
      <c r="I135" s="230"/>
      <c r="J135" s="231">
        <v>10660.261147100629</v>
      </c>
      <c r="K135" s="232">
        <v>955060.87834113161</v>
      </c>
      <c r="L135" s="230"/>
      <c r="M135" s="233">
        <v>76.248146922219334</v>
      </c>
      <c r="N135" s="233">
        <v>48.290866320630336</v>
      </c>
      <c r="O135" s="233">
        <v>33.657228383785352</v>
      </c>
      <c r="P135" s="233">
        <v>26.186552220391086</v>
      </c>
      <c r="Q135" s="230"/>
      <c r="R135" s="234">
        <v>7.2736324336786327</v>
      </c>
      <c r="S135" s="234">
        <v>7.3389941331825517</v>
      </c>
      <c r="T135" s="230"/>
      <c r="U135" s="234">
        <v>9.9934078610359092E-2</v>
      </c>
      <c r="V135" s="234">
        <v>0.14187352941176468</v>
      </c>
      <c r="W135" s="234">
        <v>0.10478506277947075</v>
      </c>
      <c r="X135" s="234">
        <v>0.10307698649417889</v>
      </c>
      <c r="Y135" s="234">
        <v>8.4799856684177222E-2</v>
      </c>
      <c r="Z135" s="234">
        <v>0.11550673646271345</v>
      </c>
      <c r="AA135" s="234">
        <v>8.8088510428715683E-2</v>
      </c>
      <c r="AB135" s="234">
        <v>8.8928667623651536E-2</v>
      </c>
      <c r="AC135" s="230"/>
      <c r="AD135" s="232">
        <v>-3537.5</v>
      </c>
      <c r="AE135" s="232">
        <v>-10582.8</v>
      </c>
      <c r="AF135" s="232">
        <v>-7045.3</v>
      </c>
      <c r="AG135" s="232">
        <v>-1227.5999999999999</v>
      </c>
      <c r="AH135" s="235">
        <v>-11810.4</v>
      </c>
      <c r="AI135" s="230"/>
      <c r="AJ135" s="232">
        <v>26886.5</v>
      </c>
      <c r="AK135" s="232">
        <v>20373.8</v>
      </c>
      <c r="AL135" s="235">
        <v>47260.3</v>
      </c>
      <c r="AM135" s="230"/>
      <c r="AN135" s="231">
        <v>428.79665249999999</v>
      </c>
      <c r="AO135" s="232">
        <v>36677.5</v>
      </c>
      <c r="AP135" s="236">
        <v>1.2925490113158609</v>
      </c>
      <c r="AQ135" s="230"/>
      <c r="AR135" s="237">
        <v>296.424825</v>
      </c>
      <c r="AS135" s="237">
        <v>296.424825</v>
      </c>
      <c r="AT135" s="237">
        <v>296.424825</v>
      </c>
      <c r="AU135" s="230"/>
      <c r="AV135" s="234">
        <v>5.0260000000000001E-3</v>
      </c>
      <c r="AW135" s="234">
        <v>0.63181951481673926</v>
      </c>
      <c r="AX135" s="234">
        <v>1.7979999999999999E-3</v>
      </c>
      <c r="AY135" s="234">
        <v>0.43534924917304074</v>
      </c>
      <c r="AZ135" s="230"/>
      <c r="BA135" s="232">
        <v>0</v>
      </c>
      <c r="BB135" s="230"/>
      <c r="BC135" s="232" t="e">
        <v>#N/A</v>
      </c>
      <c r="BD135" s="232">
        <v>2131.8000000000002</v>
      </c>
      <c r="BE135" s="230"/>
      <c r="BF135" s="238">
        <v>0.40978699999999962</v>
      </c>
      <c r="BG135" s="238">
        <v>0.47323229999999983</v>
      </c>
      <c r="BH135" s="238">
        <v>0.52682910000000005</v>
      </c>
      <c r="BI135" s="230"/>
      <c r="BJ135" s="239">
        <v>34.516220072325694</v>
      </c>
      <c r="BK135" s="240">
        <v>3098.199951171875</v>
      </c>
      <c r="BL135" s="230"/>
      <c r="BM135" s="241">
        <v>31.8642</v>
      </c>
      <c r="BN135" s="241">
        <v>41.118000000000002</v>
      </c>
      <c r="BO135" s="241">
        <v>63.723999999999997</v>
      </c>
      <c r="BP135" s="241">
        <v>72.95</v>
      </c>
      <c r="BQ135" s="241">
        <v>45.06</v>
      </c>
      <c r="BR135" s="241">
        <v>42.2</v>
      </c>
      <c r="BS135" s="241">
        <v>64.157058823529397</v>
      </c>
      <c r="BT135" s="241">
        <v>80.861470588235292</v>
      </c>
      <c r="BU135" s="241">
        <v>99.143214285714279</v>
      </c>
      <c r="BV135" s="241">
        <v>114.07142857142857</v>
      </c>
      <c r="BW135" s="230"/>
      <c r="BX135" s="232">
        <v>9197.85</v>
      </c>
      <c r="BY135" s="232">
        <v>11811.21</v>
      </c>
      <c r="BZ135" s="232">
        <v>18819.48</v>
      </c>
      <c r="CA135" s="232">
        <v>21517.7</v>
      </c>
      <c r="CB135" s="232">
        <v>13193.72</v>
      </c>
      <c r="CC135" s="232">
        <v>12044.664752000001</v>
      </c>
      <c r="CD135" s="232">
        <v>19221.372387129857</v>
      </c>
      <c r="CE135" s="232">
        <v>23502.664288144853</v>
      </c>
      <c r="CF135" s="232">
        <v>28867.706482063357</v>
      </c>
      <c r="CG135" s="232">
        <v>33014.094929526291</v>
      </c>
      <c r="CH135" s="230"/>
      <c r="CI135" s="232">
        <v>14592.3</v>
      </c>
      <c r="CJ135" s="232">
        <v>21333.3</v>
      </c>
      <c r="CK135" s="232">
        <v>31032</v>
      </c>
      <c r="CL135" s="232">
        <v>35292</v>
      </c>
      <c r="CM135" s="232">
        <v>25841.100000000002</v>
      </c>
      <c r="CN135" s="232">
        <v>28376.1</v>
      </c>
      <c r="CO135" s="232">
        <v>35552.090909090897</v>
      </c>
      <c r="CP135" s="232">
        <v>42803.848484848502</v>
      </c>
      <c r="CQ135" s="232">
        <v>50837.714285714304</v>
      </c>
      <c r="CR135" s="232">
        <v>56040</v>
      </c>
      <c r="CS135" s="230"/>
      <c r="CT135" s="232">
        <v>72094.100000000006</v>
      </c>
      <c r="CU135" s="232">
        <v>84000.4</v>
      </c>
      <c r="CV135" s="232">
        <v>124336.6</v>
      </c>
      <c r="CW135" s="232">
        <v>148702.5</v>
      </c>
      <c r="CX135" s="232">
        <v>131385.20000000001</v>
      </c>
      <c r="CY135" s="232">
        <v>146930.70000000001</v>
      </c>
      <c r="CZ135" s="232">
        <v>163659.17647058822</v>
      </c>
      <c r="DA135" s="232">
        <v>187372.85294117648</v>
      </c>
      <c r="DB135" s="232">
        <v>213668.07142857145</v>
      </c>
      <c r="DC135" s="232">
        <v>245468.33333333334</v>
      </c>
      <c r="DD135" s="230"/>
      <c r="DE135" s="232" t="e">
        <v>#N/A</v>
      </c>
      <c r="DF135" s="232">
        <v>286.8</v>
      </c>
      <c r="DG135" s="232">
        <v>0</v>
      </c>
      <c r="DH135" s="230"/>
      <c r="DI135" s="230"/>
      <c r="DJ135" s="172" t="s">
        <v>277</v>
      </c>
    </row>
    <row r="136" spans="1:114" x14ac:dyDescent="0.25">
      <c r="A136" s="245" t="s">
        <v>850</v>
      </c>
      <c r="B136" s="226" t="s">
        <v>870</v>
      </c>
      <c r="C136" s="227" t="s">
        <v>871</v>
      </c>
      <c r="D136" s="228" t="str">
        <f t="shared" si="1"/>
        <v>INDGN IN Equity</v>
      </c>
      <c r="E136" s="229" t="s">
        <v>871</v>
      </c>
      <c r="F136" s="230"/>
      <c r="G136" s="231">
        <v>1401.1695802666914</v>
      </c>
      <c r="H136" s="232">
        <v>125769.95731483289</v>
      </c>
      <c r="I136" s="230"/>
      <c r="J136" s="231">
        <v>1218.4743232666915</v>
      </c>
      <c r="K136" s="232">
        <v>110142.95731483289</v>
      </c>
      <c r="L136" s="230"/>
      <c r="M136" s="233">
        <v>33.097522601838996</v>
      </c>
      <c r="N136" s="233">
        <v>27.744299819010653</v>
      </c>
      <c r="O136" s="233">
        <v>20.614440822540313</v>
      </c>
      <c r="P136" s="233">
        <v>18.647415033154527</v>
      </c>
      <c r="Q136" s="230"/>
      <c r="R136" s="234">
        <v>4.7948120634053346</v>
      </c>
      <c r="S136" s="234">
        <v>6.0501280491306835</v>
      </c>
      <c r="T136" s="230"/>
      <c r="U136" s="234">
        <v>0.1853882859050115</v>
      </c>
      <c r="V136" s="234">
        <v>0.16162499999999999</v>
      </c>
      <c r="W136" s="234">
        <v>0.273816737359456</v>
      </c>
      <c r="X136" s="234">
        <v>0.24796518196708109</v>
      </c>
      <c r="Y136" s="234">
        <v>0.15294834556559109</v>
      </c>
      <c r="Z136" s="234">
        <v>0.20175497056536709</v>
      </c>
      <c r="AA136" s="234">
        <v>0.12324219953080752</v>
      </c>
      <c r="AB136" s="234">
        <v>0.18176838971477635</v>
      </c>
      <c r="AC136" s="230"/>
      <c r="AD136" s="232">
        <v>-3746</v>
      </c>
      <c r="AE136" s="232">
        <v>-16643</v>
      </c>
      <c r="AF136" s="232">
        <v>-12897</v>
      </c>
      <c r="AG136" s="232">
        <v>0</v>
      </c>
      <c r="AH136" s="235">
        <v>-16643</v>
      </c>
      <c r="AI136" s="230"/>
      <c r="AJ136" s="232">
        <v>292</v>
      </c>
      <c r="AK136" s="232">
        <v>724</v>
      </c>
      <c r="AL136" s="235">
        <v>1016</v>
      </c>
      <c r="AM136" s="230"/>
      <c r="AN136" s="231">
        <v>-182.695257</v>
      </c>
      <c r="AO136" s="232">
        <v>-15627</v>
      </c>
      <c r="AP136" s="236">
        <v>-2.9247613700168444</v>
      </c>
      <c r="AQ136" s="230"/>
      <c r="AR136" s="237">
        <v>240.317117</v>
      </c>
      <c r="AS136" s="237">
        <v>237.105636</v>
      </c>
      <c r="AT136" s="237">
        <v>237.105636</v>
      </c>
      <c r="AU136" s="230"/>
      <c r="AV136" s="234" t="e">
        <v>#N/A</v>
      </c>
      <c r="AW136" s="234">
        <v>0.6363804427775529</v>
      </c>
      <c r="AX136" s="234">
        <v>1.1299999999999999E-3</v>
      </c>
      <c r="AY136" s="234">
        <v>0.67464041689548071</v>
      </c>
      <c r="AZ136" s="230"/>
      <c r="BA136" s="232">
        <v>0</v>
      </c>
      <c r="BB136" s="230"/>
      <c r="BC136" s="232" t="e">
        <v>#N/A</v>
      </c>
      <c r="BD136" s="232">
        <v>0</v>
      </c>
      <c r="BE136" s="230"/>
      <c r="BF136" s="238">
        <v>0.20753440000000006</v>
      </c>
      <c r="BG136" s="238">
        <v>0.18814509999999995</v>
      </c>
      <c r="BH136" s="238">
        <v>0.21918533333333323</v>
      </c>
      <c r="BI136" s="230"/>
      <c r="BJ136" s="239">
        <v>5.8305026198641166</v>
      </c>
      <c r="BK136" s="240">
        <v>523.3499755859375</v>
      </c>
      <c r="BL136" s="230"/>
      <c r="BM136" s="241" t="e">
        <v>#N/A</v>
      </c>
      <c r="BN136" s="241" t="e">
        <v>#N/A</v>
      </c>
      <c r="BO136" s="241" t="e">
        <v>#N/A</v>
      </c>
      <c r="BP136" s="241" t="e">
        <v>#N/A</v>
      </c>
      <c r="BQ136" s="241">
        <v>15.821911</v>
      </c>
      <c r="BR136" s="241">
        <v>17.02</v>
      </c>
      <c r="BS136" s="241">
        <v>18.86333333333333</v>
      </c>
      <c r="BT136" s="241">
        <v>21.741111111111113</v>
      </c>
      <c r="BU136" s="241">
        <v>25.678750000000001</v>
      </c>
      <c r="BV136" s="241">
        <v>33.43</v>
      </c>
      <c r="BW136" s="230"/>
      <c r="BX136" s="232" t="e">
        <v>#N/A</v>
      </c>
      <c r="BY136" s="232">
        <v>1856.82</v>
      </c>
      <c r="BZ136" s="232">
        <v>1628.18</v>
      </c>
      <c r="CA136" s="232">
        <v>2660.99</v>
      </c>
      <c r="CB136" s="232">
        <v>3508</v>
      </c>
      <c r="CC136" s="232">
        <v>3749.2</v>
      </c>
      <c r="CD136" s="232">
        <v>4523.1482278927333</v>
      </c>
      <c r="CE136" s="232">
        <v>5222.658610381076</v>
      </c>
      <c r="CF136" s="232">
        <v>6168.9262107481209</v>
      </c>
      <c r="CG136" s="232">
        <v>8012.0274105668077</v>
      </c>
      <c r="CH136" s="230"/>
      <c r="CI136" s="232" t="e">
        <v>#N/A</v>
      </c>
      <c r="CJ136" s="232">
        <v>2395.86</v>
      </c>
      <c r="CK136" s="232">
        <v>2869.21</v>
      </c>
      <c r="CL136" s="232">
        <v>3962.24</v>
      </c>
      <c r="CM136" s="232">
        <v>5054</v>
      </c>
      <c r="CN136" s="232">
        <v>5343</v>
      </c>
      <c r="CO136" s="232">
        <v>6268.375</v>
      </c>
      <c r="CP136" s="232">
        <v>7457.375</v>
      </c>
      <c r="CQ136" s="232">
        <v>8578.1428571428605</v>
      </c>
      <c r="CR136" s="232">
        <v>10934</v>
      </c>
      <c r="CS136" s="230"/>
      <c r="CT136" s="232" t="e">
        <v>#N/A</v>
      </c>
      <c r="CU136" s="232">
        <v>9662.74</v>
      </c>
      <c r="CV136" s="232">
        <v>16646.09</v>
      </c>
      <c r="CW136" s="232">
        <v>23061.33</v>
      </c>
      <c r="CX136" s="232">
        <v>25896</v>
      </c>
      <c r="CY136" s="232">
        <v>28393</v>
      </c>
      <c r="CZ136" s="232">
        <v>33609.222222222219</v>
      </c>
      <c r="DA136" s="232">
        <v>39411.777777777781</v>
      </c>
      <c r="DB136" s="232">
        <v>44568.5</v>
      </c>
      <c r="DC136" s="232">
        <v>54561</v>
      </c>
      <c r="DD136" s="230"/>
      <c r="DE136" s="232" t="e">
        <v>#N/A</v>
      </c>
      <c r="DF136" s="232">
        <v>1925</v>
      </c>
      <c r="DG136" s="232" t="e">
        <v>#N/A</v>
      </c>
      <c r="DH136" s="230"/>
      <c r="DI136" s="230"/>
      <c r="DJ136" s="172" t="s">
        <v>277</v>
      </c>
    </row>
    <row r="137" spans="1:114" x14ac:dyDescent="0.25">
      <c r="A137" s="245" t="s">
        <v>850</v>
      </c>
      <c r="B137" s="226" t="s">
        <v>872</v>
      </c>
      <c r="C137" s="227" t="s">
        <v>873</v>
      </c>
      <c r="D137" s="228" t="str">
        <f t="shared" si="1"/>
        <v>ZYDUSLIF IN Equity</v>
      </c>
      <c r="E137" s="229" t="s">
        <v>874</v>
      </c>
      <c r="F137" s="230"/>
      <c r="G137" s="231">
        <v>10288.70742611939</v>
      </c>
      <c r="H137" s="232">
        <v>923521.54373887018</v>
      </c>
      <c r="I137" s="230"/>
      <c r="J137" s="231">
        <v>10032.74467211939</v>
      </c>
      <c r="K137" s="232">
        <v>901627.54373887018</v>
      </c>
      <c r="L137" s="230"/>
      <c r="M137" s="233">
        <v>20.627694313770085</v>
      </c>
      <c r="N137" s="233">
        <v>20.424398341444213</v>
      </c>
      <c r="O137" s="233">
        <v>13.076351956300419</v>
      </c>
      <c r="P137" s="233">
        <v>13.057240475413545</v>
      </c>
      <c r="Q137" s="230"/>
      <c r="R137" s="234">
        <v>3.8555408015616774</v>
      </c>
      <c r="S137" s="234">
        <v>5.9630508912978941</v>
      </c>
      <c r="T137" s="230"/>
      <c r="U137" s="234">
        <v>0.20451482369708515</v>
      </c>
      <c r="V137" s="234">
        <v>0.17389032258064513</v>
      </c>
      <c r="W137" s="234">
        <v>0.32984814084599429</v>
      </c>
      <c r="X137" s="234">
        <v>0.33364361713315027</v>
      </c>
      <c r="Y137" s="234">
        <v>0.18754851972799139</v>
      </c>
      <c r="Z137" s="234">
        <v>0.23654399620219363</v>
      </c>
      <c r="AA137" s="234">
        <v>0.14216701549475208</v>
      </c>
      <c r="AB137" s="234">
        <v>0.18080908609352828</v>
      </c>
      <c r="AC137" s="230"/>
      <c r="AD137" s="232">
        <v>-29568</v>
      </c>
      <c r="AE137" s="232">
        <v>-78079</v>
      </c>
      <c r="AF137" s="232">
        <v>-48511</v>
      </c>
      <c r="AG137" s="232">
        <v>-4136</v>
      </c>
      <c r="AH137" s="235">
        <v>-82215</v>
      </c>
      <c r="AI137" s="230"/>
      <c r="AJ137" s="232">
        <v>31811</v>
      </c>
      <c r="AK137" s="232">
        <v>321</v>
      </c>
      <c r="AL137" s="235">
        <v>32132</v>
      </c>
      <c r="AM137" s="230"/>
      <c r="AN137" s="231">
        <v>-537.16637700000001</v>
      </c>
      <c r="AO137" s="232">
        <v>-45947</v>
      </c>
      <c r="AP137" s="236">
        <v>-0.66637177125784974</v>
      </c>
      <c r="AQ137" s="230"/>
      <c r="AR137" s="237">
        <v>1006.2339900000001</v>
      </c>
      <c r="AS137" s="237">
        <v>1006.2339899999999</v>
      </c>
      <c r="AT137" s="237">
        <v>1006.2339899999999</v>
      </c>
      <c r="AU137" s="230"/>
      <c r="AV137" s="234">
        <v>7.4990000000000005E-3</v>
      </c>
      <c r="AW137" s="234">
        <v>0.471637564076339</v>
      </c>
      <c r="AX137" s="234">
        <v>7.3400000000000006E-4</v>
      </c>
      <c r="AY137" s="234">
        <v>0.19683641575256272</v>
      </c>
      <c r="AZ137" s="230"/>
      <c r="BA137" s="232">
        <v>24053</v>
      </c>
      <c r="BB137" s="230"/>
      <c r="BC137" s="232" t="e">
        <v>#N/A</v>
      </c>
      <c r="BD137" s="232">
        <v>3025</v>
      </c>
      <c r="BE137" s="230"/>
      <c r="BF137" s="238">
        <v>0.51635740000000041</v>
      </c>
      <c r="BG137" s="238">
        <v>0.55443369999999947</v>
      </c>
      <c r="BH137" s="238">
        <v>0.86460976666666634</v>
      </c>
      <c r="BI137" s="230"/>
      <c r="BJ137" s="239">
        <v>10.224965095960821</v>
      </c>
      <c r="BK137" s="240">
        <v>917.79998779296875</v>
      </c>
      <c r="BL137" s="230"/>
      <c r="BM137" s="241">
        <v>15.041016000000001</v>
      </c>
      <c r="BN137" s="241">
        <v>22.843319999999999</v>
      </c>
      <c r="BO137" s="241">
        <v>21.894976</v>
      </c>
      <c r="BP137" s="241">
        <v>25.340909</v>
      </c>
      <c r="BQ137" s="241">
        <v>38.14</v>
      </c>
      <c r="BR137" s="241">
        <v>47.167991999999998</v>
      </c>
      <c r="BS137" s="241">
        <v>44.936451612903227</v>
      </c>
      <c r="BT137" s="241">
        <v>41.486451612903231</v>
      </c>
      <c r="BU137" s="241">
        <v>46.120399999999997</v>
      </c>
      <c r="BV137" s="241">
        <v>49.8</v>
      </c>
      <c r="BW137" s="230"/>
      <c r="BX137" s="232">
        <v>11361.4</v>
      </c>
      <c r="BY137" s="232">
        <v>22172.1</v>
      </c>
      <c r="BZ137" s="232">
        <v>21027.200000000001</v>
      </c>
      <c r="CA137" s="232">
        <v>19231.8</v>
      </c>
      <c r="CB137" s="232">
        <v>37228.332300000002</v>
      </c>
      <c r="CC137" s="232">
        <v>44770.953600000001</v>
      </c>
      <c r="CD137" s="232">
        <v>46257.657178252288</v>
      </c>
      <c r="CE137" s="232">
        <v>42542.509363424637</v>
      </c>
      <c r="CF137" s="232">
        <v>46094.255440528017</v>
      </c>
      <c r="CG137" s="232">
        <v>50110.540420730897</v>
      </c>
      <c r="CH137" s="230"/>
      <c r="CI137" s="232">
        <v>27834</v>
      </c>
      <c r="CJ137" s="232">
        <v>34423</v>
      </c>
      <c r="CK137" s="232">
        <v>32085</v>
      </c>
      <c r="CL137" s="232">
        <v>35755</v>
      </c>
      <c r="CM137" s="232">
        <v>53033</v>
      </c>
      <c r="CN137" s="232">
        <v>68951</v>
      </c>
      <c r="CO137" s="232">
        <v>68958.090909090897</v>
      </c>
      <c r="CP137" s="232">
        <v>65831.212121212098</v>
      </c>
      <c r="CQ137" s="232">
        <v>70514.8461538462</v>
      </c>
      <c r="CR137" s="232">
        <v>75491.5</v>
      </c>
      <c r="CS137" s="230"/>
      <c r="CT137" s="232">
        <v>138121</v>
      </c>
      <c r="CU137" s="232">
        <v>141250</v>
      </c>
      <c r="CV137" s="232">
        <v>148276</v>
      </c>
      <c r="CW137" s="232">
        <v>168778</v>
      </c>
      <c r="CX137" s="232">
        <v>190215</v>
      </c>
      <c r="CY137" s="232">
        <v>225738</v>
      </c>
      <c r="CZ137" s="232">
        <v>255951.36363636365</v>
      </c>
      <c r="DA137" s="232">
        <v>270799.45454545459</v>
      </c>
      <c r="DB137" s="232">
        <v>293241</v>
      </c>
      <c r="DC137" s="232">
        <v>325438.5</v>
      </c>
      <c r="DD137" s="230"/>
      <c r="DE137" s="232" t="e">
        <v>#N/A</v>
      </c>
      <c r="DF137" s="232">
        <v>0</v>
      </c>
      <c r="DG137" s="232">
        <v>0</v>
      </c>
      <c r="DH137" s="230"/>
      <c r="DI137" s="230"/>
      <c r="DJ137" s="172" t="s">
        <v>277</v>
      </c>
    </row>
    <row r="138" spans="1:114" x14ac:dyDescent="0.25">
      <c r="A138" s="245" t="s">
        <v>850</v>
      </c>
      <c r="B138" s="226" t="s">
        <v>875</v>
      </c>
      <c r="C138" s="227" t="s">
        <v>876</v>
      </c>
      <c r="D138" s="228" t="str">
        <f t="shared" si="1"/>
        <v>LPC IN Equity</v>
      </c>
      <c r="E138" s="229" t="s">
        <v>877</v>
      </c>
      <c r="F138" s="230"/>
      <c r="G138" s="231">
        <v>10722.678440835118</v>
      </c>
      <c r="H138" s="232">
        <v>962475.0842419999</v>
      </c>
      <c r="I138" s="230"/>
      <c r="J138" s="231">
        <v>11065.905157035118</v>
      </c>
      <c r="K138" s="232">
        <v>991833.28424199985</v>
      </c>
      <c r="L138" s="230"/>
      <c r="M138" s="233">
        <v>29.67041060215162</v>
      </c>
      <c r="N138" s="233">
        <v>21.813632036523138</v>
      </c>
      <c r="O138" s="233">
        <v>18.793548565273081</v>
      </c>
      <c r="P138" s="233">
        <v>14.15278911199294</v>
      </c>
      <c r="Q138" s="230"/>
      <c r="R138" s="234">
        <v>5.5917839382393115</v>
      </c>
      <c r="S138" s="234">
        <v>7.7136697191676129</v>
      </c>
      <c r="T138" s="230"/>
      <c r="U138" s="234">
        <v>0.20643129963081608</v>
      </c>
      <c r="V138" s="234">
        <v>0.22686666666666666</v>
      </c>
      <c r="W138" s="234">
        <v>0.2903469260095855</v>
      </c>
      <c r="X138" s="234">
        <v>0.2958274323777656</v>
      </c>
      <c r="Y138" s="234">
        <v>0.1670877586364018</v>
      </c>
      <c r="Z138" s="234">
        <v>0.20192157406287875</v>
      </c>
      <c r="AA138" s="234">
        <v>0.13627725806621904</v>
      </c>
      <c r="AB138" s="234">
        <v>0.17571418022745255</v>
      </c>
      <c r="AC138" s="230"/>
      <c r="AD138" s="232">
        <v>-15436.9</v>
      </c>
      <c r="AE138" s="232">
        <v>-26028</v>
      </c>
      <c r="AF138" s="232">
        <v>-10591.1</v>
      </c>
      <c r="AG138" s="232">
        <v>-905.4</v>
      </c>
      <c r="AH138" s="235">
        <v>-26933.4</v>
      </c>
      <c r="AI138" s="230"/>
      <c r="AJ138" s="232">
        <v>34172.699999999997</v>
      </c>
      <c r="AK138" s="232">
        <v>20305</v>
      </c>
      <c r="AL138" s="235">
        <v>54477.7</v>
      </c>
      <c r="AM138" s="230"/>
      <c r="AN138" s="231">
        <v>332.60544269999991</v>
      </c>
      <c r="AO138" s="232">
        <v>28449.699999999997</v>
      </c>
      <c r="AP138" s="236">
        <v>0.53907327684215312</v>
      </c>
      <c r="AQ138" s="230"/>
      <c r="AR138" s="237">
        <v>456.79880599999996</v>
      </c>
      <c r="AS138" s="237">
        <v>456.113294</v>
      </c>
      <c r="AT138" s="237">
        <v>457.774407</v>
      </c>
      <c r="AU138" s="230"/>
      <c r="AV138" s="234">
        <v>4.6899999999999997E-3</v>
      </c>
      <c r="AW138" s="234">
        <v>0.69543523210142955</v>
      </c>
      <c r="AX138" s="234">
        <v>2.0499999999999997E-3</v>
      </c>
      <c r="AY138" s="234">
        <v>0.5310519419352423</v>
      </c>
      <c r="AZ138" s="230"/>
      <c r="BA138" s="232">
        <v>908.5</v>
      </c>
      <c r="BB138" s="230"/>
      <c r="BC138" s="232" t="e">
        <v>#N/A</v>
      </c>
      <c r="BD138" s="232">
        <v>3653.1</v>
      </c>
      <c r="BE138" s="230"/>
      <c r="BF138" s="238">
        <v>0.53647739999999988</v>
      </c>
      <c r="BG138" s="238">
        <v>0.60198049999999992</v>
      </c>
      <c r="BH138" s="238">
        <v>0.9879433000000003</v>
      </c>
      <c r="BI138" s="230"/>
      <c r="BJ138" s="239">
        <v>23.4735255433989</v>
      </c>
      <c r="BK138" s="240">
        <v>2107</v>
      </c>
      <c r="BL138" s="230"/>
      <c r="BM138" s="241">
        <v>10.654999999999999</v>
      </c>
      <c r="BN138" s="241">
        <v>26.84</v>
      </c>
      <c r="BO138" s="241">
        <v>-33.65</v>
      </c>
      <c r="BP138" s="241">
        <v>9.4523080000000004</v>
      </c>
      <c r="BQ138" s="241">
        <v>41.87</v>
      </c>
      <c r="BR138" s="241">
        <v>71.69</v>
      </c>
      <c r="BS138" s="241">
        <v>96.590975609756072</v>
      </c>
      <c r="BT138" s="241">
        <v>89.46268292682926</v>
      </c>
      <c r="BU138" s="241">
        <v>96.045757575757577</v>
      </c>
      <c r="BV138" s="241">
        <v>114.61333333333334</v>
      </c>
      <c r="BW138" s="230"/>
      <c r="BX138" s="232">
        <v>-4740.33</v>
      </c>
      <c r="BY138" s="232">
        <v>11787.3</v>
      </c>
      <c r="BZ138" s="232">
        <v>3519.36</v>
      </c>
      <c r="CA138" s="232">
        <v>4373.3900000000003</v>
      </c>
      <c r="CB138" s="232">
        <v>18965.18</v>
      </c>
      <c r="CC138" s="232">
        <v>32506.52</v>
      </c>
      <c r="CD138" s="232">
        <v>44037.295748336801</v>
      </c>
      <c r="CE138" s="232">
        <v>40924.263568552633</v>
      </c>
      <c r="CF138" s="232">
        <v>43710.124513696246</v>
      </c>
      <c r="CG138" s="232">
        <v>50726.262456691657</v>
      </c>
      <c r="CH138" s="230"/>
      <c r="CI138" s="232">
        <v>25441.599999999999</v>
      </c>
      <c r="CJ138" s="232">
        <v>25668.800000000003</v>
      </c>
      <c r="CK138" s="232">
        <v>2188.1999999999989</v>
      </c>
      <c r="CL138" s="232">
        <v>17205.699999999997</v>
      </c>
      <c r="CM138" s="232">
        <v>38000.1</v>
      </c>
      <c r="CN138" s="232">
        <v>52775.199999999997</v>
      </c>
      <c r="CO138" s="232">
        <v>67703.487179487202</v>
      </c>
      <c r="CP138" s="232">
        <v>65101.615384615405</v>
      </c>
      <c r="CQ138" s="232">
        <v>69054.090909090897</v>
      </c>
      <c r="CR138" s="232">
        <v>77372</v>
      </c>
      <c r="CS138" s="230"/>
      <c r="CT138" s="232">
        <v>151428</v>
      </c>
      <c r="CU138" s="232">
        <v>149269.9</v>
      </c>
      <c r="CV138" s="232">
        <v>161927.9</v>
      </c>
      <c r="CW138" s="232">
        <v>162699.79999999999</v>
      </c>
      <c r="CX138" s="232">
        <v>196563.4</v>
      </c>
      <c r="CY138" s="232">
        <v>221921.1</v>
      </c>
      <c r="CZ138" s="232">
        <v>258649.75609756098</v>
      </c>
      <c r="DA138" s="232">
        <v>270881.46341463417</v>
      </c>
      <c r="DB138" s="232">
        <v>288950.6857142857</v>
      </c>
      <c r="DC138" s="232">
        <v>325503</v>
      </c>
      <c r="DD138" s="230"/>
      <c r="DE138" s="232" t="e">
        <v>#N/A</v>
      </c>
      <c r="DF138" s="232">
        <v>264.5</v>
      </c>
      <c r="DG138" s="232">
        <v>2029.2</v>
      </c>
      <c r="DH138" s="230"/>
      <c r="DI138" s="230"/>
      <c r="DJ138" s="172" t="s">
        <v>277</v>
      </c>
    </row>
    <row r="139" spans="1:114" x14ac:dyDescent="0.25">
      <c r="A139" s="245" t="s">
        <v>850</v>
      </c>
      <c r="B139" s="226" t="s">
        <v>878</v>
      </c>
      <c r="C139" s="227" t="s">
        <v>879</v>
      </c>
      <c r="D139" s="228" t="str">
        <f t="shared" si="1"/>
        <v>ARBP IN Equity</v>
      </c>
      <c r="E139" s="229" t="s">
        <v>880</v>
      </c>
      <c r="F139" s="230"/>
      <c r="G139" s="231">
        <v>7838.4318350126259</v>
      </c>
      <c r="H139" s="232">
        <v>703583.10028192704</v>
      </c>
      <c r="I139" s="230"/>
      <c r="J139" s="231">
        <v>7828.8078038126259</v>
      </c>
      <c r="K139" s="232">
        <v>702759.90028192697</v>
      </c>
      <c r="L139" s="230"/>
      <c r="M139" s="233">
        <v>19.870255540503624</v>
      </c>
      <c r="N139" s="233">
        <v>19.540285900702678</v>
      </c>
      <c r="O139" s="233">
        <v>10.675715012660698</v>
      </c>
      <c r="P139" s="233">
        <v>10.091548316917049</v>
      </c>
      <c r="Q139" s="230"/>
      <c r="R139" s="234">
        <v>2.1547061685670155</v>
      </c>
      <c r="S139" s="234">
        <v>2.4761323414087371</v>
      </c>
      <c r="T139" s="230"/>
      <c r="U139" s="234">
        <v>0.11331538661920132</v>
      </c>
      <c r="V139" s="234">
        <v>0.10500833333333333</v>
      </c>
      <c r="W139" s="234">
        <v>0.12867586463763261</v>
      </c>
      <c r="X139" s="234">
        <v>0.14007674157860936</v>
      </c>
      <c r="Y139" s="234">
        <v>8.9144469328986842E-2</v>
      </c>
      <c r="Z139" s="234">
        <v>0.12944055987173936</v>
      </c>
      <c r="AA139" s="234">
        <v>8.1169839232305516E-2</v>
      </c>
      <c r="AB139" s="234">
        <v>9.8259379599026475E-2</v>
      </c>
      <c r="AC139" s="230"/>
      <c r="AD139" s="232">
        <v>-82354.899999999994</v>
      </c>
      <c r="AE139" s="232">
        <v>-82355</v>
      </c>
      <c r="AF139" s="232">
        <v>-0.1</v>
      </c>
      <c r="AG139" s="232">
        <v>-3212.2</v>
      </c>
      <c r="AH139" s="235">
        <v>-85567.2</v>
      </c>
      <c r="AI139" s="230"/>
      <c r="AJ139" s="232">
        <v>63587.1</v>
      </c>
      <c r="AK139" s="232">
        <v>18008.599999999999</v>
      </c>
      <c r="AL139" s="235">
        <v>81595.7</v>
      </c>
      <c r="AM139" s="230"/>
      <c r="AN139" s="231">
        <v>-8.8769763000000346</v>
      </c>
      <c r="AO139" s="232">
        <v>-759.30000000000291</v>
      </c>
      <c r="AP139" s="236">
        <v>-1.1534622857481447E-2</v>
      </c>
      <c r="AQ139" s="230"/>
      <c r="AR139" s="237">
        <v>580.80162299999995</v>
      </c>
      <c r="AS139" s="237">
        <v>580.80162299999995</v>
      </c>
      <c r="AT139" s="237">
        <v>580.80162299999995</v>
      </c>
      <c r="AU139" s="230"/>
      <c r="AV139" s="234">
        <v>5.182E-3</v>
      </c>
      <c r="AW139" s="234">
        <v>0.73540425272055177</v>
      </c>
      <c r="AX139" s="234">
        <v>1.421E-3</v>
      </c>
      <c r="AY139" s="234">
        <v>0.45266989035256194</v>
      </c>
      <c r="AZ139" s="230"/>
      <c r="BA139" s="232">
        <v>-63.9</v>
      </c>
      <c r="BB139" s="230"/>
      <c r="BC139" s="232" t="e">
        <v>#N/A</v>
      </c>
      <c r="BD139" s="232">
        <v>10.4</v>
      </c>
      <c r="BE139" s="230"/>
      <c r="BF139" s="238">
        <v>0.9050111999999999</v>
      </c>
      <c r="BG139" s="238">
        <v>0.73127639999999949</v>
      </c>
      <c r="BH139" s="238">
        <v>0.95830126666666737</v>
      </c>
      <c r="BI139" s="230"/>
      <c r="BJ139" s="239">
        <v>13.495884867753938</v>
      </c>
      <c r="BK139" s="240">
        <v>1211.4000244140625</v>
      </c>
      <c r="BL139" s="230"/>
      <c r="BM139" s="241">
        <v>48.764294</v>
      </c>
      <c r="BN139" s="241">
        <v>91.04</v>
      </c>
      <c r="BO139" s="241">
        <v>46.726899000000003</v>
      </c>
      <c r="BP139" s="241">
        <v>32.9</v>
      </c>
      <c r="BQ139" s="241">
        <v>54.16</v>
      </c>
      <c r="BR139" s="241">
        <v>59.81</v>
      </c>
      <c r="BS139" s="241">
        <v>61.994999999999997</v>
      </c>
      <c r="BT139" s="241">
        <v>74.901666666666671</v>
      </c>
      <c r="BU139" s="241">
        <v>84.623684210526321</v>
      </c>
      <c r="BV139" s="241">
        <v>94.194999999999993</v>
      </c>
      <c r="BW139" s="230"/>
      <c r="BX139" s="232">
        <v>28710.68</v>
      </c>
      <c r="BY139" s="232">
        <v>77987.28</v>
      </c>
      <c r="BZ139" s="232">
        <v>28715.83</v>
      </c>
      <c r="CA139" s="232">
        <v>19350.11</v>
      </c>
      <c r="CB139" s="232">
        <v>32001.86</v>
      </c>
      <c r="CC139" s="232">
        <v>35408.86</v>
      </c>
      <c r="CD139" s="232">
        <v>36313.10387244165</v>
      </c>
      <c r="CE139" s="232">
        <v>44440.907242391688</v>
      </c>
      <c r="CF139" s="232">
        <v>49759.34168112059</v>
      </c>
      <c r="CG139" s="232">
        <v>53117.020739379695</v>
      </c>
      <c r="CH139" s="230"/>
      <c r="CI139" s="232">
        <v>48643.1</v>
      </c>
      <c r="CJ139" s="232">
        <v>53334</v>
      </c>
      <c r="CK139" s="232">
        <v>43867.7</v>
      </c>
      <c r="CL139" s="232">
        <v>37186.399999999994</v>
      </c>
      <c r="CM139" s="232">
        <v>58430</v>
      </c>
      <c r="CN139" s="232">
        <v>65827.899999999994</v>
      </c>
      <c r="CO139" s="232">
        <v>67903.333333333299</v>
      </c>
      <c r="CP139" s="232">
        <v>76818.037037037007</v>
      </c>
      <c r="CQ139" s="232">
        <v>84493.318181818206</v>
      </c>
      <c r="CR139" s="232">
        <v>96598.5</v>
      </c>
      <c r="CS139" s="230"/>
      <c r="CT139" s="232">
        <v>227379.6</v>
      </c>
      <c r="CU139" s="232">
        <v>245579.4</v>
      </c>
      <c r="CV139" s="232">
        <v>233665.5</v>
      </c>
      <c r="CW139" s="232">
        <v>246171.3</v>
      </c>
      <c r="CX139" s="232">
        <v>287045</v>
      </c>
      <c r="CY139" s="232">
        <v>313781.3</v>
      </c>
      <c r="CZ139" s="232">
        <v>332398.0740740741</v>
      </c>
      <c r="DA139" s="232">
        <v>369452.62962962966</v>
      </c>
      <c r="DB139" s="232">
        <v>401449.18181818182</v>
      </c>
      <c r="DC139" s="232">
        <v>454162</v>
      </c>
      <c r="DD139" s="230"/>
      <c r="DE139" s="232" t="e">
        <v>#N/A</v>
      </c>
      <c r="DF139" s="232">
        <v>1037.9000000000001</v>
      </c>
      <c r="DG139" s="232" t="e">
        <v>#N/A</v>
      </c>
      <c r="DH139" s="230"/>
      <c r="DI139" s="230"/>
      <c r="DJ139" s="172" t="s">
        <v>277</v>
      </c>
    </row>
    <row r="140" spans="1:114" x14ac:dyDescent="0.25">
      <c r="A140" s="245" t="s">
        <v>850</v>
      </c>
      <c r="B140" s="226" t="s">
        <v>881</v>
      </c>
      <c r="C140" s="227" t="s">
        <v>882</v>
      </c>
      <c r="D140" s="228" t="str">
        <f t="shared" si="1"/>
        <v>JUBLPHAR IN Equity</v>
      </c>
      <c r="E140" s="229" t="s">
        <v>883</v>
      </c>
      <c r="F140" s="230"/>
      <c r="G140" s="231">
        <v>1892.6909634318449</v>
      </c>
      <c r="H140" s="232">
        <v>169889.25896870031</v>
      </c>
      <c r="I140" s="230"/>
      <c r="J140" s="231">
        <v>2082.7749324318452</v>
      </c>
      <c r="K140" s="232">
        <v>186148.25896870031</v>
      </c>
      <c r="L140" s="230"/>
      <c r="M140" s="233">
        <v>20.15509741975702</v>
      </c>
      <c r="N140" s="233">
        <v>30.474285016741071</v>
      </c>
      <c r="O140" s="233">
        <v>15.859952199769985</v>
      </c>
      <c r="P140" s="233" t="e">
        <v>#N/A</v>
      </c>
      <c r="Q140" s="230"/>
      <c r="R140" s="234">
        <v>2.7166443934822153</v>
      </c>
      <c r="S140" s="234">
        <v>6.4925641971541763</v>
      </c>
      <c r="T140" s="230"/>
      <c r="U140" s="234">
        <v>0.14381389911710354</v>
      </c>
      <c r="V140" s="234">
        <v>8.5000000000000006E-2</v>
      </c>
      <c r="W140" s="234">
        <v>0.36946235612579509</v>
      </c>
      <c r="X140" s="234">
        <v>0.16992879653944207</v>
      </c>
      <c r="Y140" s="234">
        <v>7.5714627170499621E-2</v>
      </c>
      <c r="Z140" s="234">
        <v>8.8778863330613328E-2</v>
      </c>
      <c r="AA140" s="234">
        <v>6.9488491667788102E-2</v>
      </c>
      <c r="AB140" s="234">
        <v>0.11534267540257455</v>
      </c>
      <c r="AC140" s="230"/>
      <c r="AD140" s="232">
        <v>-10888</v>
      </c>
      <c r="AE140" s="232">
        <v>-10888</v>
      </c>
      <c r="AF140" s="232">
        <v>0</v>
      </c>
      <c r="AG140" s="232">
        <v>-363</v>
      </c>
      <c r="AH140" s="235">
        <v>-11251</v>
      </c>
      <c r="AI140" s="230"/>
      <c r="AJ140" s="232">
        <v>3422</v>
      </c>
      <c r="AK140" s="232">
        <v>23888</v>
      </c>
      <c r="AL140" s="235">
        <v>27310</v>
      </c>
      <c r="AM140" s="230"/>
      <c r="AN140" s="231">
        <v>191.98960199999999</v>
      </c>
      <c r="AO140" s="232">
        <v>16422</v>
      </c>
      <c r="AP140" s="236">
        <v>1.3991650336542558</v>
      </c>
      <c r="AQ140" s="230"/>
      <c r="AR140" s="237">
        <v>159.281139</v>
      </c>
      <c r="AS140" s="237">
        <v>158.42685900000001</v>
      </c>
      <c r="AT140" s="237">
        <v>158.86944800000001</v>
      </c>
      <c r="AU140" s="230"/>
      <c r="AV140" s="234">
        <v>4.7679999999999997E-3</v>
      </c>
      <c r="AW140" s="234">
        <v>0.5590258736393815</v>
      </c>
      <c r="AX140" s="234">
        <v>1.6559999999999999E-3</v>
      </c>
      <c r="AY140" s="234">
        <v>0.47153397113766249</v>
      </c>
      <c r="AZ140" s="230"/>
      <c r="BA140" s="232">
        <v>-163</v>
      </c>
      <c r="BB140" s="230"/>
      <c r="BC140" s="232" t="e">
        <v>#N/A</v>
      </c>
      <c r="BD140" s="232">
        <v>796</v>
      </c>
      <c r="BE140" s="230"/>
      <c r="BF140" s="238">
        <v>0.12970120000000004</v>
      </c>
      <c r="BG140" s="238">
        <v>0.11868169999999996</v>
      </c>
      <c r="BH140" s="238">
        <v>0.13749333333333344</v>
      </c>
      <c r="BI140" s="230"/>
      <c r="BJ140" s="239">
        <v>11.882706108925081</v>
      </c>
      <c r="BK140" s="240">
        <v>1066.5999755859375</v>
      </c>
      <c r="BL140" s="230"/>
      <c r="BM140" s="241">
        <v>57.908850999999999</v>
      </c>
      <c r="BN140" s="241">
        <v>24.12</v>
      </c>
      <c r="BO140" s="241">
        <v>26</v>
      </c>
      <c r="BP140" s="241">
        <v>-3.83</v>
      </c>
      <c r="BQ140" s="241">
        <v>15.56962</v>
      </c>
      <c r="BR140" s="241">
        <v>75.545053999999993</v>
      </c>
      <c r="BS140" s="241">
        <v>35</v>
      </c>
      <c r="BT140" s="241">
        <v>47.933333333333337</v>
      </c>
      <c r="BU140" s="241" t="e">
        <v>#N/A</v>
      </c>
      <c r="BV140" s="241" t="e">
        <v>#N/A</v>
      </c>
      <c r="BW140" s="230"/>
      <c r="BX140" s="232">
        <v>6779.4089999999997</v>
      </c>
      <c r="BY140" s="232">
        <v>5768.2359999999999</v>
      </c>
      <c r="BZ140" s="232">
        <v>4161.9210000000003</v>
      </c>
      <c r="CA140" s="232">
        <v>-572.55999999999995</v>
      </c>
      <c r="CB140" s="232">
        <v>769.6</v>
      </c>
      <c r="CC140" s="232">
        <v>8405.0595200000007</v>
      </c>
      <c r="CD140" s="232" t="e">
        <v>#N/A</v>
      </c>
      <c r="CE140" s="232" t="e">
        <v>#N/A</v>
      </c>
      <c r="CF140" s="232" t="e">
        <v>#N/A</v>
      </c>
      <c r="CG140" s="232" t="e">
        <v>#N/A</v>
      </c>
      <c r="CH140" s="230"/>
      <c r="CI140" s="232">
        <v>16700.38</v>
      </c>
      <c r="CJ140" s="232">
        <v>14991.619999999999</v>
      </c>
      <c r="CK140" s="232">
        <v>11563.32</v>
      </c>
      <c r="CL140" s="232">
        <v>7762.41</v>
      </c>
      <c r="CM140" s="232">
        <v>9008</v>
      </c>
      <c r="CN140" s="232">
        <v>11737</v>
      </c>
      <c r="CO140" s="232">
        <v>13556</v>
      </c>
      <c r="CP140" s="232">
        <v>16284.75</v>
      </c>
      <c r="CQ140" s="232">
        <v>19785</v>
      </c>
      <c r="CR140" s="232" t="e">
        <v>#N/A</v>
      </c>
      <c r="CS140" s="230"/>
      <c r="CT140" s="232">
        <v>59757.88</v>
      </c>
      <c r="CU140" s="232">
        <v>60985.35</v>
      </c>
      <c r="CV140" s="232">
        <v>61301.64</v>
      </c>
      <c r="CW140" s="232">
        <v>62817.279999999999</v>
      </c>
      <c r="CX140" s="232">
        <v>67029</v>
      </c>
      <c r="CY140" s="232">
        <v>72345</v>
      </c>
      <c r="CZ140" s="232">
        <v>80463.25</v>
      </c>
      <c r="DA140" s="232">
        <v>90552.25</v>
      </c>
      <c r="DB140" s="232">
        <v>102523</v>
      </c>
      <c r="DC140" s="232" t="e">
        <v>#N/A</v>
      </c>
      <c r="DD140" s="230"/>
      <c r="DE140" s="232" t="e">
        <v>#N/A</v>
      </c>
      <c r="DF140" s="232">
        <v>1286</v>
      </c>
      <c r="DG140" s="232">
        <v>11363</v>
      </c>
      <c r="DH140" s="230"/>
      <c r="DI140" s="230"/>
      <c r="DJ140" s="172" t="s">
        <v>277</v>
      </c>
    </row>
    <row r="141" spans="1:114" x14ac:dyDescent="0.25">
      <c r="A141" s="245" t="s">
        <v>850</v>
      </c>
      <c r="B141" s="226" t="s">
        <v>884</v>
      </c>
      <c r="C141" s="227" t="s">
        <v>885</v>
      </c>
      <c r="D141" s="228" t="str">
        <f t="shared" si="1"/>
        <v>PIRPHARM IN Equity</v>
      </c>
      <c r="E141" s="229" t="s">
        <v>886</v>
      </c>
      <c r="F141" s="230"/>
      <c r="G141" s="231">
        <v>2625.7481515688569</v>
      </c>
      <c r="H141" s="232">
        <v>235688.98268506533</v>
      </c>
      <c r="I141" s="230"/>
      <c r="J141" s="231">
        <v>3072.8786302688563</v>
      </c>
      <c r="K141" s="232">
        <v>273934.68268506532</v>
      </c>
      <c r="L141" s="230"/>
      <c r="M141" s="233">
        <v>267.56220894418294</v>
      </c>
      <c r="N141" s="233">
        <v>294.76086550661364</v>
      </c>
      <c r="O141" s="233">
        <v>18.959648033683226</v>
      </c>
      <c r="P141" s="233">
        <v>27.851666039967</v>
      </c>
      <c r="Q141" s="230"/>
      <c r="R141" s="234">
        <v>2.8929821621839746</v>
      </c>
      <c r="S141" s="234">
        <v>5.1932634846072325</v>
      </c>
      <c r="T141" s="230"/>
      <c r="U141" s="234">
        <v>1.0945173737469472E-2</v>
      </c>
      <c r="V141" s="234">
        <v>1.4869999999999996E-2</v>
      </c>
      <c r="W141" s="234">
        <v>2.2368624524731158E-2</v>
      </c>
      <c r="X141" s="234">
        <v>2.8226477424655259E-2</v>
      </c>
      <c r="Y141" s="234">
        <v>1.2671269583842692E-2</v>
      </c>
      <c r="Z141" s="234">
        <v>4.8238887993429881E-2</v>
      </c>
      <c r="AA141" s="234">
        <v>-5.3637779707767089E-4</v>
      </c>
      <c r="AB141" s="234">
        <v>1.4584630724757948E-2</v>
      </c>
      <c r="AC141" s="230"/>
      <c r="AD141" s="232">
        <v>-5014.6000000000004</v>
      </c>
      <c r="AE141" s="232">
        <v>-5210.2</v>
      </c>
      <c r="AF141" s="232">
        <v>-195.6</v>
      </c>
      <c r="AG141" s="232">
        <v>-465</v>
      </c>
      <c r="AH141" s="235">
        <v>-5675.2</v>
      </c>
      <c r="AI141" s="230"/>
      <c r="AJ141" s="232">
        <v>10323.6</v>
      </c>
      <c r="AK141" s="232">
        <v>33132.300000000003</v>
      </c>
      <c r="AL141" s="235">
        <v>43455.9</v>
      </c>
      <c r="AM141" s="230"/>
      <c r="AN141" s="231">
        <v>447.13047869999997</v>
      </c>
      <c r="AO141" s="232">
        <v>38245.699999999997</v>
      </c>
      <c r="AP141" s="236">
        <v>2.6470726659883863</v>
      </c>
      <c r="AQ141" s="230"/>
      <c r="AR141" s="237">
        <v>1329.2481300000002</v>
      </c>
      <c r="AS141" s="237">
        <v>1324.35</v>
      </c>
      <c r="AT141" s="237">
        <v>1324.35</v>
      </c>
      <c r="AU141" s="230"/>
      <c r="AV141" s="234">
        <v>3.4860000000000004E-3</v>
      </c>
      <c r="AW141" s="234">
        <v>0.60795507934607762</v>
      </c>
      <c r="AX141" s="234">
        <v>1.232E-3</v>
      </c>
      <c r="AY141" s="234">
        <v>0.63842385695137305</v>
      </c>
      <c r="AZ141" s="230"/>
      <c r="BA141" s="232">
        <v>0</v>
      </c>
      <c r="BB141" s="230"/>
      <c r="BC141" s="232" t="e">
        <v>#N/A</v>
      </c>
      <c r="BD141" s="232">
        <v>144.69999999999999</v>
      </c>
      <c r="BE141" s="230"/>
      <c r="BF141" s="238">
        <v>3.9886136000000025</v>
      </c>
      <c r="BG141" s="238">
        <v>4.3502389999999966</v>
      </c>
      <c r="BH141" s="238">
        <v>3.2470521666666645</v>
      </c>
      <c r="BI141" s="230"/>
      <c r="BJ141" s="239">
        <v>1.9753634346424522</v>
      </c>
      <c r="BK141" s="240">
        <v>177.30999755859375</v>
      </c>
      <c r="BL141" s="230"/>
      <c r="BM141" s="241" t="e">
        <v>#N/A</v>
      </c>
      <c r="BN141" s="241">
        <v>54.374908128000001</v>
      </c>
      <c r="BO141" s="241">
        <v>78.515492340000009</v>
      </c>
      <c r="BP141" s="241">
        <v>-1.5332005344999999</v>
      </c>
      <c r="BQ141" s="241">
        <v>0.14000000000000001</v>
      </c>
      <c r="BR141" s="241">
        <v>0.68</v>
      </c>
      <c r="BS141" s="241">
        <v>0.60153846153846158</v>
      </c>
      <c r="BT141" s="241">
        <v>3.7084615384615387</v>
      </c>
      <c r="BU141" s="241">
        <v>6.0663636363636355</v>
      </c>
      <c r="BV141" s="241">
        <v>8.0399999999999991</v>
      </c>
      <c r="BW141" s="230"/>
      <c r="BX141" s="232" t="e">
        <v>#N/A</v>
      </c>
      <c r="BY141" s="232">
        <v>8350.2999999999993</v>
      </c>
      <c r="BZ141" s="232">
        <v>3601.47</v>
      </c>
      <c r="CA141" s="232">
        <v>-1879.16</v>
      </c>
      <c r="CB141" s="232">
        <v>184.22</v>
      </c>
      <c r="CC141" s="232">
        <v>877.62999999999954</v>
      </c>
      <c r="CD141" s="232">
        <v>368.35355240540173</v>
      </c>
      <c r="CE141" s="232">
        <v>4461.3194677595066</v>
      </c>
      <c r="CF141" s="232">
        <v>8049.6179304463194</v>
      </c>
      <c r="CG141" s="232">
        <v>10311.788527769761</v>
      </c>
      <c r="CH141" s="230"/>
      <c r="CI141" s="232" t="e">
        <v>#N/A</v>
      </c>
      <c r="CJ141" s="232">
        <v>14279.6</v>
      </c>
      <c r="CK141" s="232">
        <v>12254.6</v>
      </c>
      <c r="CL141" s="232">
        <v>8533.5</v>
      </c>
      <c r="CM141" s="232">
        <v>11962.5</v>
      </c>
      <c r="CN141" s="232">
        <v>14448.3</v>
      </c>
      <c r="CO141" s="232">
        <v>10938.166666666701</v>
      </c>
      <c r="CP141" s="232">
        <v>17738.833333333303</v>
      </c>
      <c r="CQ141" s="232">
        <v>22262.272727272702</v>
      </c>
      <c r="CR141" s="232">
        <v>24730.333333333303</v>
      </c>
      <c r="CS141" s="230"/>
      <c r="CT141" s="232" t="e">
        <v>#N/A</v>
      </c>
      <c r="CU141" s="232">
        <v>62245.9</v>
      </c>
      <c r="CV141" s="232">
        <v>65591</v>
      </c>
      <c r="CW141" s="232">
        <v>70815.5</v>
      </c>
      <c r="CX141" s="232">
        <v>81064.100000000006</v>
      </c>
      <c r="CY141" s="232">
        <v>90610</v>
      </c>
      <c r="CZ141" s="232">
        <v>93064.846153846156</v>
      </c>
      <c r="DA141" s="232">
        <v>109098.69230769231</v>
      </c>
      <c r="DB141" s="232">
        <v>123914.63636363637</v>
      </c>
      <c r="DC141" s="232">
        <v>138780.75</v>
      </c>
      <c r="DD141" s="230"/>
      <c r="DE141" s="232" t="e">
        <v>#N/A</v>
      </c>
      <c r="DF141" s="232" t="e">
        <v>#N/A</v>
      </c>
      <c r="DG141" s="232" t="e">
        <v>#N/A</v>
      </c>
      <c r="DH141" s="230"/>
      <c r="DI141" s="230"/>
      <c r="DJ141" s="172" t="s">
        <v>277</v>
      </c>
    </row>
    <row r="142" spans="1:114" x14ac:dyDescent="0.25">
      <c r="A142" s="245" t="s">
        <v>850</v>
      </c>
      <c r="B142" s="242" t="s">
        <v>887</v>
      </c>
      <c r="C142" s="227" t="s">
        <v>888</v>
      </c>
      <c r="D142" s="228" t="str">
        <f t="shared" si="1"/>
        <v>ALIVUS IN Equity</v>
      </c>
      <c r="E142" s="229" t="s">
        <v>889</v>
      </c>
      <c r="F142" s="230"/>
      <c r="G142" s="231">
        <v>1236.4396545567024</v>
      </c>
      <c r="H142" s="232">
        <v>110983.6844633501</v>
      </c>
      <c r="I142" s="230"/>
      <c r="J142" s="231">
        <v>1178.8912916067022</v>
      </c>
      <c r="K142" s="232">
        <v>106061.23446335009</v>
      </c>
      <c r="L142" s="230"/>
      <c r="M142" s="233">
        <v>22.82689145800315</v>
      </c>
      <c r="N142" s="233">
        <v>19.96226718774135</v>
      </c>
      <c r="O142" s="233">
        <v>15.538195220419771</v>
      </c>
      <c r="P142" s="233">
        <v>14.353700929323308</v>
      </c>
      <c r="Q142" s="230"/>
      <c r="R142" s="234">
        <v>3.9346294022737234</v>
      </c>
      <c r="S142" s="234">
        <v>3.9626710570014048</v>
      </c>
      <c r="T142" s="230"/>
      <c r="U142" s="234">
        <v>0.18913343367586502</v>
      </c>
      <c r="V142" s="234">
        <v>0.17874999999999999</v>
      </c>
      <c r="W142" s="234">
        <v>0.1898870438233054</v>
      </c>
      <c r="X142" s="234">
        <v>0.18479141991017881</v>
      </c>
      <c r="Y142" s="234">
        <v>0.17334915020023442</v>
      </c>
      <c r="Z142" s="234">
        <v>0.23349824653412918</v>
      </c>
      <c r="AA142" s="234">
        <v>0.15956552500194407</v>
      </c>
      <c r="AB142" s="234">
        <v>0.18662735960511947</v>
      </c>
      <c r="AC142" s="230"/>
      <c r="AD142" s="232">
        <v>-712.36</v>
      </c>
      <c r="AE142" s="232">
        <v>-5488.51</v>
      </c>
      <c r="AF142" s="232">
        <v>-4776.1499999999996</v>
      </c>
      <c r="AG142" s="232">
        <v>-0.77</v>
      </c>
      <c r="AH142" s="235">
        <v>-5489.28</v>
      </c>
      <c r="AI142" s="230"/>
      <c r="AJ142" s="232">
        <v>56.48</v>
      </c>
      <c r="AK142" s="232">
        <v>509.58</v>
      </c>
      <c r="AL142" s="235">
        <v>566.05999999999995</v>
      </c>
      <c r="AM142" s="230"/>
      <c r="AN142" s="231">
        <v>-57.548362949999991</v>
      </c>
      <c r="AO142" s="232">
        <v>-4922.4499999999989</v>
      </c>
      <c r="AP142" s="236">
        <v>-0.72114933839644635</v>
      </c>
      <c r="AQ142" s="230"/>
      <c r="AR142" s="237">
        <v>122.681348</v>
      </c>
      <c r="AS142" s="237">
        <v>122.537052</v>
      </c>
      <c r="AT142" s="237">
        <v>122.883276</v>
      </c>
      <c r="AU142" s="230"/>
      <c r="AV142" s="234">
        <v>7.4910000000000003E-3</v>
      </c>
      <c r="AW142" s="234">
        <v>0.42416074006677262</v>
      </c>
      <c r="AX142" s="234">
        <v>6.8400000000000004E-4</v>
      </c>
      <c r="AY142" s="234">
        <v>0.25093515438059905</v>
      </c>
      <c r="AZ142" s="230"/>
      <c r="BA142" s="232">
        <v>0</v>
      </c>
      <c r="BB142" s="230"/>
      <c r="BC142" s="232" t="e">
        <v>#N/A</v>
      </c>
      <c r="BD142" s="232">
        <v>0</v>
      </c>
      <c r="BE142" s="230"/>
      <c r="BF142" s="238">
        <v>5.2476000000000016E-2</v>
      </c>
      <c r="BG142" s="238">
        <v>6.443630000000003E-2</v>
      </c>
      <c r="BH142" s="238">
        <v>0.18611126666666669</v>
      </c>
      <c r="BI142" s="230"/>
      <c r="BJ142" s="239">
        <v>10.078464858054074</v>
      </c>
      <c r="BK142" s="240">
        <v>904.6500244140625</v>
      </c>
      <c r="BL142" s="230"/>
      <c r="BM142" s="241" t="e">
        <v>#N/A</v>
      </c>
      <c r="BN142" s="241" t="e">
        <v>#N/A</v>
      </c>
      <c r="BO142" s="241">
        <v>34.174576999999999</v>
      </c>
      <c r="BP142" s="241">
        <v>38.111486999999997</v>
      </c>
      <c r="BQ142" s="241">
        <v>38.380000000000003</v>
      </c>
      <c r="BR142" s="241">
        <v>39.520000000000003</v>
      </c>
      <c r="BS142" s="241">
        <v>45.317999999999998</v>
      </c>
      <c r="BT142" s="241">
        <v>52.306000000000004</v>
      </c>
      <c r="BU142" s="241">
        <v>59.04</v>
      </c>
      <c r="BV142" s="241">
        <v>64.400000000000006</v>
      </c>
      <c r="BW142" s="230"/>
      <c r="BX142" s="232">
        <v>3139.59</v>
      </c>
      <c r="BY142" s="232">
        <v>3519.8980000000001</v>
      </c>
      <c r="BZ142" s="232">
        <v>4192.7998690000004</v>
      </c>
      <c r="CA142" s="232">
        <v>4673.7855140000001</v>
      </c>
      <c r="CB142" s="232">
        <v>4714.1480320000001</v>
      </c>
      <c r="CC142" s="232">
        <v>4869.8965429999998</v>
      </c>
      <c r="CD142" s="232">
        <v>5529.0102229333334</v>
      </c>
      <c r="CE142" s="232">
        <v>6436.7663300833328</v>
      </c>
      <c r="CF142" s="232">
        <v>7319.4836370491694</v>
      </c>
      <c r="CG142" s="232">
        <v>7891.495754653999</v>
      </c>
      <c r="CH142" s="230"/>
      <c r="CI142" s="232">
        <v>4719.6000000000004</v>
      </c>
      <c r="CJ142" s="232">
        <v>5910.74</v>
      </c>
      <c r="CK142" s="232">
        <v>6160.6</v>
      </c>
      <c r="CL142" s="232">
        <v>6422.9299999999994</v>
      </c>
      <c r="CM142" s="232">
        <v>6742.4599999999991</v>
      </c>
      <c r="CN142" s="232">
        <v>6825.84</v>
      </c>
      <c r="CO142" s="232">
        <v>7714</v>
      </c>
      <c r="CP142" s="232">
        <v>8933.2000000000007</v>
      </c>
      <c r="CQ142" s="232">
        <v>10083</v>
      </c>
      <c r="CR142" s="232">
        <v>11108</v>
      </c>
      <c r="CS142" s="230"/>
      <c r="CT142" s="232">
        <v>15373.13</v>
      </c>
      <c r="CU142" s="232">
        <v>18851.650000000001</v>
      </c>
      <c r="CV142" s="232">
        <v>21232.14</v>
      </c>
      <c r="CW142" s="232">
        <v>21612.2</v>
      </c>
      <c r="CX142" s="232">
        <v>22832.14</v>
      </c>
      <c r="CY142" s="232">
        <v>23868.84</v>
      </c>
      <c r="CZ142" s="232">
        <v>25830.400000000001</v>
      </c>
      <c r="DA142" s="232">
        <v>29367</v>
      </c>
      <c r="DB142" s="232">
        <v>32699</v>
      </c>
      <c r="DC142" s="232">
        <v>36849</v>
      </c>
      <c r="DD142" s="230"/>
      <c r="DE142" s="232" t="e">
        <v>#N/A</v>
      </c>
      <c r="DF142" s="232">
        <v>0</v>
      </c>
      <c r="DG142" s="232">
        <v>0</v>
      </c>
      <c r="DH142" s="230"/>
      <c r="DI142" s="230"/>
      <c r="DJ142" s="172" t="s">
        <v>277</v>
      </c>
    </row>
    <row r="143" spans="1:114" x14ac:dyDescent="0.25">
      <c r="A143" s="245" t="s">
        <v>850</v>
      </c>
      <c r="B143" s="226" t="s">
        <v>890</v>
      </c>
      <c r="C143" s="227" t="s">
        <v>891</v>
      </c>
      <c r="D143" s="228" t="str">
        <f t="shared" si="1"/>
        <v>NLL IN Equity</v>
      </c>
      <c r="E143" s="229" t="s">
        <v>892</v>
      </c>
      <c r="F143" s="230"/>
      <c r="G143" s="231">
        <v>2156.307974344038</v>
      </c>
      <c r="H143" s="232">
        <v>193551.70545399998</v>
      </c>
      <c r="I143" s="230"/>
      <c r="J143" s="231">
        <v>2131.8312174130378</v>
      </c>
      <c r="K143" s="232">
        <v>191458.06445399998</v>
      </c>
      <c r="L143" s="230"/>
      <c r="M143" s="233">
        <v>73.280349881951167</v>
      </c>
      <c r="N143" s="233">
        <v>64.088476025942384</v>
      </c>
      <c r="O143" s="233">
        <v>59.227303999445638</v>
      </c>
      <c r="P143" s="233" t="e">
        <v>#N/A</v>
      </c>
      <c r="Q143" s="230"/>
      <c r="R143" s="234">
        <v>12.69352739780784</v>
      </c>
      <c r="S143" s="234">
        <v>15.602826513495096</v>
      </c>
      <c r="T143" s="230"/>
      <c r="U143" s="234">
        <v>0.18919150273706845</v>
      </c>
      <c r="V143" s="234">
        <v>0.1787</v>
      </c>
      <c r="W143" s="234">
        <v>0.23210705325580017</v>
      </c>
      <c r="X143" s="234">
        <v>0.21705795222710059</v>
      </c>
      <c r="Y143" s="234">
        <v>0.12110435293000324</v>
      </c>
      <c r="Z143" s="234">
        <v>0.16124814815799696</v>
      </c>
      <c r="AA143" s="234">
        <v>0.11719963312679188</v>
      </c>
      <c r="AB143" s="234">
        <v>0.17407597935115199</v>
      </c>
      <c r="AC143" s="230"/>
      <c r="AD143" s="232">
        <v>-2588.19</v>
      </c>
      <c r="AE143" s="232">
        <v>-3665.0169999999998</v>
      </c>
      <c r="AF143" s="232">
        <v>-1076.827</v>
      </c>
      <c r="AG143" s="232">
        <v>-15.289</v>
      </c>
      <c r="AH143" s="235">
        <v>-3680.306</v>
      </c>
      <c r="AI143" s="230"/>
      <c r="AJ143" s="232">
        <v>477.92599999999999</v>
      </c>
      <c r="AK143" s="232">
        <v>1093.45</v>
      </c>
      <c r="AL143" s="235">
        <v>1571.376</v>
      </c>
      <c r="AM143" s="230"/>
      <c r="AN143" s="231">
        <v>-24.476756930999994</v>
      </c>
      <c r="AO143" s="232">
        <v>-2093.6409999999996</v>
      </c>
      <c r="AP143" s="236">
        <v>-0.64766512879114557</v>
      </c>
      <c r="AQ143" s="230"/>
      <c r="AR143" s="237">
        <v>12.829889</v>
      </c>
      <c r="AS143" s="237">
        <v>12.900499999999999</v>
      </c>
      <c r="AT143" s="237">
        <v>12.900499999999999</v>
      </c>
      <c r="AU143" s="230"/>
      <c r="AV143" s="234">
        <v>3.2640000000000004E-3</v>
      </c>
      <c r="AW143" s="234">
        <v>0.4436058233941319</v>
      </c>
      <c r="AX143" s="234">
        <v>2.0599999999999998E-3</v>
      </c>
      <c r="AY143" s="234">
        <v>0.62496511076596217</v>
      </c>
      <c r="AZ143" s="230"/>
      <c r="BA143" s="232">
        <v>0</v>
      </c>
      <c r="BB143" s="230"/>
      <c r="BC143" s="232" t="e">
        <v>#N/A</v>
      </c>
      <c r="BD143" s="232">
        <v>179.61799999999999</v>
      </c>
      <c r="BE143" s="230"/>
      <c r="BF143" s="238">
        <v>6.5142199999999942E-2</v>
      </c>
      <c r="BG143" s="238">
        <v>5.6791600000000005E-2</v>
      </c>
      <c r="BH143" s="238">
        <v>6.9959866666666565E-2</v>
      </c>
      <c r="BI143" s="230"/>
      <c r="BJ143" s="239">
        <v>168.06910600271277</v>
      </c>
      <c r="BK143" s="240">
        <v>15086</v>
      </c>
      <c r="BL143" s="230"/>
      <c r="BM143" s="241">
        <v>12.566000000000001</v>
      </c>
      <c r="BN143" s="241">
        <v>62.85</v>
      </c>
      <c r="BO143" s="241">
        <v>49.472999999999999</v>
      </c>
      <c r="BP143" s="241">
        <v>127.45</v>
      </c>
      <c r="BQ143" s="241">
        <v>233.89</v>
      </c>
      <c r="BR143" s="241">
        <v>258.85515400000003</v>
      </c>
      <c r="BS143" s="241">
        <v>235.39333333333335</v>
      </c>
      <c r="BT143" s="241">
        <v>357.43333333333334</v>
      </c>
      <c r="BU143" s="241">
        <v>457.70666666666665</v>
      </c>
      <c r="BV143" s="241" t="e">
        <v>#N/A</v>
      </c>
      <c r="BW143" s="230"/>
      <c r="BX143" s="232">
        <v>162.10499999999999</v>
      </c>
      <c r="BY143" s="232">
        <v>808.22080000000005</v>
      </c>
      <c r="BZ143" s="232">
        <v>650.87670000000003</v>
      </c>
      <c r="CA143" s="232">
        <v>1641.2716</v>
      </c>
      <c r="CB143" s="232">
        <v>3003.7941728000001</v>
      </c>
      <c r="CC143" s="232">
        <v>2655.7862198000003</v>
      </c>
      <c r="CD143" s="232" t="e">
        <v>#N/A</v>
      </c>
      <c r="CE143" s="232" t="e">
        <v>#N/A</v>
      </c>
      <c r="CF143" s="232" t="e">
        <v>#N/A</v>
      </c>
      <c r="CG143" s="232" t="e">
        <v>#N/A</v>
      </c>
      <c r="CH143" s="230"/>
      <c r="CI143" s="232">
        <v>1018.902</v>
      </c>
      <c r="CJ143" s="232">
        <v>1468.193</v>
      </c>
      <c r="CK143" s="232">
        <v>1426.21</v>
      </c>
      <c r="CL143" s="232">
        <v>2718.4269999999997</v>
      </c>
      <c r="CM143" s="232">
        <v>4625.8950000000004</v>
      </c>
      <c r="CN143" s="232">
        <v>3232.598</v>
      </c>
      <c r="CO143" s="232">
        <v>3690</v>
      </c>
      <c r="CP143" s="232">
        <v>5381.6666666666697</v>
      </c>
      <c r="CQ143" s="232">
        <v>8893</v>
      </c>
      <c r="CR143" s="232" t="e">
        <v>#N/A</v>
      </c>
      <c r="CS143" s="230"/>
      <c r="CT143" s="232">
        <v>7627.1080000000002</v>
      </c>
      <c r="CU143" s="232">
        <v>9369.1309999999994</v>
      </c>
      <c r="CV143" s="232">
        <v>9510.7659999999996</v>
      </c>
      <c r="CW143" s="232">
        <v>11911.98</v>
      </c>
      <c r="CX143" s="232">
        <v>15156.630999999999</v>
      </c>
      <c r="CY143" s="232">
        <v>14343.821</v>
      </c>
      <c r="CZ143" s="232">
        <v>18654</v>
      </c>
      <c r="DA143" s="232">
        <v>23905.75</v>
      </c>
      <c r="DB143" s="232">
        <v>27552.5</v>
      </c>
      <c r="DC143" s="232" t="e">
        <v>#N/A</v>
      </c>
      <c r="DD143" s="230"/>
      <c r="DE143" s="232" t="e">
        <v>#N/A</v>
      </c>
      <c r="DF143" s="232">
        <v>0</v>
      </c>
      <c r="DG143" s="232">
        <v>0</v>
      </c>
      <c r="DH143" s="230"/>
      <c r="DI143" s="230"/>
      <c r="DJ143" s="172" t="s">
        <v>277</v>
      </c>
    </row>
    <row r="144" spans="1:114" x14ac:dyDescent="0.25">
      <c r="A144" s="245" t="s">
        <v>850</v>
      </c>
      <c r="B144" s="226" t="s">
        <v>893</v>
      </c>
      <c r="C144" s="227" t="s">
        <v>894</v>
      </c>
      <c r="D144" s="228" t="str">
        <f t="shared" si="1"/>
        <v>AKUMS IN Equity</v>
      </c>
      <c r="E144" s="229" t="s">
        <v>894</v>
      </c>
      <c r="F144" s="230"/>
      <c r="G144" s="231">
        <v>782.58010166657243</v>
      </c>
      <c r="H144" s="232">
        <v>70244.934923086665</v>
      </c>
      <c r="I144" s="230"/>
      <c r="J144" s="231">
        <v>727.44043544657245</v>
      </c>
      <c r="K144" s="232">
        <v>65528.514923086666</v>
      </c>
      <c r="L144" s="230"/>
      <c r="M144" s="233">
        <v>20.081273039941657</v>
      </c>
      <c r="N144" s="233">
        <v>25.66417411115404</v>
      </c>
      <c r="O144" s="233">
        <v>14.107930357192274</v>
      </c>
      <c r="P144" s="233">
        <v>10.855923504579259</v>
      </c>
      <c r="Q144" s="230"/>
      <c r="R144" s="234">
        <v>2.2425482663040759</v>
      </c>
      <c r="S144" s="234">
        <v>2.2502035017243509</v>
      </c>
      <c r="T144" s="230"/>
      <c r="U144" s="234">
        <v>0.17702719405661424</v>
      </c>
      <c r="V144" s="234">
        <v>8.433333333333333E-2</v>
      </c>
      <c r="W144" s="234">
        <v>0.180978369355865</v>
      </c>
      <c r="X144" s="234">
        <v>0.14848660062235833</v>
      </c>
      <c r="Y144" s="234">
        <v>0.16187988342904996</v>
      </c>
      <c r="Z144" s="234">
        <v>0.14857753753202904</v>
      </c>
      <c r="AA144" s="234">
        <v>8.6434060086206022E-2</v>
      </c>
      <c r="AB144" s="234">
        <v>0.16858642942250754</v>
      </c>
      <c r="AC144" s="230"/>
      <c r="AD144" s="232">
        <v>-5764.51</v>
      </c>
      <c r="AE144" s="232">
        <v>-5764.51</v>
      </c>
      <c r="AF144" s="232">
        <v>0</v>
      </c>
      <c r="AG144" s="232">
        <v>-1.43</v>
      </c>
      <c r="AH144" s="235">
        <v>-5765.94</v>
      </c>
      <c r="AI144" s="230"/>
      <c r="AJ144" s="232">
        <v>208.85</v>
      </c>
      <c r="AK144" s="232">
        <v>673.27</v>
      </c>
      <c r="AL144" s="235">
        <v>882.12</v>
      </c>
      <c r="AM144" s="230"/>
      <c r="AN144" s="231">
        <v>-57.08002149</v>
      </c>
      <c r="AO144" s="232">
        <v>-4882.3900000000003</v>
      </c>
      <c r="AP144" s="236">
        <v>-1.0511518256975543</v>
      </c>
      <c r="AQ144" s="230"/>
      <c r="AR144" s="237">
        <v>157.39398799999998</v>
      </c>
      <c r="AS144" s="237">
        <v>149.609486</v>
      </c>
      <c r="AT144" s="237">
        <v>149.609486</v>
      </c>
      <c r="AU144" s="230"/>
      <c r="AV144" s="234">
        <v>7.5260000000000006E-3</v>
      </c>
      <c r="AW144" s="234">
        <v>0.60556230946892886</v>
      </c>
      <c r="AX144" s="234">
        <v>2.2700000000000002E-4</v>
      </c>
      <c r="AY144" s="234">
        <v>0.22012645108147333</v>
      </c>
      <c r="AZ144" s="230"/>
      <c r="BA144" s="232">
        <v>165.97</v>
      </c>
      <c r="BB144" s="230"/>
      <c r="BC144" s="232" t="e">
        <v>#N/A</v>
      </c>
      <c r="BD144" s="232" t="e">
        <v>#N/A</v>
      </c>
      <c r="BE144" s="230"/>
      <c r="BF144" s="238">
        <v>0.94646159999999946</v>
      </c>
      <c r="BG144" s="238">
        <v>0.52103510000000042</v>
      </c>
      <c r="BH144" s="238">
        <v>0.33516689999999993</v>
      </c>
      <c r="BI144" s="230"/>
      <c r="BJ144" s="239">
        <v>4.9721092375305505</v>
      </c>
      <c r="BK144" s="240">
        <v>446.29998779296875</v>
      </c>
      <c r="BL144" s="230"/>
      <c r="BM144" s="241" t="e">
        <v>#N/A</v>
      </c>
      <c r="BN144" s="241">
        <v>8.58</v>
      </c>
      <c r="BO144" s="241" t="e">
        <v>#N/A</v>
      </c>
      <c r="BP144" s="241">
        <v>6.63</v>
      </c>
      <c r="BQ144" s="241">
        <v>-0.28000000000000003</v>
      </c>
      <c r="BR144" s="241">
        <v>21.489238</v>
      </c>
      <c r="BS144" s="241">
        <v>17.39</v>
      </c>
      <c r="BT144" s="241">
        <v>24.366666666666664</v>
      </c>
      <c r="BU144" s="241">
        <v>31.89</v>
      </c>
      <c r="BV144" s="241">
        <v>31.37</v>
      </c>
      <c r="BW144" s="230"/>
      <c r="BX144" s="232">
        <v>436.536</v>
      </c>
      <c r="BY144" s="232">
        <v>1227.05</v>
      </c>
      <c r="BZ144" s="232">
        <v>-2525.36</v>
      </c>
      <c r="CA144" s="232">
        <v>948.55</v>
      </c>
      <c r="CB144" s="232">
        <v>-40.35</v>
      </c>
      <c r="CC144" s="232">
        <v>3325.0238939999999</v>
      </c>
      <c r="CD144" s="232" t="e">
        <v>#N/A</v>
      </c>
      <c r="CE144" s="232" t="e">
        <v>#N/A</v>
      </c>
      <c r="CF144" s="232" t="e">
        <v>#N/A</v>
      </c>
      <c r="CG144" s="232" t="e">
        <v>#N/A</v>
      </c>
      <c r="CH144" s="230"/>
      <c r="CI144" s="232">
        <v>1741.1020000000001</v>
      </c>
      <c r="CJ144" s="232">
        <v>2373.4299999999998</v>
      </c>
      <c r="CK144" s="232">
        <v>4078.55</v>
      </c>
      <c r="CL144" s="232">
        <v>3379.5</v>
      </c>
      <c r="CM144" s="232">
        <v>1229.8500000000001</v>
      </c>
      <c r="CN144" s="232">
        <v>4644.8</v>
      </c>
      <c r="CO144" s="232">
        <v>5110</v>
      </c>
      <c r="CP144" s="232">
        <v>6682</v>
      </c>
      <c r="CQ144" s="232">
        <v>7991</v>
      </c>
      <c r="CR144" s="232">
        <v>9787</v>
      </c>
      <c r="CS144" s="230"/>
      <c r="CT144" s="232">
        <v>24140.532999999999</v>
      </c>
      <c r="CU144" s="232">
        <v>27226.29</v>
      </c>
      <c r="CV144" s="232">
        <v>35784.050000000003</v>
      </c>
      <c r="CW144" s="232">
        <v>36548.199999999997</v>
      </c>
      <c r="CX144" s="232">
        <v>41781.82</v>
      </c>
      <c r="CY144" s="232">
        <v>41181.58</v>
      </c>
      <c r="CZ144" s="232">
        <v>42386.666666666664</v>
      </c>
      <c r="DA144" s="232">
        <v>48065</v>
      </c>
      <c r="DB144" s="232">
        <v>55535</v>
      </c>
      <c r="DC144" s="232">
        <v>60785</v>
      </c>
      <c r="DD144" s="230"/>
      <c r="DE144" s="232" t="e">
        <v>#N/A</v>
      </c>
      <c r="DF144" s="232">
        <v>0</v>
      </c>
      <c r="DG144" s="232">
        <v>0</v>
      </c>
      <c r="DH144" s="230"/>
      <c r="DI144" s="230"/>
      <c r="DJ144" s="172" t="s">
        <v>277</v>
      </c>
    </row>
    <row r="145" spans="1:114" x14ac:dyDescent="0.25">
      <c r="A145" s="245" t="s">
        <v>850</v>
      </c>
      <c r="B145" s="226" t="s">
        <v>895</v>
      </c>
      <c r="C145" s="227" t="s">
        <v>896</v>
      </c>
      <c r="D145" s="228" t="str">
        <f t="shared" si="1"/>
        <v>COHANCE IN Equity</v>
      </c>
      <c r="E145" s="229" t="s">
        <v>896</v>
      </c>
      <c r="F145" s="230"/>
      <c r="G145" s="231">
        <v>2285.3265776641965</v>
      </c>
      <c r="H145" s="232">
        <v>205132.50513800909</v>
      </c>
      <c r="I145" s="230"/>
      <c r="J145" s="231">
        <v>2302.0119728641962</v>
      </c>
      <c r="K145" s="232">
        <v>206559.7051380091</v>
      </c>
      <c r="L145" s="230"/>
      <c r="M145" s="233">
        <v>53.001018229110805</v>
      </c>
      <c r="N145" s="233">
        <v>44.079284890968957</v>
      </c>
      <c r="O145" s="233">
        <v>55.053226316100506</v>
      </c>
      <c r="P145" s="233">
        <v>28.734305214234183</v>
      </c>
      <c r="Q145" s="230"/>
      <c r="R145" s="234">
        <v>8.0465715208189508</v>
      </c>
      <c r="S145" s="234">
        <v>13.964741822450355</v>
      </c>
      <c r="T145" s="230"/>
      <c r="U145" s="234">
        <v>0.13747328947895124</v>
      </c>
      <c r="V145" s="234">
        <v>0.12802500000000003</v>
      </c>
      <c r="W145" s="234">
        <v>0.18060762156476712</v>
      </c>
      <c r="X145" s="234">
        <v>0.14841830080520896</v>
      </c>
      <c r="Y145" s="234">
        <v>0.10429441686945648</v>
      </c>
      <c r="Z145" s="234">
        <v>0.13547205442362603</v>
      </c>
      <c r="AA145" s="234">
        <v>0.22601859087503123</v>
      </c>
      <c r="AB145" s="234">
        <v>0.12951712214437403</v>
      </c>
      <c r="AC145" s="230"/>
      <c r="AD145" s="232">
        <v>-886.7</v>
      </c>
      <c r="AE145" s="232">
        <v>-2804.1</v>
      </c>
      <c r="AF145" s="232">
        <v>-1917.4</v>
      </c>
      <c r="AG145" s="232">
        <v>-1449.5</v>
      </c>
      <c r="AH145" s="235">
        <v>-4253.6000000000004</v>
      </c>
      <c r="AI145" s="230"/>
      <c r="AJ145" s="232">
        <v>1033.4000000000001</v>
      </c>
      <c r="AK145" s="232">
        <v>1757.3</v>
      </c>
      <c r="AL145" s="235">
        <v>2790.7</v>
      </c>
      <c r="AM145" s="230"/>
      <c r="AN145" s="231">
        <v>-0.15665940000000636</v>
      </c>
      <c r="AO145" s="232">
        <v>-13.400000000000546</v>
      </c>
      <c r="AP145" s="236">
        <v>-3.571428571428717E-3</v>
      </c>
      <c r="AQ145" s="230"/>
      <c r="AR145" s="237">
        <v>382.56714000000011</v>
      </c>
      <c r="AS145" s="237">
        <v>254.6</v>
      </c>
      <c r="AT145" s="237">
        <v>254.6</v>
      </c>
      <c r="AU145" s="230"/>
      <c r="AV145" s="234">
        <v>5.7489999999999998E-3</v>
      </c>
      <c r="AW145" s="234">
        <v>0.68171553427382459</v>
      </c>
      <c r="AX145" s="234">
        <v>6.510000000000001E-4</v>
      </c>
      <c r="AY145" s="234">
        <v>0.35910576376214642</v>
      </c>
      <c r="AZ145" s="230"/>
      <c r="BA145" s="232">
        <v>1440.6</v>
      </c>
      <c r="BB145" s="230"/>
      <c r="BC145" s="232" t="e">
        <v>#N/A</v>
      </c>
      <c r="BD145" s="232">
        <v>0</v>
      </c>
      <c r="BE145" s="230"/>
      <c r="BF145" s="238">
        <v>0.44430340000000013</v>
      </c>
      <c r="BG145" s="238">
        <v>0.66184509999999963</v>
      </c>
      <c r="BH145" s="238">
        <v>0.94492476666666692</v>
      </c>
      <c r="BI145" s="230"/>
      <c r="BJ145" s="239">
        <v>5.9736614536841719</v>
      </c>
      <c r="BK145" s="240">
        <v>536.20001220703125</v>
      </c>
      <c r="BL145" s="230"/>
      <c r="BM145" s="241">
        <v>12.45115</v>
      </c>
      <c r="BN145" s="241">
        <v>14.23</v>
      </c>
      <c r="BO145" s="241">
        <v>17.829999999999998</v>
      </c>
      <c r="BP145" s="241">
        <v>16.16</v>
      </c>
      <c r="BQ145" s="241">
        <v>11.8</v>
      </c>
      <c r="BR145" s="241">
        <v>21.457187999999999</v>
      </c>
      <c r="BS145" s="241">
        <v>12.164444444444444</v>
      </c>
      <c r="BT145" s="241">
        <v>15.78875</v>
      </c>
      <c r="BU145" s="241">
        <v>21.49111111111111</v>
      </c>
      <c r="BV145" s="241">
        <v>22.725000000000001</v>
      </c>
      <c r="BW145" s="230"/>
      <c r="BX145" s="232">
        <v>3169.6145000000001</v>
      </c>
      <c r="BY145" s="232">
        <v>3599.8888999999999</v>
      </c>
      <c r="BZ145" s="232">
        <v>4094.1601000000001</v>
      </c>
      <c r="CA145" s="232">
        <v>3995.5626824000001</v>
      </c>
      <c r="CB145" s="232">
        <v>2690.5344100000002</v>
      </c>
      <c r="CC145" s="232">
        <v>2575.7339200000001</v>
      </c>
      <c r="CD145" s="232">
        <v>4430.9472799223558</v>
      </c>
      <c r="CE145" s="232">
        <v>5971.1453021143225</v>
      </c>
      <c r="CF145" s="232">
        <v>8280.3673291473897</v>
      </c>
      <c r="CG145" s="232">
        <v>8715.7926313675543</v>
      </c>
      <c r="CH145" s="230"/>
      <c r="CI145" s="232">
        <v>3849.308</v>
      </c>
      <c r="CJ145" s="232">
        <v>4400.6549999999997</v>
      </c>
      <c r="CK145" s="232">
        <v>5785.8320000000003</v>
      </c>
      <c r="CL145" s="232">
        <v>5652.6220000000003</v>
      </c>
      <c r="CM145" s="232">
        <v>4058.1</v>
      </c>
      <c r="CN145" s="232">
        <v>3752</v>
      </c>
      <c r="CO145" s="232">
        <v>7083.1111111111095</v>
      </c>
      <c r="CP145" s="232">
        <v>9283.1111111111113</v>
      </c>
      <c r="CQ145" s="232">
        <v>11817.666666666701</v>
      </c>
      <c r="CR145" s="232">
        <v>12279.333333333299</v>
      </c>
      <c r="CS145" s="230"/>
      <c r="CT145" s="232">
        <v>8337.8979999999992</v>
      </c>
      <c r="CU145" s="232">
        <v>9954.6389999999992</v>
      </c>
      <c r="CV145" s="232">
        <v>13070.108</v>
      </c>
      <c r="CW145" s="232">
        <v>13311.101000000001</v>
      </c>
      <c r="CX145" s="232">
        <v>10340.6</v>
      </c>
      <c r="CY145" s="232">
        <v>11722.8</v>
      </c>
      <c r="CZ145" s="232">
        <v>26425</v>
      </c>
      <c r="DA145" s="232">
        <v>31371.375</v>
      </c>
      <c r="DB145" s="232">
        <v>37712.428571428572</v>
      </c>
      <c r="DC145" s="232">
        <v>30771.5</v>
      </c>
      <c r="DD145" s="230"/>
      <c r="DE145" s="232" t="e">
        <v>#N/A</v>
      </c>
      <c r="DF145" s="232">
        <v>5.4</v>
      </c>
      <c r="DG145" s="232">
        <v>0</v>
      </c>
      <c r="DH145" s="230"/>
      <c r="DI145" s="230"/>
      <c r="DJ145" s="172" t="s">
        <v>277</v>
      </c>
    </row>
    <row r="146" spans="1:114" x14ac:dyDescent="0.25">
      <c r="A146" s="245" t="s">
        <v>850</v>
      </c>
      <c r="B146" s="226" t="s">
        <v>897</v>
      </c>
      <c r="C146" s="227" t="s">
        <v>898</v>
      </c>
      <c r="D146" s="228" t="str">
        <f t="shared" si="1"/>
        <v>DRRD IN Equity</v>
      </c>
      <c r="E146" s="229" t="s">
        <v>899</v>
      </c>
      <c r="F146" s="230"/>
      <c r="G146" s="231">
        <v>11769.908059463352</v>
      </c>
      <c r="H146" s="232">
        <v>1056475.1441124354</v>
      </c>
      <c r="I146" s="230"/>
      <c r="J146" s="231">
        <v>11683.090693463353</v>
      </c>
      <c r="K146" s="232">
        <v>1049049.1441124354</v>
      </c>
      <c r="L146" s="230"/>
      <c r="M146" s="233">
        <v>19.962808882041664</v>
      </c>
      <c r="N146" s="233">
        <v>20.356709369955961</v>
      </c>
      <c r="O146" s="233">
        <v>12.273743657058365</v>
      </c>
      <c r="P146" s="233">
        <v>12.656576336924942</v>
      </c>
      <c r="Q146" s="230"/>
      <c r="R146" s="234">
        <v>3.1373642901701273</v>
      </c>
      <c r="S146" s="234">
        <v>4.6666127397204971</v>
      </c>
      <c r="T146" s="230"/>
      <c r="U146" s="234">
        <v>0.17172598961765842</v>
      </c>
      <c r="V146" s="234">
        <v>0.14431315789473687</v>
      </c>
      <c r="W146" s="234">
        <v>0.24328242632824262</v>
      </c>
      <c r="X146" s="234">
        <v>0.26636214639733652</v>
      </c>
      <c r="Y146" s="234">
        <v>0.14801861368297026</v>
      </c>
      <c r="Z146" s="234">
        <v>0.19792026677039787</v>
      </c>
      <c r="AA146" s="234">
        <v>0.11904895411990153</v>
      </c>
      <c r="AB146" s="234">
        <v>0.17291058505670126</v>
      </c>
      <c r="AC146" s="230"/>
      <c r="AD146" s="232">
        <v>-24663</v>
      </c>
      <c r="AE146" s="232">
        <v>-57970</v>
      </c>
      <c r="AF146" s="232">
        <v>-33307</v>
      </c>
      <c r="AG146" s="232">
        <v>-7204</v>
      </c>
      <c r="AH146" s="235">
        <v>-65174</v>
      </c>
      <c r="AI146" s="230"/>
      <c r="AJ146" s="232">
        <v>38902</v>
      </c>
      <c r="AK146" s="232">
        <v>7864</v>
      </c>
      <c r="AL146" s="235">
        <v>46766</v>
      </c>
      <c r="AM146" s="230"/>
      <c r="AN146" s="231">
        <v>-130.985964</v>
      </c>
      <c r="AO146" s="232">
        <v>-11204</v>
      </c>
      <c r="AP146" s="236">
        <v>-0.13108539738624797</v>
      </c>
      <c r="AQ146" s="230"/>
      <c r="AR146" s="237">
        <v>834.63035500000001</v>
      </c>
      <c r="AS146" s="237">
        <v>832.95040600000004</v>
      </c>
      <c r="AT146" s="237">
        <v>834.17913399999998</v>
      </c>
      <c r="AU146" s="230"/>
      <c r="AV146" s="234">
        <v>2.6640000000000001E-3</v>
      </c>
      <c r="AW146" s="234">
        <v>0.67059624514458593</v>
      </c>
      <c r="AX146" s="234">
        <v>2.4690000000000003E-3</v>
      </c>
      <c r="AY146" s="234">
        <v>0.50608136460601172</v>
      </c>
      <c r="AZ146" s="230"/>
      <c r="BA146" s="232">
        <v>3778</v>
      </c>
      <c r="BB146" s="230"/>
      <c r="BC146" s="232" t="e">
        <v>#N/A</v>
      </c>
      <c r="BD146" s="232">
        <v>6662</v>
      </c>
      <c r="BE146" s="230"/>
      <c r="BF146" s="238">
        <v>0.82752040000000038</v>
      </c>
      <c r="BG146" s="238">
        <v>1.1009404999999988</v>
      </c>
      <c r="BH146" s="238">
        <v>1.6215115999999987</v>
      </c>
      <c r="BI146" s="230"/>
      <c r="BJ146" s="239">
        <v>14.101941043665196</v>
      </c>
      <c r="BK146" s="240">
        <v>1265.800048828125</v>
      </c>
      <c r="BL146" s="230"/>
      <c r="BM146" s="241">
        <v>23.48</v>
      </c>
      <c r="BN146" s="241">
        <v>23.027999999999999</v>
      </c>
      <c r="BO146" s="241">
        <v>28.338000000000001</v>
      </c>
      <c r="BP146" s="241">
        <v>54.17</v>
      </c>
      <c r="BQ146" s="241">
        <v>66.804000000000002</v>
      </c>
      <c r="BR146" s="241">
        <v>67.89</v>
      </c>
      <c r="BS146" s="241">
        <v>62.180975609756096</v>
      </c>
      <c r="BT146" s="241">
        <v>56.862750000000005</v>
      </c>
      <c r="BU146" s="241">
        <v>65.734545454545469</v>
      </c>
      <c r="BV146" s="241">
        <v>79.58</v>
      </c>
      <c r="BW146" s="230"/>
      <c r="BX146" s="232">
        <v>31193.200000000001</v>
      </c>
      <c r="BY146" s="232">
        <v>24006.1</v>
      </c>
      <c r="BZ146" s="232">
        <v>27884.2</v>
      </c>
      <c r="CA146" s="232">
        <v>45731.913200000003</v>
      </c>
      <c r="CB146" s="232">
        <v>52656.378199999999</v>
      </c>
      <c r="CC146" s="232">
        <v>52895.554499999998</v>
      </c>
      <c r="CD146" s="232">
        <v>51404.781008765196</v>
      </c>
      <c r="CE146" s="232">
        <v>47018.272493031225</v>
      </c>
      <c r="CF146" s="232">
        <v>54787.351882920499</v>
      </c>
      <c r="CG146" s="232">
        <v>65858.555837283508</v>
      </c>
      <c r="CH146" s="230"/>
      <c r="CI146" s="232">
        <v>28465</v>
      </c>
      <c r="CJ146" s="232">
        <v>38987</v>
      </c>
      <c r="CK146" s="232">
        <v>41300</v>
      </c>
      <c r="CL146" s="232">
        <v>69780</v>
      </c>
      <c r="CM146" s="232">
        <v>82570</v>
      </c>
      <c r="CN146" s="232">
        <v>85471</v>
      </c>
      <c r="CO146" s="232">
        <v>80970.219512195094</v>
      </c>
      <c r="CP146" s="232">
        <v>76563.902439024401</v>
      </c>
      <c r="CQ146" s="232">
        <v>86937.441176470602</v>
      </c>
      <c r="CR146" s="232">
        <v>99789.5</v>
      </c>
      <c r="CS146" s="230"/>
      <c r="CT146" s="232">
        <v>174600</v>
      </c>
      <c r="CU146" s="232">
        <v>189722</v>
      </c>
      <c r="CV146" s="232">
        <v>214391</v>
      </c>
      <c r="CW146" s="232">
        <v>245879</v>
      </c>
      <c r="CX146" s="232">
        <v>279164</v>
      </c>
      <c r="CY146" s="232">
        <v>325535</v>
      </c>
      <c r="CZ146" s="232">
        <v>339642.97619047621</v>
      </c>
      <c r="DA146" s="232">
        <v>348273.59523809521</v>
      </c>
      <c r="DB146" s="232">
        <v>381052.83333333331</v>
      </c>
      <c r="DC146" s="232">
        <v>418874.5</v>
      </c>
      <c r="DD146" s="230"/>
      <c r="DE146" s="232" t="e">
        <v>#N/A</v>
      </c>
      <c r="DF146" s="232">
        <v>421</v>
      </c>
      <c r="DG146" s="232">
        <v>1162</v>
      </c>
      <c r="DH146" s="230"/>
      <c r="DI146" s="230"/>
      <c r="DJ146" s="172" t="s">
        <v>277</v>
      </c>
    </row>
    <row r="147" spans="1:114" x14ac:dyDescent="0.25">
      <c r="A147" s="245" t="s">
        <v>850</v>
      </c>
      <c r="B147" s="226" t="s">
        <v>900</v>
      </c>
      <c r="C147" s="227" t="s">
        <v>901</v>
      </c>
      <c r="D147" s="228" t="str">
        <f t="shared" si="1"/>
        <v>PI IN Equity</v>
      </c>
      <c r="E147" s="229" t="s">
        <v>902</v>
      </c>
      <c r="F147" s="230"/>
      <c r="G147" s="231">
        <v>5439.5660847271574</v>
      </c>
      <c r="H147" s="232">
        <v>488259.23993948876</v>
      </c>
      <c r="I147" s="230"/>
      <c r="J147" s="231">
        <v>5021.5777617271578</v>
      </c>
      <c r="K147" s="232">
        <v>452506.23993948876</v>
      </c>
      <c r="L147" s="230"/>
      <c r="M147" s="233">
        <v>30.123494546435943</v>
      </c>
      <c r="N147" s="233">
        <v>30.544073566704242</v>
      </c>
      <c r="O147" s="233">
        <v>20.766692975653456</v>
      </c>
      <c r="P147" s="233">
        <v>20.809304707789362</v>
      </c>
      <c r="Q147" s="230"/>
      <c r="R147" s="234">
        <v>4.807120605882532</v>
      </c>
      <c r="S147" s="234">
        <v>5.3651913624469953</v>
      </c>
      <c r="T147" s="230"/>
      <c r="U147" s="234">
        <v>0.17194726810673444</v>
      </c>
      <c r="V147" s="234">
        <v>0.14743461538461539</v>
      </c>
      <c r="W147" s="234">
        <v>0.19358111062527328</v>
      </c>
      <c r="X147" s="234">
        <v>0.1980680888397939</v>
      </c>
      <c r="Y147" s="234">
        <v>0.14637949852784193</v>
      </c>
      <c r="Z147" s="234">
        <v>0.18885970717180908</v>
      </c>
      <c r="AA147" s="234">
        <v>0.13692617237767116</v>
      </c>
      <c r="AB147" s="234">
        <v>0.17503022015858316</v>
      </c>
      <c r="AC147" s="230"/>
      <c r="AD147" s="232">
        <v>-24996</v>
      </c>
      <c r="AE147" s="232">
        <v>-37594</v>
      </c>
      <c r="AF147" s="232">
        <v>-12598</v>
      </c>
      <c r="AG147" s="232">
        <v>-2338</v>
      </c>
      <c r="AH147" s="235">
        <v>-39932</v>
      </c>
      <c r="AI147" s="230"/>
      <c r="AJ147" s="232">
        <v>604</v>
      </c>
      <c r="AK147" s="232">
        <v>1237</v>
      </c>
      <c r="AL147" s="235">
        <v>1841</v>
      </c>
      <c r="AM147" s="230"/>
      <c r="AN147" s="231">
        <v>-417.98832299999998</v>
      </c>
      <c r="AO147" s="232">
        <v>-35753</v>
      </c>
      <c r="AP147" s="236">
        <v>-1.6407985314364388</v>
      </c>
      <c r="AQ147" s="230"/>
      <c r="AR147" s="237">
        <v>151.718118</v>
      </c>
      <c r="AS147" s="237">
        <v>152</v>
      </c>
      <c r="AT147" s="237">
        <v>152</v>
      </c>
      <c r="AU147" s="230"/>
      <c r="AV147" s="234">
        <v>4.6089999999999994E-3</v>
      </c>
      <c r="AW147" s="234">
        <v>0.74567224969908252</v>
      </c>
      <c r="AX147" s="234">
        <v>1.6420000000000002E-3</v>
      </c>
      <c r="AY147" s="234">
        <v>0.47258213419177786</v>
      </c>
      <c r="AZ147" s="230"/>
      <c r="BA147" s="232">
        <v>0</v>
      </c>
      <c r="BB147" s="230"/>
      <c r="BC147" s="232" t="e">
        <v>#N/A</v>
      </c>
      <c r="BD147" s="232">
        <v>2276</v>
      </c>
      <c r="BE147" s="230"/>
      <c r="BF147" s="238">
        <v>0.17208180000000012</v>
      </c>
      <c r="BG147" s="238">
        <v>0.21353040000000009</v>
      </c>
      <c r="BH147" s="238">
        <v>0.25834230000000002</v>
      </c>
      <c r="BI147" s="230"/>
      <c r="BJ147" s="239">
        <v>35.853108095680163</v>
      </c>
      <c r="BK147" s="240">
        <v>3218.199951171875</v>
      </c>
      <c r="BL147" s="230"/>
      <c r="BM147" s="241">
        <v>33.087000000000003</v>
      </c>
      <c r="BN147" s="241">
        <v>49.92</v>
      </c>
      <c r="BO147" s="241">
        <v>55.65</v>
      </c>
      <c r="BP147" s="241">
        <v>81.06</v>
      </c>
      <c r="BQ147" s="241">
        <v>110.83</v>
      </c>
      <c r="BR147" s="241">
        <v>109.42</v>
      </c>
      <c r="BS147" s="241">
        <v>105.36249999999998</v>
      </c>
      <c r="BT147" s="241">
        <v>116.60428571428569</v>
      </c>
      <c r="BU147" s="241">
        <v>131.62846153846152</v>
      </c>
      <c r="BV147" s="241">
        <v>146.29249999999999</v>
      </c>
      <c r="BW147" s="230"/>
      <c r="BX147" s="232">
        <v>4531</v>
      </c>
      <c r="BY147" s="232">
        <v>7180</v>
      </c>
      <c r="BZ147" s="232">
        <v>8244.1</v>
      </c>
      <c r="CA147" s="232">
        <v>12000.3</v>
      </c>
      <c r="CB147" s="232">
        <v>16351.6</v>
      </c>
      <c r="CC147" s="232">
        <v>16238.7</v>
      </c>
      <c r="CD147" s="232">
        <v>15809.898475759208</v>
      </c>
      <c r="CE147" s="232">
        <v>17538.561378260838</v>
      </c>
      <c r="CF147" s="232">
        <v>19838.607867185121</v>
      </c>
      <c r="CG147" s="232">
        <v>21990.51273658633</v>
      </c>
      <c r="CH147" s="230"/>
      <c r="CI147" s="232">
        <v>7178</v>
      </c>
      <c r="CJ147" s="232">
        <v>10122</v>
      </c>
      <c r="CK147" s="232">
        <v>11424</v>
      </c>
      <c r="CL147" s="232">
        <v>15421</v>
      </c>
      <c r="CM147" s="232">
        <v>20147</v>
      </c>
      <c r="CN147" s="232">
        <v>21790</v>
      </c>
      <c r="CO147" s="232">
        <v>21304.321428571398</v>
      </c>
      <c r="CP147" s="232">
        <v>23705.785714285703</v>
      </c>
      <c r="CQ147" s="232">
        <v>26607.083333333303</v>
      </c>
      <c r="CR147" s="232">
        <v>29868.25</v>
      </c>
      <c r="CS147" s="230"/>
      <c r="CT147" s="232">
        <v>33066</v>
      </c>
      <c r="CU147" s="232">
        <v>45200</v>
      </c>
      <c r="CV147" s="232">
        <v>52524</v>
      </c>
      <c r="CW147" s="232">
        <v>64582</v>
      </c>
      <c r="CX147" s="232">
        <v>76116</v>
      </c>
      <c r="CY147" s="232">
        <v>79034</v>
      </c>
      <c r="CZ147" s="232">
        <v>78460.75</v>
      </c>
      <c r="DA147" s="232">
        <v>87666.964285714275</v>
      </c>
      <c r="DB147" s="232">
        <v>98573.48</v>
      </c>
      <c r="DC147" s="232">
        <v>110997</v>
      </c>
      <c r="DD147" s="230"/>
      <c r="DE147" s="232" t="e">
        <v>#N/A</v>
      </c>
      <c r="DF147" s="232">
        <v>0</v>
      </c>
      <c r="DG147" s="232">
        <v>0</v>
      </c>
      <c r="DH147" s="230"/>
      <c r="DI147" s="230"/>
      <c r="DJ147" s="172" t="s">
        <v>277</v>
      </c>
    </row>
    <row r="148" spans="1:114" x14ac:dyDescent="0.25">
      <c r="A148" s="245" t="s">
        <v>850</v>
      </c>
      <c r="B148" s="226" t="s">
        <v>903</v>
      </c>
      <c r="C148" s="227" t="s">
        <v>904</v>
      </c>
      <c r="D148" s="228" t="str">
        <f t="shared" si="1"/>
        <v>ORCP IN Equity</v>
      </c>
      <c r="E148" s="229" t="s">
        <v>905</v>
      </c>
      <c r="F148" s="230"/>
      <c r="G148" s="231">
        <v>436.44311493332572</v>
      </c>
      <c r="H148" s="232">
        <v>39175.437940259399</v>
      </c>
      <c r="I148" s="230"/>
      <c r="J148" s="231">
        <v>435.85582923932571</v>
      </c>
      <c r="K148" s="232">
        <v>39125.203940259402</v>
      </c>
      <c r="L148" s="230"/>
      <c r="M148" s="233">
        <v>39.22224506590431</v>
      </c>
      <c r="N148" s="233">
        <v>75.356099942835371</v>
      </c>
      <c r="O148" s="233">
        <v>33.390117379206835</v>
      </c>
      <c r="P148" s="233">
        <v>54.572749003193962</v>
      </c>
      <c r="Q148" s="230"/>
      <c r="R148" s="234">
        <v>3.0912877194244803</v>
      </c>
      <c r="S148" s="234">
        <v>3.1333554730857491</v>
      </c>
      <c r="T148" s="230"/>
      <c r="U148" s="234">
        <v>8.1978535767803978E-2</v>
      </c>
      <c r="V148" s="234">
        <v>4.4999999999999998E-2</v>
      </c>
      <c r="W148" s="234">
        <v>8.2880925701384472E-2</v>
      </c>
      <c r="X148" s="234" t="e">
        <v>#N/A</v>
      </c>
      <c r="Y148" s="234">
        <v>6.4108748550076172E-2</v>
      </c>
      <c r="Z148" s="234">
        <v>5.8467636511482395E-2</v>
      </c>
      <c r="AA148" s="234">
        <v>5.8659417397974305E-2</v>
      </c>
      <c r="AB148" s="234">
        <v>7.9980500565584089E-2</v>
      </c>
      <c r="AC148" s="230"/>
      <c r="AD148" s="232">
        <v>-1796.325</v>
      </c>
      <c r="AE148" s="232">
        <v>-1796.325</v>
      </c>
      <c r="AF148" s="232">
        <v>0</v>
      </c>
      <c r="AG148" s="232">
        <v>-88.460999999999999</v>
      </c>
      <c r="AH148" s="235">
        <v>-1884.7860000000001</v>
      </c>
      <c r="AI148" s="230"/>
      <c r="AJ148" s="232">
        <v>429.36599999999999</v>
      </c>
      <c r="AK148" s="232">
        <v>1316.7249999999999</v>
      </c>
      <c r="AL148" s="235">
        <v>1746.0909999999999</v>
      </c>
      <c r="AM148" s="230"/>
      <c r="AN148" s="231">
        <v>-0.58728569400000175</v>
      </c>
      <c r="AO148" s="232">
        <v>-50.234000000000151</v>
      </c>
      <c r="AP148" s="236">
        <v>-4.2870553697002926E-2</v>
      </c>
      <c r="AQ148" s="230"/>
      <c r="AR148" s="237">
        <v>50.719104999999999</v>
      </c>
      <c r="AS148" s="237">
        <v>50.719104999999999</v>
      </c>
      <c r="AT148" s="237">
        <v>50.719104999999999</v>
      </c>
      <c r="AU148" s="230"/>
      <c r="AV148" s="234">
        <v>6.9840000000000006E-3</v>
      </c>
      <c r="AW148" s="234">
        <v>0.79843820714627201</v>
      </c>
      <c r="AX148" s="234">
        <v>1.56E-4</v>
      </c>
      <c r="AY148" s="234">
        <v>0.26724608015066509</v>
      </c>
      <c r="AZ148" s="230"/>
      <c r="BA148" s="232">
        <v>0</v>
      </c>
      <c r="BB148" s="230"/>
      <c r="BC148" s="232" t="e">
        <v>#N/A</v>
      </c>
      <c r="BD148" s="232">
        <v>0</v>
      </c>
      <c r="BE148" s="230"/>
      <c r="BF148" s="238">
        <v>4.1443600000000004E-2</v>
      </c>
      <c r="BG148" s="238">
        <v>4.2783099999999984E-2</v>
      </c>
      <c r="BH148" s="238">
        <v>0.11247653333333332</v>
      </c>
      <c r="BI148" s="230"/>
      <c r="BJ148" s="239">
        <v>8.6051028489821686</v>
      </c>
      <c r="BK148" s="240">
        <v>772.4000244140625</v>
      </c>
      <c r="BL148" s="230"/>
      <c r="BM148" s="241">
        <v>-32.112000000000002</v>
      </c>
      <c r="BN148" s="241">
        <v>-28.55</v>
      </c>
      <c r="BO148" s="241">
        <v>-14.803000000000001</v>
      </c>
      <c r="BP148" s="241">
        <v>23.141999999999999</v>
      </c>
      <c r="BQ148" s="241">
        <v>19.059999999999999</v>
      </c>
      <c r="BR148" s="241">
        <v>19.649999999999999</v>
      </c>
      <c r="BS148" s="241">
        <v>10.25</v>
      </c>
      <c r="BT148" s="241">
        <v>27.1</v>
      </c>
      <c r="BU148" s="241">
        <v>54.95</v>
      </c>
      <c r="BV148" s="241" t="e">
        <v>#N/A</v>
      </c>
      <c r="BW148" s="230"/>
      <c r="BX148" s="232">
        <v>-696.91800000000001</v>
      </c>
      <c r="BY148" s="232">
        <v>-952.48900000000003</v>
      </c>
      <c r="BZ148" s="232">
        <v>-604.21400000000006</v>
      </c>
      <c r="CA148" s="232">
        <v>237.83420000000001</v>
      </c>
      <c r="CB148" s="232">
        <v>922.98379999999997</v>
      </c>
      <c r="CC148" s="232">
        <v>998.8066</v>
      </c>
      <c r="CD148" s="232" t="e">
        <v>#N/A</v>
      </c>
      <c r="CE148" s="232" t="e">
        <v>#N/A</v>
      </c>
      <c r="CF148" s="232" t="e">
        <v>#N/A</v>
      </c>
      <c r="CG148" s="232" t="e">
        <v>#N/A</v>
      </c>
      <c r="CH148" s="230"/>
      <c r="CI148" s="232">
        <v>361.10599999999999</v>
      </c>
      <c r="CJ148" s="232">
        <v>573.428</v>
      </c>
      <c r="CK148" s="232">
        <v>531.34699999999998</v>
      </c>
      <c r="CL148" s="232">
        <v>836.18499999999995</v>
      </c>
      <c r="CM148" s="232">
        <v>1106.74</v>
      </c>
      <c r="CN148" s="232">
        <v>1171.76</v>
      </c>
      <c r="CO148" s="232">
        <v>861</v>
      </c>
      <c r="CP148" s="232">
        <v>2100</v>
      </c>
      <c r="CQ148" s="232">
        <v>4043</v>
      </c>
      <c r="CR148" s="232" t="e">
        <v>#N/A</v>
      </c>
      <c r="CS148" s="230"/>
      <c r="CT148" s="232">
        <v>4652.7910000000002</v>
      </c>
      <c r="CU148" s="232">
        <v>4381.8249999999998</v>
      </c>
      <c r="CV148" s="232">
        <v>5560.7269999999999</v>
      </c>
      <c r="CW148" s="232">
        <v>6658.9840000000004</v>
      </c>
      <c r="CX148" s="232">
        <v>8161.1469999999999</v>
      </c>
      <c r="CY148" s="232">
        <v>9101.8680000000004</v>
      </c>
      <c r="CZ148" s="232">
        <v>11260.5</v>
      </c>
      <c r="DA148" s="232">
        <v>16117.5</v>
      </c>
      <c r="DB148" s="232">
        <v>20767</v>
      </c>
      <c r="DC148" s="232" t="e">
        <v>#N/A</v>
      </c>
      <c r="DD148" s="230"/>
      <c r="DE148" s="232" t="e">
        <v>#N/A</v>
      </c>
      <c r="DF148" s="232">
        <v>0</v>
      </c>
      <c r="DG148" s="232">
        <v>0</v>
      </c>
      <c r="DH148" s="230"/>
      <c r="DI148" s="230"/>
      <c r="DJ148" s="172" t="s">
        <v>277</v>
      </c>
    </row>
    <row r="149" spans="1:114" x14ac:dyDescent="0.25">
      <c r="A149" s="245" t="s">
        <v>850</v>
      </c>
      <c r="B149" s="226" t="s">
        <v>906</v>
      </c>
      <c r="C149" s="227" t="s">
        <v>907</v>
      </c>
      <c r="D149" s="228" t="str">
        <f t="shared" si="1"/>
        <v>INDR IN Equity</v>
      </c>
      <c r="E149" s="229" t="s">
        <v>908</v>
      </c>
      <c r="F149" s="230"/>
      <c r="G149" s="231">
        <v>241.1519875700159</v>
      </c>
      <c r="H149" s="232">
        <v>21645.970345213471</v>
      </c>
      <c r="I149" s="230"/>
      <c r="J149" s="231">
        <v>354.89168064501587</v>
      </c>
      <c r="K149" s="232">
        <v>31374.795345213472</v>
      </c>
      <c r="L149" s="230"/>
      <c r="M149" s="233" t="e">
        <v>#N/A</v>
      </c>
      <c r="N149" s="233">
        <v>698.36307707286994</v>
      </c>
      <c r="O149" s="233">
        <v>31.611056380602086</v>
      </c>
      <c r="P149" s="233">
        <v>19.912372141347014</v>
      </c>
      <c r="Q149" s="230"/>
      <c r="R149" s="234">
        <v>2.1157687285697748</v>
      </c>
      <c r="S149" s="234">
        <v>2.6059542801292084</v>
      </c>
      <c r="T149" s="230"/>
      <c r="U149" s="234">
        <v>-6.9277903500474816E-2</v>
      </c>
      <c r="V149" s="234">
        <v>-1.5633333333333332E-2</v>
      </c>
      <c r="W149" s="234">
        <v>-8.4191785395319532E-2</v>
      </c>
      <c r="X149" s="234" t="e">
        <v>#N/A</v>
      </c>
      <c r="Y149" s="234">
        <v>-2.017678720160114E-2</v>
      </c>
      <c r="Z149" s="234">
        <v>-7.5091448756266031E-3</v>
      </c>
      <c r="AA149" s="234">
        <v>-9.4198470869949844E-3</v>
      </c>
      <c r="AB149" s="234">
        <v>-1.4371750206725965E-2</v>
      </c>
      <c r="AC149" s="230"/>
      <c r="AD149" s="232">
        <v>-170.66399999999999</v>
      </c>
      <c r="AE149" s="232">
        <v>-170.66399999999999</v>
      </c>
      <c r="AF149" s="232">
        <v>0</v>
      </c>
      <c r="AG149" s="232">
        <v>-14.625</v>
      </c>
      <c r="AH149" s="235">
        <v>-185.28899999999999</v>
      </c>
      <c r="AI149" s="230"/>
      <c r="AJ149" s="232">
        <v>4510.0770000000002</v>
      </c>
      <c r="AK149" s="232">
        <v>5425.5910000000003</v>
      </c>
      <c r="AL149" s="235">
        <v>9935.6679999999997</v>
      </c>
      <c r="AM149" s="230"/>
      <c r="AN149" s="231">
        <v>114.16266176399999</v>
      </c>
      <c r="AO149" s="232">
        <v>9765.0040000000008</v>
      </c>
      <c r="AP149" s="236">
        <v>9.8385372272363636</v>
      </c>
      <c r="AQ149" s="230"/>
      <c r="AR149" s="237">
        <v>92.247905000000003</v>
      </c>
      <c r="AS149" s="237">
        <v>92.194805000000002</v>
      </c>
      <c r="AT149" s="237">
        <v>92.292877000000004</v>
      </c>
      <c r="AU149" s="230"/>
      <c r="AV149" s="234">
        <v>5.8899999999999994E-3</v>
      </c>
      <c r="AW149" s="234">
        <v>0.55321854628541833</v>
      </c>
      <c r="AX149" s="234">
        <v>1.25E-4</v>
      </c>
      <c r="AY149" s="234">
        <v>0.33143996061482367</v>
      </c>
      <c r="AZ149" s="230"/>
      <c r="BA149" s="232">
        <v>-36.179000000000002</v>
      </c>
      <c r="BB149" s="230"/>
      <c r="BC149" s="232" t="e">
        <v>#N/A</v>
      </c>
      <c r="BD149" s="232">
        <v>139.024</v>
      </c>
      <c r="BE149" s="230"/>
      <c r="BF149" s="238">
        <v>2.1738400000000012E-2</v>
      </c>
      <c r="BG149" s="238">
        <v>3.0225100000000026E-2</v>
      </c>
      <c r="BH149" s="238">
        <v>3.6544066666666632E-2</v>
      </c>
      <c r="BI149" s="230"/>
      <c r="BJ149" s="239">
        <v>2.614173054336745</v>
      </c>
      <c r="BK149" s="240">
        <v>234.64999389648438</v>
      </c>
      <c r="BL149" s="230"/>
      <c r="BM149" s="241">
        <v>2.617</v>
      </c>
      <c r="BN149" s="241">
        <v>10.1</v>
      </c>
      <c r="BO149" s="241">
        <v>16.8</v>
      </c>
      <c r="BP149" s="241">
        <v>15.42</v>
      </c>
      <c r="BQ149" s="241">
        <v>10.51</v>
      </c>
      <c r="BR149" s="241">
        <v>-7.881907</v>
      </c>
      <c r="BS149" s="241">
        <v>0.33600000000000013</v>
      </c>
      <c r="BT149" s="241">
        <v>10.223333333333333</v>
      </c>
      <c r="BU149" s="241">
        <v>14.950000000000001</v>
      </c>
      <c r="BV149" s="241" t="e">
        <v>#N/A</v>
      </c>
      <c r="BW149" s="230"/>
      <c r="BX149" s="232">
        <v>262.839</v>
      </c>
      <c r="BY149" s="232">
        <v>932.15880000000004</v>
      </c>
      <c r="BZ149" s="232">
        <v>1563.7989</v>
      </c>
      <c r="CA149" s="232">
        <v>1431.3469</v>
      </c>
      <c r="CB149" s="232">
        <v>987.24839999999995</v>
      </c>
      <c r="CC149" s="232">
        <v>-738.46659999999997</v>
      </c>
      <c r="CD149" s="232">
        <v>22.245755878798089</v>
      </c>
      <c r="CE149" s="232">
        <v>979.13826050293153</v>
      </c>
      <c r="CF149" s="232">
        <v>1435</v>
      </c>
      <c r="CG149" s="232" t="e">
        <v>#N/A</v>
      </c>
      <c r="CH149" s="230"/>
      <c r="CI149" s="232">
        <v>1232.066</v>
      </c>
      <c r="CJ149" s="232">
        <v>2242.681</v>
      </c>
      <c r="CK149" s="232">
        <v>3273.42</v>
      </c>
      <c r="CL149" s="232">
        <v>2860.9259999999999</v>
      </c>
      <c r="CM149" s="232">
        <v>2443.1310000000003</v>
      </c>
      <c r="CN149" s="232">
        <v>992.52600000000007</v>
      </c>
      <c r="CO149" s="232">
        <v>1781.6666666666702</v>
      </c>
      <c r="CP149" s="232">
        <v>2929.6666666666697</v>
      </c>
      <c r="CQ149" s="232">
        <v>3761</v>
      </c>
      <c r="CR149" s="232" t="e">
        <v>#N/A</v>
      </c>
      <c r="CS149" s="230"/>
      <c r="CT149" s="232">
        <v>10799.754000000001</v>
      </c>
      <c r="CU149" s="232">
        <v>12186.078</v>
      </c>
      <c r="CV149" s="232">
        <v>15037.374</v>
      </c>
      <c r="CW149" s="232">
        <v>16400.48</v>
      </c>
      <c r="CX149" s="232">
        <v>17882.154999999999</v>
      </c>
      <c r="CY149" s="232">
        <v>16412.868999999999</v>
      </c>
      <c r="CZ149" s="232">
        <v>18332.5</v>
      </c>
      <c r="DA149" s="232">
        <v>20929.833333333332</v>
      </c>
      <c r="DB149" s="232">
        <v>24233.666666666668</v>
      </c>
      <c r="DC149" s="232" t="e">
        <v>#N/A</v>
      </c>
      <c r="DD149" s="230"/>
      <c r="DE149" s="232" t="e">
        <v>#N/A</v>
      </c>
      <c r="DF149" s="232" t="e">
        <v>#N/A</v>
      </c>
      <c r="DG149" s="232" t="e">
        <v>#N/A</v>
      </c>
      <c r="DH149" s="230"/>
      <c r="DI149" s="230"/>
      <c r="DJ149" s="172" t="s">
        <v>277</v>
      </c>
    </row>
    <row r="150" spans="1:114" x14ac:dyDescent="0.25">
      <c r="A150" s="245" t="s">
        <v>850</v>
      </c>
      <c r="B150" s="226" t="s">
        <v>909</v>
      </c>
      <c r="C150" s="227" t="s">
        <v>910</v>
      </c>
      <c r="D150" s="228" t="str">
        <f t="shared" si="1"/>
        <v>NFIL IN Equity</v>
      </c>
      <c r="E150" s="229" t="s">
        <v>911</v>
      </c>
      <c r="F150" s="230"/>
      <c r="G150" s="231">
        <v>3353.1225403758149</v>
      </c>
      <c r="H150" s="232">
        <v>300978.61437599995</v>
      </c>
      <c r="I150" s="230"/>
      <c r="J150" s="231">
        <v>3464.6628640758149</v>
      </c>
      <c r="K150" s="232">
        <v>310519.31437599997</v>
      </c>
      <c r="L150" s="230"/>
      <c r="M150" s="233">
        <v>114.47945903485864</v>
      </c>
      <c r="N150" s="233">
        <v>56.098717619395764</v>
      </c>
      <c r="O150" s="233">
        <v>58.180190807164792</v>
      </c>
      <c r="P150" s="233">
        <v>32.852856959267541</v>
      </c>
      <c r="Q150" s="230"/>
      <c r="R150" s="234">
        <v>11.091656999577342</v>
      </c>
      <c r="S150" s="234">
        <v>11.486022555460046</v>
      </c>
      <c r="T150" s="230"/>
      <c r="U150" s="234">
        <v>0.10156201960510292</v>
      </c>
      <c r="V150" s="234">
        <v>0.16991724137931036</v>
      </c>
      <c r="W150" s="234">
        <v>0.11953169818432602</v>
      </c>
      <c r="X150" s="234">
        <v>0.10179580344186158</v>
      </c>
      <c r="Y150" s="234">
        <v>7.8430344246889494E-2</v>
      </c>
      <c r="Z150" s="234">
        <v>0.10362651532111113</v>
      </c>
      <c r="AA150" s="234">
        <v>7.7580851693460698E-2</v>
      </c>
      <c r="AB150" s="234">
        <v>8.8669773984123484E-2</v>
      </c>
      <c r="AC150" s="230"/>
      <c r="AD150" s="232">
        <v>-405.2</v>
      </c>
      <c r="AE150" s="232">
        <v>-5123.2</v>
      </c>
      <c r="AF150" s="232">
        <v>-4718</v>
      </c>
      <c r="AG150" s="232">
        <v>-567.79999999999995</v>
      </c>
      <c r="AH150" s="235">
        <v>-5691</v>
      </c>
      <c r="AI150" s="230"/>
      <c r="AJ150" s="232">
        <v>3997.6</v>
      </c>
      <c r="AK150" s="232">
        <v>10666.3</v>
      </c>
      <c r="AL150" s="235">
        <v>14663.9</v>
      </c>
      <c r="AM150" s="230"/>
      <c r="AN150" s="231">
        <v>111.5403237</v>
      </c>
      <c r="AO150" s="232">
        <v>9540.7000000000007</v>
      </c>
      <c r="AP150" s="236">
        <v>1.7875852506932475</v>
      </c>
      <c r="AQ150" s="230"/>
      <c r="AR150" s="237">
        <v>51.239123999999997</v>
      </c>
      <c r="AS150" s="237">
        <v>49.572099999999999</v>
      </c>
      <c r="AT150" s="237">
        <v>49.572099999999999</v>
      </c>
      <c r="AU150" s="230"/>
      <c r="AV150" s="234">
        <v>2.712E-3</v>
      </c>
      <c r="AW150" s="234">
        <v>0.54117306409107435</v>
      </c>
      <c r="AX150" s="234">
        <v>2.215E-3</v>
      </c>
      <c r="AY150" s="234">
        <v>0.60469308569756197</v>
      </c>
      <c r="AZ150" s="230"/>
      <c r="BA150" s="232">
        <v>0</v>
      </c>
      <c r="BB150" s="230"/>
      <c r="BC150" s="232" t="e">
        <v>#N/A</v>
      </c>
      <c r="BD150" s="232">
        <v>595</v>
      </c>
      <c r="BE150" s="230"/>
      <c r="BF150" s="238">
        <v>0.12332339999999989</v>
      </c>
      <c r="BG150" s="238">
        <v>0.17890110000000009</v>
      </c>
      <c r="BH150" s="238">
        <v>0.1435699333333334</v>
      </c>
      <c r="BI150" s="230"/>
      <c r="BJ150" s="239">
        <v>65.4406687432013</v>
      </c>
      <c r="BK150" s="240">
        <v>5874</v>
      </c>
      <c r="BL150" s="230"/>
      <c r="BM150" s="241">
        <v>36.18</v>
      </c>
      <c r="BN150" s="241">
        <v>44.51</v>
      </c>
      <c r="BO150" s="241">
        <v>53.12</v>
      </c>
      <c r="BP150" s="241">
        <v>75.7</v>
      </c>
      <c r="BQ150" s="241">
        <v>44.026209999999999</v>
      </c>
      <c r="BR150" s="241">
        <v>58.30303</v>
      </c>
      <c r="BS150" s="241">
        <v>104.70827586206896</v>
      </c>
      <c r="BT150" s="241">
        <v>130.90034482758625</v>
      </c>
      <c r="BU150" s="241">
        <v>158.91749999999999</v>
      </c>
      <c r="BV150" s="241">
        <v>194.7225</v>
      </c>
      <c r="BW150" s="230"/>
      <c r="BX150" s="232">
        <v>4041.7314999999999</v>
      </c>
      <c r="BY150" s="232">
        <v>2535.02</v>
      </c>
      <c r="BZ150" s="232">
        <v>2614.9499999999998</v>
      </c>
      <c r="CA150" s="232">
        <v>3667.94</v>
      </c>
      <c r="CB150" s="232">
        <v>2610.08</v>
      </c>
      <c r="CC150" s="232">
        <v>2543.5700000000002</v>
      </c>
      <c r="CD150" s="232">
        <v>5410.522473745863</v>
      </c>
      <c r="CE150" s="232">
        <v>6662.2609311744118</v>
      </c>
      <c r="CF150" s="232">
        <v>7965.0938010776463</v>
      </c>
      <c r="CG150" s="232">
        <v>8935.6851121389664</v>
      </c>
      <c r="CH150" s="230"/>
      <c r="CI150" s="232">
        <v>2634.8539999999998</v>
      </c>
      <c r="CJ150" s="232">
        <v>3092.8999999999996</v>
      </c>
      <c r="CK150" s="232">
        <v>3548.1</v>
      </c>
      <c r="CL150" s="232">
        <v>5503.0999999999995</v>
      </c>
      <c r="CM150" s="232">
        <v>3982.7999999999997</v>
      </c>
      <c r="CN150" s="232">
        <v>5337.2</v>
      </c>
      <c r="CO150" s="232">
        <v>9125.3793103448297</v>
      </c>
      <c r="CP150" s="232">
        <v>11016.931034482799</v>
      </c>
      <c r="CQ150" s="232">
        <v>13130.25</v>
      </c>
      <c r="CR150" s="232">
        <v>16506.666666666701</v>
      </c>
      <c r="CS150" s="230"/>
      <c r="CT150" s="232">
        <v>10460.371999999999</v>
      </c>
      <c r="CU150" s="232">
        <v>11744.8</v>
      </c>
      <c r="CV150" s="232">
        <v>14480.1</v>
      </c>
      <c r="CW150" s="232">
        <v>20774</v>
      </c>
      <c r="CX150" s="232">
        <v>20650.099999999999</v>
      </c>
      <c r="CY150" s="232">
        <v>23493.8</v>
      </c>
      <c r="CZ150" s="232">
        <v>31230.379310344826</v>
      </c>
      <c r="DA150" s="232">
        <v>38438.586206896551</v>
      </c>
      <c r="DB150" s="232">
        <v>45690.25</v>
      </c>
      <c r="DC150" s="232">
        <v>54499.25</v>
      </c>
      <c r="DD150" s="230"/>
      <c r="DE150" s="232" t="e">
        <v>#N/A</v>
      </c>
      <c r="DF150" s="232">
        <v>262.3</v>
      </c>
      <c r="DG150" s="232">
        <v>0</v>
      </c>
      <c r="DH150" s="230"/>
      <c r="DI150" s="230"/>
      <c r="DJ150" s="172" t="s">
        <v>277</v>
      </c>
    </row>
    <row r="151" spans="1:114" x14ac:dyDescent="0.25">
      <c r="A151" s="245" t="s">
        <v>850</v>
      </c>
      <c r="B151" s="226" t="s">
        <v>912</v>
      </c>
      <c r="C151" s="227" t="s">
        <v>913</v>
      </c>
      <c r="D151" s="228" t="str">
        <f t="shared" si="1"/>
        <v>NLSC IN Equity</v>
      </c>
      <c r="E151" s="229" t="s">
        <v>914</v>
      </c>
      <c r="F151" s="230"/>
      <c r="G151" s="231">
        <v>52.81684477142678</v>
      </c>
      <c r="H151" s="232">
        <v>4740.8767689219667</v>
      </c>
      <c r="I151" s="230"/>
      <c r="J151" s="231">
        <v>103.73320421142678</v>
      </c>
      <c r="K151" s="232">
        <v>9264.7647689219666</v>
      </c>
      <c r="L151" s="230"/>
      <c r="M151" s="233" t="e">
        <v>#N/A</v>
      </c>
      <c r="N151" s="233" t="e">
        <v>#N/A</v>
      </c>
      <c r="O151" s="233" t="e">
        <v>#N/A</v>
      </c>
      <c r="P151" s="233" t="e">
        <v>#N/A</v>
      </c>
      <c r="Q151" s="230"/>
      <c r="R151" s="234">
        <v>0.6613296864986985</v>
      </c>
      <c r="S151" s="234">
        <v>0.6613296864986985</v>
      </c>
      <c r="T151" s="230"/>
      <c r="U151" s="234">
        <v>-0.20706560249554479</v>
      </c>
      <c r="V151" s="234" t="e">
        <v>#N/A</v>
      </c>
      <c r="W151" s="234">
        <v>-0.41456024608104225</v>
      </c>
      <c r="X151" s="234" t="e">
        <v>#N/A</v>
      </c>
      <c r="Y151" s="234">
        <v>-0.11055215419513745</v>
      </c>
      <c r="Z151" s="234">
        <v>-0.16307524458335376</v>
      </c>
      <c r="AA151" s="234">
        <v>-0.18646435618123344</v>
      </c>
      <c r="AB151" s="234">
        <v>-0.22482303527097475</v>
      </c>
      <c r="AC151" s="230"/>
      <c r="AD151" s="232">
        <v>-59.302</v>
      </c>
      <c r="AE151" s="232">
        <v>-64.596999999999994</v>
      </c>
      <c r="AF151" s="232">
        <v>-5.2949999999999999</v>
      </c>
      <c r="AG151" s="232">
        <v>-72.081000000000003</v>
      </c>
      <c r="AH151" s="235">
        <v>-136.678</v>
      </c>
      <c r="AI151" s="230"/>
      <c r="AJ151" s="232">
        <v>4455.3419999999996</v>
      </c>
      <c r="AK151" s="232">
        <v>133.143</v>
      </c>
      <c r="AL151" s="235">
        <v>4588.4849999999997</v>
      </c>
      <c r="AM151" s="230"/>
      <c r="AN151" s="231">
        <v>50.916359440000001</v>
      </c>
      <c r="AO151" s="232">
        <v>4523.8879999999999</v>
      </c>
      <c r="AP151" s="236" t="e">
        <v>#N/A</v>
      </c>
      <c r="AQ151" s="230"/>
      <c r="AR151" s="237">
        <v>224.26096999999999</v>
      </c>
      <c r="AS151" s="237">
        <v>224.26866000000001</v>
      </c>
      <c r="AT151" s="237">
        <v>224.26866000000001</v>
      </c>
      <c r="AU151" s="230"/>
      <c r="AV151" s="234">
        <v>4.4910000000000002E-3</v>
      </c>
      <c r="AW151" s="234">
        <v>4.4726429772029405E-5</v>
      </c>
      <c r="AX151" s="234">
        <v>6.2000000000000003E-5</v>
      </c>
      <c r="AY151" s="234">
        <v>0.72768834006202698</v>
      </c>
      <c r="AZ151" s="230"/>
      <c r="BA151" s="232">
        <v>0</v>
      </c>
      <c r="BB151" s="230"/>
      <c r="BC151" s="232">
        <v>810</v>
      </c>
      <c r="BD151" s="232" t="e">
        <v>#N/A</v>
      </c>
      <c r="BE151" s="230"/>
      <c r="BF151" s="238">
        <v>3.3882944000000004</v>
      </c>
      <c r="BG151" s="238">
        <v>2.8880196000000011</v>
      </c>
      <c r="BH151" s="238">
        <v>5.2330193999999937</v>
      </c>
      <c r="BI151" s="230"/>
      <c r="BJ151" s="239">
        <v>0.23551509998118164</v>
      </c>
      <c r="BK151" s="240">
        <v>21.139999389648438</v>
      </c>
      <c r="BL151" s="230"/>
      <c r="BM151" s="241">
        <v>1.408604</v>
      </c>
      <c r="BN151" s="241">
        <v>-2.4769999999999999</v>
      </c>
      <c r="BO151" s="241">
        <v>1.1200000000000001</v>
      </c>
      <c r="BP151" s="241">
        <v>-2.3429000000000002</v>
      </c>
      <c r="BQ151" s="241">
        <v>0.22</v>
      </c>
      <c r="BR151" s="241">
        <v>-5.0680459999999998</v>
      </c>
      <c r="BS151" s="241" t="e">
        <v>#N/A</v>
      </c>
      <c r="BT151" s="241" t="e">
        <v>#N/A</v>
      </c>
      <c r="BU151" s="241" t="e">
        <v>#N/A</v>
      </c>
      <c r="BV151" s="241" t="e">
        <v>#N/A</v>
      </c>
      <c r="BW151" s="230"/>
      <c r="BX151" s="232">
        <v>315.89499999999998</v>
      </c>
      <c r="BY151" s="232">
        <v>-732.00300000000004</v>
      </c>
      <c r="BZ151" s="232">
        <v>184.6</v>
      </c>
      <c r="CA151" s="232">
        <v>-525.42100000000005</v>
      </c>
      <c r="CB151" s="232">
        <v>49.947899999999983</v>
      </c>
      <c r="CC151" s="232">
        <v>-1136.5650000000001</v>
      </c>
      <c r="CD151" s="232" t="e">
        <v>#N/A</v>
      </c>
      <c r="CE151" s="232" t="e">
        <v>#N/A</v>
      </c>
      <c r="CF151" s="232" t="e">
        <v>#N/A</v>
      </c>
      <c r="CG151" s="232" t="e">
        <v>#N/A</v>
      </c>
      <c r="CH151" s="230"/>
      <c r="CI151" s="232">
        <v>2197.02</v>
      </c>
      <c r="CJ151" s="232">
        <v>1090.4099999999999</v>
      </c>
      <c r="CK151" s="232">
        <v>1585.4</v>
      </c>
      <c r="CL151" s="232">
        <v>530.07000000000005</v>
      </c>
      <c r="CM151" s="232">
        <v>1515.53</v>
      </c>
      <c r="CN151" s="232">
        <v>-295.59000000000003</v>
      </c>
      <c r="CO151" s="232" t="e">
        <v>#N/A</v>
      </c>
      <c r="CP151" s="232" t="e">
        <v>#N/A</v>
      </c>
      <c r="CQ151" s="232" t="e">
        <v>#N/A</v>
      </c>
      <c r="CR151" s="232" t="e">
        <v>#N/A</v>
      </c>
      <c r="CS151" s="230"/>
      <c r="CT151" s="232">
        <v>23663.79</v>
      </c>
      <c r="CU151" s="232">
        <v>15432.97</v>
      </c>
      <c r="CV151" s="232">
        <v>16688.32</v>
      </c>
      <c r="CW151" s="232">
        <v>15236.69</v>
      </c>
      <c r="CX151" s="232">
        <v>16840.86</v>
      </c>
      <c r="CY151" s="232">
        <v>16699.740000000002</v>
      </c>
      <c r="CZ151" s="232" t="e">
        <v>#N/A</v>
      </c>
      <c r="DA151" s="232" t="e">
        <v>#N/A</v>
      </c>
      <c r="DB151" s="232" t="e">
        <v>#N/A</v>
      </c>
      <c r="DC151" s="232" t="e">
        <v>#N/A</v>
      </c>
      <c r="DD151" s="230"/>
      <c r="DE151" s="232" t="e">
        <v>#N/A</v>
      </c>
      <c r="DF151" s="232" t="e">
        <v>#N/A</v>
      </c>
      <c r="DG151" s="232">
        <v>7.21</v>
      </c>
      <c r="DH151" s="230"/>
      <c r="DI151" s="230"/>
      <c r="DJ151" s="172" t="s">
        <v>277</v>
      </c>
    </row>
    <row r="152" spans="1:114" x14ac:dyDescent="0.25">
      <c r="A152" s="245" t="s">
        <v>850</v>
      </c>
      <c r="B152" s="242" t="s">
        <v>915</v>
      </c>
      <c r="C152" s="227" t="s">
        <v>916</v>
      </c>
      <c r="D152" s="228" t="str">
        <f t="shared" si="1"/>
        <v>SUPRIYA IN Equity</v>
      </c>
      <c r="E152" s="229" t="s">
        <v>916</v>
      </c>
      <c r="F152" s="230"/>
      <c r="G152" s="231">
        <v>678.12687614124263</v>
      </c>
      <c r="H152" s="232">
        <v>60869.140657543947</v>
      </c>
      <c r="I152" s="230"/>
      <c r="J152" s="231">
        <v>669.50195780124261</v>
      </c>
      <c r="K152" s="232">
        <v>60131.400657543949</v>
      </c>
      <c r="L152" s="230"/>
      <c r="M152" s="233">
        <v>32.383663209938661</v>
      </c>
      <c r="N152" s="233">
        <v>30.373493485661399</v>
      </c>
      <c r="O152" s="233">
        <v>23.056872290044303</v>
      </c>
      <c r="P152" s="233" t="e">
        <v>#N/A</v>
      </c>
      <c r="Q152" s="230"/>
      <c r="R152" s="234">
        <v>6.1067058995749166</v>
      </c>
      <c r="S152" s="234">
        <v>6.1152275694007203</v>
      </c>
      <c r="T152" s="230"/>
      <c r="U152" s="234">
        <v>0.20744957712125031</v>
      </c>
      <c r="V152" s="234">
        <v>0.16800000000000001</v>
      </c>
      <c r="W152" s="234">
        <v>0.20779378712518282</v>
      </c>
      <c r="X152" s="234">
        <v>0.21844122282896056</v>
      </c>
      <c r="Y152" s="234">
        <v>0.19399198390274294</v>
      </c>
      <c r="Z152" s="234">
        <v>0.25645794354130957</v>
      </c>
      <c r="AA152" s="234">
        <v>0.18032931413738609</v>
      </c>
      <c r="AB152" s="234">
        <v>0.20760708362215893</v>
      </c>
      <c r="AC152" s="230"/>
      <c r="AD152" s="232">
        <v>-791.54</v>
      </c>
      <c r="AE152" s="232">
        <v>-791.54</v>
      </c>
      <c r="AF152" s="232">
        <v>0</v>
      </c>
      <c r="AG152" s="232">
        <v>-632.41</v>
      </c>
      <c r="AH152" s="235">
        <v>-1423.95</v>
      </c>
      <c r="AI152" s="230"/>
      <c r="AJ152" s="232">
        <v>3.23</v>
      </c>
      <c r="AK152" s="232">
        <v>50.57</v>
      </c>
      <c r="AL152" s="235">
        <v>53.8</v>
      </c>
      <c r="AM152" s="230"/>
      <c r="AN152" s="231">
        <v>-8.6249183400000007</v>
      </c>
      <c r="AO152" s="232">
        <v>-737.74</v>
      </c>
      <c r="AP152" s="236">
        <v>-0.28288010552309084</v>
      </c>
      <c r="AQ152" s="230"/>
      <c r="AR152" s="237">
        <v>80.482799999999997</v>
      </c>
      <c r="AS152" s="237">
        <v>80.482799999999997</v>
      </c>
      <c r="AT152" s="237">
        <v>80.482799999999997</v>
      </c>
      <c r="AU152" s="230"/>
      <c r="AV152" s="234">
        <v>6.8300000000000001E-3</v>
      </c>
      <c r="AW152" s="234">
        <v>0.12203441348066893</v>
      </c>
      <c r="AX152" s="234">
        <v>5.4600000000000004E-4</v>
      </c>
      <c r="AY152" s="234">
        <v>0.29576703345311051</v>
      </c>
      <c r="AZ152" s="230"/>
      <c r="BA152" s="232">
        <v>0</v>
      </c>
      <c r="BB152" s="230"/>
      <c r="BC152" s="232" t="e">
        <v>#N/A</v>
      </c>
      <c r="BD152" s="232">
        <v>64.39</v>
      </c>
      <c r="BE152" s="230"/>
      <c r="BF152" s="238">
        <v>0.10491680000000002</v>
      </c>
      <c r="BG152" s="238">
        <v>0.10881229999999997</v>
      </c>
      <c r="BH152" s="238">
        <v>0.22756713333333342</v>
      </c>
      <c r="BI152" s="230"/>
      <c r="BJ152" s="239">
        <v>8.4257366311962638</v>
      </c>
      <c r="BK152" s="240">
        <v>756.29998779296875</v>
      </c>
      <c r="BL152" s="230"/>
      <c r="BM152" s="241">
        <v>10.029999999999999</v>
      </c>
      <c r="BN152" s="241">
        <v>16.89</v>
      </c>
      <c r="BO152" s="241">
        <v>18.861999999999998</v>
      </c>
      <c r="BP152" s="241">
        <v>11.16</v>
      </c>
      <c r="BQ152" s="241">
        <v>14.8</v>
      </c>
      <c r="BR152" s="241">
        <v>23.35</v>
      </c>
      <c r="BS152" s="241">
        <v>24.9</v>
      </c>
      <c r="BT152" s="241">
        <v>30.5</v>
      </c>
      <c r="BU152" s="241">
        <v>39.799999999999997</v>
      </c>
      <c r="BV152" s="241" t="e">
        <v>#N/A</v>
      </c>
      <c r="BW152" s="230"/>
      <c r="BX152" s="232">
        <v>730.41099999999994</v>
      </c>
      <c r="BY152" s="232">
        <v>1235.93</v>
      </c>
      <c r="BZ152" s="232">
        <v>1518.0999999999997</v>
      </c>
      <c r="CA152" s="232">
        <v>898.57</v>
      </c>
      <c r="CB152" s="232">
        <v>1191.1400000000001</v>
      </c>
      <c r="CC152" s="232">
        <v>1879.6248992000001</v>
      </c>
      <c r="CD152" s="232" t="e">
        <v>#N/A</v>
      </c>
      <c r="CE152" s="232" t="e">
        <v>#N/A</v>
      </c>
      <c r="CF152" s="232" t="e">
        <v>#N/A</v>
      </c>
      <c r="CG152" s="232" t="e">
        <v>#N/A</v>
      </c>
      <c r="CH152" s="230"/>
      <c r="CI152" s="232">
        <v>983.83</v>
      </c>
      <c r="CJ152" s="232">
        <v>1731.4499999999998</v>
      </c>
      <c r="CK152" s="232">
        <v>2139.84</v>
      </c>
      <c r="CL152" s="232">
        <v>1288.8800000000001</v>
      </c>
      <c r="CM152" s="232">
        <v>1729.7600000000002</v>
      </c>
      <c r="CN152" s="232">
        <v>2607.96</v>
      </c>
      <c r="CO152" s="232">
        <v>2800</v>
      </c>
      <c r="CP152" s="232">
        <v>3410</v>
      </c>
      <c r="CQ152" s="232">
        <v>4388</v>
      </c>
      <c r="CR152" s="232" t="e">
        <v>#N/A</v>
      </c>
      <c r="CS152" s="230"/>
      <c r="CT152" s="232">
        <v>3116.45</v>
      </c>
      <c r="CU152" s="232">
        <v>3912.17</v>
      </c>
      <c r="CV152" s="232">
        <v>5300.48</v>
      </c>
      <c r="CW152" s="232">
        <v>4609.38</v>
      </c>
      <c r="CX152" s="232">
        <v>5703.7</v>
      </c>
      <c r="CY152" s="232">
        <v>6964.85</v>
      </c>
      <c r="CZ152" s="232">
        <v>8358</v>
      </c>
      <c r="DA152" s="232">
        <v>10029</v>
      </c>
      <c r="DB152" s="232">
        <v>12537</v>
      </c>
      <c r="DC152" s="232" t="e">
        <v>#N/A</v>
      </c>
      <c r="DD152" s="230"/>
      <c r="DE152" s="232" t="e">
        <v>#N/A</v>
      </c>
      <c r="DF152" s="232">
        <v>0</v>
      </c>
      <c r="DG152" s="232">
        <v>0</v>
      </c>
      <c r="DH152" s="230"/>
      <c r="DI152" s="230"/>
      <c r="DJ152" s="172" t="s">
        <v>277</v>
      </c>
    </row>
    <row r="153" spans="1:114" x14ac:dyDescent="0.25">
      <c r="A153" s="245" t="s">
        <v>850</v>
      </c>
      <c r="B153" s="226" t="s">
        <v>917</v>
      </c>
      <c r="C153" s="227" t="s">
        <v>918</v>
      </c>
      <c r="D153" s="228" t="str">
        <f t="shared" si="1"/>
        <v>BLUEJET IN Equity</v>
      </c>
      <c r="E153" s="229" t="s">
        <v>918</v>
      </c>
      <c r="F153" s="230"/>
      <c r="G153" s="231">
        <v>1040.668523054311</v>
      </c>
      <c r="H153" s="232">
        <v>93411.131362499989</v>
      </c>
      <c r="I153" s="230"/>
      <c r="J153" s="231">
        <v>1007.1745095143111</v>
      </c>
      <c r="K153" s="232">
        <v>90546.191362499987</v>
      </c>
      <c r="L153" s="230"/>
      <c r="M153" s="233">
        <v>30.613985218874362</v>
      </c>
      <c r="N153" s="233">
        <v>29.949944382647384</v>
      </c>
      <c r="O153" s="233">
        <v>23.971141122627273</v>
      </c>
      <c r="P153" s="233">
        <v>23.591637767612077</v>
      </c>
      <c r="Q153" s="230"/>
      <c r="R153" s="234" t="e">
        <v>#N/A</v>
      </c>
      <c r="S153" s="234" t="e">
        <v>#N/A</v>
      </c>
      <c r="T153" s="230"/>
      <c r="U153" s="234">
        <v>0.72218252202966327</v>
      </c>
      <c r="V153" s="234">
        <v>0.24757499999999999</v>
      </c>
      <c r="W153" s="234" t="e">
        <v>#N/A</v>
      </c>
      <c r="X153" s="234">
        <v>0.3119112157034053</v>
      </c>
      <c r="Y153" s="234">
        <v>0.4773651332993189</v>
      </c>
      <c r="Z153" s="234">
        <v>0.6351756151404806</v>
      </c>
      <c r="AA153" s="234">
        <v>0.24396538756872435</v>
      </c>
      <c r="AB153" s="234" t="e">
        <v>#N/A</v>
      </c>
      <c r="AC153" s="230"/>
      <c r="AD153" s="232">
        <v>-1197.8800000000001</v>
      </c>
      <c r="AE153" s="232">
        <v>-3064.8</v>
      </c>
      <c r="AF153" s="232">
        <v>-1866.92</v>
      </c>
      <c r="AG153" s="232">
        <v>0</v>
      </c>
      <c r="AH153" s="235">
        <v>-3064.8</v>
      </c>
      <c r="AI153" s="230"/>
      <c r="AJ153" s="232">
        <v>34.6</v>
      </c>
      <c r="AK153" s="232">
        <v>165.26</v>
      </c>
      <c r="AL153" s="235">
        <v>199.86</v>
      </c>
      <c r="AM153" s="230"/>
      <c r="AN153" s="231">
        <v>-33.494013539999997</v>
      </c>
      <c r="AO153" s="232">
        <v>-2864.94</v>
      </c>
      <c r="AP153" s="236">
        <v>-0.75846239377333025</v>
      </c>
      <c r="AQ153" s="230"/>
      <c r="AR153" s="237">
        <v>173.46542499999998</v>
      </c>
      <c r="AS153" s="237">
        <v>173.465</v>
      </c>
      <c r="AT153" s="237">
        <v>173.465</v>
      </c>
      <c r="AU153" s="230"/>
      <c r="AV153" s="234">
        <v>7.9810000000000002E-3</v>
      </c>
      <c r="AW153" s="234">
        <v>0.10942507531475142</v>
      </c>
      <c r="AX153" s="234">
        <v>1.83E-4</v>
      </c>
      <c r="AY153" s="234">
        <v>0.20188287665971477</v>
      </c>
      <c r="AZ153" s="230"/>
      <c r="BA153" s="232">
        <v>0</v>
      </c>
      <c r="BB153" s="230"/>
      <c r="BC153" s="232" t="e">
        <v>#N/A</v>
      </c>
      <c r="BD153" s="232">
        <v>0</v>
      </c>
      <c r="BE153" s="230"/>
      <c r="BF153" s="238">
        <v>0.48178719999999992</v>
      </c>
      <c r="BG153" s="238">
        <v>0.34813800000000006</v>
      </c>
      <c r="BH153" s="238">
        <v>0.35000360000000025</v>
      </c>
      <c r="BI153" s="230"/>
      <c r="BJ153" s="239">
        <v>5.9992850048031832</v>
      </c>
      <c r="BK153" s="240">
        <v>538.5</v>
      </c>
      <c r="BL153" s="230"/>
      <c r="BM153" s="241" t="e">
        <v>#N/A</v>
      </c>
      <c r="BN153" s="241" t="e">
        <v>#N/A</v>
      </c>
      <c r="BO153" s="241">
        <v>10.468830000000001</v>
      </c>
      <c r="BP153" s="241">
        <v>9.23</v>
      </c>
      <c r="BQ153" s="241">
        <v>9.44</v>
      </c>
      <c r="BR153" s="241">
        <v>17.59</v>
      </c>
      <c r="BS153" s="241">
        <v>17.98</v>
      </c>
      <c r="BT153" s="241">
        <v>22.740000000000002</v>
      </c>
      <c r="BU153" s="241">
        <v>26.152000000000005</v>
      </c>
      <c r="BV153" s="241" t="e">
        <v>#N/A</v>
      </c>
      <c r="BW153" s="230"/>
      <c r="BX153" s="232" t="e">
        <v>#N/A</v>
      </c>
      <c r="BY153" s="232" t="e">
        <v>#N/A</v>
      </c>
      <c r="BZ153" s="232">
        <v>1815.7070000000001</v>
      </c>
      <c r="CA153" s="232">
        <v>1594.894</v>
      </c>
      <c r="CB153" s="232">
        <v>1637.51</v>
      </c>
      <c r="CC153" s="232">
        <v>3052.03</v>
      </c>
      <c r="CD153" s="232">
        <v>3079.2243022146886</v>
      </c>
      <c r="CE153" s="232">
        <v>3668.7596412213065</v>
      </c>
      <c r="CF153" s="232">
        <v>4208.7670462695714</v>
      </c>
      <c r="CG153" s="232" t="e">
        <v>#N/A</v>
      </c>
      <c r="CH153" s="230"/>
      <c r="CI153" s="232" t="e">
        <v>#N/A</v>
      </c>
      <c r="CJ153" s="232" t="e">
        <v>#N/A</v>
      </c>
      <c r="CK153" s="232">
        <v>2492.64</v>
      </c>
      <c r="CL153" s="232">
        <v>2190.88</v>
      </c>
      <c r="CM153" s="232">
        <v>2292.3000000000002</v>
      </c>
      <c r="CN153" s="232">
        <v>3777.2999999999997</v>
      </c>
      <c r="CO153" s="232">
        <v>3962.125</v>
      </c>
      <c r="CP153" s="232">
        <v>4820.375</v>
      </c>
      <c r="CQ153" s="232">
        <v>5472.1666666666697</v>
      </c>
      <c r="CR153" s="232" t="e">
        <v>#N/A</v>
      </c>
      <c r="CS153" s="230"/>
      <c r="CT153" s="232" t="e">
        <v>#N/A</v>
      </c>
      <c r="CU153" s="232" t="e">
        <v>#N/A</v>
      </c>
      <c r="CV153" s="232">
        <v>6767.8</v>
      </c>
      <c r="CW153" s="232">
        <v>7184.81</v>
      </c>
      <c r="CX153" s="232">
        <v>7084.13</v>
      </c>
      <c r="CY153" s="232">
        <v>10247.290000000001</v>
      </c>
      <c r="CZ153" s="232">
        <v>11260.25</v>
      </c>
      <c r="DA153" s="232">
        <v>13417.625</v>
      </c>
      <c r="DB153" s="232">
        <v>15124.666666666666</v>
      </c>
      <c r="DC153" s="232">
        <v>27122</v>
      </c>
      <c r="DD153" s="230"/>
      <c r="DE153" s="232" t="e">
        <v>#N/A</v>
      </c>
      <c r="DF153" s="232">
        <v>0</v>
      </c>
      <c r="DG153" s="232">
        <v>0</v>
      </c>
      <c r="DH153" s="230"/>
      <c r="DI153" s="230"/>
      <c r="DJ153" s="172" t="s">
        <v>277</v>
      </c>
    </row>
    <row r="154" spans="1:114" x14ac:dyDescent="0.25">
      <c r="A154" s="245" t="s">
        <v>850</v>
      </c>
      <c r="B154" s="226" t="s">
        <v>919</v>
      </c>
      <c r="C154" s="227" t="s">
        <v>920</v>
      </c>
      <c r="D154" s="228" t="str">
        <f t="shared" si="1"/>
        <v>SLPA IN Equity</v>
      </c>
      <c r="E154" s="229" t="s">
        <v>921</v>
      </c>
      <c r="F154" s="230"/>
      <c r="G154" s="231">
        <v>694.64122991801287</v>
      </c>
      <c r="H154" s="232">
        <v>62351.480553326663</v>
      </c>
      <c r="I154" s="230"/>
      <c r="J154" s="231">
        <v>759.32095088501285</v>
      </c>
      <c r="K154" s="232">
        <v>67883.917553326653</v>
      </c>
      <c r="L154" s="230"/>
      <c r="M154" s="233">
        <v>77.713011248390515</v>
      </c>
      <c r="N154" s="233">
        <v>26.566665649414063</v>
      </c>
      <c r="O154" s="233">
        <v>21.410993081988416</v>
      </c>
      <c r="P154" s="233" t="e">
        <v>#N/A</v>
      </c>
      <c r="Q154" s="230"/>
      <c r="R154" s="234">
        <v>2.6283839667465956</v>
      </c>
      <c r="S154" s="234">
        <v>3.4494287688540766</v>
      </c>
      <c r="T154" s="230"/>
      <c r="U154" s="234">
        <v>3.838048970199337E-2</v>
      </c>
      <c r="V154" s="234">
        <v>8.8499999999999995E-2</v>
      </c>
      <c r="W154" s="234">
        <v>5.0368136354637084E-2</v>
      </c>
      <c r="X154" s="234">
        <v>4.9803471630968807E-2</v>
      </c>
      <c r="Y154" s="234">
        <v>4.4276700859653947E-2</v>
      </c>
      <c r="Z154" s="234">
        <v>6.917900512362618E-2</v>
      </c>
      <c r="AA154" s="234">
        <v>4.1167910864768321E-2</v>
      </c>
      <c r="AB154" s="234">
        <v>3.2905508010143372E-2</v>
      </c>
      <c r="AC154" s="230"/>
      <c r="AD154" s="232">
        <v>-259.68299999999999</v>
      </c>
      <c r="AE154" s="232">
        <v>-259.68299999999999</v>
      </c>
      <c r="AF154" s="232">
        <v>0</v>
      </c>
      <c r="AG154" s="232">
        <v>-345.39400000000001</v>
      </c>
      <c r="AH154" s="235">
        <v>-605.077</v>
      </c>
      <c r="AI154" s="230"/>
      <c r="AJ154" s="232">
        <v>3545.4180000000001</v>
      </c>
      <c r="AK154" s="232">
        <v>2332.0500000000002</v>
      </c>
      <c r="AL154" s="235">
        <v>5877.4679999999998</v>
      </c>
      <c r="AM154" s="230"/>
      <c r="AN154" s="231">
        <v>65.677524435000009</v>
      </c>
      <c r="AO154" s="232">
        <v>5617.7850000000008</v>
      </c>
      <c r="AP154" s="236">
        <v>1.7718829452735945</v>
      </c>
      <c r="AQ154" s="230"/>
      <c r="AR154" s="237">
        <v>195.581816</v>
      </c>
      <c r="AS154" s="237">
        <v>195.58199999999999</v>
      </c>
      <c r="AT154" s="237">
        <v>195.58199999999999</v>
      </c>
      <c r="AU154" s="230"/>
      <c r="AV154" s="234">
        <v>4.4229999999999998E-3</v>
      </c>
      <c r="AW154" s="234">
        <v>0.15611778494253811</v>
      </c>
      <c r="AX154" s="234">
        <v>1.0920000000000001E-3</v>
      </c>
      <c r="AY154" s="234">
        <v>0.74622915353235098</v>
      </c>
      <c r="AZ154" s="230"/>
      <c r="BA154" s="232">
        <v>-85.347999999999999</v>
      </c>
      <c r="BB154" s="230"/>
      <c r="BC154" s="232" t="e">
        <v>#N/A</v>
      </c>
      <c r="BD154" s="232">
        <v>0</v>
      </c>
      <c r="BE154" s="230"/>
      <c r="BF154" s="238">
        <v>0.19812840000000012</v>
      </c>
      <c r="BG154" s="238">
        <v>0.25495810000000008</v>
      </c>
      <c r="BH154" s="238">
        <v>0.28621123333333326</v>
      </c>
      <c r="BI154" s="230"/>
      <c r="BJ154" s="239">
        <v>3.5516657127164257</v>
      </c>
      <c r="BK154" s="240">
        <v>318.79998779296875</v>
      </c>
      <c r="BL154" s="230"/>
      <c r="BM154" s="241">
        <v>9.4789999999999992</v>
      </c>
      <c r="BN154" s="241">
        <v>6.4245000000000001</v>
      </c>
      <c r="BO154" s="241">
        <v>3.63</v>
      </c>
      <c r="BP154" s="241">
        <v>-1.8705000000000001</v>
      </c>
      <c r="BQ154" s="241">
        <v>2.1892225000000001</v>
      </c>
      <c r="BR154" s="241">
        <v>4.0199999999999996</v>
      </c>
      <c r="BS154" s="241">
        <v>12</v>
      </c>
      <c r="BT154" s="241">
        <v>20</v>
      </c>
      <c r="BU154" s="241">
        <v>30</v>
      </c>
      <c r="BV154" s="241" t="e">
        <v>#N/A</v>
      </c>
      <c r="BW154" s="230"/>
      <c r="BX154" s="232">
        <v>1561.4381000000001</v>
      </c>
      <c r="BY154" s="232">
        <v>1481.8406</v>
      </c>
      <c r="BZ154" s="232">
        <v>617.83939999999996</v>
      </c>
      <c r="CA154" s="232">
        <v>-323.47840000000002</v>
      </c>
      <c r="CB154" s="232">
        <v>314.93779999999998</v>
      </c>
      <c r="CC154" s="232">
        <v>802.33079999999995</v>
      </c>
      <c r="CD154" s="232" t="e">
        <v>#N/A</v>
      </c>
      <c r="CE154" s="232" t="e">
        <v>#N/A</v>
      </c>
      <c r="CF154" s="232" t="e">
        <v>#N/A</v>
      </c>
      <c r="CG154" s="232" t="e">
        <v>#N/A</v>
      </c>
      <c r="CH154" s="230"/>
      <c r="CI154" s="232">
        <v>2197.98</v>
      </c>
      <c r="CJ154" s="232">
        <v>1816.5150000000001</v>
      </c>
      <c r="CK154" s="232">
        <v>2038.557</v>
      </c>
      <c r="CL154" s="232">
        <v>1022.817</v>
      </c>
      <c r="CM154" s="232">
        <v>2444.915</v>
      </c>
      <c r="CN154" s="232">
        <v>3170.5169999999998</v>
      </c>
      <c r="CO154" s="232">
        <v>4874.5</v>
      </c>
      <c r="CP154" s="232">
        <v>6336.5</v>
      </c>
      <c r="CQ154" s="232">
        <v>8531</v>
      </c>
      <c r="CR154" s="232" t="e">
        <v>#N/A</v>
      </c>
      <c r="CS154" s="230"/>
      <c r="CT154" s="232">
        <v>9079.098</v>
      </c>
      <c r="CU154" s="232">
        <v>9011.3009999999995</v>
      </c>
      <c r="CV154" s="232">
        <v>11455.227999999999</v>
      </c>
      <c r="CW154" s="232">
        <v>10501.124</v>
      </c>
      <c r="CX154" s="232">
        <v>11516.03</v>
      </c>
      <c r="CY154" s="232">
        <v>12864.14</v>
      </c>
      <c r="CZ154" s="232">
        <v>15748</v>
      </c>
      <c r="DA154" s="232">
        <v>18727.5</v>
      </c>
      <c r="DB154" s="232">
        <v>24383</v>
      </c>
      <c r="DC154" s="232" t="e">
        <v>#N/A</v>
      </c>
      <c r="DD154" s="230"/>
      <c r="DE154" s="232" t="e">
        <v>#N/A</v>
      </c>
      <c r="DF154" s="232">
        <v>0</v>
      </c>
      <c r="DG154" s="232">
        <v>0</v>
      </c>
      <c r="DH154" s="230"/>
      <c r="DI154" s="230"/>
      <c r="DJ154" s="172" t="s">
        <v>277</v>
      </c>
    </row>
    <row r="155" spans="1:114" x14ac:dyDescent="0.25">
      <c r="A155" s="245" t="s">
        <v>850</v>
      </c>
      <c r="B155" s="226" t="s">
        <v>922</v>
      </c>
      <c r="C155" s="227" t="s">
        <v>923</v>
      </c>
      <c r="D155" s="228" t="str">
        <f t="shared" si="1"/>
        <v>HKCI IN Equity</v>
      </c>
      <c r="E155" s="229" t="s">
        <v>924</v>
      </c>
      <c r="F155" s="230"/>
      <c r="G155" s="231">
        <v>327.13731102792548</v>
      </c>
      <c r="H155" s="232">
        <v>29364.072859931948</v>
      </c>
      <c r="I155" s="230"/>
      <c r="J155" s="231">
        <v>414.43400802792547</v>
      </c>
      <c r="K155" s="232">
        <v>36831.072859931948</v>
      </c>
      <c r="L155" s="230"/>
      <c r="M155" s="233">
        <v>32.522911329347146</v>
      </c>
      <c r="N155" s="233">
        <v>119.07499694824219</v>
      </c>
      <c r="O155" s="233">
        <v>11.215308422634575</v>
      </c>
      <c r="P155" s="233" t="e">
        <v>#N/A</v>
      </c>
      <c r="Q155" s="230"/>
      <c r="R155" s="234">
        <v>2.3262356698036872</v>
      </c>
      <c r="S155" s="234">
        <v>2.3406993112739696</v>
      </c>
      <c r="T155" s="230"/>
      <c r="U155" s="234">
        <v>7.3824236385803696E-2</v>
      </c>
      <c r="V155" s="234">
        <v>1.9E-2</v>
      </c>
      <c r="W155" s="234">
        <v>7.467068419070301E-2</v>
      </c>
      <c r="X155" s="234">
        <v>8.5567344059284789E-2</v>
      </c>
      <c r="Y155" s="234">
        <v>7.0101040306281989E-2</v>
      </c>
      <c r="Z155" s="234">
        <v>9.3604722696009016E-2</v>
      </c>
      <c r="AA155" s="234">
        <v>7.0880575956624225E-2</v>
      </c>
      <c r="AB155" s="234">
        <v>7.1484452637169446E-2</v>
      </c>
      <c r="AC155" s="230"/>
      <c r="AD155" s="232">
        <v>-180</v>
      </c>
      <c r="AE155" s="232">
        <v>-180</v>
      </c>
      <c r="AF155" s="232">
        <v>0</v>
      </c>
      <c r="AG155" s="232">
        <v>-98</v>
      </c>
      <c r="AH155" s="235">
        <v>-278</v>
      </c>
      <c r="AI155" s="230"/>
      <c r="AJ155" s="232">
        <v>3951</v>
      </c>
      <c r="AK155" s="232">
        <v>3696</v>
      </c>
      <c r="AL155" s="235">
        <v>7647</v>
      </c>
      <c r="AM155" s="230"/>
      <c r="AN155" s="231">
        <v>87.296696999999995</v>
      </c>
      <c r="AO155" s="232">
        <v>7467</v>
      </c>
      <c r="AP155" s="236">
        <v>2.2737515225334959</v>
      </c>
      <c r="AQ155" s="230"/>
      <c r="AR155" s="237">
        <v>123.30075000000001</v>
      </c>
      <c r="AS155" s="237">
        <v>123.5</v>
      </c>
      <c r="AT155" s="237">
        <v>123.5</v>
      </c>
      <c r="AU155" s="230"/>
      <c r="AV155" s="234">
        <v>6.8849999999999996E-3</v>
      </c>
      <c r="AW155" s="234">
        <v>0.59416120998136635</v>
      </c>
      <c r="AX155" s="234">
        <v>4.2299999999999998E-4</v>
      </c>
      <c r="AY155" s="234">
        <v>0.5566868003641503</v>
      </c>
      <c r="AZ155" s="230"/>
      <c r="BA155" s="232">
        <v>0</v>
      </c>
      <c r="BB155" s="230"/>
      <c r="BC155" s="232" t="e">
        <v>#N/A</v>
      </c>
      <c r="BD155" s="232">
        <v>148</v>
      </c>
      <c r="BE155" s="230"/>
      <c r="BF155" s="238">
        <v>0.32236819999999988</v>
      </c>
      <c r="BG155" s="238">
        <v>1.7822819999999995</v>
      </c>
      <c r="BH155" s="238">
        <v>3.2590238999999976</v>
      </c>
      <c r="BI155" s="230"/>
      <c r="BJ155" s="239">
        <v>2.6531656216845838</v>
      </c>
      <c r="BK155" s="240">
        <v>238.14999389648438</v>
      </c>
      <c r="BL155" s="230"/>
      <c r="BM155" s="241">
        <v>7.7220000000000004</v>
      </c>
      <c r="BN155" s="241">
        <v>10.8</v>
      </c>
      <c r="BO155" s="241">
        <v>13.02</v>
      </c>
      <c r="BP155" s="241">
        <v>6.36</v>
      </c>
      <c r="BQ155" s="241">
        <v>5.64</v>
      </c>
      <c r="BR155" s="241">
        <v>7.36</v>
      </c>
      <c r="BS155" s="241">
        <v>2</v>
      </c>
      <c r="BT155" s="241">
        <v>9.3000000000000007</v>
      </c>
      <c r="BU155" s="241" t="e">
        <v>#N/A</v>
      </c>
      <c r="BV155" s="241" t="e">
        <v>#N/A</v>
      </c>
      <c r="BW155" s="230"/>
      <c r="BX155" s="232">
        <v>945.42070999999999</v>
      </c>
      <c r="BY155" s="232">
        <v>1331.3219280000001</v>
      </c>
      <c r="BZ155" s="232">
        <v>1603.5532639999999</v>
      </c>
      <c r="CA155" s="232">
        <v>779.15574700000013</v>
      </c>
      <c r="CB155" s="232">
        <v>693.32344000000001</v>
      </c>
      <c r="CC155" s="232">
        <v>904.33249999999998</v>
      </c>
      <c r="CD155" s="232" t="e">
        <v>#N/A</v>
      </c>
      <c r="CE155" s="232" t="e">
        <v>#N/A</v>
      </c>
      <c r="CF155" s="232" t="e">
        <v>#N/A</v>
      </c>
      <c r="CG155" s="232" t="e">
        <v>#N/A</v>
      </c>
      <c r="CH155" s="230"/>
      <c r="CI155" s="232">
        <v>2731.58</v>
      </c>
      <c r="CJ155" s="232">
        <v>3228.8500000000004</v>
      </c>
      <c r="CK155" s="232">
        <v>3405.56</v>
      </c>
      <c r="CL155" s="232">
        <v>2570.69</v>
      </c>
      <c r="CM155" s="232">
        <v>2670.3199999999997</v>
      </c>
      <c r="CN155" s="232">
        <v>3284</v>
      </c>
      <c r="CO155" s="232">
        <v>2327</v>
      </c>
      <c r="CP155" s="232">
        <v>3835</v>
      </c>
      <c r="CQ155" s="232" t="e">
        <v>#N/A</v>
      </c>
      <c r="CR155" s="232" t="e">
        <v>#N/A</v>
      </c>
      <c r="CS155" s="230"/>
      <c r="CT155" s="232">
        <v>14621.31</v>
      </c>
      <c r="CU155" s="232">
        <v>17070.52</v>
      </c>
      <c r="CV155" s="232">
        <v>19260.3</v>
      </c>
      <c r="CW155" s="232">
        <v>20047.05</v>
      </c>
      <c r="CX155" s="232">
        <v>17686.57</v>
      </c>
      <c r="CY155" s="232">
        <v>18435</v>
      </c>
      <c r="CZ155" s="232" t="e">
        <v>#N/A</v>
      </c>
      <c r="DA155" s="232" t="e">
        <v>#N/A</v>
      </c>
      <c r="DB155" s="232" t="e">
        <v>#N/A</v>
      </c>
      <c r="DC155" s="232" t="e">
        <v>#N/A</v>
      </c>
      <c r="DD155" s="230"/>
      <c r="DE155" s="232" t="e">
        <v>#N/A</v>
      </c>
      <c r="DF155" s="232">
        <v>0</v>
      </c>
      <c r="DG155" s="232">
        <v>0</v>
      </c>
      <c r="DH155" s="230"/>
      <c r="DI155" s="230"/>
      <c r="DJ155" s="172" t="s">
        <v>277</v>
      </c>
    </row>
    <row r="156" spans="1:114" x14ac:dyDescent="0.25">
      <c r="A156" s="245" t="s">
        <v>850</v>
      </c>
      <c r="B156" s="226" t="s">
        <v>925</v>
      </c>
      <c r="C156" s="227" t="s">
        <v>926</v>
      </c>
      <c r="D156" s="228" t="str">
        <f t="shared" si="1"/>
        <v>WINDLAS IN Equity</v>
      </c>
      <c r="E156" s="229" t="s">
        <v>926</v>
      </c>
      <c r="F156" s="230"/>
      <c r="G156" s="231">
        <v>189.76185937211858</v>
      </c>
      <c r="H156" s="232">
        <v>17033.156649512814</v>
      </c>
      <c r="I156" s="230"/>
      <c r="J156" s="231">
        <v>165.5966792821186</v>
      </c>
      <c r="K156" s="232">
        <v>14966.166649512814</v>
      </c>
      <c r="L156" s="230"/>
      <c r="M156" s="233">
        <v>34.253539773529091</v>
      </c>
      <c r="N156" s="233" t="e">
        <v>#N/A</v>
      </c>
      <c r="O156" s="233">
        <v>15.903351131704138</v>
      </c>
      <c r="P156" s="233" t="e">
        <v>#N/A</v>
      </c>
      <c r="Q156" s="230"/>
      <c r="R156" s="234">
        <v>3.3394613101650683</v>
      </c>
      <c r="S156" s="234">
        <v>3.3848290973316404</v>
      </c>
      <c r="T156" s="230"/>
      <c r="U156" s="234">
        <v>0.104014300602276</v>
      </c>
      <c r="V156" s="234" t="e">
        <v>#N/A</v>
      </c>
      <c r="W156" s="234">
        <v>0.12916150058075451</v>
      </c>
      <c r="X156" s="234">
        <v>0.13727873633580939</v>
      </c>
      <c r="Y156" s="234">
        <v>0.1016267738139745</v>
      </c>
      <c r="Z156" s="234">
        <v>0.13262862300671949</v>
      </c>
      <c r="AA156" s="234">
        <v>9.4274919027698731E-2</v>
      </c>
      <c r="AB156" s="234">
        <v>0.12973505287024914</v>
      </c>
      <c r="AC156" s="230"/>
      <c r="AD156" s="232">
        <v>-159.27000000000001</v>
      </c>
      <c r="AE156" s="232">
        <v>-2392.96</v>
      </c>
      <c r="AF156" s="232">
        <v>-2233.69</v>
      </c>
      <c r="AG156" s="232">
        <v>0</v>
      </c>
      <c r="AH156" s="235">
        <v>-2392.96</v>
      </c>
      <c r="AI156" s="230"/>
      <c r="AJ156" s="232">
        <v>303.45999999999998</v>
      </c>
      <c r="AK156" s="232">
        <v>22.51</v>
      </c>
      <c r="AL156" s="235">
        <v>325.97000000000003</v>
      </c>
      <c r="AM156" s="230"/>
      <c r="AN156" s="231">
        <v>-24.165180090000003</v>
      </c>
      <c r="AO156" s="232">
        <v>-2066.9900000000002</v>
      </c>
      <c r="AP156" s="236">
        <v>-2.1964253456172234</v>
      </c>
      <c r="AQ156" s="230"/>
      <c r="AR156" s="237">
        <v>21.136882999999997</v>
      </c>
      <c r="AS156" s="237">
        <v>20.895025</v>
      </c>
      <c r="AT156" s="237">
        <v>21.127291</v>
      </c>
      <c r="AU156" s="230"/>
      <c r="AV156" s="234">
        <v>6.1989999999999996E-3</v>
      </c>
      <c r="AW156" s="234">
        <v>0.26063364865036748</v>
      </c>
      <c r="AX156" s="234">
        <v>1.11E-4</v>
      </c>
      <c r="AY156" s="234">
        <v>0.35707895057185113</v>
      </c>
      <c r="AZ156" s="230"/>
      <c r="BA156" s="232">
        <v>0</v>
      </c>
      <c r="BB156" s="230"/>
      <c r="BC156" s="232" t="e">
        <v>#N/A</v>
      </c>
      <c r="BD156" s="232">
        <v>114.95</v>
      </c>
      <c r="BE156" s="230"/>
      <c r="BF156" s="238">
        <v>4.3544799999999995E-2</v>
      </c>
      <c r="BG156" s="238">
        <v>5.0449900000000006E-2</v>
      </c>
      <c r="BH156" s="238">
        <v>4.8513733333333295E-2</v>
      </c>
      <c r="BI156" s="230"/>
      <c r="BJ156" s="239">
        <v>8.977759841511098</v>
      </c>
      <c r="BK156" s="240">
        <v>805.8499755859375</v>
      </c>
      <c r="BL156" s="230"/>
      <c r="BM156" s="241" t="e">
        <v>#N/A</v>
      </c>
      <c r="BN156" s="241" t="e">
        <v>#N/A</v>
      </c>
      <c r="BO156" s="241">
        <v>17.477</v>
      </c>
      <c r="BP156" s="241">
        <v>20.37</v>
      </c>
      <c r="BQ156" s="241">
        <v>27.88</v>
      </c>
      <c r="BR156" s="241">
        <v>23.526035</v>
      </c>
      <c r="BS156" s="241" t="e">
        <v>#N/A</v>
      </c>
      <c r="BT156" s="241" t="e">
        <v>#N/A</v>
      </c>
      <c r="BU156" s="241" t="e">
        <v>#N/A</v>
      </c>
      <c r="BV156" s="241" t="e">
        <v>#N/A</v>
      </c>
      <c r="BW156" s="230"/>
      <c r="BX156" s="232">
        <v>162.19300000000001</v>
      </c>
      <c r="BY156" s="232">
        <v>401.16800000000001</v>
      </c>
      <c r="BZ156" s="232">
        <v>380.82</v>
      </c>
      <c r="CA156" s="232">
        <v>420.12799999999999</v>
      </c>
      <c r="CB156" s="232">
        <v>581.82799999999997</v>
      </c>
      <c r="CC156" s="232">
        <v>497.036496</v>
      </c>
      <c r="CD156" s="232" t="e">
        <v>#N/A</v>
      </c>
      <c r="CE156" s="232" t="e">
        <v>#N/A</v>
      </c>
      <c r="CF156" s="232" t="e">
        <v>#N/A</v>
      </c>
      <c r="CG156" s="232" t="e">
        <v>#N/A</v>
      </c>
      <c r="CH156" s="230"/>
      <c r="CI156" s="232">
        <v>414.66</v>
      </c>
      <c r="CJ156" s="232">
        <v>330.75</v>
      </c>
      <c r="CK156" s="232">
        <v>524.23</v>
      </c>
      <c r="CL156" s="232">
        <v>602.26</v>
      </c>
      <c r="CM156" s="232">
        <v>781.72</v>
      </c>
      <c r="CN156" s="232">
        <v>941.07</v>
      </c>
      <c r="CO156" s="232" t="e">
        <v>#N/A</v>
      </c>
      <c r="CP156" s="232" t="e">
        <v>#N/A</v>
      </c>
      <c r="CQ156" s="232" t="e">
        <v>#N/A</v>
      </c>
      <c r="CR156" s="232" t="e">
        <v>#N/A</v>
      </c>
      <c r="CS156" s="230"/>
      <c r="CT156" s="232">
        <v>3284.3</v>
      </c>
      <c r="CU156" s="232">
        <v>4267.12</v>
      </c>
      <c r="CV156" s="232">
        <v>4633.7299999999996</v>
      </c>
      <c r="CW156" s="232">
        <v>5105.8100000000004</v>
      </c>
      <c r="CX156" s="232">
        <v>6288.85</v>
      </c>
      <c r="CY156" s="232">
        <v>7551.26</v>
      </c>
      <c r="CZ156" s="232" t="e">
        <v>#N/A</v>
      </c>
      <c r="DA156" s="232" t="e">
        <v>#N/A</v>
      </c>
      <c r="DB156" s="232" t="e">
        <v>#N/A</v>
      </c>
      <c r="DC156" s="232" t="e">
        <v>#N/A</v>
      </c>
      <c r="DD156" s="230"/>
      <c r="DE156" s="232" t="e">
        <v>#N/A</v>
      </c>
      <c r="DF156" s="232">
        <v>0</v>
      </c>
      <c r="DG156" s="232">
        <v>0</v>
      </c>
      <c r="DH156" s="230"/>
      <c r="DI156" s="230"/>
      <c r="DJ156" s="172" t="s">
        <v>277</v>
      </c>
    </row>
    <row r="157" spans="1:114" x14ac:dyDescent="0.25">
      <c r="A157" s="245" t="s">
        <v>850</v>
      </c>
      <c r="B157" s="226" t="s">
        <v>927</v>
      </c>
      <c r="C157" s="227" t="s">
        <v>928</v>
      </c>
      <c r="D157" s="228" t="str">
        <f t="shared" si="1"/>
        <v>CLPL IN Equity</v>
      </c>
      <c r="E157" s="229" t="s">
        <v>929</v>
      </c>
      <c r="F157" s="230"/>
      <c r="G157" s="231">
        <v>1668.331980713916</v>
      </c>
      <c r="H157" s="232">
        <v>149750.64043384569</v>
      </c>
      <c r="I157" s="230"/>
      <c r="J157" s="231">
        <v>1576.295752313916</v>
      </c>
      <c r="K157" s="232">
        <v>141878.2404338457</v>
      </c>
      <c r="L157" s="230"/>
      <c r="M157" s="233">
        <v>27.67210516622011</v>
      </c>
      <c r="N157" s="233">
        <v>24.035379938014689</v>
      </c>
      <c r="O157" s="233">
        <v>21.931003421366409</v>
      </c>
      <c r="P157" s="233">
        <v>20.762855568719147</v>
      </c>
      <c r="Q157" s="230"/>
      <c r="R157" s="234">
        <v>5.3946504185598849</v>
      </c>
      <c r="S157" s="234">
        <v>5.4250402278632386</v>
      </c>
      <c r="T157" s="230"/>
      <c r="U157" s="234">
        <v>0.21572919490376796</v>
      </c>
      <c r="V157" s="234">
        <v>0.19509999999999997</v>
      </c>
      <c r="W157" s="234">
        <v>0.21499828621940001</v>
      </c>
      <c r="X157" s="234">
        <v>0.23444465322399563</v>
      </c>
      <c r="Y157" s="234">
        <v>0.17778031033580646</v>
      </c>
      <c r="Z157" s="234">
        <v>0.22236256154995857</v>
      </c>
      <c r="AA157" s="234">
        <v>0.16434049921396954</v>
      </c>
      <c r="AB157" s="234">
        <v>0.20670076159422046</v>
      </c>
      <c r="AC157" s="230"/>
      <c r="AD157" s="232">
        <v>-5914.1</v>
      </c>
      <c r="AE157" s="232">
        <v>-9027.4</v>
      </c>
      <c r="AF157" s="232">
        <v>-3113.3</v>
      </c>
      <c r="AG157" s="232">
        <v>-2791.3</v>
      </c>
      <c r="AH157" s="235">
        <v>-11818.7</v>
      </c>
      <c r="AI157" s="230"/>
      <c r="AJ157" s="232">
        <v>21.1</v>
      </c>
      <c r="AK157" s="232">
        <v>29.1</v>
      </c>
      <c r="AL157" s="235">
        <v>50.2</v>
      </c>
      <c r="AM157" s="230"/>
      <c r="AN157" s="231">
        <v>-104.9524452</v>
      </c>
      <c r="AO157" s="232">
        <v>-8977.2000000000007</v>
      </c>
      <c r="AP157" s="236">
        <v>-1.3876617253798711</v>
      </c>
      <c r="AQ157" s="230"/>
      <c r="AR157" s="237">
        <v>76.011696000000001</v>
      </c>
      <c r="AS157" s="237">
        <v>76.011696000000001</v>
      </c>
      <c r="AT157" s="237">
        <v>76.011696000000001</v>
      </c>
      <c r="AU157" s="230"/>
      <c r="AV157" s="234">
        <v>7.0569999999999999E-3</v>
      </c>
      <c r="AW157" s="234">
        <v>0.27051447437044657</v>
      </c>
      <c r="AX157" s="234">
        <v>6.4799999999999992E-4</v>
      </c>
      <c r="AY157" s="234">
        <v>0.27404518115212168</v>
      </c>
      <c r="AZ157" s="230"/>
      <c r="BA157" s="232">
        <v>359</v>
      </c>
      <c r="BB157" s="230"/>
      <c r="BC157" s="232" t="e">
        <v>#N/A</v>
      </c>
      <c r="BD157" s="232">
        <v>379.9</v>
      </c>
      <c r="BE157" s="230"/>
      <c r="BF157" s="238">
        <v>3.7269799999999964E-2</v>
      </c>
      <c r="BG157" s="238">
        <v>3.6059699999999979E-2</v>
      </c>
      <c r="BH157" s="238">
        <v>5.0062733333333331E-2</v>
      </c>
      <c r="BI157" s="230"/>
      <c r="BJ157" s="239">
        <v>21.948358851431443</v>
      </c>
      <c r="BK157" s="240">
        <v>1970.0999755859375</v>
      </c>
      <c r="BL157" s="230"/>
      <c r="BM157" s="241">
        <v>28.434000000000001</v>
      </c>
      <c r="BN157" s="241">
        <v>32.03</v>
      </c>
      <c r="BO157" s="241">
        <v>39.61</v>
      </c>
      <c r="BP157" s="241">
        <v>49.62</v>
      </c>
      <c r="BQ157" s="241">
        <v>59.9</v>
      </c>
      <c r="BR157" s="241">
        <v>70.25</v>
      </c>
      <c r="BS157" s="241">
        <v>81.966666666666669</v>
      </c>
      <c r="BT157" s="241">
        <v>94.266666666666666</v>
      </c>
      <c r="BU157" s="241" t="e">
        <v>#N/A</v>
      </c>
      <c r="BV157" s="241" t="e">
        <v>#N/A</v>
      </c>
      <c r="BW157" s="230"/>
      <c r="BX157" s="232">
        <v>2111.8887</v>
      </c>
      <c r="BY157" s="232">
        <v>2412.9699999999998</v>
      </c>
      <c r="BZ157" s="232">
        <v>2992.24</v>
      </c>
      <c r="CA157" s="232">
        <v>3756.09</v>
      </c>
      <c r="CB157" s="232">
        <v>4555.1499999999996</v>
      </c>
      <c r="CC157" s="232">
        <v>5411.61</v>
      </c>
      <c r="CD157" s="232" t="e">
        <v>#N/A</v>
      </c>
      <c r="CE157" s="232" t="e">
        <v>#N/A</v>
      </c>
      <c r="CF157" s="232" t="e">
        <v>#N/A</v>
      </c>
      <c r="CG157" s="232" t="e">
        <v>#N/A</v>
      </c>
      <c r="CH157" s="230"/>
      <c r="CI157" s="232">
        <v>2600.5509999999999</v>
      </c>
      <c r="CJ157" s="232">
        <v>3286.3999999999996</v>
      </c>
      <c r="CK157" s="232">
        <v>3946.7</v>
      </c>
      <c r="CL157" s="232">
        <v>4410.5999999999995</v>
      </c>
      <c r="CM157" s="232">
        <v>5514.4</v>
      </c>
      <c r="CN157" s="232">
        <v>6469.3</v>
      </c>
      <c r="CO157" s="232">
        <v>7698</v>
      </c>
      <c r="CP157" s="232">
        <v>8863.3333333333303</v>
      </c>
      <c r="CQ157" s="232" t="e">
        <v>#N/A</v>
      </c>
      <c r="CR157" s="232" t="e">
        <v>#N/A</v>
      </c>
      <c r="CS157" s="230"/>
      <c r="CT157" s="232">
        <v>8445.1810000000005</v>
      </c>
      <c r="CU157" s="232">
        <v>10612.9</v>
      </c>
      <c r="CV157" s="232">
        <v>12694.1</v>
      </c>
      <c r="CW157" s="232">
        <v>14667.3</v>
      </c>
      <c r="CX157" s="232">
        <v>16941</v>
      </c>
      <c r="CY157" s="232">
        <v>19374.7</v>
      </c>
      <c r="CZ157" s="232">
        <v>21940</v>
      </c>
      <c r="DA157" s="232">
        <v>25296</v>
      </c>
      <c r="DB157" s="232" t="e">
        <v>#N/A</v>
      </c>
      <c r="DC157" s="232" t="e">
        <v>#N/A</v>
      </c>
      <c r="DD157" s="230"/>
      <c r="DE157" s="232" t="e">
        <v>#N/A</v>
      </c>
      <c r="DF157" s="232">
        <v>0</v>
      </c>
      <c r="DG157" s="232">
        <v>0</v>
      </c>
      <c r="DH157" s="230"/>
      <c r="DI157" s="230"/>
      <c r="DJ157" s="172" t="s">
        <v>277</v>
      </c>
    </row>
    <row r="158" spans="1:114" x14ac:dyDescent="0.25">
      <c r="A158" s="245" t="s">
        <v>850</v>
      </c>
      <c r="B158" s="226" t="s">
        <v>930</v>
      </c>
      <c r="C158" s="227" t="s">
        <v>931</v>
      </c>
      <c r="D158" s="228" t="str">
        <f t="shared" si="1"/>
        <v>KOP IN Equity</v>
      </c>
      <c r="E158" s="229" t="s">
        <v>932</v>
      </c>
      <c r="F158" s="230"/>
      <c r="G158" s="231">
        <v>80.453865162074919</v>
      </c>
      <c r="H158" s="232">
        <v>7221.594965915222</v>
      </c>
      <c r="I158" s="230"/>
      <c r="J158" s="231">
        <v>94.707918165074929</v>
      </c>
      <c r="K158" s="232">
        <v>8440.8279659152213</v>
      </c>
      <c r="L158" s="230"/>
      <c r="M158" s="233">
        <v>18.718397691939142</v>
      </c>
      <c r="N158" s="233" t="e">
        <v>#N/A</v>
      </c>
      <c r="O158" s="233">
        <v>11.578655067997657</v>
      </c>
      <c r="P158" s="233" t="e">
        <v>#N/A</v>
      </c>
      <c r="Q158" s="230"/>
      <c r="R158" s="234">
        <v>1.3931946026819484</v>
      </c>
      <c r="S158" s="234">
        <v>1.4627543791746584</v>
      </c>
      <c r="T158" s="230"/>
      <c r="U158" s="234">
        <v>7.6371178917759824E-2</v>
      </c>
      <c r="V158" s="234" t="e">
        <v>#N/A</v>
      </c>
      <c r="W158" s="234">
        <v>8.0038192218387413E-2</v>
      </c>
      <c r="X158" s="234">
        <v>8.7685119055998864E-2</v>
      </c>
      <c r="Y158" s="234">
        <v>6.8551036665811194E-2</v>
      </c>
      <c r="Z158" s="234">
        <v>9.237237031994687E-2</v>
      </c>
      <c r="AA158" s="234">
        <v>6.2479681839883658E-2</v>
      </c>
      <c r="AB158" s="234">
        <v>7.0472084117775433E-2</v>
      </c>
      <c r="AC158" s="230"/>
      <c r="AD158" s="232">
        <v>-258.64100000000002</v>
      </c>
      <c r="AE158" s="232">
        <v>-258.64100000000002</v>
      </c>
      <c r="AF158" s="232">
        <v>0</v>
      </c>
      <c r="AG158" s="232">
        <v>-0.04</v>
      </c>
      <c r="AH158" s="235">
        <v>-258.68100000000004</v>
      </c>
      <c r="AI158" s="230"/>
      <c r="AJ158" s="232">
        <v>1313.0440000000001</v>
      </c>
      <c r="AK158" s="232">
        <v>164.83</v>
      </c>
      <c r="AL158" s="235">
        <v>1477.874</v>
      </c>
      <c r="AM158" s="230"/>
      <c r="AN158" s="231">
        <v>14.254053003000001</v>
      </c>
      <c r="AO158" s="232">
        <v>1219.2329999999999</v>
      </c>
      <c r="AP158" s="236">
        <v>1.6724755452339444</v>
      </c>
      <c r="AQ158" s="230"/>
      <c r="AR158" s="237">
        <v>48.285604999999997</v>
      </c>
      <c r="AS158" s="237">
        <v>48.232999999999997</v>
      </c>
      <c r="AT158" s="237">
        <v>48.232999999999997</v>
      </c>
      <c r="AU158" s="230"/>
      <c r="AV158" s="234">
        <v>4.4419999999999998E-3</v>
      </c>
      <c r="AW158" s="234">
        <v>5.3050117215972907E-3</v>
      </c>
      <c r="AX158" s="234">
        <v>6.0000000000000002E-5</v>
      </c>
      <c r="AY158" s="234">
        <v>0.52563290860702683</v>
      </c>
      <c r="AZ158" s="230"/>
      <c r="BA158" s="232">
        <v>0</v>
      </c>
      <c r="BB158" s="230"/>
      <c r="BC158" s="232" t="e">
        <v>#N/A</v>
      </c>
      <c r="BD158" s="232">
        <v>144.63200000000001</v>
      </c>
      <c r="BE158" s="230"/>
      <c r="BF158" s="238">
        <v>2.1650536000000002</v>
      </c>
      <c r="BG158" s="238">
        <v>1.1314964000000003</v>
      </c>
      <c r="BH158" s="238">
        <v>0.58416563333333316</v>
      </c>
      <c r="BI158" s="230"/>
      <c r="BJ158" s="239">
        <v>1.6662080792417311</v>
      </c>
      <c r="BK158" s="240">
        <v>149.55999755859375</v>
      </c>
      <c r="BL158" s="230"/>
      <c r="BM158" s="241">
        <v>4.7320000000000002</v>
      </c>
      <c r="BN158" s="241">
        <v>14.244</v>
      </c>
      <c r="BO158" s="241">
        <v>13.77</v>
      </c>
      <c r="BP158" s="241">
        <v>5.649</v>
      </c>
      <c r="BQ158" s="241">
        <v>10.57</v>
      </c>
      <c r="BR158" s="241">
        <v>7.99</v>
      </c>
      <c r="BS158" s="241" t="e">
        <v>#N/A</v>
      </c>
      <c r="BT158" s="241" t="e">
        <v>#N/A</v>
      </c>
      <c r="BU158" s="241" t="e">
        <v>#N/A</v>
      </c>
      <c r="BV158" s="241" t="e">
        <v>#N/A</v>
      </c>
      <c r="BW158" s="230"/>
      <c r="BX158" s="232">
        <v>210.90690000000001</v>
      </c>
      <c r="BY158" s="232">
        <v>616.06200000000001</v>
      </c>
      <c r="BZ158" s="232">
        <v>610.31200000000001</v>
      </c>
      <c r="CA158" s="232">
        <v>272.33</v>
      </c>
      <c r="CB158" s="232">
        <v>509.56099999999998</v>
      </c>
      <c r="CC158" s="232">
        <v>385.51900000000001</v>
      </c>
      <c r="CD158" s="232" t="e">
        <v>#N/A</v>
      </c>
      <c r="CE158" s="232" t="e">
        <v>#N/A</v>
      </c>
      <c r="CF158" s="232" t="e">
        <v>#N/A</v>
      </c>
      <c r="CG158" s="232" t="e">
        <v>#N/A</v>
      </c>
      <c r="CH158" s="230"/>
      <c r="CI158" s="232">
        <v>466.95699999999999</v>
      </c>
      <c r="CJ158" s="232">
        <v>817.798</v>
      </c>
      <c r="CK158" s="232">
        <v>873.93700000000001</v>
      </c>
      <c r="CL158" s="232">
        <v>517.96600000000001</v>
      </c>
      <c r="CM158" s="232">
        <v>744.13599999999997</v>
      </c>
      <c r="CN158" s="232">
        <v>728.99899999999991</v>
      </c>
      <c r="CO158" s="232" t="e">
        <v>#N/A</v>
      </c>
      <c r="CP158" s="232" t="e">
        <v>#N/A</v>
      </c>
      <c r="CQ158" s="232" t="e">
        <v>#N/A</v>
      </c>
      <c r="CR158" s="232" t="e">
        <v>#N/A</v>
      </c>
      <c r="CS158" s="230"/>
      <c r="CT158" s="232">
        <v>3594.9940000000001</v>
      </c>
      <c r="CU158" s="232">
        <v>4918.1350000000002</v>
      </c>
      <c r="CV158" s="232">
        <v>4775.21</v>
      </c>
      <c r="CW158" s="232">
        <v>5509.87</v>
      </c>
      <c r="CX158" s="232">
        <v>6145.9179999999997</v>
      </c>
      <c r="CY158" s="232">
        <v>6296.0439999999999</v>
      </c>
      <c r="CZ158" s="232" t="e">
        <v>#N/A</v>
      </c>
      <c r="DA158" s="232" t="e">
        <v>#N/A</v>
      </c>
      <c r="DB158" s="232" t="e">
        <v>#N/A</v>
      </c>
      <c r="DC158" s="232" t="e">
        <v>#N/A</v>
      </c>
      <c r="DD158" s="230"/>
      <c r="DE158" s="232" t="e">
        <v>#N/A</v>
      </c>
      <c r="DF158" s="232">
        <v>0</v>
      </c>
      <c r="DG158" s="232">
        <v>0</v>
      </c>
      <c r="DH158" s="230"/>
      <c r="DI158" s="230"/>
      <c r="DJ158" s="172" t="s">
        <v>277</v>
      </c>
    </row>
    <row r="159" spans="1:114" x14ac:dyDescent="0.25">
      <c r="A159" s="245" t="s">
        <v>850</v>
      </c>
      <c r="B159" s="226" t="s">
        <v>933</v>
      </c>
      <c r="C159" s="227" t="s">
        <v>934</v>
      </c>
      <c r="D159" s="228" t="str">
        <f t="shared" si="1"/>
        <v>ARTD IN Equity</v>
      </c>
      <c r="E159" s="229" t="s">
        <v>935</v>
      </c>
      <c r="F159" s="230"/>
      <c r="G159" s="231">
        <v>429.09582411866131</v>
      </c>
      <c r="H159" s="232">
        <v>38515.939999999995</v>
      </c>
      <c r="I159" s="230"/>
      <c r="J159" s="231">
        <v>500.22663888566132</v>
      </c>
      <c r="K159" s="232">
        <v>44600.176999999989</v>
      </c>
      <c r="L159" s="230"/>
      <c r="M159" s="233">
        <v>22.901488325396503</v>
      </c>
      <c r="N159" s="233">
        <v>19.627906976744185</v>
      </c>
      <c r="O159" s="233">
        <v>15.536856167950656</v>
      </c>
      <c r="P159" s="233" t="e">
        <v>#N/A</v>
      </c>
      <c r="Q159" s="230"/>
      <c r="R159" s="234">
        <v>2.8134391673913446</v>
      </c>
      <c r="S159" s="234">
        <v>2.9495806704601208</v>
      </c>
      <c r="T159" s="230"/>
      <c r="U159" s="234">
        <v>0.1269028286954666</v>
      </c>
      <c r="V159" s="234">
        <v>0.13600000000000001</v>
      </c>
      <c r="W159" s="234">
        <v>0.13186109091168571</v>
      </c>
      <c r="X159" s="234">
        <v>0.12305694599413976</v>
      </c>
      <c r="Y159" s="234">
        <v>9.1923060266135781E-2</v>
      </c>
      <c r="Z159" s="234">
        <v>0.11580620216210846</v>
      </c>
      <c r="AA159" s="234">
        <v>9.4139795813202962E-2</v>
      </c>
      <c r="AB159" s="234">
        <v>0.10263092628837114</v>
      </c>
      <c r="AC159" s="230"/>
      <c r="AD159" s="232">
        <v>-69.912999999999997</v>
      </c>
      <c r="AE159" s="232">
        <v>-69.912999999999997</v>
      </c>
      <c r="AF159" s="232">
        <v>0</v>
      </c>
      <c r="AG159" s="232">
        <v>0</v>
      </c>
      <c r="AH159" s="235">
        <v>-69.912999999999997</v>
      </c>
      <c r="AI159" s="230"/>
      <c r="AJ159" s="232">
        <v>3294.2</v>
      </c>
      <c r="AK159" s="232">
        <v>2856.5070000000001</v>
      </c>
      <c r="AL159" s="235">
        <v>6150.7070000000003</v>
      </c>
      <c r="AM159" s="230"/>
      <c r="AN159" s="231">
        <v>71.09056265400001</v>
      </c>
      <c r="AO159" s="232">
        <v>6080.7940000000008</v>
      </c>
      <c r="AP159" s="236">
        <v>2.118297014044078</v>
      </c>
      <c r="AQ159" s="230"/>
      <c r="AR159" s="237">
        <v>91.27</v>
      </c>
      <c r="AS159" s="237">
        <v>91.27</v>
      </c>
      <c r="AT159" s="237">
        <v>91.27</v>
      </c>
      <c r="AU159" s="230"/>
      <c r="AV159" s="234">
        <v>5.4720000000000003E-3</v>
      </c>
      <c r="AW159" s="234">
        <v>0.28711656548545522</v>
      </c>
      <c r="AX159" s="234">
        <v>2.6800000000000001E-4</v>
      </c>
      <c r="AY159" s="234">
        <v>0.37526498301742089</v>
      </c>
      <c r="AZ159" s="230"/>
      <c r="BA159" s="232">
        <v>3.4430000000000001</v>
      </c>
      <c r="BB159" s="230"/>
      <c r="BC159" s="232" t="e">
        <v>#N/A</v>
      </c>
      <c r="BD159" s="232">
        <v>90.605999999999995</v>
      </c>
      <c r="BE159" s="230"/>
      <c r="BF159" s="238">
        <v>0.25721980000000011</v>
      </c>
      <c r="BG159" s="238">
        <v>0.19665179999999996</v>
      </c>
      <c r="BH159" s="238">
        <v>0.20978973333333317</v>
      </c>
      <c r="BI159" s="230"/>
      <c r="BJ159" s="239">
        <v>4.701389548796552</v>
      </c>
      <c r="BK159" s="240">
        <v>422</v>
      </c>
      <c r="BL159" s="230"/>
      <c r="BM159" s="241">
        <v>14.836</v>
      </c>
      <c r="BN159" s="241">
        <v>30.09</v>
      </c>
      <c r="BO159" s="241">
        <v>22.143000000000001</v>
      </c>
      <c r="BP159" s="241">
        <v>17.960042999999999</v>
      </c>
      <c r="BQ159" s="241">
        <v>18.559999999999999</v>
      </c>
      <c r="BR159" s="241">
        <v>18.350000000000001</v>
      </c>
      <c r="BS159" s="241">
        <v>21.5</v>
      </c>
      <c r="BT159" s="241">
        <v>28.2</v>
      </c>
      <c r="BU159" s="241">
        <v>34.299999999999997</v>
      </c>
      <c r="BV159" s="241" t="e">
        <v>#N/A</v>
      </c>
      <c r="BW159" s="230"/>
      <c r="BX159" s="232">
        <v>1382.8161</v>
      </c>
      <c r="BY159" s="232">
        <v>2802.5563999999999</v>
      </c>
      <c r="BZ159" s="232">
        <v>2050.386</v>
      </c>
      <c r="CA159" s="232">
        <v>1662.2558681600001</v>
      </c>
      <c r="CB159" s="232">
        <v>1715.5544188800002</v>
      </c>
      <c r="CC159" s="232">
        <v>1681.8094960000001</v>
      </c>
      <c r="CD159" s="232" t="e">
        <v>#N/A</v>
      </c>
      <c r="CE159" s="232" t="e">
        <v>#N/A</v>
      </c>
      <c r="CF159" s="232" t="e">
        <v>#N/A</v>
      </c>
      <c r="CG159" s="232" t="e">
        <v>#N/A</v>
      </c>
      <c r="CH159" s="230"/>
      <c r="CI159" s="232">
        <v>2618.19</v>
      </c>
      <c r="CJ159" s="232">
        <v>4371.049</v>
      </c>
      <c r="CK159" s="232">
        <v>3294.357</v>
      </c>
      <c r="CL159" s="232">
        <v>3056.0550000000003</v>
      </c>
      <c r="CM159" s="232">
        <v>3164.5990000000002</v>
      </c>
      <c r="CN159" s="232">
        <v>2870.605</v>
      </c>
      <c r="CO159" s="232">
        <v>3377</v>
      </c>
      <c r="CP159" s="232">
        <v>4349</v>
      </c>
      <c r="CQ159" s="232">
        <v>5173</v>
      </c>
      <c r="CR159" s="232" t="e">
        <v>#N/A</v>
      </c>
      <c r="CS159" s="230"/>
      <c r="CT159" s="232">
        <v>18060.884999999998</v>
      </c>
      <c r="CU159" s="232">
        <v>21547.797999999999</v>
      </c>
      <c r="CV159" s="232">
        <v>24886.457999999999</v>
      </c>
      <c r="CW159" s="232">
        <v>27160.536</v>
      </c>
      <c r="CX159" s="232">
        <v>25285.764999999999</v>
      </c>
      <c r="CY159" s="232">
        <v>23870.303</v>
      </c>
      <c r="CZ159" s="232">
        <v>25974</v>
      </c>
      <c r="DA159" s="232">
        <v>29994</v>
      </c>
      <c r="DB159" s="232">
        <v>34486</v>
      </c>
      <c r="DC159" s="232" t="e">
        <v>#N/A</v>
      </c>
      <c r="DD159" s="230"/>
      <c r="DE159" s="232" t="e">
        <v>#N/A</v>
      </c>
      <c r="DF159" s="232">
        <v>0</v>
      </c>
      <c r="DG159" s="232">
        <v>0</v>
      </c>
      <c r="DH159" s="230"/>
      <c r="DI159" s="230"/>
      <c r="DJ159" s="172" t="s">
        <v>277</v>
      </c>
    </row>
    <row r="160" spans="1:114" x14ac:dyDescent="0.25">
      <c r="A160" s="245" t="s">
        <v>850</v>
      </c>
      <c r="B160" s="226" t="s">
        <v>936</v>
      </c>
      <c r="C160" s="227" t="s">
        <v>937</v>
      </c>
      <c r="D160" s="228" t="str">
        <f t="shared" ref="D160:D167" si="2">C160&amp;" IN Equity"</f>
        <v>SEQ IN Equity</v>
      </c>
      <c r="E160" s="229" t="s">
        <v>938</v>
      </c>
      <c r="F160" s="230"/>
      <c r="G160" s="231">
        <v>605.43794158328092</v>
      </c>
      <c r="H160" s="232">
        <v>54344.531270238047</v>
      </c>
      <c r="I160" s="230"/>
      <c r="J160" s="231">
        <v>661.31998630328098</v>
      </c>
      <c r="K160" s="232">
        <v>59124.451270238045</v>
      </c>
      <c r="L160" s="230"/>
      <c r="M160" s="233">
        <v>311.75018091940728</v>
      </c>
      <c r="N160" s="233">
        <v>80.398496470056969</v>
      </c>
      <c r="O160" s="233">
        <v>37.216554373017544</v>
      </c>
      <c r="P160" s="233" t="e">
        <v>#N/A</v>
      </c>
      <c r="Q160" s="230"/>
      <c r="R160" s="234">
        <v>7.5985181573020748</v>
      </c>
      <c r="S160" s="234">
        <v>13.308004455959244</v>
      </c>
      <c r="T160" s="230"/>
      <c r="U160" s="234">
        <v>2.5973193909924367E-2</v>
      </c>
      <c r="V160" s="234">
        <v>0.11460000000000001</v>
      </c>
      <c r="W160" s="234">
        <v>5.7411948707653836E-2</v>
      </c>
      <c r="X160" s="234">
        <v>0.12422931404322574</v>
      </c>
      <c r="Y160" s="234">
        <v>5.8977166084609435E-2</v>
      </c>
      <c r="Z160" s="234">
        <v>8.0588760564657622E-2</v>
      </c>
      <c r="AA160" s="234">
        <v>3.7158136529069505E-2</v>
      </c>
      <c r="AB160" s="234">
        <v>5.953724489668704E-2</v>
      </c>
      <c r="AC160" s="230"/>
      <c r="AD160" s="232">
        <v>-690.71</v>
      </c>
      <c r="AE160" s="232">
        <v>-691.39</v>
      </c>
      <c r="AF160" s="232">
        <v>-0.68</v>
      </c>
      <c r="AG160" s="232">
        <v>-0.05</v>
      </c>
      <c r="AH160" s="235">
        <v>-691.44</v>
      </c>
      <c r="AI160" s="230"/>
      <c r="AJ160" s="232">
        <v>1810.57</v>
      </c>
      <c r="AK160" s="232">
        <v>3001.86</v>
      </c>
      <c r="AL160" s="235">
        <v>4812.43</v>
      </c>
      <c r="AM160" s="230"/>
      <c r="AN160" s="231">
        <v>48.17907864</v>
      </c>
      <c r="AO160" s="232">
        <v>4121.04</v>
      </c>
      <c r="AP160" s="236">
        <v>2.5940352246547409</v>
      </c>
      <c r="AQ160" s="230"/>
      <c r="AR160" s="237">
        <v>254.11264899999998</v>
      </c>
      <c r="AS160" s="237">
        <v>249.375123</v>
      </c>
      <c r="AT160" s="237">
        <v>256.26575200000002</v>
      </c>
      <c r="AU160" s="230"/>
      <c r="AV160" s="234">
        <v>6.1429999999999992E-3</v>
      </c>
      <c r="AW160" s="234">
        <v>0.24513015454229883</v>
      </c>
      <c r="AX160" s="234">
        <v>3.1500000000000001E-4</v>
      </c>
      <c r="AY160" s="234">
        <v>0.48180422927313621</v>
      </c>
      <c r="AZ160" s="230"/>
      <c r="BA160" s="232">
        <v>658.88</v>
      </c>
      <c r="BB160" s="230"/>
      <c r="BC160" s="232" t="e">
        <v>#N/A</v>
      </c>
      <c r="BD160" s="232">
        <v>0</v>
      </c>
      <c r="BE160" s="230"/>
      <c r="BF160" s="238">
        <v>0.89843020000000018</v>
      </c>
      <c r="BG160" s="238">
        <v>0.84583450000000082</v>
      </c>
      <c r="BH160" s="238">
        <v>2.1650454333333347</v>
      </c>
      <c r="BI160" s="230"/>
      <c r="BJ160" s="239">
        <v>2.3825572790879885</v>
      </c>
      <c r="BK160" s="240">
        <v>213.86000061035156</v>
      </c>
      <c r="BL160" s="230"/>
      <c r="BM160" s="241">
        <v>2.85</v>
      </c>
      <c r="BN160" s="241">
        <v>3.85</v>
      </c>
      <c r="BO160" s="241">
        <v>1.661</v>
      </c>
      <c r="BP160" s="241">
        <v>-4.88</v>
      </c>
      <c r="BQ160" s="241">
        <v>-1.44</v>
      </c>
      <c r="BR160" s="241">
        <v>1.072713</v>
      </c>
      <c r="BS160" s="241">
        <v>2.66</v>
      </c>
      <c r="BT160" s="241">
        <v>5.0199999999999996</v>
      </c>
      <c r="BU160" s="241">
        <v>7.67</v>
      </c>
      <c r="BV160" s="241" t="e">
        <v>#N/A</v>
      </c>
      <c r="BW160" s="230"/>
      <c r="BX160" s="232">
        <v>695.697</v>
      </c>
      <c r="BY160" s="232">
        <v>952.96400000000006</v>
      </c>
      <c r="BZ160" s="232">
        <v>408.04499999999996</v>
      </c>
      <c r="CA160" s="232">
        <v>-703.40599999999995</v>
      </c>
      <c r="CB160" s="232">
        <v>-499.79599999999999</v>
      </c>
      <c r="CC160" s="232">
        <v>176.75200000000001</v>
      </c>
      <c r="CD160" s="232" t="e">
        <v>#N/A</v>
      </c>
      <c r="CE160" s="232" t="e">
        <v>#N/A</v>
      </c>
      <c r="CF160" s="232" t="e">
        <v>#N/A</v>
      </c>
      <c r="CG160" s="232" t="e">
        <v>#N/A</v>
      </c>
      <c r="CH160" s="230"/>
      <c r="CI160" s="232">
        <v>1703.22</v>
      </c>
      <c r="CJ160" s="232">
        <v>2120.6999999999998</v>
      </c>
      <c r="CK160" s="232">
        <v>1094</v>
      </c>
      <c r="CL160" s="232">
        <v>119.54999999999995</v>
      </c>
      <c r="CM160" s="232">
        <v>614.14</v>
      </c>
      <c r="CN160" s="232">
        <v>1588.6599999999999</v>
      </c>
      <c r="CO160" s="232">
        <v>2074</v>
      </c>
      <c r="CP160" s="232">
        <v>3032</v>
      </c>
      <c r="CQ160" s="232">
        <v>3752</v>
      </c>
      <c r="CR160" s="232" t="e">
        <v>#N/A</v>
      </c>
      <c r="CS160" s="230"/>
      <c r="CT160" s="232">
        <v>11792.44</v>
      </c>
      <c r="CU160" s="232">
        <v>13520.35</v>
      </c>
      <c r="CV160" s="232">
        <v>14101.72</v>
      </c>
      <c r="CW160" s="232">
        <v>14182.75</v>
      </c>
      <c r="CX160" s="232">
        <v>13663</v>
      </c>
      <c r="CY160" s="232">
        <v>15469.76</v>
      </c>
      <c r="CZ160" s="232">
        <v>17457</v>
      </c>
      <c r="DA160" s="232">
        <v>19666.5</v>
      </c>
      <c r="DB160" s="232">
        <v>22011</v>
      </c>
      <c r="DC160" s="232" t="e">
        <v>#N/A</v>
      </c>
      <c r="DD160" s="230"/>
      <c r="DE160" s="232" t="e">
        <v>#N/A</v>
      </c>
      <c r="DF160" s="232">
        <v>0</v>
      </c>
      <c r="DG160" s="232">
        <v>0</v>
      </c>
      <c r="DH160" s="230"/>
      <c r="DI160" s="230"/>
      <c r="DJ160" s="172" t="s">
        <v>277</v>
      </c>
    </row>
    <row r="161" spans="1:114" x14ac:dyDescent="0.25">
      <c r="A161" s="245" t="s">
        <v>850</v>
      </c>
      <c r="B161" s="226" t="s">
        <v>939</v>
      </c>
      <c r="C161" s="227" t="s">
        <v>940</v>
      </c>
      <c r="D161" s="228" t="str">
        <f t="shared" si="2"/>
        <v>ICP IN Equity</v>
      </c>
      <c r="E161" s="229" t="s">
        <v>941</v>
      </c>
      <c r="F161" s="230"/>
      <c r="G161" s="231">
        <v>271.28846961404963</v>
      </c>
      <c r="H161" s="232">
        <v>24351.04196086754</v>
      </c>
      <c r="I161" s="230"/>
      <c r="J161" s="231">
        <v>260.25099651404963</v>
      </c>
      <c r="K161" s="232">
        <v>23406.941960867538</v>
      </c>
      <c r="L161" s="230"/>
      <c r="M161" s="233">
        <v>6.0358521388258124</v>
      </c>
      <c r="N161" s="233">
        <v>18.034782409667969</v>
      </c>
      <c r="O161" s="233">
        <v>11.574416239364851</v>
      </c>
      <c r="P161" s="233" t="e">
        <v>#N/A</v>
      </c>
      <c r="Q161" s="230"/>
      <c r="R161" s="234">
        <v>1.4429984553314616</v>
      </c>
      <c r="S161" s="234">
        <v>1.4545996733512689</v>
      </c>
      <c r="T161" s="230"/>
      <c r="U161" s="234">
        <v>6.114265103041068E-2</v>
      </c>
      <c r="V161" s="234">
        <v>7.8E-2</v>
      </c>
      <c r="W161" s="234">
        <v>6.1757966453820534E-2</v>
      </c>
      <c r="X161" s="234">
        <v>6.5614973887947931E-2</v>
      </c>
      <c r="Y161" s="234">
        <v>5.3077717142649236E-2</v>
      </c>
      <c r="Z161" s="234">
        <v>7.2450795062826645E-2</v>
      </c>
      <c r="AA161" s="234">
        <v>5.6831631630949911E-2</v>
      </c>
      <c r="AB161" s="234">
        <v>6.281456560480661E-2</v>
      </c>
      <c r="AC161" s="230"/>
      <c r="AD161" s="232">
        <v>-2081.5</v>
      </c>
      <c r="AE161" s="232">
        <v>-2114.5</v>
      </c>
      <c r="AF161" s="232">
        <v>-33</v>
      </c>
      <c r="AG161" s="232">
        <v>-174.1</v>
      </c>
      <c r="AH161" s="235">
        <v>-2288.6</v>
      </c>
      <c r="AI161" s="230"/>
      <c r="AJ161" s="232">
        <v>1170.4000000000001</v>
      </c>
      <c r="AK161" s="232">
        <v>0</v>
      </c>
      <c r="AL161" s="235">
        <v>1170.4000000000001</v>
      </c>
      <c r="AM161" s="230"/>
      <c r="AN161" s="231">
        <v>-11.037473099999998</v>
      </c>
      <c r="AO161" s="232">
        <v>-944.09999999999991</v>
      </c>
      <c r="AP161" s="236">
        <v>-0.46684468179795274</v>
      </c>
      <c r="AQ161" s="230"/>
      <c r="AR161" s="237">
        <v>293.52751000000001</v>
      </c>
      <c r="AS161" s="237">
        <v>73.381877500000002</v>
      </c>
      <c r="AT161" s="237">
        <v>73.381877500000002</v>
      </c>
      <c r="AU161" s="230"/>
      <c r="AV161" s="234">
        <v>5.2620000000000002E-3</v>
      </c>
      <c r="AW161" s="234">
        <v>3.1538670025649973E-2</v>
      </c>
      <c r="AX161" s="234">
        <v>2.2499999999999999E-4</v>
      </c>
      <c r="AY161" s="234">
        <v>0.41692284992299355</v>
      </c>
      <c r="AZ161" s="230"/>
      <c r="BA161" s="232">
        <v>0</v>
      </c>
      <c r="BB161" s="230"/>
      <c r="BC161" s="232" t="e">
        <v>#N/A</v>
      </c>
      <c r="BD161" s="232">
        <v>234.8</v>
      </c>
      <c r="BE161" s="230"/>
      <c r="BF161" s="238">
        <v>0.59781479999999987</v>
      </c>
      <c r="BG161" s="238">
        <v>0.61195810000000073</v>
      </c>
      <c r="BH161" s="238">
        <v>1.8555830333333325</v>
      </c>
      <c r="BI161" s="230"/>
      <c r="BJ161" s="239">
        <v>0.92423524327941065</v>
      </c>
      <c r="BK161" s="240">
        <v>82.959999084472656</v>
      </c>
      <c r="BL161" s="230"/>
      <c r="BM161" s="241">
        <v>12.676</v>
      </c>
      <c r="BN161" s="241">
        <v>15.240644800000002</v>
      </c>
      <c r="BO161" s="241">
        <v>6.0439999999999996</v>
      </c>
      <c r="BP161" s="241">
        <v>4.74</v>
      </c>
      <c r="BQ161" s="241">
        <v>4.58</v>
      </c>
      <c r="BR161" s="241">
        <v>3.44</v>
      </c>
      <c r="BS161" s="241">
        <v>4.5999999999999996</v>
      </c>
      <c r="BT161" s="241">
        <v>5.7</v>
      </c>
      <c r="BU161" s="241" t="e">
        <v>#N/A</v>
      </c>
      <c r="BV161" s="241" t="e">
        <v>#N/A</v>
      </c>
      <c r="BW161" s="230"/>
      <c r="BX161" s="232">
        <v>3612.9</v>
      </c>
      <c r="BY161" s="232">
        <v>4444.97</v>
      </c>
      <c r="BZ161" s="232">
        <v>1684.33</v>
      </c>
      <c r="CA161" s="232">
        <v>1395.53</v>
      </c>
      <c r="CB161" s="232">
        <v>1341.29</v>
      </c>
      <c r="CC161" s="232">
        <v>1008.6</v>
      </c>
      <c r="CD161" s="232" t="e">
        <v>#N/A</v>
      </c>
      <c r="CE161" s="232" t="e">
        <v>#N/A</v>
      </c>
      <c r="CF161" s="232" t="e">
        <v>#N/A</v>
      </c>
      <c r="CG161" s="232" t="e">
        <v>#N/A</v>
      </c>
      <c r="CH161" s="230"/>
      <c r="CI161" s="232">
        <v>5738.8</v>
      </c>
      <c r="CJ161" s="232">
        <v>5918.4</v>
      </c>
      <c r="CK161" s="232">
        <v>2582.9</v>
      </c>
      <c r="CL161" s="232">
        <v>2256.6999999999998</v>
      </c>
      <c r="CM161" s="232">
        <v>2305.3000000000002</v>
      </c>
      <c r="CN161" s="232">
        <v>2022.3</v>
      </c>
      <c r="CO161" s="232">
        <v>2288</v>
      </c>
      <c r="CP161" s="232">
        <v>2926</v>
      </c>
      <c r="CQ161" s="232" t="e">
        <v>#N/A</v>
      </c>
      <c r="CR161" s="232" t="e">
        <v>#N/A</v>
      </c>
      <c r="CS161" s="230"/>
      <c r="CT161" s="232">
        <v>18944.7</v>
      </c>
      <c r="CU161" s="232">
        <v>19669.8</v>
      </c>
      <c r="CV161" s="232">
        <v>21840.2</v>
      </c>
      <c r="CW161" s="232">
        <v>22171.1</v>
      </c>
      <c r="CX161" s="232">
        <v>21327.9</v>
      </c>
      <c r="CY161" s="232">
        <v>20792.099999999999</v>
      </c>
      <c r="CZ161" s="232">
        <v>23136</v>
      </c>
      <c r="DA161" s="232">
        <v>25894</v>
      </c>
      <c r="DB161" s="232" t="e">
        <v>#N/A</v>
      </c>
      <c r="DC161" s="232" t="e">
        <v>#N/A</v>
      </c>
      <c r="DD161" s="230"/>
      <c r="DE161" s="232" t="e">
        <v>#N/A</v>
      </c>
      <c r="DF161" s="232">
        <v>0.4</v>
      </c>
      <c r="DG161" s="232">
        <v>0</v>
      </c>
      <c r="DH161" s="230"/>
      <c r="DI161" s="230"/>
      <c r="DJ161" s="172" t="s">
        <v>277</v>
      </c>
    </row>
    <row r="162" spans="1:114" x14ac:dyDescent="0.25">
      <c r="A162" s="245" t="s">
        <v>850</v>
      </c>
      <c r="B162" s="226" t="s">
        <v>942</v>
      </c>
      <c r="C162" s="227" t="s">
        <v>943</v>
      </c>
      <c r="D162" s="228" t="str">
        <f t="shared" si="2"/>
        <v>ANUH IN Equity</v>
      </c>
      <c r="E162" s="229" t="s">
        <v>944</v>
      </c>
      <c r="F162" s="230"/>
      <c r="G162" s="231">
        <v>87.282187078850242</v>
      </c>
      <c r="H162" s="232">
        <v>7834.5098964843755</v>
      </c>
      <c r="I162" s="230"/>
      <c r="J162" s="231">
        <v>79.951205236850228</v>
      </c>
      <c r="K162" s="232">
        <v>7207.4478964843756</v>
      </c>
      <c r="L162" s="230"/>
      <c r="M162" s="233">
        <v>18.716240683377517</v>
      </c>
      <c r="N162" s="233" t="e">
        <v>#N/A</v>
      </c>
      <c r="O162" s="233">
        <v>11.833199356552308</v>
      </c>
      <c r="P162" s="233" t="e">
        <v>#N/A</v>
      </c>
      <c r="Q162" s="230"/>
      <c r="R162" s="234">
        <v>2.4030410865935274</v>
      </c>
      <c r="S162" s="234">
        <v>2.4039318009243136</v>
      </c>
      <c r="T162" s="230"/>
      <c r="U162" s="234">
        <v>0.13563358464992781</v>
      </c>
      <c r="V162" s="234" t="e">
        <v>#N/A</v>
      </c>
      <c r="W162" s="234">
        <v>0.15349966821413624</v>
      </c>
      <c r="X162" s="234">
        <v>0.19479588250275029</v>
      </c>
      <c r="Y162" s="234">
        <v>0.12866958378650772</v>
      </c>
      <c r="Z162" s="234">
        <v>0.16577004428061048</v>
      </c>
      <c r="AA162" s="234">
        <v>0.1159422762735378</v>
      </c>
      <c r="AB162" s="234">
        <v>0.1516516673205808</v>
      </c>
      <c r="AC162" s="230"/>
      <c r="AD162" s="232">
        <v>-197.351</v>
      </c>
      <c r="AE162" s="232">
        <v>-735.92600000000004</v>
      </c>
      <c r="AF162" s="232">
        <v>-538.57500000000005</v>
      </c>
      <c r="AG162" s="232">
        <v>-519.548</v>
      </c>
      <c r="AH162" s="235">
        <v>-1255.4739999999999</v>
      </c>
      <c r="AI162" s="230"/>
      <c r="AJ162" s="232">
        <v>108.28100000000001</v>
      </c>
      <c r="AK162" s="232">
        <v>0.58299999999999996</v>
      </c>
      <c r="AL162" s="235">
        <v>108.864</v>
      </c>
      <c r="AM162" s="230"/>
      <c r="AN162" s="231">
        <v>-7.3309818419999999</v>
      </c>
      <c r="AO162" s="232">
        <v>-627.06200000000001</v>
      </c>
      <c r="AP162" s="236">
        <v>-1.0295113834312668</v>
      </c>
      <c r="AQ162" s="230"/>
      <c r="AR162" s="237">
        <v>100.224</v>
      </c>
      <c r="AS162" s="237">
        <v>100.224</v>
      </c>
      <c r="AT162" s="237">
        <v>100.224</v>
      </c>
      <c r="AU162" s="230"/>
      <c r="AV162" s="234">
        <v>7.1819999999999991E-3</v>
      </c>
      <c r="AW162" s="234">
        <v>4.3873838814650143E-5</v>
      </c>
      <c r="AX162" s="234">
        <v>0</v>
      </c>
      <c r="AY162" s="234">
        <v>0.27972269117177517</v>
      </c>
      <c r="AZ162" s="230"/>
      <c r="BA162" s="232">
        <v>0</v>
      </c>
      <c r="BB162" s="230"/>
      <c r="BC162" s="232" t="e">
        <v>#N/A</v>
      </c>
      <c r="BD162" s="232">
        <v>0</v>
      </c>
      <c r="BE162" s="230"/>
      <c r="BF162" s="238">
        <v>2.2607800000000015E-2</v>
      </c>
      <c r="BG162" s="238">
        <v>2.3623199999999994E-2</v>
      </c>
      <c r="BH162" s="238">
        <v>4.488219999999999E-2</v>
      </c>
      <c r="BI162" s="230"/>
      <c r="BJ162" s="239">
        <v>0.87087111948086526</v>
      </c>
      <c r="BK162" s="240">
        <v>78.169998168945313</v>
      </c>
      <c r="BL162" s="230"/>
      <c r="BM162" s="241">
        <v>1.4272499999999999</v>
      </c>
      <c r="BN162" s="241">
        <v>8.9499999999999996E-2</v>
      </c>
      <c r="BO162" s="241">
        <v>3.0495000000000001</v>
      </c>
      <c r="BP162" s="241">
        <v>3.61</v>
      </c>
      <c r="BQ162" s="241">
        <v>5.99</v>
      </c>
      <c r="BR162" s="241">
        <v>4.7249999999999996</v>
      </c>
      <c r="BS162" s="241" t="e">
        <v>#N/A</v>
      </c>
      <c r="BT162" s="241" t="e">
        <v>#N/A</v>
      </c>
      <c r="BU162" s="241" t="e">
        <v>#N/A</v>
      </c>
      <c r="BV162" s="241" t="e">
        <v>#N/A</v>
      </c>
      <c r="BW162" s="230"/>
      <c r="BX162" s="232">
        <v>133.04650000000001</v>
      </c>
      <c r="BY162" s="232">
        <v>228.05709999999999</v>
      </c>
      <c r="BZ162" s="232">
        <v>286.7242</v>
      </c>
      <c r="CA162" s="232">
        <v>331.42579999999998</v>
      </c>
      <c r="CB162" s="232">
        <v>525.6771</v>
      </c>
      <c r="CC162" s="232">
        <v>418.5942</v>
      </c>
      <c r="CD162" s="232" t="e">
        <v>#N/A</v>
      </c>
      <c r="CE162" s="232" t="e">
        <v>#N/A</v>
      </c>
      <c r="CF162" s="232" t="e">
        <v>#N/A</v>
      </c>
      <c r="CG162" s="232" t="e">
        <v>#N/A</v>
      </c>
      <c r="CH162" s="230"/>
      <c r="CI162" s="232">
        <v>241.976</v>
      </c>
      <c r="CJ162" s="232">
        <v>529.28800000000001</v>
      </c>
      <c r="CK162" s="232">
        <v>498.52299999999997</v>
      </c>
      <c r="CL162" s="232">
        <v>562.26699999999983</v>
      </c>
      <c r="CM162" s="232">
        <v>751.49099999999999</v>
      </c>
      <c r="CN162" s="232">
        <v>609.08699999999999</v>
      </c>
      <c r="CO162" s="232" t="e">
        <v>#N/A</v>
      </c>
      <c r="CP162" s="232" t="e">
        <v>#N/A</v>
      </c>
      <c r="CQ162" s="232" t="e">
        <v>#N/A</v>
      </c>
      <c r="CR162" s="232" t="e">
        <v>#N/A</v>
      </c>
      <c r="CS162" s="230"/>
      <c r="CT162" s="232">
        <v>3069.596</v>
      </c>
      <c r="CU162" s="232">
        <v>4319.6009999999997</v>
      </c>
      <c r="CV162" s="232">
        <v>4866.4620000000004</v>
      </c>
      <c r="CW162" s="232">
        <v>5274.86</v>
      </c>
      <c r="CX162" s="232">
        <v>6470.0429999999997</v>
      </c>
      <c r="CY162" s="232">
        <v>6615.1490000000003</v>
      </c>
      <c r="CZ162" s="232" t="e">
        <v>#N/A</v>
      </c>
      <c r="DA162" s="232" t="e">
        <v>#N/A</v>
      </c>
      <c r="DB162" s="232" t="e">
        <v>#N/A</v>
      </c>
      <c r="DC162" s="232" t="e">
        <v>#N/A</v>
      </c>
      <c r="DD162" s="230"/>
      <c r="DE162" s="232" t="e">
        <v>#N/A</v>
      </c>
      <c r="DF162" s="232" t="e">
        <v>#N/A</v>
      </c>
      <c r="DG162" s="232" t="e">
        <v>#N/A</v>
      </c>
      <c r="DH162" s="230"/>
      <c r="DI162" s="230"/>
      <c r="DJ162" s="172" t="s">
        <v>277</v>
      </c>
    </row>
    <row r="163" spans="1:114" x14ac:dyDescent="0.25">
      <c r="A163" s="245" t="s">
        <v>850</v>
      </c>
      <c r="B163" s="226" t="s">
        <v>945</v>
      </c>
      <c r="C163" s="227" t="s">
        <v>946</v>
      </c>
      <c r="D163" s="228" t="str">
        <f t="shared" si="2"/>
        <v>JAO IN Equity</v>
      </c>
      <c r="E163" s="229" t="s">
        <v>947</v>
      </c>
      <c r="F163" s="230"/>
      <c r="G163" s="231">
        <v>68.251478056226233</v>
      </c>
      <c r="H163" s="232">
        <v>6126.3002014160156</v>
      </c>
      <c r="I163" s="230"/>
      <c r="J163" s="231">
        <v>83.917850623226244</v>
      </c>
      <c r="K163" s="232">
        <v>7466.3372014160159</v>
      </c>
      <c r="L163" s="230"/>
      <c r="M163" s="233">
        <v>11.153226833822179</v>
      </c>
      <c r="N163" s="233" t="e">
        <v>#N/A</v>
      </c>
      <c r="O163" s="233">
        <v>6.7993049845196811</v>
      </c>
      <c r="P163" s="233" t="e">
        <v>#N/A</v>
      </c>
      <c r="Q163" s="230"/>
      <c r="R163" s="234">
        <v>1.0619976541188039</v>
      </c>
      <c r="S163" s="234">
        <v>1.0619976541188039</v>
      </c>
      <c r="T163" s="230"/>
      <c r="U163" s="234">
        <v>9.8185099070362117E-2</v>
      </c>
      <c r="V163" s="234" t="e">
        <v>#N/A</v>
      </c>
      <c r="W163" s="234">
        <v>9.8158822711890026E-2</v>
      </c>
      <c r="X163" s="234">
        <v>0.10944741239282964</v>
      </c>
      <c r="Y163" s="234">
        <v>8.9828707049956324E-2</v>
      </c>
      <c r="Z163" s="234">
        <v>0.12116854128978505</v>
      </c>
      <c r="AA163" s="234">
        <v>9.0140689626618697E-2</v>
      </c>
      <c r="AB163" s="234">
        <v>9.1392061950594974E-2</v>
      </c>
      <c r="AC163" s="230"/>
      <c r="AD163" s="232">
        <v>-83.061999999999998</v>
      </c>
      <c r="AE163" s="232">
        <v>-83.061999999999998</v>
      </c>
      <c r="AF163" s="232">
        <v>0</v>
      </c>
      <c r="AG163" s="232">
        <v>-125.066</v>
      </c>
      <c r="AH163" s="235">
        <v>-208.12799999999999</v>
      </c>
      <c r="AI163" s="230"/>
      <c r="AJ163" s="232">
        <v>1003.182</v>
      </c>
      <c r="AK163" s="232">
        <v>93.947999999999993</v>
      </c>
      <c r="AL163" s="235">
        <v>1097.1300000000001</v>
      </c>
      <c r="AM163" s="230"/>
      <c r="AN163" s="231">
        <v>11.855468988000002</v>
      </c>
      <c r="AO163" s="232">
        <v>1014.0680000000001</v>
      </c>
      <c r="AP163" s="236">
        <v>0.92347257042372177</v>
      </c>
      <c r="AQ163" s="230"/>
      <c r="AR163" s="237">
        <v>30</v>
      </c>
      <c r="AS163" s="237">
        <v>30</v>
      </c>
      <c r="AT163" s="237">
        <v>30</v>
      </c>
      <c r="AU163" s="230"/>
      <c r="AV163" s="234">
        <v>6.7120000000000001E-3</v>
      </c>
      <c r="AW163" s="234">
        <v>6.0098628998054821E-2</v>
      </c>
      <c r="AX163" s="234">
        <v>3.9999999999999998E-6</v>
      </c>
      <c r="AY163" s="234">
        <v>0.22194959999999997</v>
      </c>
      <c r="AZ163" s="230"/>
      <c r="BA163" s="232">
        <v>325.96899999999999</v>
      </c>
      <c r="BB163" s="230"/>
      <c r="BC163" s="232" t="e">
        <v>#N/A</v>
      </c>
      <c r="BD163" s="232">
        <v>222.83</v>
      </c>
      <c r="BE163" s="230"/>
      <c r="BF163" s="238">
        <v>1.1703800000000007E-2</v>
      </c>
      <c r="BG163" s="238">
        <v>8.1453000000000012E-3</v>
      </c>
      <c r="BH163" s="238">
        <v>1.0507799999999996E-2</v>
      </c>
      <c r="BI163" s="230"/>
      <c r="BJ163" s="239">
        <v>2.2750492685408745</v>
      </c>
      <c r="BK163" s="240">
        <v>204.21000671386719</v>
      </c>
      <c r="BL163" s="230"/>
      <c r="BM163" s="241">
        <v>-10.72</v>
      </c>
      <c r="BN163" s="241">
        <v>16</v>
      </c>
      <c r="BO163" s="241">
        <v>29.53</v>
      </c>
      <c r="BP163" s="241">
        <v>16.444476999999999</v>
      </c>
      <c r="BQ163" s="241">
        <v>17.59</v>
      </c>
      <c r="BR163" s="241">
        <v>5.16</v>
      </c>
      <c r="BS163" s="241" t="e">
        <v>#N/A</v>
      </c>
      <c r="BT163" s="241" t="e">
        <v>#N/A</v>
      </c>
      <c r="BU163" s="241" t="e">
        <v>#N/A</v>
      </c>
      <c r="BV163" s="241" t="e">
        <v>#N/A</v>
      </c>
      <c r="BW163" s="230"/>
      <c r="BX163" s="232">
        <v>-321.60991000000001</v>
      </c>
      <c r="BY163" s="232">
        <v>479.91327110000003</v>
      </c>
      <c r="BZ163" s="232">
        <v>885.81500000000005</v>
      </c>
      <c r="CA163" s="232">
        <v>493.33429999999998</v>
      </c>
      <c r="CB163" s="232">
        <v>513.35040000000004</v>
      </c>
      <c r="CC163" s="232">
        <v>549.28499999999997</v>
      </c>
      <c r="CD163" s="232" t="e">
        <v>#N/A</v>
      </c>
      <c r="CE163" s="232" t="e">
        <v>#N/A</v>
      </c>
      <c r="CF163" s="232" t="e">
        <v>#N/A</v>
      </c>
      <c r="CG163" s="232" t="e">
        <v>#N/A</v>
      </c>
      <c r="CH163" s="230"/>
      <c r="CI163" s="232">
        <v>-119.01445200000001</v>
      </c>
      <c r="CJ163" s="232">
        <v>970.97129399999994</v>
      </c>
      <c r="CK163" s="232">
        <v>1519.5730000000001</v>
      </c>
      <c r="CL163" s="232">
        <v>971.62299999999993</v>
      </c>
      <c r="CM163" s="232">
        <v>922.19299999999998</v>
      </c>
      <c r="CN163" s="232">
        <v>1098.1030000000001</v>
      </c>
      <c r="CO163" s="232" t="e">
        <v>#N/A</v>
      </c>
      <c r="CP163" s="232" t="e">
        <v>#N/A</v>
      </c>
      <c r="CQ163" s="232" t="e">
        <v>#N/A</v>
      </c>
      <c r="CR163" s="232" t="e">
        <v>#N/A</v>
      </c>
      <c r="CS163" s="230"/>
      <c r="CT163" s="232">
        <v>24722.300725000001</v>
      </c>
      <c r="CU163" s="232">
        <v>16155.315097000001</v>
      </c>
      <c r="CV163" s="232">
        <v>25449.120999999999</v>
      </c>
      <c r="CW163" s="232">
        <v>27444.148000000001</v>
      </c>
      <c r="CX163" s="232">
        <v>21215.344000000001</v>
      </c>
      <c r="CY163" s="232">
        <v>25002.897000000001</v>
      </c>
      <c r="CZ163" s="232" t="e">
        <v>#N/A</v>
      </c>
      <c r="DA163" s="232" t="e">
        <v>#N/A</v>
      </c>
      <c r="DB163" s="232" t="e">
        <v>#N/A</v>
      </c>
      <c r="DC163" s="232" t="e">
        <v>#N/A</v>
      </c>
      <c r="DD163" s="230"/>
      <c r="DE163" s="232" t="e">
        <v>#N/A</v>
      </c>
      <c r="DF163" s="232" t="e">
        <v>#N/A</v>
      </c>
      <c r="DG163" s="232" t="e">
        <v>#N/A</v>
      </c>
      <c r="DH163" s="230"/>
      <c r="DI163" s="230"/>
      <c r="DJ163" s="172" t="s">
        <v>277</v>
      </c>
    </row>
    <row r="164" spans="1:114" x14ac:dyDescent="0.25">
      <c r="A164" s="245" t="s">
        <v>850</v>
      </c>
      <c r="B164" s="226" t="s">
        <v>948</v>
      </c>
      <c r="C164" s="227" t="s">
        <v>949</v>
      </c>
      <c r="D164" s="228" t="str">
        <f t="shared" si="2"/>
        <v>SAILIFE IN Equity</v>
      </c>
      <c r="E164" s="229" t="s">
        <v>949</v>
      </c>
      <c r="F164" s="230"/>
      <c r="G164" s="231">
        <v>2110.6653585438353</v>
      </c>
      <c r="H164" s="232">
        <v>189454.79247374798</v>
      </c>
      <c r="I164" s="230"/>
      <c r="J164" s="231">
        <v>2097.6297766338353</v>
      </c>
      <c r="K164" s="232">
        <v>188339.782473748</v>
      </c>
      <c r="L164" s="230"/>
      <c r="M164" s="233">
        <v>109.95965812606761</v>
      </c>
      <c r="N164" s="233">
        <v>59.658884729725543</v>
      </c>
      <c r="O164" s="233">
        <v>46.427875115859791</v>
      </c>
      <c r="P164" s="233">
        <v>32.642975940124032</v>
      </c>
      <c r="Q164" s="230"/>
      <c r="R164" s="234">
        <v>8.8197212279567854</v>
      </c>
      <c r="S164" s="234">
        <v>8.8649382216213368</v>
      </c>
      <c r="T164" s="230"/>
      <c r="U164" s="234">
        <v>0.11046959003400136</v>
      </c>
      <c r="V164" s="234">
        <v>0.13674999999999998</v>
      </c>
      <c r="W164" s="234">
        <v>0.1105298000767911</v>
      </c>
      <c r="X164" s="234">
        <v>0.10822214275967981</v>
      </c>
      <c r="Y164" s="234">
        <v>0.10060390342929627</v>
      </c>
      <c r="Z164" s="234">
        <v>0.11676702990961624</v>
      </c>
      <c r="AA164" s="234">
        <v>9.8473659084173007E-2</v>
      </c>
      <c r="AB164" s="234">
        <v>9.5099519238972419E-2</v>
      </c>
      <c r="AC164" s="230"/>
      <c r="AD164" s="232">
        <v>-4638.82</v>
      </c>
      <c r="AE164" s="232">
        <v>-4638.82</v>
      </c>
      <c r="AF164" s="232">
        <v>0</v>
      </c>
      <c r="AG164" s="232">
        <v>-19.43</v>
      </c>
      <c r="AH164" s="235">
        <v>-4658.25</v>
      </c>
      <c r="AI164" s="230"/>
      <c r="AJ164" s="232">
        <v>1876.94</v>
      </c>
      <c r="AK164" s="232">
        <v>1646.87</v>
      </c>
      <c r="AL164" s="235">
        <v>3523.81</v>
      </c>
      <c r="AM164" s="230"/>
      <c r="AN164" s="231">
        <v>-13.035581909999996</v>
      </c>
      <c r="AO164" s="232">
        <v>-1115.0099999999998</v>
      </c>
      <c r="AP164" s="236">
        <v>-0.27486250835056852</v>
      </c>
      <c r="AQ164" s="230"/>
      <c r="AR164" s="237">
        <v>210.341723</v>
      </c>
      <c r="AS164" s="237">
        <v>209.248932</v>
      </c>
      <c r="AT164" s="237">
        <v>209.248932</v>
      </c>
      <c r="AU164" s="230"/>
      <c r="AV164" s="234">
        <v>3.493E-3</v>
      </c>
      <c r="AW164" s="234">
        <v>0.69758288277312985</v>
      </c>
      <c r="AX164" s="234">
        <v>2.2489999999999997E-3</v>
      </c>
      <c r="AY164" s="234">
        <v>0.62882700166908867</v>
      </c>
      <c r="AZ164" s="230"/>
      <c r="BA164" s="232">
        <v>0</v>
      </c>
      <c r="BB164" s="230"/>
      <c r="BC164" s="232" t="e">
        <v>#N/A</v>
      </c>
      <c r="BD164" s="232">
        <v>0</v>
      </c>
      <c r="BE164" s="230"/>
      <c r="BF164" s="238">
        <v>0.29754460000000005</v>
      </c>
      <c r="BG164" s="238">
        <v>0.30907139999999989</v>
      </c>
      <c r="BH164" s="238">
        <v>0.27487719999999999</v>
      </c>
      <c r="BI164" s="230"/>
      <c r="BJ164" s="239">
        <v>10.034458824623373</v>
      </c>
      <c r="BK164" s="240">
        <v>900.70001220703125</v>
      </c>
      <c r="BL164" s="230"/>
      <c r="BM164" s="241">
        <v>46.46</v>
      </c>
      <c r="BN164" s="241">
        <v>35.44</v>
      </c>
      <c r="BO164" s="241" t="e">
        <v>#N/A</v>
      </c>
      <c r="BP164" s="241">
        <v>5.59</v>
      </c>
      <c r="BQ164" s="241" t="e">
        <v>#N/A</v>
      </c>
      <c r="BR164" s="241">
        <v>8.61</v>
      </c>
      <c r="BS164" s="241">
        <v>15.097499999999998</v>
      </c>
      <c r="BT164" s="241">
        <v>17.990000000000002</v>
      </c>
      <c r="BU164" s="241">
        <v>23.104999999999997</v>
      </c>
      <c r="BV164" s="241">
        <v>28.07</v>
      </c>
      <c r="BW164" s="230"/>
      <c r="BX164" s="232">
        <v>763.25300000000004</v>
      </c>
      <c r="BY164" s="232">
        <v>611.01199999999994</v>
      </c>
      <c r="BZ164" s="232">
        <v>-16.937999999999999</v>
      </c>
      <c r="CA164" s="232">
        <v>99.891999999999996</v>
      </c>
      <c r="CB164" s="232">
        <v>828.02</v>
      </c>
      <c r="CC164" s="232">
        <v>1713.9970000000001</v>
      </c>
      <c r="CD164" s="232" t="e">
        <v>#N/A</v>
      </c>
      <c r="CE164" s="232" t="e">
        <v>#N/A</v>
      </c>
      <c r="CF164" s="232" t="e">
        <v>#N/A</v>
      </c>
      <c r="CG164" s="232" t="e">
        <v>#N/A</v>
      </c>
      <c r="CH164" s="230"/>
      <c r="CI164" s="232">
        <v>1650.239</v>
      </c>
      <c r="CJ164" s="232">
        <v>1645.259</v>
      </c>
      <c r="CK164" s="232">
        <v>1212.79</v>
      </c>
      <c r="CL164" s="232">
        <v>1662.7930000000003</v>
      </c>
      <c r="CM164" s="232">
        <v>2854.89</v>
      </c>
      <c r="CN164" s="232">
        <v>4056.61</v>
      </c>
      <c r="CO164" s="232">
        <v>5885.5</v>
      </c>
      <c r="CP164" s="232">
        <v>7121.5</v>
      </c>
      <c r="CQ164" s="232">
        <v>8792.75</v>
      </c>
      <c r="CR164" s="232" t="e">
        <v>#N/A</v>
      </c>
      <c r="CS164" s="230"/>
      <c r="CT164" s="232">
        <v>7163.0219999999999</v>
      </c>
      <c r="CU164" s="232">
        <v>7552.4369999999999</v>
      </c>
      <c r="CV164" s="232">
        <v>8691.24</v>
      </c>
      <c r="CW164" s="232">
        <v>11969.485000000001</v>
      </c>
      <c r="CX164" s="232">
        <v>14650.33</v>
      </c>
      <c r="CY164" s="232">
        <v>16703.919999999998</v>
      </c>
      <c r="CZ164" s="232">
        <v>22002.5</v>
      </c>
      <c r="DA164" s="232">
        <v>25283.75</v>
      </c>
      <c r="DB164" s="232">
        <v>29835.75</v>
      </c>
      <c r="DC164" s="232">
        <v>36138</v>
      </c>
      <c r="DD164" s="230"/>
      <c r="DE164" s="232" t="e">
        <v>#N/A</v>
      </c>
      <c r="DF164" s="232" t="e">
        <v>#N/A</v>
      </c>
      <c r="DG164" s="232" t="e">
        <v>#N/A</v>
      </c>
      <c r="DH164" s="230"/>
      <c r="DI164" s="230"/>
      <c r="DJ164" s="172" t="s">
        <v>277</v>
      </c>
    </row>
    <row r="165" spans="1:114" x14ac:dyDescent="0.25">
      <c r="A165" s="245" t="s">
        <v>850</v>
      </c>
      <c r="B165" s="226" t="s">
        <v>950</v>
      </c>
      <c r="C165" s="227" t="s">
        <v>951</v>
      </c>
      <c r="D165" s="228" t="str">
        <f t="shared" si="2"/>
        <v>570379Z IN Equity</v>
      </c>
      <c r="E165" s="229"/>
      <c r="F165" s="230"/>
      <c r="G165" s="231" t="e">
        <v>#N/A</v>
      </c>
      <c r="H165" s="232" t="e">
        <v>#N/A</v>
      </c>
      <c r="I165" s="230"/>
      <c r="J165" s="231" t="e">
        <v>#N/A</v>
      </c>
      <c r="K165" s="232" t="e">
        <v>#N/A</v>
      </c>
      <c r="L165" s="230"/>
      <c r="M165" s="233" t="e">
        <v>#N/A</v>
      </c>
      <c r="N165" s="233" t="e">
        <v>#N/A</v>
      </c>
      <c r="O165" s="233" t="e">
        <v>#N/A</v>
      </c>
      <c r="P165" s="233" t="e">
        <v>#N/A</v>
      </c>
      <c r="Q165" s="230"/>
      <c r="R165" s="234" t="e">
        <v>#N/A</v>
      </c>
      <c r="S165" s="234" t="e">
        <v>#N/A</v>
      </c>
      <c r="T165" s="230"/>
      <c r="U165" s="234">
        <v>0.12913195811099426</v>
      </c>
      <c r="V165" s="234" t="e">
        <v>#N/A</v>
      </c>
      <c r="W165" s="234">
        <v>0.15191069657995987</v>
      </c>
      <c r="X165" s="234">
        <v>0.13965111098732147</v>
      </c>
      <c r="Y165" s="234">
        <v>9.1455504180535371E-2</v>
      </c>
      <c r="Z165" s="234">
        <v>0.12843036633327282</v>
      </c>
      <c r="AA165" s="234">
        <v>9.504816838757961E-2</v>
      </c>
      <c r="AB165" s="234">
        <v>9.7558264057468008E-2</v>
      </c>
      <c r="AC165" s="230"/>
      <c r="AD165" s="232">
        <v>-1857.96</v>
      </c>
      <c r="AE165" s="232">
        <v>-1857.96</v>
      </c>
      <c r="AF165" s="232">
        <v>0</v>
      </c>
      <c r="AG165" s="232">
        <v>-2.0499999999999998</v>
      </c>
      <c r="AH165" s="235">
        <v>-1860.01</v>
      </c>
      <c r="AI165" s="230"/>
      <c r="AJ165" s="232">
        <v>4645.32</v>
      </c>
      <c r="AK165" s="232">
        <v>1809.38</v>
      </c>
      <c r="AL165" s="235">
        <v>6454.7</v>
      </c>
      <c r="AM165" s="230"/>
      <c r="AN165" s="231">
        <v>55.147089780000002</v>
      </c>
      <c r="AO165" s="232">
        <v>4596.74</v>
      </c>
      <c r="AP165" s="236">
        <v>1.0625573552221277</v>
      </c>
      <c r="AQ165" s="230"/>
      <c r="AR165" s="237" t="e">
        <v>#N/A</v>
      </c>
      <c r="AS165" s="237" t="e">
        <v>#N/A</v>
      </c>
      <c r="AT165" s="237">
        <v>207.65758754863799</v>
      </c>
      <c r="AU165" s="230"/>
      <c r="AV165" s="234" t="e">
        <v>#N/A</v>
      </c>
      <c r="AW165" s="234" t="e">
        <v>#N/A</v>
      </c>
      <c r="AX165" s="234" t="e">
        <v>#N/A</v>
      </c>
      <c r="AY165" s="234" t="e">
        <v>#N/A</v>
      </c>
      <c r="AZ165" s="230"/>
      <c r="BA165" s="232">
        <v>567.58000000000004</v>
      </c>
      <c r="BB165" s="230"/>
      <c r="BC165" s="232" t="e">
        <v>#N/A</v>
      </c>
      <c r="BD165" s="232" t="e">
        <v>#N/A</v>
      </c>
      <c r="BE165" s="230"/>
      <c r="BF165" s="238" t="e">
        <v>#N/A</v>
      </c>
      <c r="BG165" s="238" t="e">
        <v>#N/A</v>
      </c>
      <c r="BH165" s="238" t="e">
        <v>#N/A</v>
      </c>
      <c r="BI165" s="230"/>
      <c r="BJ165" s="239" t="e">
        <v>#N/A</v>
      </c>
      <c r="BK165" s="240" t="e">
        <v>#N/A</v>
      </c>
      <c r="BL165" s="230"/>
      <c r="BM165" s="241">
        <v>14.75</v>
      </c>
      <c r="BN165" s="241">
        <v>24.75</v>
      </c>
      <c r="BO165" s="241">
        <v>28.87</v>
      </c>
      <c r="BP165" s="241">
        <v>10.59</v>
      </c>
      <c r="BQ165" s="241">
        <v>7.71</v>
      </c>
      <c r="BR165" s="241" t="e">
        <v>#N/A</v>
      </c>
      <c r="BS165" s="241" t="e">
        <v>#N/A</v>
      </c>
      <c r="BT165" s="241" t="e">
        <v>#N/A</v>
      </c>
      <c r="BU165" s="241" t="e">
        <v>#N/A</v>
      </c>
      <c r="BV165" s="241" t="e">
        <v>#N/A</v>
      </c>
      <c r="BW165" s="230"/>
      <c r="BX165" s="232">
        <v>994.84</v>
      </c>
      <c r="BY165" s="232">
        <v>1678.82</v>
      </c>
      <c r="BZ165" s="232">
        <v>1974.63</v>
      </c>
      <c r="CA165" s="232">
        <v>2198.71</v>
      </c>
      <c r="CB165" s="232">
        <v>1601.04</v>
      </c>
      <c r="CC165" s="232" t="e">
        <v>#N/A</v>
      </c>
      <c r="CD165" s="232" t="e">
        <v>#N/A</v>
      </c>
      <c r="CE165" s="232" t="e">
        <v>#N/A</v>
      </c>
      <c r="CF165" s="232" t="e">
        <v>#N/A</v>
      </c>
      <c r="CG165" s="232" t="e">
        <v>#N/A</v>
      </c>
      <c r="CH165" s="230"/>
      <c r="CI165" s="232">
        <v>2372.92</v>
      </c>
      <c r="CJ165" s="232">
        <v>3176.76</v>
      </c>
      <c r="CK165" s="232">
        <v>4050.12</v>
      </c>
      <c r="CL165" s="232">
        <v>4973.1400000000003</v>
      </c>
      <c r="CM165" s="232">
        <v>4326.1100000000006</v>
      </c>
      <c r="CN165" s="232" t="e">
        <v>#N/A</v>
      </c>
      <c r="CO165" s="232" t="e">
        <v>#N/A</v>
      </c>
      <c r="CP165" s="232" t="e">
        <v>#N/A</v>
      </c>
      <c r="CQ165" s="232" t="e">
        <v>#N/A</v>
      </c>
      <c r="CR165" s="232" t="e">
        <v>#N/A</v>
      </c>
      <c r="CS165" s="230"/>
      <c r="CT165" s="232">
        <v>9477.7900000000009</v>
      </c>
      <c r="CU165" s="232">
        <v>11288.53</v>
      </c>
      <c r="CV165" s="232">
        <v>13837.62</v>
      </c>
      <c r="CW165" s="232">
        <v>17316.73</v>
      </c>
      <c r="CX165" s="232">
        <v>16517.5</v>
      </c>
      <c r="CY165" s="232" t="e">
        <v>#N/A</v>
      </c>
      <c r="CZ165" s="232" t="e">
        <v>#N/A</v>
      </c>
      <c r="DA165" s="232" t="e">
        <v>#N/A</v>
      </c>
      <c r="DB165" s="232" t="e">
        <v>#N/A</v>
      </c>
      <c r="DC165" s="232" t="e">
        <v>#N/A</v>
      </c>
      <c r="DD165" s="230"/>
      <c r="DE165" s="232" t="e">
        <v>#N/A</v>
      </c>
      <c r="DF165" s="232" t="e">
        <v>#N/A</v>
      </c>
      <c r="DG165" s="232">
        <v>0</v>
      </c>
      <c r="DH165" s="230"/>
      <c r="DI165" s="230"/>
      <c r="DJ165" s="172" t="s">
        <v>277</v>
      </c>
    </row>
    <row r="166" spans="1:114" x14ac:dyDescent="0.25">
      <c r="A166" s="245" t="s">
        <v>850</v>
      </c>
      <c r="B166" s="226" t="s">
        <v>952</v>
      </c>
      <c r="C166" s="227" t="s">
        <v>953</v>
      </c>
      <c r="D166" s="228" t="str">
        <f t="shared" si="2"/>
        <v>1743842D IN Equity</v>
      </c>
      <c r="E166" s="229"/>
      <c r="F166" s="230"/>
      <c r="G166" s="231" t="e">
        <v>#N/A</v>
      </c>
      <c r="H166" s="232" t="e">
        <v>#N/A</v>
      </c>
      <c r="I166" s="230"/>
      <c r="J166" s="231" t="e">
        <v>#N/A</v>
      </c>
      <c r="K166" s="232" t="e">
        <v>#N/A</v>
      </c>
      <c r="L166" s="230"/>
      <c r="M166" s="233" t="e">
        <v>#N/A</v>
      </c>
      <c r="N166" s="233" t="e">
        <v>#N/A</v>
      </c>
      <c r="O166" s="233" t="e">
        <v>#N/A</v>
      </c>
      <c r="P166" s="233" t="e">
        <v>#N/A</v>
      </c>
      <c r="Q166" s="230"/>
      <c r="R166" s="234" t="e">
        <v>#N/A</v>
      </c>
      <c r="S166" s="234" t="e">
        <v>#N/A</v>
      </c>
      <c r="T166" s="230"/>
      <c r="U166" s="234">
        <v>-0.21807483289055593</v>
      </c>
      <c r="V166" s="234" t="e">
        <v>#N/A</v>
      </c>
      <c r="W166" s="234" t="e">
        <v>#N/A</v>
      </c>
      <c r="X166" s="234" t="e">
        <v>#N/A</v>
      </c>
      <c r="Y166" s="234">
        <v>-2.4231469922274394E-2</v>
      </c>
      <c r="Z166" s="234">
        <v>-1.9056037538800797E-2</v>
      </c>
      <c r="AA166" s="234">
        <v>0.30885450926065511</v>
      </c>
      <c r="AB166" s="234">
        <v>-1.9126872706788537E-2</v>
      </c>
      <c r="AC166" s="230"/>
      <c r="AD166" s="232">
        <v>-20.509</v>
      </c>
      <c r="AE166" s="232">
        <v>-20.509</v>
      </c>
      <c r="AF166" s="232">
        <v>0</v>
      </c>
      <c r="AG166" s="232">
        <v>-0.1</v>
      </c>
      <c r="AH166" s="235">
        <v>-20.609000000000002</v>
      </c>
      <c r="AI166" s="230"/>
      <c r="AJ166" s="232">
        <v>27.271999999999998</v>
      </c>
      <c r="AK166" s="232">
        <v>392.94200000000001</v>
      </c>
      <c r="AL166" s="235">
        <v>420.214</v>
      </c>
      <c r="AM166" s="230"/>
      <c r="AN166" s="231">
        <v>5.4631679399999991</v>
      </c>
      <c r="AO166" s="232">
        <v>399.70499999999998</v>
      </c>
      <c r="AP166" s="236">
        <v>18.358269479398231</v>
      </c>
      <c r="AQ166" s="230"/>
      <c r="AR166" s="237" t="e">
        <v>#N/A</v>
      </c>
      <c r="AS166" s="237" t="e">
        <v>#N/A</v>
      </c>
      <c r="AT166" s="237" t="e">
        <v>#N/A</v>
      </c>
      <c r="AU166" s="230"/>
      <c r="AV166" s="234" t="e">
        <v>#N/A</v>
      </c>
      <c r="AW166" s="234" t="e">
        <v>#N/A</v>
      </c>
      <c r="AX166" s="234" t="e">
        <v>#N/A</v>
      </c>
      <c r="AY166" s="234" t="e">
        <v>#N/A</v>
      </c>
      <c r="AZ166" s="230"/>
      <c r="BA166" s="232">
        <v>18.137</v>
      </c>
      <c r="BB166" s="230"/>
      <c r="BC166" s="232" t="e">
        <v>#N/A</v>
      </c>
      <c r="BD166" s="232" t="e">
        <v>#N/A</v>
      </c>
      <c r="BE166" s="230"/>
      <c r="BF166" s="238" t="e">
        <v>#N/A</v>
      </c>
      <c r="BG166" s="238" t="e">
        <v>#N/A</v>
      </c>
      <c r="BH166" s="238" t="e">
        <v>#N/A</v>
      </c>
      <c r="BI166" s="230"/>
      <c r="BJ166" s="239" t="e">
        <v>#N/A</v>
      </c>
      <c r="BK166" s="240" t="e">
        <v>#N/A</v>
      </c>
      <c r="BL166" s="230"/>
      <c r="BM166" s="241" t="e">
        <v>#N/A</v>
      </c>
      <c r="BN166" s="241">
        <v>-4.9000000000000004</v>
      </c>
      <c r="BO166" s="241" t="e">
        <v>#N/A</v>
      </c>
      <c r="BP166" s="241" t="e">
        <v>#N/A</v>
      </c>
      <c r="BQ166" s="241" t="e">
        <v>#N/A</v>
      </c>
      <c r="BR166" s="241" t="e">
        <v>#N/A</v>
      </c>
      <c r="BS166" s="241" t="e">
        <v>#N/A</v>
      </c>
      <c r="BT166" s="241" t="e">
        <v>#N/A</v>
      </c>
      <c r="BU166" s="241" t="e">
        <v>#N/A</v>
      </c>
      <c r="BV166" s="241" t="e">
        <v>#N/A</v>
      </c>
      <c r="BW166" s="230"/>
      <c r="BX166" s="232">
        <v>-146.04746299999999</v>
      </c>
      <c r="BY166" s="232">
        <v>-54.405421400000002</v>
      </c>
      <c r="BZ166" s="232" t="e">
        <v>#N/A</v>
      </c>
      <c r="CA166" s="232" t="e">
        <v>#N/A</v>
      </c>
      <c r="CB166" s="232" t="e">
        <v>#N/A</v>
      </c>
      <c r="CC166" s="232" t="e">
        <v>#N/A</v>
      </c>
      <c r="CD166" s="232" t="e">
        <v>#N/A</v>
      </c>
      <c r="CE166" s="232" t="e">
        <v>#N/A</v>
      </c>
      <c r="CF166" s="232" t="e">
        <v>#N/A</v>
      </c>
      <c r="CG166" s="232" t="e">
        <v>#N/A</v>
      </c>
      <c r="CH166" s="230"/>
      <c r="CI166" s="232">
        <v>38.264373999999997</v>
      </c>
      <c r="CJ166" s="232">
        <v>21.772477000000002</v>
      </c>
      <c r="CK166" s="232" t="e">
        <v>#N/A</v>
      </c>
      <c r="CL166" s="232" t="e">
        <v>#N/A</v>
      </c>
      <c r="CM166" s="232" t="e">
        <v>#N/A</v>
      </c>
      <c r="CN166" s="232" t="e">
        <v>#N/A</v>
      </c>
      <c r="CO166" s="232" t="e">
        <v>#N/A</v>
      </c>
      <c r="CP166" s="232" t="e">
        <v>#N/A</v>
      </c>
      <c r="CQ166" s="232" t="e">
        <v>#N/A</v>
      </c>
      <c r="CR166" s="232" t="e">
        <v>#N/A</v>
      </c>
      <c r="CS166" s="230"/>
      <c r="CT166" s="232">
        <v>519.86804600000005</v>
      </c>
      <c r="CU166" s="232">
        <v>444.93847699999998</v>
      </c>
      <c r="CV166" s="232" t="e">
        <v>#N/A</v>
      </c>
      <c r="CW166" s="232" t="e">
        <v>#N/A</v>
      </c>
      <c r="CX166" s="232" t="e">
        <v>#N/A</v>
      </c>
      <c r="CY166" s="232" t="e">
        <v>#N/A</v>
      </c>
      <c r="CZ166" s="232" t="e">
        <v>#N/A</v>
      </c>
      <c r="DA166" s="232" t="e">
        <v>#N/A</v>
      </c>
      <c r="DB166" s="232" t="e">
        <v>#N/A</v>
      </c>
      <c r="DC166" s="232" t="e">
        <v>#N/A</v>
      </c>
      <c r="DD166" s="230"/>
      <c r="DE166" s="232" t="e">
        <v>#N/A</v>
      </c>
      <c r="DF166" s="232" t="e">
        <v>#N/A</v>
      </c>
      <c r="DG166" s="232">
        <v>0</v>
      </c>
      <c r="DH166" s="230"/>
      <c r="DI166" s="230"/>
      <c r="DJ166" s="172" t="s">
        <v>277</v>
      </c>
    </row>
    <row r="167" spans="1:114" x14ac:dyDescent="0.25">
      <c r="A167" s="245" t="s">
        <v>850</v>
      </c>
      <c r="B167" s="226" t="s">
        <v>954</v>
      </c>
      <c r="C167" s="227" t="s">
        <v>955</v>
      </c>
      <c r="D167" s="228" t="str">
        <f t="shared" si="2"/>
        <v>BIOS IN Equity</v>
      </c>
      <c r="E167" s="229"/>
      <c r="F167" s="230"/>
      <c r="G167" s="231">
        <v>5933.3259818199649</v>
      </c>
      <c r="H167" s="232">
        <v>532579.47216242843</v>
      </c>
      <c r="I167" s="230"/>
      <c r="J167" s="231">
        <v>7811.0651618199654</v>
      </c>
      <c r="K167" s="232">
        <v>699415.47216242843</v>
      </c>
      <c r="L167" s="230"/>
      <c r="M167" s="233">
        <v>99.837094261532727</v>
      </c>
      <c r="N167" s="233">
        <v>37.330147699701591</v>
      </c>
      <c r="O167" s="233">
        <v>20.584968424593946</v>
      </c>
      <c r="P167" s="233">
        <v>14.425976079718719</v>
      </c>
      <c r="Q167" s="230"/>
      <c r="R167" s="234">
        <v>1.986969930018462</v>
      </c>
      <c r="S167" s="234" t="e">
        <v>#N/A</v>
      </c>
      <c r="T167" s="230"/>
      <c r="U167" s="234">
        <v>2.0315167542596994E-2</v>
      </c>
      <c r="V167" s="234">
        <v>2.6472727272727269E-2</v>
      </c>
      <c r="W167" s="234" t="e">
        <v>#N/A</v>
      </c>
      <c r="X167" s="234">
        <v>0.15294483041021376</v>
      </c>
      <c r="Y167" s="234">
        <v>2.8888606490318727E-2</v>
      </c>
      <c r="Z167" s="234">
        <v>3.451099233053289E-2</v>
      </c>
      <c r="AA167" s="234">
        <v>2.8065864635506806E-2</v>
      </c>
      <c r="AB167" s="234">
        <v>3.4323344869211424E-2</v>
      </c>
      <c r="AC167" s="230"/>
      <c r="AD167" s="232">
        <v>-46011</v>
      </c>
      <c r="AE167" s="232">
        <v>-61035</v>
      </c>
      <c r="AF167" s="232">
        <v>-15024</v>
      </c>
      <c r="AG167" s="232">
        <v>-8309</v>
      </c>
      <c r="AH167" s="235">
        <v>-69344</v>
      </c>
      <c r="AI167" s="230"/>
      <c r="AJ167" s="232">
        <v>54074</v>
      </c>
      <c r="AK167" s="232">
        <v>111281</v>
      </c>
      <c r="AL167" s="235">
        <v>165355</v>
      </c>
      <c r="AM167" s="230"/>
      <c r="AN167" s="231">
        <v>1174.1215999999999</v>
      </c>
      <c r="AO167" s="232">
        <v>104320</v>
      </c>
      <c r="AP167" s="236">
        <v>3.070312270065044</v>
      </c>
      <c r="AQ167" s="230"/>
      <c r="AR167" s="237">
        <v>1336.9636349999998</v>
      </c>
      <c r="AS167" s="237">
        <v>1268.79090875</v>
      </c>
      <c r="AT167" s="237">
        <v>1268.79090875</v>
      </c>
      <c r="AU167" s="230"/>
      <c r="AV167" s="234">
        <v>5.4450000000000002E-3</v>
      </c>
      <c r="AW167" s="234">
        <v>0.50087675487283811</v>
      </c>
      <c r="AX167" s="234">
        <v>6.6100000000000002E-4</v>
      </c>
      <c r="AY167" s="234">
        <v>0.39312516903273886</v>
      </c>
      <c r="AZ167" s="230"/>
      <c r="BA167" s="232">
        <v>62516</v>
      </c>
      <c r="BB167" s="230"/>
      <c r="BC167" s="232" t="e">
        <v>#N/A</v>
      </c>
      <c r="BD167" s="232" t="e">
        <v>#N/A</v>
      </c>
      <c r="BE167" s="230"/>
      <c r="BF167" s="238">
        <v>2.8246452000000022</v>
      </c>
      <c r="BG167" s="238">
        <v>2.3419912000000016</v>
      </c>
      <c r="BH167" s="238">
        <v>4.6289647999999985</v>
      </c>
      <c r="BI167" s="230"/>
      <c r="BJ167" s="239">
        <v>4.4379112688580831</v>
      </c>
      <c r="BK167" s="240">
        <v>398.35000610351563</v>
      </c>
      <c r="BL167" s="230"/>
      <c r="BM167" s="241">
        <v>7.1340000000000003</v>
      </c>
      <c r="BN167" s="241">
        <v>6.2160000000000002</v>
      </c>
      <c r="BO167" s="241">
        <v>6.3719999999999999</v>
      </c>
      <c r="BP167" s="241">
        <v>6.3205099999999996</v>
      </c>
      <c r="BQ167" s="241">
        <v>8.6131930000000008</v>
      </c>
      <c r="BR167" s="241">
        <v>8.4600000000000009</v>
      </c>
      <c r="BS167" s="241">
        <v>10.670999999999999</v>
      </c>
      <c r="BT167" s="241">
        <v>17.364999999999998</v>
      </c>
      <c r="BU167" s="241">
        <v>5.0699999999999994</v>
      </c>
      <c r="BV167" s="241">
        <v>16.423999999999999</v>
      </c>
      <c r="BW167" s="230"/>
      <c r="BX167" s="232">
        <v>7719.2</v>
      </c>
      <c r="BY167" s="232">
        <v>6259.1</v>
      </c>
      <c r="BZ167" s="232">
        <v>6397.9</v>
      </c>
      <c r="CA167" s="232">
        <v>3185.7741999999998</v>
      </c>
      <c r="CB167" s="232">
        <v>8173.1614</v>
      </c>
      <c r="CC167" s="232">
        <v>3185.7828</v>
      </c>
      <c r="CD167" s="232">
        <v>14875.218833149165</v>
      </c>
      <c r="CE167" s="232">
        <v>17457.604023528955</v>
      </c>
      <c r="CF167" s="232">
        <v>2234.1058359762965</v>
      </c>
      <c r="CG167" s="232">
        <v>20644.305295400674</v>
      </c>
      <c r="CH167" s="230"/>
      <c r="CI167" s="232">
        <v>16031</v>
      </c>
      <c r="CJ167" s="232">
        <v>16528</v>
      </c>
      <c r="CK167" s="232">
        <v>19702</v>
      </c>
      <c r="CL167" s="232">
        <v>21195</v>
      </c>
      <c r="CM167" s="232">
        <v>32149</v>
      </c>
      <c r="CN167" s="232">
        <v>31663</v>
      </c>
      <c r="CO167" s="232">
        <v>42949.523809523802</v>
      </c>
      <c r="CP167" s="232">
        <v>66894</v>
      </c>
      <c r="CQ167" s="232">
        <v>24732.221000000001</v>
      </c>
      <c r="CR167" s="232">
        <v>50684.800000000003</v>
      </c>
      <c r="CS167" s="230"/>
      <c r="CT167" s="232">
        <v>61448</v>
      </c>
      <c r="CU167" s="232">
        <v>70074</v>
      </c>
      <c r="CV167" s="232">
        <v>80248</v>
      </c>
      <c r="CW167" s="232">
        <v>111742</v>
      </c>
      <c r="CX167" s="232">
        <v>147557</v>
      </c>
      <c r="CY167" s="232">
        <v>152617</v>
      </c>
      <c r="CZ167" s="232">
        <v>203430.04166666666</v>
      </c>
      <c r="DA167" s="232">
        <v>288325.40000000002</v>
      </c>
      <c r="DB167" s="232">
        <v>115974.936</v>
      </c>
      <c r="DC167" s="232">
        <v>214733.2</v>
      </c>
      <c r="DD167" s="230"/>
      <c r="DE167" s="232" t="e">
        <v>#N/A</v>
      </c>
      <c r="DF167" s="232">
        <v>1452</v>
      </c>
      <c r="DG167" s="232" t="e">
        <v>#N/A</v>
      </c>
      <c r="DH167" s="230"/>
      <c r="DI167" s="230"/>
      <c r="DJ167" s="172" t="s">
        <v>277</v>
      </c>
    </row>
    <row r="168" spans="1:114" x14ac:dyDescent="0.25">
      <c r="A168" s="172" t="s">
        <v>277</v>
      </c>
      <c r="B168" s="172" t="s">
        <v>277</v>
      </c>
      <c r="C168" s="172" t="s">
        <v>277</v>
      </c>
      <c r="D168" s="172" t="s">
        <v>277</v>
      </c>
      <c r="E168" s="172" t="s">
        <v>277</v>
      </c>
      <c r="F168" s="172" t="s">
        <v>277</v>
      </c>
      <c r="G168" s="172" t="s">
        <v>277</v>
      </c>
      <c r="H168" s="172" t="s">
        <v>277</v>
      </c>
      <c r="I168" s="172" t="s">
        <v>277</v>
      </c>
      <c r="J168" s="172" t="s">
        <v>277</v>
      </c>
      <c r="K168" s="172" t="s">
        <v>277</v>
      </c>
      <c r="L168" s="172" t="s">
        <v>277</v>
      </c>
      <c r="M168" s="172" t="s">
        <v>277</v>
      </c>
      <c r="N168" s="172" t="s">
        <v>277</v>
      </c>
      <c r="O168" s="172" t="s">
        <v>277</v>
      </c>
      <c r="P168" s="172" t="s">
        <v>277</v>
      </c>
      <c r="Q168" s="172" t="s">
        <v>277</v>
      </c>
      <c r="R168" s="172" t="s">
        <v>277</v>
      </c>
      <c r="S168" s="172" t="s">
        <v>277</v>
      </c>
      <c r="T168" s="172" t="s">
        <v>277</v>
      </c>
      <c r="U168" s="172" t="s">
        <v>277</v>
      </c>
      <c r="V168" s="172" t="s">
        <v>277</v>
      </c>
      <c r="W168" s="172" t="s">
        <v>277</v>
      </c>
      <c r="X168" s="172" t="s">
        <v>277</v>
      </c>
      <c r="Y168" s="172" t="s">
        <v>277</v>
      </c>
      <c r="Z168" s="172" t="s">
        <v>277</v>
      </c>
      <c r="AA168" s="172" t="s">
        <v>277</v>
      </c>
      <c r="AB168" s="172" t="s">
        <v>277</v>
      </c>
      <c r="AC168" s="172" t="s">
        <v>277</v>
      </c>
      <c r="AD168" s="172" t="s">
        <v>277</v>
      </c>
      <c r="AE168" s="172" t="s">
        <v>277</v>
      </c>
      <c r="AF168" s="172" t="s">
        <v>277</v>
      </c>
      <c r="AG168" s="172" t="s">
        <v>277</v>
      </c>
      <c r="AH168" s="172" t="s">
        <v>277</v>
      </c>
      <c r="AI168" s="172" t="s">
        <v>277</v>
      </c>
      <c r="AJ168" s="172" t="s">
        <v>277</v>
      </c>
      <c r="AK168" s="172" t="s">
        <v>277</v>
      </c>
      <c r="AL168" s="172" t="s">
        <v>277</v>
      </c>
      <c r="AM168" s="172" t="s">
        <v>277</v>
      </c>
      <c r="AN168" s="172" t="s">
        <v>277</v>
      </c>
      <c r="AO168" s="172" t="s">
        <v>277</v>
      </c>
      <c r="AP168" s="172" t="s">
        <v>277</v>
      </c>
      <c r="AQ168" s="172" t="s">
        <v>277</v>
      </c>
      <c r="AR168" s="172" t="s">
        <v>277</v>
      </c>
      <c r="AS168" s="172" t="s">
        <v>277</v>
      </c>
      <c r="AT168" s="172" t="s">
        <v>277</v>
      </c>
      <c r="AU168" s="172" t="s">
        <v>277</v>
      </c>
      <c r="AV168" s="172" t="s">
        <v>277</v>
      </c>
      <c r="AW168" s="172" t="s">
        <v>277</v>
      </c>
      <c r="AX168" s="172" t="s">
        <v>277</v>
      </c>
      <c r="AY168" s="172" t="s">
        <v>277</v>
      </c>
      <c r="AZ168" s="172" t="s">
        <v>277</v>
      </c>
      <c r="BA168" s="172" t="s">
        <v>277</v>
      </c>
      <c r="BB168" s="172" t="s">
        <v>277</v>
      </c>
      <c r="BC168" s="172" t="s">
        <v>277</v>
      </c>
      <c r="BD168" s="172" t="s">
        <v>277</v>
      </c>
      <c r="BE168" s="172" t="s">
        <v>277</v>
      </c>
      <c r="BF168" s="172" t="s">
        <v>277</v>
      </c>
      <c r="BG168" s="172" t="s">
        <v>277</v>
      </c>
      <c r="BH168" s="172" t="s">
        <v>277</v>
      </c>
      <c r="BI168" s="172" t="s">
        <v>277</v>
      </c>
      <c r="BJ168" s="172" t="s">
        <v>277</v>
      </c>
      <c r="BK168" s="172" t="s">
        <v>277</v>
      </c>
      <c r="BL168" s="172" t="s">
        <v>277</v>
      </c>
      <c r="BM168" s="172" t="s">
        <v>277</v>
      </c>
      <c r="BN168" s="172" t="s">
        <v>277</v>
      </c>
      <c r="BO168" s="172" t="s">
        <v>277</v>
      </c>
      <c r="BP168" s="172" t="s">
        <v>277</v>
      </c>
      <c r="BQ168" s="172" t="s">
        <v>277</v>
      </c>
      <c r="BR168" s="172" t="s">
        <v>277</v>
      </c>
      <c r="BS168" s="172" t="s">
        <v>277</v>
      </c>
      <c r="BT168" s="172" t="s">
        <v>277</v>
      </c>
      <c r="BU168" s="172" t="s">
        <v>277</v>
      </c>
      <c r="BV168" s="172" t="s">
        <v>277</v>
      </c>
      <c r="BW168" s="172" t="s">
        <v>277</v>
      </c>
      <c r="BX168" s="172" t="s">
        <v>277</v>
      </c>
      <c r="BY168" s="172" t="s">
        <v>277</v>
      </c>
      <c r="BZ168" s="172" t="s">
        <v>277</v>
      </c>
      <c r="CA168" s="172" t="s">
        <v>277</v>
      </c>
      <c r="CB168" s="172" t="s">
        <v>277</v>
      </c>
      <c r="CC168" s="172" t="s">
        <v>277</v>
      </c>
      <c r="CD168" s="172" t="s">
        <v>277</v>
      </c>
      <c r="CE168" s="172" t="s">
        <v>277</v>
      </c>
      <c r="CF168" s="172" t="s">
        <v>277</v>
      </c>
      <c r="CG168" s="172" t="s">
        <v>277</v>
      </c>
      <c r="CH168" s="172" t="s">
        <v>277</v>
      </c>
      <c r="CI168" s="172" t="s">
        <v>277</v>
      </c>
      <c r="CJ168" s="172" t="s">
        <v>277</v>
      </c>
      <c r="CK168" s="172" t="s">
        <v>277</v>
      </c>
      <c r="CL168" s="172" t="s">
        <v>277</v>
      </c>
      <c r="CM168" s="172" t="s">
        <v>277</v>
      </c>
      <c r="CN168" s="172" t="s">
        <v>277</v>
      </c>
      <c r="CO168" s="172" t="s">
        <v>277</v>
      </c>
      <c r="CP168" s="172" t="s">
        <v>277</v>
      </c>
      <c r="CQ168" s="172" t="s">
        <v>277</v>
      </c>
      <c r="CR168" s="172" t="s">
        <v>277</v>
      </c>
      <c r="CS168" s="172" t="s">
        <v>277</v>
      </c>
      <c r="CT168" s="172" t="s">
        <v>277</v>
      </c>
      <c r="CU168" s="172" t="s">
        <v>277</v>
      </c>
      <c r="CV168" s="172" t="s">
        <v>277</v>
      </c>
      <c r="CW168" s="172" t="s">
        <v>277</v>
      </c>
      <c r="CX168" s="172" t="s">
        <v>277</v>
      </c>
      <c r="CY168" s="172" t="s">
        <v>277</v>
      </c>
      <c r="CZ168" s="172" t="s">
        <v>277</v>
      </c>
      <c r="DA168" s="172" t="s">
        <v>277</v>
      </c>
      <c r="DB168" s="172" t="s">
        <v>277</v>
      </c>
      <c r="DC168" s="172" t="s">
        <v>277</v>
      </c>
      <c r="DD168" s="172" t="s">
        <v>277</v>
      </c>
      <c r="DE168" s="172"/>
      <c r="DF168" s="172"/>
      <c r="DG168" s="172"/>
      <c r="DH168" s="172" t="s">
        <v>277</v>
      </c>
      <c r="DI168" s="172" t="s">
        <v>277</v>
      </c>
      <c r="DJ168" s="172" t="s">
        <v>277</v>
      </c>
    </row>
    <row r="169" spans="1:114" x14ac:dyDescent="0.25">
      <c r="A169" s="172" t="s">
        <v>277</v>
      </c>
      <c r="B169" s="172" t="s">
        <v>277</v>
      </c>
      <c r="C169" s="172" t="s">
        <v>277</v>
      </c>
      <c r="D169" s="172" t="s">
        <v>277</v>
      </c>
      <c r="E169" s="172" t="s">
        <v>277</v>
      </c>
      <c r="F169" s="172" t="s">
        <v>277</v>
      </c>
      <c r="G169" s="172" t="s">
        <v>277</v>
      </c>
      <c r="H169" s="172" t="s">
        <v>277</v>
      </c>
      <c r="I169" s="172" t="s">
        <v>277</v>
      </c>
      <c r="J169" s="172" t="s">
        <v>277</v>
      </c>
      <c r="K169" s="172" t="s">
        <v>277</v>
      </c>
      <c r="L169" s="172" t="s">
        <v>277</v>
      </c>
      <c r="M169" s="172" t="s">
        <v>277</v>
      </c>
      <c r="N169" s="172" t="s">
        <v>277</v>
      </c>
      <c r="O169" s="172" t="s">
        <v>277</v>
      </c>
      <c r="P169" s="172" t="s">
        <v>277</v>
      </c>
      <c r="Q169" s="172" t="s">
        <v>277</v>
      </c>
      <c r="R169" s="172" t="s">
        <v>277</v>
      </c>
      <c r="S169" s="172" t="s">
        <v>277</v>
      </c>
      <c r="T169" s="172" t="s">
        <v>277</v>
      </c>
      <c r="U169" s="172" t="s">
        <v>277</v>
      </c>
      <c r="V169" s="172" t="s">
        <v>277</v>
      </c>
      <c r="W169" s="172" t="s">
        <v>277</v>
      </c>
      <c r="X169" s="172" t="s">
        <v>277</v>
      </c>
      <c r="Y169" s="172" t="s">
        <v>277</v>
      </c>
      <c r="Z169" s="172" t="s">
        <v>277</v>
      </c>
      <c r="AA169" s="172" t="s">
        <v>277</v>
      </c>
      <c r="AB169" s="172" t="s">
        <v>277</v>
      </c>
      <c r="AC169" s="172" t="s">
        <v>277</v>
      </c>
      <c r="AD169" s="172" t="s">
        <v>277</v>
      </c>
      <c r="AE169" s="172" t="s">
        <v>277</v>
      </c>
      <c r="AF169" s="172" t="s">
        <v>277</v>
      </c>
      <c r="AG169" s="172" t="s">
        <v>277</v>
      </c>
      <c r="AH169" s="172" t="s">
        <v>277</v>
      </c>
      <c r="AI169" s="172" t="s">
        <v>277</v>
      </c>
      <c r="AJ169" s="172" t="s">
        <v>277</v>
      </c>
      <c r="AK169" s="172" t="s">
        <v>277</v>
      </c>
      <c r="AL169" s="172" t="s">
        <v>277</v>
      </c>
      <c r="AM169" s="172" t="s">
        <v>277</v>
      </c>
      <c r="AN169" s="172" t="s">
        <v>277</v>
      </c>
      <c r="AO169" s="172" t="s">
        <v>277</v>
      </c>
      <c r="AP169" s="172" t="s">
        <v>277</v>
      </c>
      <c r="AQ169" s="172" t="s">
        <v>277</v>
      </c>
      <c r="AR169" s="172" t="s">
        <v>277</v>
      </c>
      <c r="AS169" s="172" t="s">
        <v>277</v>
      </c>
      <c r="AT169" s="172" t="s">
        <v>277</v>
      </c>
      <c r="AU169" s="172" t="s">
        <v>277</v>
      </c>
      <c r="AV169" s="172" t="s">
        <v>277</v>
      </c>
      <c r="AW169" s="172" t="s">
        <v>277</v>
      </c>
      <c r="AX169" s="172" t="s">
        <v>277</v>
      </c>
      <c r="AY169" s="172" t="s">
        <v>277</v>
      </c>
      <c r="AZ169" s="172" t="s">
        <v>277</v>
      </c>
      <c r="BA169" s="172" t="s">
        <v>277</v>
      </c>
      <c r="BB169" s="172" t="s">
        <v>277</v>
      </c>
      <c r="BC169" s="172" t="s">
        <v>277</v>
      </c>
      <c r="BD169" s="172" t="s">
        <v>277</v>
      </c>
      <c r="BE169" s="172" t="s">
        <v>277</v>
      </c>
      <c r="BF169" s="172" t="s">
        <v>277</v>
      </c>
      <c r="BG169" s="172" t="s">
        <v>277</v>
      </c>
      <c r="BH169" s="172" t="s">
        <v>277</v>
      </c>
      <c r="BI169" s="172" t="s">
        <v>277</v>
      </c>
      <c r="BJ169" s="172" t="s">
        <v>277</v>
      </c>
      <c r="BK169" s="172" t="s">
        <v>277</v>
      </c>
      <c r="BL169" s="172" t="s">
        <v>277</v>
      </c>
      <c r="BM169" s="172" t="s">
        <v>277</v>
      </c>
      <c r="BN169" s="172" t="s">
        <v>277</v>
      </c>
      <c r="BO169" s="172" t="s">
        <v>277</v>
      </c>
      <c r="BP169" s="172" t="s">
        <v>277</v>
      </c>
      <c r="BQ169" s="172" t="s">
        <v>277</v>
      </c>
      <c r="BR169" s="172" t="s">
        <v>277</v>
      </c>
      <c r="BS169" s="172" t="s">
        <v>277</v>
      </c>
      <c r="BT169" s="172" t="s">
        <v>277</v>
      </c>
      <c r="BU169" s="172" t="s">
        <v>277</v>
      </c>
      <c r="BV169" s="172" t="s">
        <v>277</v>
      </c>
      <c r="BW169" s="172" t="s">
        <v>277</v>
      </c>
      <c r="BX169" s="172" t="s">
        <v>277</v>
      </c>
      <c r="BY169" s="172" t="s">
        <v>277</v>
      </c>
      <c r="BZ169" s="172" t="s">
        <v>277</v>
      </c>
      <c r="CA169" s="172" t="s">
        <v>277</v>
      </c>
      <c r="CB169" s="172" t="s">
        <v>277</v>
      </c>
      <c r="CC169" s="172" t="s">
        <v>277</v>
      </c>
      <c r="CD169" s="172" t="s">
        <v>277</v>
      </c>
      <c r="CE169" s="172" t="s">
        <v>277</v>
      </c>
      <c r="CF169" s="172" t="s">
        <v>277</v>
      </c>
      <c r="CG169" s="172" t="s">
        <v>277</v>
      </c>
      <c r="CH169" s="172" t="s">
        <v>277</v>
      </c>
      <c r="CI169" s="172" t="s">
        <v>277</v>
      </c>
      <c r="CJ169" s="172" t="s">
        <v>277</v>
      </c>
      <c r="CK169" s="172" t="s">
        <v>277</v>
      </c>
      <c r="CL169" s="172" t="s">
        <v>277</v>
      </c>
      <c r="CM169" s="172" t="s">
        <v>277</v>
      </c>
      <c r="CN169" s="172" t="s">
        <v>277</v>
      </c>
      <c r="CO169" s="172" t="s">
        <v>277</v>
      </c>
      <c r="CP169" s="172" t="s">
        <v>277</v>
      </c>
      <c r="CQ169" s="172" t="s">
        <v>277</v>
      </c>
      <c r="CR169" s="172" t="s">
        <v>277</v>
      </c>
      <c r="CS169" s="172" t="s">
        <v>277</v>
      </c>
      <c r="CT169" s="172" t="s">
        <v>277</v>
      </c>
      <c r="CU169" s="172" t="s">
        <v>277</v>
      </c>
      <c r="CV169" s="172" t="s">
        <v>277</v>
      </c>
      <c r="CW169" s="172" t="s">
        <v>277</v>
      </c>
      <c r="CX169" s="172" t="s">
        <v>277</v>
      </c>
      <c r="CY169" s="172" t="s">
        <v>277</v>
      </c>
      <c r="CZ169" s="172" t="s">
        <v>277</v>
      </c>
      <c r="DA169" s="172" t="s">
        <v>277</v>
      </c>
      <c r="DB169" s="172" t="s">
        <v>277</v>
      </c>
      <c r="DC169" s="172" t="s">
        <v>277</v>
      </c>
      <c r="DD169" s="172" t="s">
        <v>277</v>
      </c>
      <c r="DE169" s="172"/>
      <c r="DF169" s="172"/>
      <c r="DG169" s="172"/>
      <c r="DH169" s="172" t="s">
        <v>277</v>
      </c>
      <c r="DI169" s="172" t="s">
        <v>277</v>
      </c>
      <c r="DJ169" s="172" t="s">
        <v>277</v>
      </c>
    </row>
    <row r="170" spans="1:114" x14ac:dyDescent="0.25">
      <c r="A170" s="172" t="s">
        <v>277</v>
      </c>
      <c r="B170" s="172" t="s">
        <v>277</v>
      </c>
      <c r="C170" s="172" t="s">
        <v>277</v>
      </c>
      <c r="D170" s="172" t="s">
        <v>277</v>
      </c>
      <c r="E170" s="172" t="s">
        <v>277</v>
      </c>
      <c r="F170" s="172" t="s">
        <v>277</v>
      </c>
      <c r="G170" s="172" t="s">
        <v>277</v>
      </c>
      <c r="H170" s="172" t="s">
        <v>277</v>
      </c>
      <c r="I170" s="172" t="s">
        <v>277</v>
      </c>
      <c r="J170" s="172" t="s">
        <v>277</v>
      </c>
      <c r="K170" s="172" t="s">
        <v>277</v>
      </c>
      <c r="L170" s="172" t="s">
        <v>277</v>
      </c>
      <c r="M170" s="172" t="s">
        <v>277</v>
      </c>
      <c r="N170" s="172" t="s">
        <v>277</v>
      </c>
      <c r="O170" s="172" t="s">
        <v>277</v>
      </c>
      <c r="P170" s="172" t="s">
        <v>277</v>
      </c>
      <c r="Q170" s="172" t="s">
        <v>277</v>
      </c>
      <c r="R170" s="172" t="s">
        <v>277</v>
      </c>
      <c r="S170" s="172" t="s">
        <v>277</v>
      </c>
      <c r="T170" s="172" t="s">
        <v>277</v>
      </c>
      <c r="U170" s="172" t="s">
        <v>277</v>
      </c>
      <c r="V170" s="172" t="s">
        <v>277</v>
      </c>
      <c r="W170" s="172" t="s">
        <v>277</v>
      </c>
      <c r="X170" s="172" t="s">
        <v>277</v>
      </c>
      <c r="Y170" s="172" t="s">
        <v>277</v>
      </c>
      <c r="Z170" s="172" t="s">
        <v>277</v>
      </c>
      <c r="AA170" s="172" t="s">
        <v>277</v>
      </c>
      <c r="AB170" s="172" t="s">
        <v>277</v>
      </c>
      <c r="AC170" s="172" t="s">
        <v>277</v>
      </c>
      <c r="AD170" s="172" t="s">
        <v>277</v>
      </c>
      <c r="AE170" s="172" t="s">
        <v>277</v>
      </c>
      <c r="AF170" s="172" t="s">
        <v>277</v>
      </c>
      <c r="AG170" s="172" t="s">
        <v>277</v>
      </c>
      <c r="AH170" s="172" t="s">
        <v>277</v>
      </c>
      <c r="AI170" s="172" t="s">
        <v>277</v>
      </c>
      <c r="AJ170" s="172" t="s">
        <v>277</v>
      </c>
      <c r="AK170" s="172" t="s">
        <v>277</v>
      </c>
      <c r="AL170" s="172" t="s">
        <v>277</v>
      </c>
      <c r="AM170" s="172" t="s">
        <v>277</v>
      </c>
      <c r="AN170" s="172" t="s">
        <v>277</v>
      </c>
      <c r="AO170" s="172" t="s">
        <v>277</v>
      </c>
      <c r="AP170" s="172" t="s">
        <v>277</v>
      </c>
      <c r="AQ170" s="172" t="s">
        <v>277</v>
      </c>
      <c r="AR170" s="172" t="s">
        <v>277</v>
      </c>
      <c r="AS170" s="172" t="s">
        <v>277</v>
      </c>
      <c r="AT170" s="172" t="s">
        <v>277</v>
      </c>
      <c r="AU170" s="172" t="s">
        <v>277</v>
      </c>
      <c r="AV170" s="172" t="s">
        <v>277</v>
      </c>
      <c r="AW170" s="172" t="s">
        <v>277</v>
      </c>
      <c r="AX170" s="172" t="s">
        <v>277</v>
      </c>
      <c r="AY170" s="172" t="s">
        <v>277</v>
      </c>
      <c r="AZ170" s="172" t="s">
        <v>277</v>
      </c>
      <c r="BA170" s="172" t="s">
        <v>277</v>
      </c>
      <c r="BB170" s="172" t="s">
        <v>277</v>
      </c>
      <c r="BC170" s="172" t="s">
        <v>277</v>
      </c>
      <c r="BD170" s="172" t="s">
        <v>277</v>
      </c>
      <c r="BE170" s="172" t="s">
        <v>277</v>
      </c>
      <c r="BF170" s="172" t="s">
        <v>277</v>
      </c>
      <c r="BG170" s="172" t="s">
        <v>277</v>
      </c>
      <c r="BH170" s="172" t="s">
        <v>277</v>
      </c>
      <c r="BI170" s="172" t="s">
        <v>277</v>
      </c>
      <c r="BJ170" s="172" t="s">
        <v>277</v>
      </c>
      <c r="BK170" s="172" t="s">
        <v>277</v>
      </c>
      <c r="BL170" s="172" t="s">
        <v>277</v>
      </c>
      <c r="BM170" s="172" t="s">
        <v>277</v>
      </c>
      <c r="BN170" s="172" t="s">
        <v>277</v>
      </c>
      <c r="BO170" s="172" t="s">
        <v>277</v>
      </c>
      <c r="BP170" s="172" t="s">
        <v>277</v>
      </c>
      <c r="BQ170" s="172" t="s">
        <v>277</v>
      </c>
      <c r="BR170" s="172" t="s">
        <v>277</v>
      </c>
      <c r="BS170" s="172" t="s">
        <v>277</v>
      </c>
      <c r="BT170" s="172" t="s">
        <v>277</v>
      </c>
      <c r="BU170" s="172" t="s">
        <v>277</v>
      </c>
      <c r="BV170" s="172" t="s">
        <v>277</v>
      </c>
      <c r="BW170" s="172" t="s">
        <v>277</v>
      </c>
      <c r="BX170" s="172" t="s">
        <v>277</v>
      </c>
      <c r="BY170" s="172" t="s">
        <v>277</v>
      </c>
      <c r="BZ170" s="172" t="s">
        <v>277</v>
      </c>
      <c r="CA170" s="172" t="s">
        <v>277</v>
      </c>
      <c r="CB170" s="172" t="s">
        <v>277</v>
      </c>
      <c r="CC170" s="172" t="s">
        <v>277</v>
      </c>
      <c r="CD170" s="172" t="s">
        <v>277</v>
      </c>
      <c r="CE170" s="172" t="s">
        <v>277</v>
      </c>
      <c r="CF170" s="172" t="s">
        <v>277</v>
      </c>
      <c r="CG170" s="172" t="s">
        <v>277</v>
      </c>
      <c r="CH170" s="172" t="s">
        <v>277</v>
      </c>
      <c r="CI170" s="172" t="s">
        <v>277</v>
      </c>
      <c r="CJ170" s="172" t="s">
        <v>277</v>
      </c>
      <c r="CK170" s="172" t="s">
        <v>277</v>
      </c>
      <c r="CL170" s="172" t="s">
        <v>277</v>
      </c>
      <c r="CM170" s="172" t="s">
        <v>277</v>
      </c>
      <c r="CN170" s="172" t="s">
        <v>277</v>
      </c>
      <c r="CO170" s="172" t="s">
        <v>277</v>
      </c>
      <c r="CP170" s="172" t="s">
        <v>277</v>
      </c>
      <c r="CQ170" s="172" t="s">
        <v>277</v>
      </c>
      <c r="CR170" s="172" t="s">
        <v>277</v>
      </c>
      <c r="CS170" s="172" t="s">
        <v>277</v>
      </c>
      <c r="CT170" s="172" t="s">
        <v>277</v>
      </c>
      <c r="CU170" s="172" t="s">
        <v>277</v>
      </c>
      <c r="CV170" s="172" t="s">
        <v>277</v>
      </c>
      <c r="CW170" s="172" t="s">
        <v>277</v>
      </c>
      <c r="CX170" s="172" t="s">
        <v>277</v>
      </c>
      <c r="CY170" s="172" t="s">
        <v>277</v>
      </c>
      <c r="CZ170" s="172" t="s">
        <v>277</v>
      </c>
      <c r="DA170" s="172" t="s">
        <v>277</v>
      </c>
      <c r="DB170" s="172" t="s">
        <v>277</v>
      </c>
      <c r="DC170" s="172" t="s">
        <v>277</v>
      </c>
      <c r="DD170" s="172" t="s">
        <v>277</v>
      </c>
      <c r="DE170" s="172"/>
      <c r="DF170" s="172"/>
      <c r="DG170" s="172"/>
      <c r="DH170" s="172" t="s">
        <v>277</v>
      </c>
      <c r="DI170" s="172" t="s">
        <v>277</v>
      </c>
      <c r="DJ170" s="172" t="s">
        <v>277</v>
      </c>
    </row>
    <row r="171" spans="1:114" x14ac:dyDescent="0.25">
      <c r="A171" s="172" t="s">
        <v>277</v>
      </c>
      <c r="B171" s="172" t="s">
        <v>277</v>
      </c>
      <c r="C171" s="172" t="s">
        <v>277</v>
      </c>
      <c r="D171" s="172" t="s">
        <v>277</v>
      </c>
      <c r="E171" s="172" t="s">
        <v>277</v>
      </c>
      <c r="F171" s="172" t="s">
        <v>277</v>
      </c>
      <c r="G171" s="172" t="s">
        <v>277</v>
      </c>
      <c r="H171" s="172" t="s">
        <v>277</v>
      </c>
      <c r="I171" s="172" t="s">
        <v>277</v>
      </c>
      <c r="J171" s="172" t="s">
        <v>277</v>
      </c>
      <c r="K171" s="172" t="s">
        <v>277</v>
      </c>
      <c r="L171" s="172" t="s">
        <v>277</v>
      </c>
      <c r="M171" s="172" t="s">
        <v>277</v>
      </c>
      <c r="N171" s="172" t="s">
        <v>277</v>
      </c>
      <c r="O171" s="172" t="s">
        <v>277</v>
      </c>
      <c r="P171" s="172" t="s">
        <v>277</v>
      </c>
      <c r="Q171" s="172" t="s">
        <v>277</v>
      </c>
      <c r="R171" s="172" t="s">
        <v>277</v>
      </c>
      <c r="S171" s="172" t="s">
        <v>277</v>
      </c>
      <c r="T171" s="172" t="s">
        <v>277</v>
      </c>
      <c r="U171" s="172" t="s">
        <v>277</v>
      </c>
      <c r="V171" s="172" t="s">
        <v>277</v>
      </c>
      <c r="W171" s="172" t="s">
        <v>277</v>
      </c>
      <c r="X171" s="172" t="s">
        <v>277</v>
      </c>
      <c r="Y171" s="172" t="s">
        <v>277</v>
      </c>
      <c r="Z171" s="172" t="s">
        <v>277</v>
      </c>
      <c r="AA171" s="172" t="s">
        <v>277</v>
      </c>
      <c r="AB171" s="172" t="s">
        <v>277</v>
      </c>
      <c r="AC171" s="172" t="s">
        <v>277</v>
      </c>
      <c r="AD171" s="172" t="s">
        <v>277</v>
      </c>
      <c r="AE171" s="172" t="s">
        <v>277</v>
      </c>
      <c r="AF171" s="172" t="s">
        <v>277</v>
      </c>
      <c r="AG171" s="172" t="s">
        <v>277</v>
      </c>
      <c r="AH171" s="172" t="s">
        <v>277</v>
      </c>
      <c r="AI171" s="172" t="s">
        <v>277</v>
      </c>
      <c r="AJ171" s="172" t="s">
        <v>277</v>
      </c>
      <c r="AK171" s="172" t="s">
        <v>277</v>
      </c>
      <c r="AL171" s="172" t="s">
        <v>277</v>
      </c>
      <c r="AM171" s="172" t="s">
        <v>277</v>
      </c>
      <c r="AN171" s="172" t="s">
        <v>277</v>
      </c>
      <c r="AO171" s="172" t="s">
        <v>277</v>
      </c>
      <c r="AP171" s="172" t="s">
        <v>277</v>
      </c>
      <c r="AQ171" s="172" t="s">
        <v>277</v>
      </c>
      <c r="AR171" s="172" t="s">
        <v>277</v>
      </c>
      <c r="AS171" s="172" t="s">
        <v>277</v>
      </c>
      <c r="AT171" s="172" t="s">
        <v>277</v>
      </c>
      <c r="AU171" s="172" t="s">
        <v>277</v>
      </c>
      <c r="AV171" s="172" t="s">
        <v>277</v>
      </c>
      <c r="AW171" s="172" t="s">
        <v>277</v>
      </c>
      <c r="AX171" s="172" t="s">
        <v>277</v>
      </c>
      <c r="AY171" s="172" t="s">
        <v>277</v>
      </c>
      <c r="AZ171" s="172" t="s">
        <v>277</v>
      </c>
      <c r="BA171" s="172" t="s">
        <v>277</v>
      </c>
      <c r="BB171" s="172" t="s">
        <v>277</v>
      </c>
      <c r="BC171" s="172" t="s">
        <v>277</v>
      </c>
      <c r="BD171" s="172" t="s">
        <v>277</v>
      </c>
      <c r="BE171" s="172" t="s">
        <v>277</v>
      </c>
      <c r="BF171" s="172" t="s">
        <v>277</v>
      </c>
      <c r="BG171" s="172" t="s">
        <v>277</v>
      </c>
      <c r="BH171" s="172" t="s">
        <v>277</v>
      </c>
      <c r="BI171" s="172" t="s">
        <v>277</v>
      </c>
      <c r="BJ171" s="172" t="s">
        <v>277</v>
      </c>
      <c r="BK171" s="172" t="s">
        <v>277</v>
      </c>
      <c r="BL171" s="172" t="s">
        <v>277</v>
      </c>
      <c r="BM171" s="172" t="s">
        <v>277</v>
      </c>
      <c r="BN171" s="172" t="s">
        <v>277</v>
      </c>
      <c r="BO171" s="172" t="s">
        <v>277</v>
      </c>
      <c r="BP171" s="172" t="s">
        <v>277</v>
      </c>
      <c r="BQ171" s="172" t="s">
        <v>277</v>
      </c>
      <c r="BR171" s="172" t="s">
        <v>277</v>
      </c>
      <c r="BS171" s="172" t="s">
        <v>277</v>
      </c>
      <c r="BT171" s="172" t="s">
        <v>277</v>
      </c>
      <c r="BU171" s="172" t="s">
        <v>277</v>
      </c>
      <c r="BV171" s="172" t="s">
        <v>277</v>
      </c>
      <c r="BW171" s="172" t="s">
        <v>277</v>
      </c>
      <c r="BX171" s="172" t="s">
        <v>277</v>
      </c>
      <c r="BY171" s="172" t="s">
        <v>277</v>
      </c>
      <c r="BZ171" s="172" t="s">
        <v>277</v>
      </c>
      <c r="CA171" s="172" t="s">
        <v>277</v>
      </c>
      <c r="CB171" s="172" t="s">
        <v>277</v>
      </c>
      <c r="CC171" s="172" t="s">
        <v>277</v>
      </c>
      <c r="CD171" s="172" t="s">
        <v>277</v>
      </c>
      <c r="CE171" s="172" t="s">
        <v>277</v>
      </c>
      <c r="CF171" s="172" t="s">
        <v>277</v>
      </c>
      <c r="CG171" s="172" t="s">
        <v>277</v>
      </c>
      <c r="CH171" s="172" t="s">
        <v>277</v>
      </c>
      <c r="CI171" s="172" t="s">
        <v>277</v>
      </c>
      <c r="CJ171" s="172" t="s">
        <v>277</v>
      </c>
      <c r="CK171" s="172" t="s">
        <v>277</v>
      </c>
      <c r="CL171" s="172" t="s">
        <v>277</v>
      </c>
      <c r="CM171" s="172" t="s">
        <v>277</v>
      </c>
      <c r="CN171" s="172" t="s">
        <v>277</v>
      </c>
      <c r="CO171" s="172" t="s">
        <v>277</v>
      </c>
      <c r="CP171" s="172" t="s">
        <v>277</v>
      </c>
      <c r="CQ171" s="172" t="s">
        <v>277</v>
      </c>
      <c r="CR171" s="172" t="s">
        <v>277</v>
      </c>
      <c r="CS171" s="172" t="s">
        <v>277</v>
      </c>
      <c r="CT171" s="172" t="s">
        <v>277</v>
      </c>
      <c r="CU171" s="172" t="s">
        <v>277</v>
      </c>
      <c r="CV171" s="172" t="s">
        <v>277</v>
      </c>
      <c r="CW171" s="172" t="s">
        <v>277</v>
      </c>
      <c r="CX171" s="172" t="s">
        <v>277</v>
      </c>
      <c r="CY171" s="172" t="s">
        <v>277</v>
      </c>
      <c r="CZ171" s="172" t="s">
        <v>277</v>
      </c>
      <c r="DA171" s="172" t="s">
        <v>277</v>
      </c>
      <c r="DB171" s="172" t="s">
        <v>277</v>
      </c>
      <c r="DC171" s="172" t="s">
        <v>277</v>
      </c>
      <c r="DD171" s="172" t="s">
        <v>277</v>
      </c>
      <c r="DE171" s="172"/>
      <c r="DF171" s="172"/>
      <c r="DG171" s="172"/>
      <c r="DH171" s="172" t="s">
        <v>277</v>
      </c>
      <c r="DI171" s="172" t="s">
        <v>277</v>
      </c>
      <c r="DJ171" s="172" t="s">
        <v>277</v>
      </c>
    </row>
    <row r="172" spans="1:114" x14ac:dyDescent="0.25">
      <c r="A172" s="172" t="s">
        <v>277</v>
      </c>
      <c r="B172" s="172" t="s">
        <v>277</v>
      </c>
      <c r="C172" s="172" t="s">
        <v>277</v>
      </c>
      <c r="D172" s="172" t="s">
        <v>277</v>
      </c>
      <c r="E172" s="172" t="s">
        <v>277</v>
      </c>
      <c r="F172" s="172" t="s">
        <v>277</v>
      </c>
      <c r="G172" s="172" t="s">
        <v>277</v>
      </c>
      <c r="H172" s="172" t="s">
        <v>277</v>
      </c>
      <c r="I172" s="172" t="s">
        <v>277</v>
      </c>
      <c r="J172" s="172" t="s">
        <v>277</v>
      </c>
      <c r="K172" s="172" t="s">
        <v>277</v>
      </c>
      <c r="L172" s="172" t="s">
        <v>277</v>
      </c>
      <c r="M172" s="172" t="s">
        <v>277</v>
      </c>
      <c r="N172" s="172" t="s">
        <v>277</v>
      </c>
      <c r="O172" s="172" t="s">
        <v>277</v>
      </c>
      <c r="P172" s="172" t="s">
        <v>277</v>
      </c>
      <c r="Q172" s="172" t="s">
        <v>277</v>
      </c>
      <c r="R172" s="172" t="s">
        <v>277</v>
      </c>
      <c r="S172" s="172" t="s">
        <v>277</v>
      </c>
      <c r="T172" s="172" t="s">
        <v>277</v>
      </c>
      <c r="U172" s="172" t="s">
        <v>277</v>
      </c>
      <c r="V172" s="172" t="s">
        <v>277</v>
      </c>
      <c r="W172" s="172" t="s">
        <v>277</v>
      </c>
      <c r="X172" s="172" t="s">
        <v>277</v>
      </c>
      <c r="Y172" s="172" t="s">
        <v>277</v>
      </c>
      <c r="Z172" s="172" t="s">
        <v>277</v>
      </c>
      <c r="AA172" s="172" t="s">
        <v>277</v>
      </c>
      <c r="AB172" s="172" t="s">
        <v>277</v>
      </c>
      <c r="AC172" s="172" t="s">
        <v>277</v>
      </c>
      <c r="AD172" s="172" t="s">
        <v>277</v>
      </c>
      <c r="AE172" s="172" t="s">
        <v>277</v>
      </c>
      <c r="AF172" s="172" t="s">
        <v>277</v>
      </c>
      <c r="AG172" s="172" t="s">
        <v>277</v>
      </c>
      <c r="AH172" s="172" t="s">
        <v>277</v>
      </c>
      <c r="AI172" s="172" t="s">
        <v>277</v>
      </c>
      <c r="AJ172" s="172" t="s">
        <v>277</v>
      </c>
      <c r="AK172" s="172" t="s">
        <v>277</v>
      </c>
      <c r="AL172" s="172" t="s">
        <v>277</v>
      </c>
      <c r="AM172" s="172" t="s">
        <v>277</v>
      </c>
      <c r="AN172" s="172" t="s">
        <v>277</v>
      </c>
      <c r="AO172" s="172" t="s">
        <v>277</v>
      </c>
      <c r="AP172" s="172" t="s">
        <v>277</v>
      </c>
      <c r="AQ172" s="172" t="s">
        <v>277</v>
      </c>
      <c r="AR172" s="172" t="s">
        <v>277</v>
      </c>
      <c r="AS172" s="172" t="s">
        <v>277</v>
      </c>
      <c r="AT172" s="172" t="s">
        <v>277</v>
      </c>
      <c r="AU172" s="172" t="s">
        <v>277</v>
      </c>
      <c r="AV172" s="172" t="s">
        <v>277</v>
      </c>
      <c r="AW172" s="172" t="s">
        <v>277</v>
      </c>
      <c r="AX172" s="172" t="s">
        <v>277</v>
      </c>
      <c r="AY172" s="172" t="s">
        <v>277</v>
      </c>
      <c r="AZ172" s="172" t="s">
        <v>277</v>
      </c>
      <c r="BA172" s="172" t="s">
        <v>277</v>
      </c>
      <c r="BB172" s="172" t="s">
        <v>277</v>
      </c>
      <c r="BC172" s="172" t="s">
        <v>277</v>
      </c>
      <c r="BD172" s="172" t="s">
        <v>277</v>
      </c>
      <c r="BE172" s="172" t="s">
        <v>277</v>
      </c>
      <c r="BF172" s="172" t="s">
        <v>277</v>
      </c>
      <c r="BG172" s="172" t="s">
        <v>277</v>
      </c>
      <c r="BH172" s="172" t="s">
        <v>277</v>
      </c>
      <c r="BI172" s="172" t="s">
        <v>277</v>
      </c>
      <c r="BJ172" s="172" t="s">
        <v>277</v>
      </c>
      <c r="BK172" s="172" t="s">
        <v>277</v>
      </c>
      <c r="BL172" s="172" t="s">
        <v>277</v>
      </c>
      <c r="BM172" s="172" t="s">
        <v>277</v>
      </c>
      <c r="BN172" s="172" t="s">
        <v>277</v>
      </c>
      <c r="BO172" s="172" t="s">
        <v>277</v>
      </c>
      <c r="BP172" s="172" t="s">
        <v>277</v>
      </c>
      <c r="BQ172" s="172" t="s">
        <v>277</v>
      </c>
      <c r="BR172" s="172" t="s">
        <v>277</v>
      </c>
      <c r="BS172" s="172" t="s">
        <v>277</v>
      </c>
      <c r="BT172" s="172" t="s">
        <v>277</v>
      </c>
      <c r="BU172" s="172" t="s">
        <v>277</v>
      </c>
      <c r="BV172" s="172" t="s">
        <v>277</v>
      </c>
      <c r="BW172" s="172" t="s">
        <v>277</v>
      </c>
      <c r="BX172" s="172" t="s">
        <v>277</v>
      </c>
      <c r="BY172" s="172" t="s">
        <v>277</v>
      </c>
      <c r="BZ172" s="172" t="s">
        <v>277</v>
      </c>
      <c r="CA172" s="172" t="s">
        <v>277</v>
      </c>
      <c r="CB172" s="172" t="s">
        <v>277</v>
      </c>
      <c r="CC172" s="172" t="s">
        <v>277</v>
      </c>
      <c r="CD172" s="172" t="s">
        <v>277</v>
      </c>
      <c r="CE172" s="172" t="s">
        <v>277</v>
      </c>
      <c r="CF172" s="172" t="s">
        <v>277</v>
      </c>
      <c r="CG172" s="172" t="s">
        <v>277</v>
      </c>
      <c r="CH172" s="172" t="s">
        <v>277</v>
      </c>
      <c r="CI172" s="172" t="s">
        <v>277</v>
      </c>
      <c r="CJ172" s="172" t="s">
        <v>277</v>
      </c>
      <c r="CK172" s="172" t="s">
        <v>277</v>
      </c>
      <c r="CL172" s="172" t="s">
        <v>277</v>
      </c>
      <c r="CM172" s="172" t="s">
        <v>277</v>
      </c>
      <c r="CN172" s="172" t="s">
        <v>277</v>
      </c>
      <c r="CO172" s="172" t="s">
        <v>277</v>
      </c>
      <c r="CP172" s="172" t="s">
        <v>277</v>
      </c>
      <c r="CQ172" s="172" t="s">
        <v>277</v>
      </c>
      <c r="CR172" s="172" t="s">
        <v>277</v>
      </c>
      <c r="CS172" s="172" t="s">
        <v>277</v>
      </c>
      <c r="CT172" s="172" t="s">
        <v>277</v>
      </c>
      <c r="CU172" s="172" t="s">
        <v>277</v>
      </c>
      <c r="CV172" s="172" t="s">
        <v>277</v>
      </c>
      <c r="CW172" s="172" t="s">
        <v>277</v>
      </c>
      <c r="CX172" s="172" t="s">
        <v>277</v>
      </c>
      <c r="CY172" s="172" t="s">
        <v>277</v>
      </c>
      <c r="CZ172" s="172" t="s">
        <v>277</v>
      </c>
      <c r="DA172" s="172" t="s">
        <v>277</v>
      </c>
      <c r="DB172" s="172" t="s">
        <v>277</v>
      </c>
      <c r="DC172" s="172" t="s">
        <v>277</v>
      </c>
      <c r="DD172" s="172" t="s">
        <v>277</v>
      </c>
      <c r="DE172" s="172"/>
      <c r="DF172" s="172"/>
      <c r="DG172" s="172"/>
      <c r="DH172" s="172" t="s">
        <v>277</v>
      </c>
      <c r="DI172" s="172" t="s">
        <v>277</v>
      </c>
      <c r="DJ172" s="172" t="s">
        <v>277</v>
      </c>
    </row>
    <row r="173" spans="1:114" x14ac:dyDescent="0.25">
      <c r="A173" s="172" t="s">
        <v>277</v>
      </c>
      <c r="B173" s="172" t="s">
        <v>277</v>
      </c>
      <c r="C173" s="172" t="s">
        <v>277</v>
      </c>
      <c r="D173" s="172" t="s">
        <v>277</v>
      </c>
      <c r="E173" s="172" t="s">
        <v>277</v>
      </c>
      <c r="F173" s="172" t="s">
        <v>277</v>
      </c>
      <c r="G173" s="172" t="s">
        <v>277</v>
      </c>
      <c r="H173" s="172" t="s">
        <v>277</v>
      </c>
      <c r="I173" s="172" t="s">
        <v>277</v>
      </c>
      <c r="J173" s="172" t="s">
        <v>277</v>
      </c>
      <c r="K173" s="172" t="s">
        <v>277</v>
      </c>
      <c r="L173" s="172" t="s">
        <v>277</v>
      </c>
      <c r="M173" s="172" t="s">
        <v>277</v>
      </c>
      <c r="N173" s="172" t="s">
        <v>277</v>
      </c>
      <c r="O173" s="172" t="s">
        <v>277</v>
      </c>
      <c r="P173" s="172" t="s">
        <v>277</v>
      </c>
      <c r="Q173" s="172" t="s">
        <v>277</v>
      </c>
      <c r="R173" s="172" t="s">
        <v>277</v>
      </c>
      <c r="S173" s="172" t="s">
        <v>277</v>
      </c>
      <c r="T173" s="172" t="s">
        <v>277</v>
      </c>
      <c r="U173" s="172" t="s">
        <v>277</v>
      </c>
      <c r="V173" s="172" t="s">
        <v>277</v>
      </c>
      <c r="W173" s="172" t="s">
        <v>277</v>
      </c>
      <c r="X173" s="172" t="s">
        <v>277</v>
      </c>
      <c r="Y173" s="172" t="s">
        <v>277</v>
      </c>
      <c r="Z173" s="172" t="s">
        <v>277</v>
      </c>
      <c r="AA173" s="172" t="s">
        <v>277</v>
      </c>
      <c r="AB173" s="172" t="s">
        <v>277</v>
      </c>
      <c r="AC173" s="172" t="s">
        <v>277</v>
      </c>
      <c r="AD173" s="172" t="s">
        <v>277</v>
      </c>
      <c r="AE173" s="172" t="s">
        <v>277</v>
      </c>
      <c r="AF173" s="172" t="s">
        <v>277</v>
      </c>
      <c r="AG173" s="172" t="s">
        <v>277</v>
      </c>
      <c r="AH173" s="172" t="s">
        <v>277</v>
      </c>
      <c r="AI173" s="172" t="s">
        <v>277</v>
      </c>
      <c r="AJ173" s="172" t="s">
        <v>277</v>
      </c>
      <c r="AK173" s="172" t="s">
        <v>277</v>
      </c>
      <c r="AL173" s="172" t="s">
        <v>277</v>
      </c>
      <c r="AM173" s="172" t="s">
        <v>277</v>
      </c>
      <c r="AN173" s="172" t="s">
        <v>277</v>
      </c>
      <c r="AO173" s="172" t="s">
        <v>277</v>
      </c>
      <c r="AP173" s="172" t="s">
        <v>277</v>
      </c>
      <c r="AQ173" s="172" t="s">
        <v>277</v>
      </c>
      <c r="AR173" s="172" t="s">
        <v>277</v>
      </c>
      <c r="AS173" s="172" t="s">
        <v>277</v>
      </c>
      <c r="AT173" s="172" t="s">
        <v>277</v>
      </c>
      <c r="AU173" s="172" t="s">
        <v>277</v>
      </c>
      <c r="AV173" s="172" t="s">
        <v>277</v>
      </c>
      <c r="AW173" s="172" t="s">
        <v>277</v>
      </c>
      <c r="AX173" s="172" t="s">
        <v>277</v>
      </c>
      <c r="AY173" s="172" t="s">
        <v>277</v>
      </c>
      <c r="AZ173" s="172" t="s">
        <v>277</v>
      </c>
      <c r="BA173" s="172" t="s">
        <v>277</v>
      </c>
      <c r="BB173" s="172" t="s">
        <v>277</v>
      </c>
      <c r="BC173" s="172" t="s">
        <v>277</v>
      </c>
      <c r="BD173" s="172" t="s">
        <v>277</v>
      </c>
      <c r="BE173" s="172" t="s">
        <v>277</v>
      </c>
      <c r="BF173" s="172" t="s">
        <v>277</v>
      </c>
      <c r="BG173" s="172" t="s">
        <v>277</v>
      </c>
      <c r="BH173" s="172" t="s">
        <v>277</v>
      </c>
      <c r="BI173" s="172" t="s">
        <v>277</v>
      </c>
      <c r="BJ173" s="172" t="s">
        <v>277</v>
      </c>
      <c r="BK173" s="172" t="s">
        <v>277</v>
      </c>
      <c r="BL173" s="172" t="s">
        <v>277</v>
      </c>
      <c r="BM173" s="172" t="s">
        <v>277</v>
      </c>
      <c r="BN173" s="172" t="s">
        <v>277</v>
      </c>
      <c r="BO173" s="172" t="s">
        <v>277</v>
      </c>
      <c r="BP173" s="172" t="s">
        <v>277</v>
      </c>
      <c r="BQ173" s="172" t="s">
        <v>277</v>
      </c>
      <c r="BR173" s="172" t="s">
        <v>277</v>
      </c>
      <c r="BS173" s="172" t="s">
        <v>277</v>
      </c>
      <c r="BT173" s="172" t="s">
        <v>277</v>
      </c>
      <c r="BU173" s="172" t="s">
        <v>277</v>
      </c>
      <c r="BV173" s="172" t="s">
        <v>277</v>
      </c>
      <c r="BW173" s="172" t="s">
        <v>277</v>
      </c>
      <c r="BX173" s="172" t="s">
        <v>277</v>
      </c>
      <c r="BY173" s="172" t="s">
        <v>277</v>
      </c>
      <c r="BZ173" s="172" t="s">
        <v>277</v>
      </c>
      <c r="CA173" s="172" t="s">
        <v>277</v>
      </c>
      <c r="CB173" s="172" t="s">
        <v>277</v>
      </c>
      <c r="CC173" s="172" t="s">
        <v>277</v>
      </c>
      <c r="CD173" s="172" t="s">
        <v>277</v>
      </c>
      <c r="CE173" s="172" t="s">
        <v>277</v>
      </c>
      <c r="CF173" s="172" t="s">
        <v>277</v>
      </c>
      <c r="CG173" s="172" t="s">
        <v>277</v>
      </c>
      <c r="CH173" s="172" t="s">
        <v>277</v>
      </c>
      <c r="CI173" s="172" t="s">
        <v>277</v>
      </c>
      <c r="CJ173" s="172" t="s">
        <v>277</v>
      </c>
      <c r="CK173" s="172" t="s">
        <v>277</v>
      </c>
      <c r="CL173" s="172" t="s">
        <v>277</v>
      </c>
      <c r="CM173" s="172" t="s">
        <v>277</v>
      </c>
      <c r="CN173" s="172" t="s">
        <v>277</v>
      </c>
      <c r="CO173" s="172" t="s">
        <v>277</v>
      </c>
      <c r="CP173" s="172" t="s">
        <v>277</v>
      </c>
      <c r="CQ173" s="172" t="s">
        <v>277</v>
      </c>
      <c r="CR173" s="172" t="s">
        <v>277</v>
      </c>
      <c r="CS173" s="172" t="s">
        <v>277</v>
      </c>
      <c r="CT173" s="172" t="s">
        <v>277</v>
      </c>
      <c r="CU173" s="172" t="s">
        <v>277</v>
      </c>
      <c r="CV173" s="172" t="s">
        <v>277</v>
      </c>
      <c r="CW173" s="172" t="s">
        <v>277</v>
      </c>
      <c r="CX173" s="172" t="s">
        <v>277</v>
      </c>
      <c r="CY173" s="172" t="s">
        <v>277</v>
      </c>
      <c r="CZ173" s="172" t="s">
        <v>277</v>
      </c>
      <c r="DA173" s="172" t="s">
        <v>277</v>
      </c>
      <c r="DB173" s="172" t="s">
        <v>277</v>
      </c>
      <c r="DC173" s="172" t="s">
        <v>277</v>
      </c>
      <c r="DD173" s="172" t="s">
        <v>277</v>
      </c>
      <c r="DE173" s="172"/>
      <c r="DF173" s="172"/>
      <c r="DG173" s="172"/>
      <c r="DH173" s="172" t="s">
        <v>277</v>
      </c>
      <c r="DI173" s="172" t="s">
        <v>277</v>
      </c>
      <c r="DJ173" s="172" t="s">
        <v>277</v>
      </c>
    </row>
    <row r="174" spans="1:114" x14ac:dyDescent="0.25">
      <c r="A174" s="172" t="s">
        <v>277</v>
      </c>
      <c r="B174" s="172" t="s">
        <v>277</v>
      </c>
      <c r="C174" s="172" t="s">
        <v>277</v>
      </c>
      <c r="D174" s="172" t="s">
        <v>277</v>
      </c>
      <c r="E174" s="172" t="s">
        <v>277</v>
      </c>
      <c r="F174" s="172" t="s">
        <v>277</v>
      </c>
      <c r="G174" s="172" t="s">
        <v>277</v>
      </c>
      <c r="H174" s="172" t="s">
        <v>277</v>
      </c>
      <c r="I174" s="172" t="s">
        <v>277</v>
      </c>
      <c r="J174" s="172" t="s">
        <v>277</v>
      </c>
      <c r="K174" s="172" t="s">
        <v>277</v>
      </c>
      <c r="L174" s="172" t="s">
        <v>277</v>
      </c>
      <c r="M174" s="172" t="s">
        <v>277</v>
      </c>
      <c r="N174" s="172" t="s">
        <v>277</v>
      </c>
      <c r="O174" s="172" t="s">
        <v>277</v>
      </c>
      <c r="P174" s="172" t="s">
        <v>277</v>
      </c>
      <c r="Q174" s="172" t="s">
        <v>277</v>
      </c>
      <c r="R174" s="172" t="s">
        <v>277</v>
      </c>
      <c r="S174" s="172" t="s">
        <v>277</v>
      </c>
      <c r="T174" s="172" t="s">
        <v>277</v>
      </c>
      <c r="U174" s="172" t="s">
        <v>277</v>
      </c>
      <c r="V174" s="172" t="s">
        <v>277</v>
      </c>
      <c r="W174" s="172" t="s">
        <v>277</v>
      </c>
      <c r="X174" s="172" t="s">
        <v>277</v>
      </c>
      <c r="Y174" s="172" t="s">
        <v>277</v>
      </c>
      <c r="Z174" s="172" t="s">
        <v>277</v>
      </c>
      <c r="AA174" s="172" t="s">
        <v>277</v>
      </c>
      <c r="AB174" s="172" t="s">
        <v>277</v>
      </c>
      <c r="AC174" s="172" t="s">
        <v>277</v>
      </c>
      <c r="AD174" s="172" t="s">
        <v>277</v>
      </c>
      <c r="AE174" s="172" t="s">
        <v>277</v>
      </c>
      <c r="AF174" s="172" t="s">
        <v>277</v>
      </c>
      <c r="AG174" s="172" t="s">
        <v>277</v>
      </c>
      <c r="AH174" s="172" t="s">
        <v>277</v>
      </c>
      <c r="AI174" s="172" t="s">
        <v>277</v>
      </c>
      <c r="AJ174" s="172" t="s">
        <v>277</v>
      </c>
      <c r="AK174" s="172" t="s">
        <v>277</v>
      </c>
      <c r="AL174" s="172" t="s">
        <v>277</v>
      </c>
      <c r="AM174" s="172" t="s">
        <v>277</v>
      </c>
      <c r="AN174" s="172" t="s">
        <v>277</v>
      </c>
      <c r="AO174" s="172" t="s">
        <v>277</v>
      </c>
      <c r="AP174" s="172" t="s">
        <v>277</v>
      </c>
      <c r="AQ174" s="172" t="s">
        <v>277</v>
      </c>
      <c r="AR174" s="172" t="s">
        <v>277</v>
      </c>
      <c r="AS174" s="172" t="s">
        <v>277</v>
      </c>
      <c r="AT174" s="172" t="s">
        <v>277</v>
      </c>
      <c r="AU174" s="172" t="s">
        <v>277</v>
      </c>
      <c r="AV174" s="172" t="s">
        <v>277</v>
      </c>
      <c r="AW174" s="172" t="s">
        <v>277</v>
      </c>
      <c r="AX174" s="172" t="s">
        <v>277</v>
      </c>
      <c r="AY174" s="172" t="s">
        <v>277</v>
      </c>
      <c r="AZ174" s="172" t="s">
        <v>277</v>
      </c>
      <c r="BA174" s="172" t="s">
        <v>277</v>
      </c>
      <c r="BB174" s="172" t="s">
        <v>277</v>
      </c>
      <c r="BC174" s="172" t="s">
        <v>277</v>
      </c>
      <c r="BD174" s="172" t="s">
        <v>277</v>
      </c>
      <c r="BE174" s="172" t="s">
        <v>277</v>
      </c>
      <c r="BF174" s="172" t="s">
        <v>277</v>
      </c>
      <c r="BG174" s="172" t="s">
        <v>277</v>
      </c>
      <c r="BH174" s="172" t="s">
        <v>277</v>
      </c>
      <c r="BI174" s="172" t="s">
        <v>277</v>
      </c>
      <c r="BJ174" s="172" t="s">
        <v>277</v>
      </c>
      <c r="BK174" s="172" t="s">
        <v>277</v>
      </c>
      <c r="BL174" s="172" t="s">
        <v>277</v>
      </c>
      <c r="BM174" s="172" t="s">
        <v>277</v>
      </c>
      <c r="BN174" s="172" t="s">
        <v>277</v>
      </c>
      <c r="BO174" s="172" t="s">
        <v>277</v>
      </c>
      <c r="BP174" s="172" t="s">
        <v>277</v>
      </c>
      <c r="BQ174" s="172" t="s">
        <v>277</v>
      </c>
      <c r="BR174" s="172" t="s">
        <v>277</v>
      </c>
      <c r="BS174" s="172" t="s">
        <v>277</v>
      </c>
      <c r="BT174" s="172" t="s">
        <v>277</v>
      </c>
      <c r="BU174" s="172" t="s">
        <v>277</v>
      </c>
      <c r="BV174" s="172" t="s">
        <v>277</v>
      </c>
      <c r="BW174" s="172" t="s">
        <v>277</v>
      </c>
      <c r="BX174" s="172" t="s">
        <v>277</v>
      </c>
      <c r="BY174" s="172" t="s">
        <v>277</v>
      </c>
      <c r="BZ174" s="172" t="s">
        <v>277</v>
      </c>
      <c r="CA174" s="172" t="s">
        <v>277</v>
      </c>
      <c r="CB174" s="172" t="s">
        <v>277</v>
      </c>
      <c r="CC174" s="172" t="s">
        <v>277</v>
      </c>
      <c r="CD174" s="172" t="s">
        <v>277</v>
      </c>
      <c r="CE174" s="172" t="s">
        <v>277</v>
      </c>
      <c r="CF174" s="172" t="s">
        <v>277</v>
      </c>
      <c r="CG174" s="172" t="s">
        <v>277</v>
      </c>
      <c r="CH174" s="172" t="s">
        <v>277</v>
      </c>
      <c r="CI174" s="172" t="s">
        <v>277</v>
      </c>
      <c r="CJ174" s="172" t="s">
        <v>277</v>
      </c>
      <c r="CK174" s="172" t="s">
        <v>277</v>
      </c>
      <c r="CL174" s="172" t="s">
        <v>277</v>
      </c>
      <c r="CM174" s="172" t="s">
        <v>277</v>
      </c>
      <c r="CN174" s="172" t="s">
        <v>277</v>
      </c>
      <c r="CO174" s="172" t="s">
        <v>277</v>
      </c>
      <c r="CP174" s="172" t="s">
        <v>277</v>
      </c>
      <c r="CQ174" s="172" t="s">
        <v>277</v>
      </c>
      <c r="CR174" s="172" t="s">
        <v>277</v>
      </c>
      <c r="CS174" s="172" t="s">
        <v>277</v>
      </c>
      <c r="CT174" s="172" t="s">
        <v>277</v>
      </c>
      <c r="CU174" s="172" t="s">
        <v>277</v>
      </c>
      <c r="CV174" s="172" t="s">
        <v>277</v>
      </c>
      <c r="CW174" s="172" t="s">
        <v>277</v>
      </c>
      <c r="CX174" s="172" t="s">
        <v>277</v>
      </c>
      <c r="CY174" s="172" t="s">
        <v>277</v>
      </c>
      <c r="CZ174" s="172" t="s">
        <v>277</v>
      </c>
      <c r="DA174" s="172" t="s">
        <v>277</v>
      </c>
      <c r="DB174" s="172" t="s">
        <v>277</v>
      </c>
      <c r="DC174" s="172" t="s">
        <v>277</v>
      </c>
      <c r="DD174" s="172" t="s">
        <v>277</v>
      </c>
      <c r="DE174" s="172"/>
      <c r="DF174" s="172"/>
      <c r="DG174" s="172"/>
      <c r="DH174" s="172" t="s">
        <v>277</v>
      </c>
      <c r="DI174" s="172" t="s">
        <v>277</v>
      </c>
      <c r="DJ174" s="172" t="s">
        <v>277</v>
      </c>
    </row>
    <row r="175" spans="1:114" x14ac:dyDescent="0.25">
      <c r="A175" s="172" t="s">
        <v>277</v>
      </c>
      <c r="B175" s="172" t="s">
        <v>277</v>
      </c>
      <c r="C175" s="172" t="s">
        <v>277</v>
      </c>
      <c r="D175" s="172" t="s">
        <v>277</v>
      </c>
      <c r="E175" s="172" t="s">
        <v>277</v>
      </c>
      <c r="F175" s="172" t="s">
        <v>277</v>
      </c>
      <c r="G175" s="172" t="s">
        <v>277</v>
      </c>
      <c r="H175" s="172" t="s">
        <v>277</v>
      </c>
      <c r="I175" s="172" t="s">
        <v>277</v>
      </c>
      <c r="J175" s="172" t="s">
        <v>277</v>
      </c>
      <c r="K175" s="172" t="s">
        <v>277</v>
      </c>
      <c r="L175" s="172" t="s">
        <v>277</v>
      </c>
      <c r="M175" s="172" t="s">
        <v>277</v>
      </c>
      <c r="N175" s="172" t="s">
        <v>277</v>
      </c>
      <c r="O175" s="172" t="s">
        <v>277</v>
      </c>
      <c r="P175" s="172" t="s">
        <v>277</v>
      </c>
      <c r="Q175" s="172" t="s">
        <v>277</v>
      </c>
      <c r="R175" s="172" t="s">
        <v>277</v>
      </c>
      <c r="S175" s="172" t="s">
        <v>277</v>
      </c>
      <c r="T175" s="172" t="s">
        <v>277</v>
      </c>
      <c r="U175" s="172" t="s">
        <v>277</v>
      </c>
      <c r="V175" s="172" t="s">
        <v>277</v>
      </c>
      <c r="W175" s="172" t="s">
        <v>277</v>
      </c>
      <c r="X175" s="172" t="s">
        <v>277</v>
      </c>
      <c r="Y175" s="172" t="s">
        <v>277</v>
      </c>
      <c r="Z175" s="172" t="s">
        <v>277</v>
      </c>
      <c r="AA175" s="172" t="s">
        <v>277</v>
      </c>
      <c r="AB175" s="172" t="s">
        <v>277</v>
      </c>
      <c r="AC175" s="172" t="s">
        <v>277</v>
      </c>
      <c r="AD175" s="172" t="s">
        <v>277</v>
      </c>
      <c r="AE175" s="172" t="s">
        <v>277</v>
      </c>
      <c r="AF175" s="172" t="s">
        <v>277</v>
      </c>
      <c r="AG175" s="172" t="s">
        <v>277</v>
      </c>
      <c r="AH175" s="172" t="s">
        <v>277</v>
      </c>
      <c r="AI175" s="172" t="s">
        <v>277</v>
      </c>
      <c r="AJ175" s="172" t="s">
        <v>277</v>
      </c>
      <c r="AK175" s="172" t="s">
        <v>277</v>
      </c>
      <c r="AL175" s="172" t="s">
        <v>277</v>
      </c>
      <c r="AM175" s="172" t="s">
        <v>277</v>
      </c>
      <c r="AN175" s="172" t="s">
        <v>277</v>
      </c>
      <c r="AO175" s="172" t="s">
        <v>277</v>
      </c>
      <c r="AP175" s="172" t="s">
        <v>277</v>
      </c>
      <c r="AQ175" s="172" t="s">
        <v>277</v>
      </c>
      <c r="AR175" s="172" t="s">
        <v>277</v>
      </c>
      <c r="AS175" s="172" t="s">
        <v>277</v>
      </c>
      <c r="AT175" s="172" t="s">
        <v>277</v>
      </c>
      <c r="AU175" s="172" t="s">
        <v>277</v>
      </c>
      <c r="AV175" s="172" t="s">
        <v>277</v>
      </c>
      <c r="AW175" s="172" t="s">
        <v>277</v>
      </c>
      <c r="AX175" s="172" t="s">
        <v>277</v>
      </c>
      <c r="AY175" s="172" t="s">
        <v>277</v>
      </c>
      <c r="AZ175" s="172" t="s">
        <v>277</v>
      </c>
      <c r="BA175" s="172" t="s">
        <v>277</v>
      </c>
      <c r="BB175" s="172" t="s">
        <v>277</v>
      </c>
      <c r="BC175" s="172" t="s">
        <v>277</v>
      </c>
      <c r="BD175" s="172" t="s">
        <v>277</v>
      </c>
      <c r="BE175" s="172" t="s">
        <v>277</v>
      </c>
      <c r="BF175" s="172" t="s">
        <v>277</v>
      </c>
      <c r="BG175" s="172" t="s">
        <v>277</v>
      </c>
      <c r="BH175" s="172" t="s">
        <v>277</v>
      </c>
      <c r="BI175" s="172" t="s">
        <v>277</v>
      </c>
      <c r="BJ175" s="172" t="s">
        <v>277</v>
      </c>
      <c r="BK175" s="172" t="s">
        <v>277</v>
      </c>
      <c r="BL175" s="172" t="s">
        <v>277</v>
      </c>
      <c r="BM175" s="172" t="s">
        <v>277</v>
      </c>
      <c r="BN175" s="172" t="s">
        <v>277</v>
      </c>
      <c r="BO175" s="172" t="s">
        <v>277</v>
      </c>
      <c r="BP175" s="172" t="s">
        <v>277</v>
      </c>
      <c r="BQ175" s="172" t="s">
        <v>277</v>
      </c>
      <c r="BR175" s="172" t="s">
        <v>277</v>
      </c>
      <c r="BS175" s="172" t="s">
        <v>277</v>
      </c>
      <c r="BT175" s="172" t="s">
        <v>277</v>
      </c>
      <c r="BU175" s="172" t="s">
        <v>277</v>
      </c>
      <c r="BV175" s="172" t="s">
        <v>277</v>
      </c>
      <c r="BW175" s="172" t="s">
        <v>277</v>
      </c>
      <c r="BX175" s="172" t="s">
        <v>277</v>
      </c>
      <c r="BY175" s="172" t="s">
        <v>277</v>
      </c>
      <c r="BZ175" s="172" t="s">
        <v>277</v>
      </c>
      <c r="CA175" s="172" t="s">
        <v>277</v>
      </c>
      <c r="CB175" s="172" t="s">
        <v>277</v>
      </c>
      <c r="CC175" s="172" t="s">
        <v>277</v>
      </c>
      <c r="CD175" s="172" t="s">
        <v>277</v>
      </c>
      <c r="CE175" s="172" t="s">
        <v>277</v>
      </c>
      <c r="CF175" s="172" t="s">
        <v>277</v>
      </c>
      <c r="CG175" s="172" t="s">
        <v>277</v>
      </c>
      <c r="CH175" s="172" t="s">
        <v>277</v>
      </c>
      <c r="CI175" s="172" t="s">
        <v>277</v>
      </c>
      <c r="CJ175" s="172" t="s">
        <v>277</v>
      </c>
      <c r="CK175" s="172" t="s">
        <v>277</v>
      </c>
      <c r="CL175" s="172" t="s">
        <v>277</v>
      </c>
      <c r="CM175" s="172" t="s">
        <v>277</v>
      </c>
      <c r="CN175" s="172" t="s">
        <v>277</v>
      </c>
      <c r="CO175" s="172" t="s">
        <v>277</v>
      </c>
      <c r="CP175" s="172" t="s">
        <v>277</v>
      </c>
      <c r="CQ175" s="172" t="s">
        <v>277</v>
      </c>
      <c r="CR175" s="172" t="s">
        <v>277</v>
      </c>
      <c r="CS175" s="172" t="s">
        <v>277</v>
      </c>
      <c r="CT175" s="172" t="s">
        <v>277</v>
      </c>
      <c r="CU175" s="172" t="s">
        <v>277</v>
      </c>
      <c r="CV175" s="172" t="s">
        <v>277</v>
      </c>
      <c r="CW175" s="172" t="s">
        <v>277</v>
      </c>
      <c r="CX175" s="172" t="s">
        <v>277</v>
      </c>
      <c r="CY175" s="172" t="s">
        <v>277</v>
      </c>
      <c r="CZ175" s="172" t="s">
        <v>277</v>
      </c>
      <c r="DA175" s="172" t="s">
        <v>277</v>
      </c>
      <c r="DB175" s="172" t="s">
        <v>277</v>
      </c>
      <c r="DC175" s="172" t="s">
        <v>277</v>
      </c>
      <c r="DD175" s="172" t="s">
        <v>277</v>
      </c>
      <c r="DE175" s="172"/>
      <c r="DF175" s="172"/>
      <c r="DG175" s="172"/>
      <c r="DH175" s="172" t="s">
        <v>277</v>
      </c>
      <c r="DI175" s="172" t="s">
        <v>277</v>
      </c>
      <c r="DJ175" s="172" t="s">
        <v>277</v>
      </c>
    </row>
    <row r="176" spans="1:114" x14ac:dyDescent="0.25">
      <c r="A176" s="172" t="s">
        <v>277</v>
      </c>
      <c r="B176" s="172" t="s">
        <v>277</v>
      </c>
      <c r="C176" s="172" t="s">
        <v>277</v>
      </c>
      <c r="D176" s="172" t="s">
        <v>277</v>
      </c>
      <c r="E176" s="172" t="s">
        <v>277</v>
      </c>
      <c r="F176" s="172" t="s">
        <v>277</v>
      </c>
      <c r="G176" s="172" t="s">
        <v>277</v>
      </c>
      <c r="H176" s="172" t="s">
        <v>277</v>
      </c>
      <c r="I176" s="172" t="s">
        <v>277</v>
      </c>
      <c r="J176" s="172" t="s">
        <v>277</v>
      </c>
      <c r="K176" s="172" t="s">
        <v>277</v>
      </c>
      <c r="L176" s="172" t="s">
        <v>277</v>
      </c>
      <c r="M176" s="172" t="s">
        <v>277</v>
      </c>
      <c r="N176" s="172" t="s">
        <v>277</v>
      </c>
      <c r="O176" s="172" t="s">
        <v>277</v>
      </c>
      <c r="P176" s="172" t="s">
        <v>277</v>
      </c>
      <c r="Q176" s="172" t="s">
        <v>277</v>
      </c>
      <c r="R176" s="172" t="s">
        <v>277</v>
      </c>
      <c r="S176" s="172" t="s">
        <v>277</v>
      </c>
      <c r="T176" s="172" t="s">
        <v>277</v>
      </c>
      <c r="U176" s="172" t="s">
        <v>277</v>
      </c>
      <c r="V176" s="172" t="s">
        <v>277</v>
      </c>
      <c r="W176" s="172" t="s">
        <v>277</v>
      </c>
      <c r="X176" s="172" t="s">
        <v>277</v>
      </c>
      <c r="Y176" s="172" t="s">
        <v>277</v>
      </c>
      <c r="Z176" s="172" t="s">
        <v>277</v>
      </c>
      <c r="AA176" s="172" t="s">
        <v>277</v>
      </c>
      <c r="AB176" s="172" t="s">
        <v>277</v>
      </c>
      <c r="AC176" s="172" t="s">
        <v>277</v>
      </c>
      <c r="AD176" s="172" t="s">
        <v>277</v>
      </c>
      <c r="AE176" s="172" t="s">
        <v>277</v>
      </c>
      <c r="AF176" s="172" t="s">
        <v>277</v>
      </c>
      <c r="AG176" s="172" t="s">
        <v>277</v>
      </c>
      <c r="AH176" s="172" t="s">
        <v>277</v>
      </c>
      <c r="AI176" s="172" t="s">
        <v>277</v>
      </c>
      <c r="AJ176" s="172" t="s">
        <v>277</v>
      </c>
      <c r="AK176" s="172" t="s">
        <v>277</v>
      </c>
      <c r="AL176" s="172" t="s">
        <v>277</v>
      </c>
      <c r="AM176" s="172" t="s">
        <v>277</v>
      </c>
      <c r="AN176" s="172" t="s">
        <v>277</v>
      </c>
      <c r="AO176" s="172" t="s">
        <v>277</v>
      </c>
      <c r="AP176" s="172" t="s">
        <v>277</v>
      </c>
      <c r="AQ176" s="172" t="s">
        <v>277</v>
      </c>
      <c r="AR176" s="172" t="s">
        <v>277</v>
      </c>
      <c r="AS176" s="172" t="s">
        <v>277</v>
      </c>
      <c r="AT176" s="172" t="s">
        <v>277</v>
      </c>
      <c r="AU176" s="172" t="s">
        <v>277</v>
      </c>
      <c r="AV176" s="172" t="s">
        <v>277</v>
      </c>
      <c r="AW176" s="172" t="s">
        <v>277</v>
      </c>
      <c r="AX176" s="172" t="s">
        <v>277</v>
      </c>
      <c r="AY176" s="172" t="s">
        <v>277</v>
      </c>
      <c r="AZ176" s="172" t="s">
        <v>277</v>
      </c>
      <c r="BA176" s="172" t="s">
        <v>277</v>
      </c>
      <c r="BB176" s="172" t="s">
        <v>277</v>
      </c>
      <c r="BC176" s="172" t="s">
        <v>277</v>
      </c>
      <c r="BD176" s="172" t="s">
        <v>277</v>
      </c>
      <c r="BE176" s="172" t="s">
        <v>277</v>
      </c>
      <c r="BF176" s="172" t="s">
        <v>277</v>
      </c>
      <c r="BG176" s="172" t="s">
        <v>277</v>
      </c>
      <c r="BH176" s="172" t="s">
        <v>277</v>
      </c>
      <c r="BI176" s="172" t="s">
        <v>277</v>
      </c>
      <c r="BJ176" s="172" t="s">
        <v>277</v>
      </c>
      <c r="BK176" s="172" t="s">
        <v>277</v>
      </c>
      <c r="BL176" s="172" t="s">
        <v>277</v>
      </c>
      <c r="BM176" s="172" t="s">
        <v>277</v>
      </c>
      <c r="BN176" s="172" t="s">
        <v>277</v>
      </c>
      <c r="BO176" s="172" t="s">
        <v>277</v>
      </c>
      <c r="BP176" s="172" t="s">
        <v>277</v>
      </c>
      <c r="BQ176" s="172" t="s">
        <v>277</v>
      </c>
      <c r="BR176" s="172" t="s">
        <v>277</v>
      </c>
      <c r="BS176" s="172" t="s">
        <v>277</v>
      </c>
      <c r="BT176" s="172" t="s">
        <v>277</v>
      </c>
      <c r="BU176" s="172" t="s">
        <v>277</v>
      </c>
      <c r="BV176" s="172" t="s">
        <v>277</v>
      </c>
      <c r="BW176" s="172" t="s">
        <v>277</v>
      </c>
      <c r="BX176" s="172" t="s">
        <v>277</v>
      </c>
      <c r="BY176" s="172" t="s">
        <v>277</v>
      </c>
      <c r="BZ176" s="172" t="s">
        <v>277</v>
      </c>
      <c r="CA176" s="172" t="s">
        <v>277</v>
      </c>
      <c r="CB176" s="172" t="s">
        <v>277</v>
      </c>
      <c r="CC176" s="172" t="s">
        <v>277</v>
      </c>
      <c r="CD176" s="172" t="s">
        <v>277</v>
      </c>
      <c r="CE176" s="172" t="s">
        <v>277</v>
      </c>
      <c r="CF176" s="172" t="s">
        <v>277</v>
      </c>
      <c r="CG176" s="172" t="s">
        <v>277</v>
      </c>
      <c r="CH176" s="172" t="s">
        <v>277</v>
      </c>
      <c r="CI176" s="172" t="s">
        <v>277</v>
      </c>
      <c r="CJ176" s="172" t="s">
        <v>277</v>
      </c>
      <c r="CK176" s="172" t="s">
        <v>277</v>
      </c>
      <c r="CL176" s="172" t="s">
        <v>277</v>
      </c>
      <c r="CM176" s="172" t="s">
        <v>277</v>
      </c>
      <c r="CN176" s="172" t="s">
        <v>277</v>
      </c>
      <c r="CO176" s="172" t="s">
        <v>277</v>
      </c>
      <c r="CP176" s="172" t="s">
        <v>277</v>
      </c>
      <c r="CQ176" s="172" t="s">
        <v>277</v>
      </c>
      <c r="CR176" s="172" t="s">
        <v>277</v>
      </c>
      <c r="CS176" s="172" t="s">
        <v>277</v>
      </c>
      <c r="CT176" s="172" t="s">
        <v>277</v>
      </c>
      <c r="CU176" s="172" t="s">
        <v>277</v>
      </c>
      <c r="CV176" s="172" t="s">
        <v>277</v>
      </c>
      <c r="CW176" s="172" t="s">
        <v>277</v>
      </c>
      <c r="CX176" s="172" t="s">
        <v>277</v>
      </c>
      <c r="CY176" s="172" t="s">
        <v>277</v>
      </c>
      <c r="CZ176" s="172" t="s">
        <v>277</v>
      </c>
      <c r="DA176" s="172" t="s">
        <v>277</v>
      </c>
      <c r="DB176" s="172" t="s">
        <v>277</v>
      </c>
      <c r="DC176" s="172" t="s">
        <v>277</v>
      </c>
      <c r="DD176" s="172" t="s">
        <v>277</v>
      </c>
      <c r="DE176" s="172"/>
      <c r="DF176" s="172"/>
      <c r="DG176" s="172"/>
      <c r="DH176" s="172" t="s">
        <v>277</v>
      </c>
      <c r="DI176" s="172" t="s">
        <v>277</v>
      </c>
      <c r="DJ176" s="172" t="s">
        <v>277</v>
      </c>
    </row>
  </sheetData>
  <mergeCells count="25">
    <mergeCell ref="DE1:DG1"/>
    <mergeCell ref="CD1:CG1"/>
    <mergeCell ref="CI1:CN1"/>
    <mergeCell ref="CO1:CR1"/>
    <mergeCell ref="CT1:CY1"/>
    <mergeCell ref="CZ1:DC1"/>
    <mergeCell ref="C2:D2"/>
    <mergeCell ref="AV1:AY1"/>
    <mergeCell ref="BF1:BH1"/>
    <mergeCell ref="BJ1:BK1"/>
    <mergeCell ref="BM1:BR1"/>
    <mergeCell ref="C1:E1"/>
    <mergeCell ref="G1:H1"/>
    <mergeCell ref="J1:K1"/>
    <mergeCell ref="M1:N1"/>
    <mergeCell ref="O1:P1"/>
    <mergeCell ref="R1:S1"/>
    <mergeCell ref="BS1:BV1"/>
    <mergeCell ref="BX1:CC1"/>
    <mergeCell ref="U1:W1"/>
    <mergeCell ref="X1:AB1"/>
    <mergeCell ref="AD1:AH1"/>
    <mergeCell ref="AJ1:AL1"/>
    <mergeCell ref="AN1:AO1"/>
    <mergeCell ref="AR1:AT1"/>
  </mergeCells>
  <conditionalFormatting sqref="D5:D168">
    <cfRule type="duplicateValues" dxfId="0" priority="1"/>
  </conditionalFormatting>
  <pageMargins left="0.7" right="0.7" top="0.75" bottom="0.75" header="0.3" footer="0.3"/>
  <pageSetup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1C94B3-9C46-45E4-B50F-6A9E9DADA5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CCA_Defense</vt:lpstr>
      <vt:lpstr>Conviction List</vt:lpstr>
      <vt:lpstr>Financial Summary</vt:lpstr>
      <vt:lpstr>BBdata</vt:lpstr>
      <vt:lpstr>PE_Projections</vt:lpstr>
      <vt:lpstr>Company Map</vt:lpstr>
      <vt:lpstr>Glossary</vt:lpstr>
      <vt:lpstr>Chart Data</vt:lpstr>
      <vt:lpstr>Defence_Data</vt:lpstr>
      <vt:lpstr>BB_Input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Nireeksha Makam</dc:creator>
  <cp:lastModifiedBy>Nireeksha Makam</cp:lastModifiedBy>
  <dcterms:created xsi:type="dcterms:W3CDTF">2024-12-20T10:11:02Z</dcterms:created>
  <dcterms:modified xsi:type="dcterms:W3CDTF">2026-02-12T14:27:42Z</dcterms:modified>
</cp:coreProperties>
</file>