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activeTab="3"/>
  </bookViews>
  <sheets>
    <sheet name="第一周（10-11～10-14）" sheetId="20" r:id="rId1"/>
    <sheet name="第二周（10-15～10-21）" sheetId="21" r:id="rId2"/>
    <sheet name="第三周（10-22～10-28）" sheetId="22" r:id="rId3"/>
    <sheet name="第四周（10-29～11-04）" sheetId="23" r:id="rId4"/>
    <sheet name="Sheet2" sheetId="17" r:id="rId5"/>
  </sheets>
  <calcPr calcId="125725"/>
</workbook>
</file>

<file path=xl/calcChain.xml><?xml version="1.0" encoding="utf-8"?>
<calcChain xmlns="http://schemas.openxmlformats.org/spreadsheetml/2006/main">
  <c r="K29" i="23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H30"/>
  <c r="G30"/>
  <c r="E30"/>
  <c r="D30"/>
  <c r="I28" i="22"/>
  <c r="J28" s="1"/>
  <c r="D28"/>
  <c r="F28" s="1"/>
  <c r="K27"/>
  <c r="D27"/>
  <c r="F27" s="1"/>
  <c r="I26"/>
  <c r="K26" s="1"/>
  <c r="D26"/>
  <c r="F26" s="1"/>
  <c r="I25"/>
  <c r="D25"/>
  <c r="F25" s="1"/>
  <c r="I24"/>
  <c r="K24" s="1"/>
  <c r="D24"/>
  <c r="F24" s="1"/>
  <c r="I23"/>
  <c r="D23"/>
  <c r="F23" s="1"/>
  <c r="K22"/>
  <c r="J22"/>
  <c r="F22"/>
  <c r="H29"/>
  <c r="G29"/>
  <c r="E29"/>
  <c r="D29"/>
  <c r="F30" i="23" l="1"/>
  <c r="I30"/>
  <c r="J23" i="22"/>
  <c r="J25"/>
  <c r="K23"/>
  <c r="J24"/>
  <c r="K25"/>
  <c r="J26"/>
  <c r="J27"/>
  <c r="K28"/>
  <c r="F29"/>
  <c r="I29"/>
  <c r="K31" i="21"/>
  <c r="D31"/>
  <c r="J31" s="1"/>
  <c r="K30"/>
  <c r="D30"/>
  <c r="J30" s="1"/>
  <c r="K29"/>
  <c r="J29"/>
  <c r="F29"/>
  <c r="I28"/>
  <c r="K28" s="1"/>
  <c r="D28"/>
  <c r="F28" s="1"/>
  <c r="I27"/>
  <c r="K27" s="1"/>
  <c r="D27"/>
  <c r="F27" s="1"/>
  <c r="I26"/>
  <c r="K26" s="1"/>
  <c r="D26"/>
  <c r="F26" s="1"/>
  <c r="I25"/>
  <c r="K25" s="1"/>
  <c r="D25"/>
  <c r="F25" s="1"/>
  <c r="H32"/>
  <c r="G32"/>
  <c r="E32"/>
  <c r="J30" i="23" l="1"/>
  <c r="K30"/>
  <c r="J29" i="22"/>
  <c r="K29"/>
  <c r="D32" i="21"/>
  <c r="F32" s="1"/>
  <c r="J25"/>
  <c r="J27"/>
  <c r="J26"/>
  <c r="J28"/>
  <c r="F30"/>
  <c r="F31"/>
  <c r="I32"/>
  <c r="J32" l="1"/>
  <c r="K32"/>
  <c r="I47" i="20" l="1"/>
  <c r="D47"/>
  <c r="F47" s="1"/>
  <c r="I46"/>
  <c r="K46" s="1"/>
  <c r="F46"/>
  <c r="D46"/>
  <c r="J46" s="1"/>
  <c r="K44"/>
  <c r="J44"/>
  <c r="F44"/>
  <c r="K43"/>
  <c r="J43"/>
  <c r="F43"/>
  <c r="K42"/>
  <c r="J42"/>
  <c r="F42"/>
  <c r="K41"/>
  <c r="J41"/>
  <c r="F41"/>
  <c r="K40"/>
  <c r="J40"/>
  <c r="F40"/>
  <c r="K39"/>
  <c r="J39"/>
  <c r="F39"/>
  <c r="K38"/>
  <c r="J38"/>
  <c r="F38"/>
  <c r="K37"/>
  <c r="J37"/>
  <c r="F37"/>
  <c r="K36"/>
  <c r="J36"/>
  <c r="F36"/>
  <c r="K35"/>
  <c r="J35"/>
  <c r="F35"/>
  <c r="K32"/>
  <c r="J32"/>
  <c r="F32"/>
  <c r="K31"/>
  <c r="J31"/>
  <c r="F31"/>
  <c r="K30"/>
  <c r="J30"/>
  <c r="F30"/>
  <c r="K29"/>
  <c r="J29"/>
  <c r="F29"/>
  <c r="K28"/>
  <c r="J28"/>
  <c r="F28"/>
  <c r="J47" l="1"/>
  <c r="K47"/>
  <c r="I48" l="1"/>
  <c r="H48"/>
  <c r="G48"/>
  <c r="E48"/>
  <c r="D48"/>
  <c r="J48" l="1"/>
  <c r="F48"/>
  <c r="K48"/>
</calcChain>
</file>

<file path=xl/sharedStrings.xml><?xml version="1.0" encoding="utf-8"?>
<sst xmlns="http://schemas.openxmlformats.org/spreadsheetml/2006/main" count="81" uniqueCount="22">
  <si>
    <r>
      <rPr>
        <b/>
        <sz val="10"/>
        <color theme="1"/>
        <rFont val="宋体"/>
        <family val="3"/>
        <charset val="134"/>
      </rPr>
      <t>执行时间</t>
    </r>
    <phoneticPr fontId="1" type="noConversion"/>
  </si>
  <si>
    <r>
      <rPr>
        <b/>
        <sz val="10"/>
        <color theme="0"/>
        <rFont val="宋体"/>
        <family val="3"/>
        <charset val="134"/>
      </rPr>
      <t>开始日期</t>
    </r>
    <phoneticPr fontId="1" type="noConversion"/>
  </si>
  <si>
    <r>
      <rPr>
        <b/>
        <sz val="10"/>
        <color theme="0"/>
        <rFont val="宋体"/>
        <family val="3"/>
        <charset val="134"/>
      </rPr>
      <t>结束日期</t>
    </r>
    <phoneticPr fontId="1" type="noConversion"/>
  </si>
  <si>
    <r>
      <rPr>
        <b/>
        <sz val="10"/>
        <color theme="0"/>
        <rFont val="宋体"/>
        <family val="3"/>
        <charset val="134"/>
      </rPr>
      <t>日期</t>
    </r>
    <phoneticPr fontId="1" type="noConversion"/>
  </si>
  <si>
    <r>
      <rPr>
        <b/>
        <sz val="10"/>
        <color theme="0"/>
        <rFont val="宋体"/>
        <family val="3"/>
        <charset val="134"/>
      </rPr>
      <t>曝光数</t>
    </r>
    <phoneticPr fontId="1" type="noConversion"/>
  </si>
  <si>
    <t>点击率</t>
    <phoneticPr fontId="1" type="noConversion"/>
  </si>
  <si>
    <t>转化数</t>
    <phoneticPr fontId="1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</si>
  <si>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</si>
  <si>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" type="noConversion"/>
  </si>
  <si>
    <t>CPM</t>
    <phoneticPr fontId="24" type="noConversion"/>
  </si>
  <si>
    <t>CPC</t>
    <phoneticPr fontId="1" type="noConversion"/>
  </si>
  <si>
    <r>
      <rPr>
        <sz val="10"/>
        <color theme="1"/>
        <rFont val="宋体"/>
        <family val="3"/>
        <charset val="134"/>
      </rPr>
      <t>合计：</t>
    </r>
    <phoneticPr fontId="1" type="noConversion"/>
  </si>
  <si>
    <t>点击数</t>
    <phoneticPr fontId="1" type="noConversion"/>
  </si>
  <si>
    <t>阶段小结</t>
    <phoneticPr fontId="1" type="noConversion"/>
  </si>
  <si>
    <t>每日数据概览</t>
    <phoneticPr fontId="1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</si>
  <si>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4" type="noConversion"/>
  </si>
  <si>
    <t>-</t>
    <phoneticPr fontId="3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</si>
  <si>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1.用较少的预算进行预设场景的测试投放（10-10日之前主要尝试低CPM的各测试场景，本周会逐步提高）；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1.继续进行各场景的测试投放，逐步提高投放预算；
2.继续优化动态出价算法；
3.观察数据，淘汰低效果的创意；
4.总结投放数据，优化投放模型；
5.利用原先积累的用户数据开始开展retargeting投放；
6.积累本周投放数据后和GA报表进行数据比对；</t>
    </r>
    <phoneticPr fontId="24" type="noConversion"/>
  </si>
  <si>
    <r>
      <t>MiniInTheBox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0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</si>
  <si>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1.持续各场景的测试投放；
2.优化动态出价算法；
3.观察数据，淘汰低效果的创意；
4.总结投放数据，优化投放模型；
5.利用原先积累的用户数据开始开展retargeting投放；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1.持续测试投放过程，逐步挑选白名单，提高投放预算；
2.总结投放数据，优化投放模型；
3.继续优化动态出价算法；
4.retargeting投放；
5.和GA报表进行数据比对；</t>
    </r>
    <phoneticPr fontId="24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</si>
  <si>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1.持续测试投放过程，逐步挑选白名单，提高投放预算；
2.总结投放数据，优化投放模型；
3.继续优化动态出价算法；
4.retargeting投放；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1.持续投放，继续挑选白名单，提高投放预算；
2.持续优化投放模型；
3.继续优化动态出价算法；
4.retargeting投放；</t>
    </r>
    <phoneticPr fontId="24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</si>
  <si>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1.持续测试投放过程，逐步挑选白名单，提高投放预算；
2.总结投放数据，优化投放模型；
3.继续优化动态出价算法；
4.retargeting投放；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1.继续挑选白名单，提高投放预算；
2.扩大人群的学习范围；
3.持续优化投放模型；
4.继续优化动态出价算法；
5.retargeting投放；</t>
    </r>
    <phoneticPr fontId="24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</si>
</sst>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4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3" applyNumberFormat="0" applyAlignment="0" applyProtection="0">
      <alignment vertical="center"/>
    </xf>
    <xf numFmtId="0" fontId="6" fillId="28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0" borderId="3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" fillId="32" borderId="9" applyNumberFormat="0" applyFont="0" applyAlignment="0" applyProtection="0">
      <alignment vertical="center"/>
    </xf>
    <xf numFmtId="0" fontId="15" fillId="27" borderId="10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/>
  </cellStyleXfs>
  <cellXfs count="34">
    <xf numFmtId="0" fontId="0" fillId="0" borderId="0" xfId="0">
      <alignment vertical="center"/>
    </xf>
    <xf numFmtId="26" fontId="19" fillId="35" borderId="1" xfId="0" applyNumberFormat="1" applyFont="1" applyFill="1" applyBorder="1" applyAlignment="1"/>
    <xf numFmtId="14" fontId="19" fillId="34" borderId="1" xfId="0" applyNumberFormat="1" applyFont="1" applyFill="1" applyBorder="1">
      <alignment vertical="center"/>
    </xf>
    <xf numFmtId="14" fontId="19" fillId="0" borderId="1" xfId="0" applyNumberFormat="1" applyFont="1" applyBorder="1" applyAlignment="1">
      <alignment horizontal="left" vertical="center"/>
    </xf>
    <xf numFmtId="3" fontId="19" fillId="37" borderId="1" xfId="0" applyNumberFormat="1" applyFont="1" applyFill="1" applyBorder="1" applyAlignment="1"/>
    <xf numFmtId="26" fontId="19" fillId="37" borderId="1" xfId="0" applyNumberFormat="1" applyFont="1" applyFill="1" applyBorder="1" applyAlignment="1"/>
    <xf numFmtId="0" fontId="25" fillId="34" borderId="0" xfId="0" applyFont="1" applyFill="1">
      <alignment vertical="center"/>
    </xf>
    <xf numFmtId="0" fontId="25" fillId="34" borderId="16" xfId="0" applyFont="1" applyFill="1" applyBorder="1">
      <alignment vertical="center"/>
    </xf>
    <xf numFmtId="0" fontId="25" fillId="34" borderId="0" xfId="0" applyFont="1" applyFill="1" applyBorder="1">
      <alignment vertical="center"/>
    </xf>
    <xf numFmtId="0" fontId="25" fillId="34" borderId="17" xfId="0" applyFont="1" applyFill="1" applyBorder="1">
      <alignment vertical="center"/>
    </xf>
    <xf numFmtId="0" fontId="26" fillId="36" borderId="0" xfId="0" applyFont="1" applyFill="1" applyBorder="1" applyAlignment="1">
      <alignment horizontal="left" vertical="center"/>
    </xf>
    <xf numFmtId="0" fontId="19" fillId="37" borderId="1" xfId="0" applyFont="1" applyFill="1" applyBorder="1" applyAlignment="1">
      <alignment horizontal="right" vertical="center"/>
    </xf>
    <xf numFmtId="0" fontId="25" fillId="34" borderId="18" xfId="0" applyFont="1" applyFill="1" applyBorder="1">
      <alignment vertical="center"/>
    </xf>
    <xf numFmtId="0" fontId="25" fillId="34" borderId="12" xfId="0" applyFont="1" applyFill="1" applyBorder="1">
      <alignment vertical="center"/>
    </xf>
    <xf numFmtId="0" fontId="25" fillId="34" borderId="19" xfId="0" applyFont="1" applyFill="1" applyBorder="1">
      <alignment vertical="center"/>
    </xf>
    <xf numFmtId="0" fontId="25" fillId="34" borderId="0" xfId="0" applyFont="1" applyFill="1" applyAlignment="1">
      <alignment vertical="top" wrapText="1"/>
    </xf>
    <xf numFmtId="0" fontId="25" fillId="34" borderId="0" xfId="0" applyFont="1" applyFill="1" applyAlignment="1">
      <alignment vertical="center"/>
    </xf>
    <xf numFmtId="3" fontId="19" fillId="0" borderId="1" xfId="0" applyNumberFormat="1" applyFont="1" applyBorder="1" applyAlignment="1">
      <alignment horizontal="right"/>
    </xf>
    <xf numFmtId="0" fontId="20" fillId="33" borderId="1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177" fontId="19" fillId="34" borderId="0" xfId="43" applyNumberFormat="1" applyFont="1" applyFill="1" applyBorder="1" applyAlignment="1">
      <alignment vertical="center"/>
    </xf>
    <xf numFmtId="178" fontId="19" fillId="34" borderId="0" xfId="39" applyNumberFormat="1" applyFont="1" applyFill="1" applyBorder="1">
      <alignment vertical="center"/>
    </xf>
    <xf numFmtId="0" fontId="27" fillId="36" borderId="0" xfId="0" applyFont="1" applyFill="1" applyBorder="1">
      <alignment vertical="center"/>
    </xf>
    <xf numFmtId="0" fontId="20" fillId="33" borderId="2" xfId="0" applyFont="1" applyFill="1" applyBorder="1" applyAlignment="1">
      <alignment horizontal="center" vertical="center"/>
    </xf>
    <xf numFmtId="3" fontId="19" fillId="0" borderId="2" xfId="0" applyNumberFormat="1" applyFont="1" applyBorder="1" applyAlignment="1">
      <alignment horizontal="right"/>
    </xf>
    <xf numFmtId="178" fontId="19" fillId="34" borderId="2" xfId="39" applyNumberFormat="1" applyFont="1" applyFill="1" applyBorder="1" applyAlignment="1">
      <alignment horizontal="right"/>
    </xf>
    <xf numFmtId="3" fontId="19" fillId="37" borderId="2" xfId="0" applyNumberFormat="1" applyFont="1" applyFill="1" applyBorder="1" applyAlignment="1">
      <alignment horizontal="right"/>
    </xf>
    <xf numFmtId="178" fontId="19" fillId="37" borderId="2" xfId="39" applyNumberFormat="1" applyFont="1" applyFill="1" applyBorder="1" applyAlignment="1">
      <alignment horizontal="right"/>
    </xf>
    <xf numFmtId="26" fontId="19" fillId="34" borderId="1" xfId="0" applyNumberFormat="1" applyFont="1" applyFill="1" applyBorder="1" applyAlignment="1"/>
    <xf numFmtId="0" fontId="22" fillId="33" borderId="13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1" fillId="34" borderId="1" xfId="0" applyFont="1" applyFill="1" applyBorder="1" applyAlignment="1">
      <alignment horizontal="left" vertical="center" wrapText="1"/>
    </xf>
    <xf numFmtId="0" fontId="19" fillId="34" borderId="1" xfId="0" applyFont="1" applyFill="1" applyBorder="1" applyAlignment="1">
      <alignment horizontal="left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56"/>
  <sheetViews>
    <sheetView topLeftCell="A27" workbookViewId="0">
      <selection activeCell="C48" sqref="C48:K4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18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41177</v>
      </c>
      <c r="D6" s="2">
        <v>41196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17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C21" s="33"/>
      <c r="D21" s="33"/>
      <c r="E21" s="33"/>
      <c r="F21" s="33"/>
      <c r="G21" s="33"/>
      <c r="H21" s="33"/>
      <c r="I21" s="33"/>
      <c r="J21" s="33"/>
      <c r="K21" s="33"/>
      <c r="L21" s="9"/>
    </row>
    <row r="22" spans="2:12">
      <c r="B22" s="7"/>
      <c r="C22" s="33"/>
      <c r="D22" s="33"/>
      <c r="E22" s="33"/>
      <c r="F22" s="33"/>
      <c r="G22" s="33"/>
      <c r="H22" s="33"/>
      <c r="I22" s="33"/>
      <c r="J22" s="33"/>
      <c r="K22" s="33"/>
      <c r="L22" s="9"/>
    </row>
    <row r="23" spans="2:12">
      <c r="B23" s="7"/>
      <c r="C23" s="33"/>
      <c r="D23" s="33"/>
      <c r="E23" s="33"/>
      <c r="F23" s="33"/>
      <c r="G23" s="33"/>
      <c r="H23" s="33"/>
      <c r="I23" s="33"/>
      <c r="J23" s="33"/>
      <c r="K23" s="33"/>
      <c r="L23" s="9"/>
    </row>
    <row r="24" spans="2:12">
      <c r="B24" s="7"/>
      <c r="C24" s="33"/>
      <c r="D24" s="33"/>
      <c r="E24" s="33"/>
      <c r="F24" s="33"/>
      <c r="G24" s="33"/>
      <c r="H24" s="33"/>
      <c r="I24" s="33"/>
      <c r="J24" s="33"/>
      <c r="K24" s="33"/>
      <c r="L24" s="9"/>
    </row>
    <row r="25" spans="2:12">
      <c r="B25" s="7"/>
      <c r="L25" s="9"/>
    </row>
    <row r="26" spans="2:12">
      <c r="B26" s="7"/>
      <c r="C26" s="22" t="s">
        <v>14</v>
      </c>
      <c r="D26" s="8"/>
      <c r="E26" s="8"/>
      <c r="F26" s="8"/>
      <c r="L26" s="9"/>
    </row>
    <row r="27" spans="2:12">
      <c r="B27" s="7"/>
      <c r="C27" s="19" t="s">
        <v>3</v>
      </c>
      <c r="D27" s="19" t="s">
        <v>4</v>
      </c>
      <c r="E27" s="23" t="s">
        <v>12</v>
      </c>
      <c r="F27" s="23" t="s">
        <v>5</v>
      </c>
      <c r="G27" s="18" t="s">
        <v>6</v>
      </c>
      <c r="H27" s="19" t="s">
        <v>7</v>
      </c>
      <c r="I27" s="19" t="s">
        <v>8</v>
      </c>
      <c r="J27" s="19" t="s">
        <v>9</v>
      </c>
      <c r="K27" s="19" t="s">
        <v>10</v>
      </c>
      <c r="L27" s="9"/>
    </row>
    <row r="28" spans="2:12">
      <c r="B28" s="7"/>
      <c r="C28" s="3">
        <v>41177</v>
      </c>
      <c r="D28" s="17">
        <v>10445</v>
      </c>
      <c r="E28" s="24">
        <v>1</v>
      </c>
      <c r="F28" s="25">
        <f t="shared" ref="F28:F47" si="0">E28/D28</f>
        <v>9.5739588319770219E-5</v>
      </c>
      <c r="G28" s="17">
        <v>0</v>
      </c>
      <c r="H28" s="28">
        <v>0</v>
      </c>
      <c r="I28" s="1">
        <v>1.87</v>
      </c>
      <c r="J28" s="1">
        <f t="shared" ref="J28:J47" si="1">I28/D28*1000</f>
        <v>0.17903303015797031</v>
      </c>
      <c r="K28" s="1">
        <f t="shared" ref="K28:K47" si="2">I28/E28</f>
        <v>1.87</v>
      </c>
      <c r="L28" s="9"/>
    </row>
    <row r="29" spans="2:12">
      <c r="B29" s="7"/>
      <c r="C29" s="3">
        <v>41178</v>
      </c>
      <c r="D29" s="17">
        <v>54164</v>
      </c>
      <c r="E29" s="24">
        <v>14</v>
      </c>
      <c r="F29" s="25">
        <f t="shared" si="0"/>
        <v>2.5847426334834944E-4</v>
      </c>
      <c r="G29" s="17">
        <v>0</v>
      </c>
      <c r="H29" s="28">
        <v>0</v>
      </c>
      <c r="I29" s="1">
        <v>6.46</v>
      </c>
      <c r="J29" s="1">
        <f t="shared" si="1"/>
        <v>0.11926741008788125</v>
      </c>
      <c r="K29" s="1">
        <f t="shared" si="2"/>
        <v>0.46142857142857141</v>
      </c>
      <c r="L29" s="9"/>
    </row>
    <row r="30" spans="2:12">
      <c r="B30" s="7"/>
      <c r="C30" s="3">
        <v>41179</v>
      </c>
      <c r="D30" s="17">
        <v>129638</v>
      </c>
      <c r="E30" s="24">
        <v>37</v>
      </c>
      <c r="F30" s="25">
        <f t="shared" si="0"/>
        <v>2.8541014208796801E-4</v>
      </c>
      <c r="G30" s="17">
        <v>0</v>
      </c>
      <c r="H30" s="28">
        <v>0</v>
      </c>
      <c r="I30" s="1">
        <v>15.09</v>
      </c>
      <c r="J30" s="1">
        <f t="shared" si="1"/>
        <v>0.11640105524614695</v>
      </c>
      <c r="K30" s="1">
        <f t="shared" si="2"/>
        <v>0.40783783783783784</v>
      </c>
      <c r="L30" s="9"/>
    </row>
    <row r="31" spans="2:12">
      <c r="B31" s="7"/>
      <c r="C31" s="3">
        <v>41180</v>
      </c>
      <c r="D31" s="17">
        <v>143857</v>
      </c>
      <c r="E31" s="24">
        <v>26</v>
      </c>
      <c r="F31" s="25">
        <f t="shared" si="0"/>
        <v>1.8073503548662908E-4</v>
      </c>
      <c r="G31" s="17">
        <v>1</v>
      </c>
      <c r="H31" s="28">
        <v>6.79</v>
      </c>
      <c r="I31" s="1">
        <v>15.02</v>
      </c>
      <c r="J31" s="1">
        <f t="shared" si="1"/>
        <v>0.10440923973112187</v>
      </c>
      <c r="K31" s="1">
        <f t="shared" si="2"/>
        <v>0.57769230769230773</v>
      </c>
      <c r="L31" s="9"/>
    </row>
    <row r="32" spans="2:12">
      <c r="B32" s="7"/>
      <c r="C32" s="3">
        <v>41181</v>
      </c>
      <c r="D32" s="17">
        <v>133580</v>
      </c>
      <c r="E32" s="24">
        <v>30</v>
      </c>
      <c r="F32" s="25">
        <f t="shared" si="0"/>
        <v>2.2458451864051506E-4</v>
      </c>
      <c r="G32" s="17">
        <v>0</v>
      </c>
      <c r="H32" s="28">
        <v>0</v>
      </c>
      <c r="I32" s="1">
        <v>14.85</v>
      </c>
      <c r="J32" s="1">
        <f t="shared" si="1"/>
        <v>0.11116933672705495</v>
      </c>
      <c r="K32" s="1">
        <f t="shared" si="2"/>
        <v>0.495</v>
      </c>
      <c r="L32" s="9"/>
    </row>
    <row r="33" spans="2:12">
      <c r="B33" s="7"/>
      <c r="C33" s="3">
        <v>41182</v>
      </c>
      <c r="D33" s="17">
        <v>0</v>
      </c>
      <c r="E33" s="24">
        <v>0</v>
      </c>
      <c r="F33" s="25" t="s">
        <v>16</v>
      </c>
      <c r="G33" s="17">
        <v>0</v>
      </c>
      <c r="H33" s="28">
        <v>0</v>
      </c>
      <c r="I33" s="1">
        <v>0</v>
      </c>
      <c r="J33" s="1" t="s">
        <v>16</v>
      </c>
      <c r="K33" s="1" t="s">
        <v>16</v>
      </c>
      <c r="L33" s="9"/>
    </row>
    <row r="34" spans="2:12">
      <c r="B34" s="7"/>
      <c r="C34" s="3">
        <v>41183</v>
      </c>
      <c r="D34" s="17">
        <v>0</v>
      </c>
      <c r="E34" s="24">
        <v>0</v>
      </c>
      <c r="F34" s="25" t="s">
        <v>16</v>
      </c>
      <c r="G34" s="17">
        <v>0</v>
      </c>
      <c r="H34" s="28">
        <v>0</v>
      </c>
      <c r="I34" s="1">
        <v>0</v>
      </c>
      <c r="J34" s="1" t="s">
        <v>16</v>
      </c>
      <c r="K34" s="1" t="s">
        <v>16</v>
      </c>
      <c r="L34" s="9"/>
    </row>
    <row r="35" spans="2:12">
      <c r="B35" s="7"/>
      <c r="C35" s="3">
        <v>41184</v>
      </c>
      <c r="D35" s="17">
        <v>149765</v>
      </c>
      <c r="E35" s="24">
        <v>16</v>
      </c>
      <c r="F35" s="25">
        <f t="shared" si="0"/>
        <v>1.0683403999599373E-4</v>
      </c>
      <c r="G35" s="17">
        <v>0</v>
      </c>
      <c r="H35" s="28">
        <v>0</v>
      </c>
      <c r="I35" s="1">
        <v>15.09</v>
      </c>
      <c r="J35" s="1">
        <f t="shared" si="1"/>
        <v>0.10075785397122157</v>
      </c>
      <c r="K35" s="1">
        <f t="shared" si="2"/>
        <v>0.94312499999999999</v>
      </c>
      <c r="L35" s="9"/>
    </row>
    <row r="36" spans="2:12">
      <c r="B36" s="7"/>
      <c r="C36" s="3">
        <v>41185</v>
      </c>
      <c r="D36" s="17">
        <v>178391</v>
      </c>
      <c r="E36" s="24">
        <v>33</v>
      </c>
      <c r="F36" s="25">
        <f t="shared" si="0"/>
        <v>1.8498691077464669E-4</v>
      </c>
      <c r="G36" s="17">
        <v>0</v>
      </c>
      <c r="H36" s="28">
        <v>0</v>
      </c>
      <c r="I36" s="1">
        <v>19.399999999999999</v>
      </c>
      <c r="J36" s="1">
        <f t="shared" si="1"/>
        <v>0.10874988087964078</v>
      </c>
      <c r="K36" s="1">
        <f t="shared" si="2"/>
        <v>0.58787878787878789</v>
      </c>
      <c r="L36" s="9"/>
    </row>
    <row r="37" spans="2:12">
      <c r="B37" s="7"/>
      <c r="C37" s="3">
        <v>41186</v>
      </c>
      <c r="D37" s="17">
        <v>145718</v>
      </c>
      <c r="E37" s="24">
        <v>19</v>
      </c>
      <c r="F37" s="25">
        <f t="shared" si="0"/>
        <v>1.3038883322581975E-4</v>
      </c>
      <c r="G37" s="17">
        <v>1</v>
      </c>
      <c r="H37" s="28">
        <v>10.48</v>
      </c>
      <c r="I37" s="1">
        <v>15.55</v>
      </c>
      <c r="J37" s="1">
        <f t="shared" si="1"/>
        <v>0.10671296614007879</v>
      </c>
      <c r="K37" s="1">
        <f t="shared" si="2"/>
        <v>0.81842105263157894</v>
      </c>
      <c r="L37" s="9"/>
    </row>
    <row r="38" spans="2:12">
      <c r="B38" s="7"/>
      <c r="C38" s="3">
        <v>41187</v>
      </c>
      <c r="D38" s="17">
        <v>151259</v>
      </c>
      <c r="E38" s="24">
        <v>18</v>
      </c>
      <c r="F38" s="25">
        <f t="shared" si="0"/>
        <v>1.1900118340065715E-4</v>
      </c>
      <c r="G38" s="17">
        <v>0</v>
      </c>
      <c r="H38" s="28">
        <v>0</v>
      </c>
      <c r="I38" s="1">
        <v>16.47</v>
      </c>
      <c r="J38" s="1">
        <f t="shared" si="1"/>
        <v>0.10888608281160128</v>
      </c>
      <c r="K38" s="1">
        <f t="shared" si="2"/>
        <v>0.91499999999999992</v>
      </c>
      <c r="L38" s="9"/>
    </row>
    <row r="39" spans="2:12">
      <c r="B39" s="7"/>
      <c r="C39" s="3">
        <v>41188</v>
      </c>
      <c r="D39" s="17">
        <v>155601</v>
      </c>
      <c r="E39" s="24">
        <v>17</v>
      </c>
      <c r="F39" s="25">
        <f t="shared" si="0"/>
        <v>1.0925379656943078E-4</v>
      </c>
      <c r="G39" s="17">
        <v>0</v>
      </c>
      <c r="H39" s="28">
        <v>0</v>
      </c>
      <c r="I39" s="1">
        <v>16.41</v>
      </c>
      <c r="J39" s="1">
        <f t="shared" si="1"/>
        <v>0.10546204715907996</v>
      </c>
      <c r="K39" s="1">
        <f t="shared" si="2"/>
        <v>0.96529411764705886</v>
      </c>
      <c r="L39" s="9"/>
    </row>
    <row r="40" spans="2:12">
      <c r="B40" s="7"/>
      <c r="C40" s="3">
        <v>41189</v>
      </c>
      <c r="D40" s="17">
        <v>157942</v>
      </c>
      <c r="E40" s="24">
        <v>20</v>
      </c>
      <c r="F40" s="25">
        <f t="shared" si="0"/>
        <v>1.266287624571045E-4</v>
      </c>
      <c r="G40" s="17">
        <v>0</v>
      </c>
      <c r="H40" s="28">
        <v>0</v>
      </c>
      <c r="I40" s="1">
        <v>16.760000000000002</v>
      </c>
      <c r="J40" s="1">
        <f t="shared" si="1"/>
        <v>0.10611490293905358</v>
      </c>
      <c r="K40" s="1">
        <f t="shared" si="2"/>
        <v>0.83800000000000008</v>
      </c>
      <c r="L40" s="9"/>
    </row>
    <row r="41" spans="2:12">
      <c r="B41" s="7"/>
      <c r="C41" s="3">
        <v>41190</v>
      </c>
      <c r="D41" s="17">
        <v>160487</v>
      </c>
      <c r="E41" s="24">
        <v>18</v>
      </c>
      <c r="F41" s="25">
        <f t="shared" si="0"/>
        <v>1.121586172088705E-4</v>
      </c>
      <c r="G41" s="17">
        <v>1</v>
      </c>
      <c r="H41" s="28">
        <v>3.39</v>
      </c>
      <c r="I41" s="1">
        <v>16.75</v>
      </c>
      <c r="J41" s="1">
        <f t="shared" si="1"/>
        <v>0.10436982434714338</v>
      </c>
      <c r="K41" s="1">
        <f t="shared" si="2"/>
        <v>0.93055555555555558</v>
      </c>
      <c r="L41" s="9"/>
    </row>
    <row r="42" spans="2:12">
      <c r="B42" s="7"/>
      <c r="C42" s="3">
        <v>41191</v>
      </c>
      <c r="D42" s="17">
        <v>87869</v>
      </c>
      <c r="E42" s="24">
        <v>5</v>
      </c>
      <c r="F42" s="25">
        <f t="shared" si="0"/>
        <v>5.6902889528730268E-5</v>
      </c>
      <c r="G42" s="17">
        <v>0</v>
      </c>
      <c r="H42" s="28">
        <v>0</v>
      </c>
      <c r="I42" s="1">
        <v>16.649999999999999</v>
      </c>
      <c r="J42" s="1">
        <f t="shared" si="1"/>
        <v>0.1894866221306718</v>
      </c>
      <c r="K42" s="1">
        <f t="shared" si="2"/>
        <v>3.3299999999999996</v>
      </c>
      <c r="L42" s="9"/>
    </row>
    <row r="43" spans="2:12">
      <c r="B43" s="7"/>
      <c r="C43" s="3">
        <v>41192</v>
      </c>
      <c r="D43" s="17">
        <v>86392</v>
      </c>
      <c r="E43" s="24">
        <v>2</v>
      </c>
      <c r="F43" s="25">
        <f t="shared" si="0"/>
        <v>2.3150291693675341E-5</v>
      </c>
      <c r="G43" s="17">
        <v>0</v>
      </c>
      <c r="H43" s="28">
        <v>0</v>
      </c>
      <c r="I43" s="1">
        <v>16.84</v>
      </c>
      <c r="J43" s="1">
        <f t="shared" si="1"/>
        <v>0.19492545606074635</v>
      </c>
      <c r="K43" s="1">
        <f t="shared" si="2"/>
        <v>8.42</v>
      </c>
      <c r="L43" s="9"/>
    </row>
    <row r="44" spans="2:12">
      <c r="B44" s="7"/>
      <c r="C44" s="3">
        <v>41193</v>
      </c>
      <c r="D44" s="17">
        <v>76439</v>
      </c>
      <c r="E44" s="24">
        <v>6</v>
      </c>
      <c r="F44" s="25">
        <f t="shared" si="0"/>
        <v>7.8493962506050578E-5</v>
      </c>
      <c r="G44" s="17">
        <v>1</v>
      </c>
      <c r="H44" s="28">
        <v>1.49</v>
      </c>
      <c r="I44" s="1">
        <v>16.170000000000002</v>
      </c>
      <c r="J44" s="1">
        <f t="shared" si="1"/>
        <v>0.21154122895380631</v>
      </c>
      <c r="K44" s="1">
        <f t="shared" si="2"/>
        <v>2.6950000000000003</v>
      </c>
      <c r="L44" s="9"/>
    </row>
    <row r="45" spans="2:12">
      <c r="B45" s="7"/>
      <c r="C45" s="3">
        <v>41194</v>
      </c>
      <c r="D45" s="17">
        <v>0</v>
      </c>
      <c r="E45" s="24">
        <v>0</v>
      </c>
      <c r="F45" s="25" t="s">
        <v>16</v>
      </c>
      <c r="G45" s="17">
        <v>0</v>
      </c>
      <c r="H45" s="28">
        <v>0</v>
      </c>
      <c r="I45" s="1">
        <v>0</v>
      </c>
      <c r="J45" s="1" t="s">
        <v>16</v>
      </c>
      <c r="K45" s="1" t="s">
        <v>16</v>
      </c>
      <c r="L45" s="9"/>
    </row>
    <row r="46" spans="2:12">
      <c r="B46" s="7"/>
      <c r="C46" s="3">
        <v>41195</v>
      </c>
      <c r="D46" s="17">
        <f>76073+1838+123950</f>
        <v>201861</v>
      </c>
      <c r="E46" s="24">
        <v>36</v>
      </c>
      <c r="F46" s="25">
        <f t="shared" si="0"/>
        <v>1.7834054126354272E-4</v>
      </c>
      <c r="G46" s="17">
        <v>2</v>
      </c>
      <c r="H46" s="28">
        <v>42.84</v>
      </c>
      <c r="I46" s="1">
        <f>16.18+27.9</f>
        <v>44.08</v>
      </c>
      <c r="J46" s="1">
        <f t="shared" si="1"/>
        <v>0.21836808496936008</v>
      </c>
      <c r="K46" s="1">
        <f t="shared" si="2"/>
        <v>1.2244444444444444</v>
      </c>
      <c r="L46" s="9"/>
    </row>
    <row r="47" spans="2:12">
      <c r="B47" s="7"/>
      <c r="C47" s="3">
        <v>41196</v>
      </c>
      <c r="D47" s="17">
        <f>77969+131302+15907</f>
        <v>225178</v>
      </c>
      <c r="E47" s="24">
        <v>27</v>
      </c>
      <c r="F47" s="25">
        <f t="shared" si="0"/>
        <v>1.1990514171011377E-4</v>
      </c>
      <c r="G47" s="17">
        <v>0</v>
      </c>
      <c r="H47" s="28">
        <v>0</v>
      </c>
      <c r="I47" s="1">
        <f>16.29+45.42</f>
        <v>61.71</v>
      </c>
      <c r="J47" s="1">
        <f t="shared" si="1"/>
        <v>0.27404986277522669</v>
      </c>
      <c r="K47" s="1">
        <f t="shared" si="2"/>
        <v>2.2855555555555558</v>
      </c>
      <c r="L47" s="9"/>
    </row>
    <row r="48" spans="2:12">
      <c r="B48" s="7"/>
      <c r="C48" s="11" t="s">
        <v>11</v>
      </c>
      <c r="D48" s="4">
        <f>SUM(D28:D47)</f>
        <v>2248586</v>
      </c>
      <c r="E48" s="26">
        <f>SUM(E28:E47)</f>
        <v>325</v>
      </c>
      <c r="F48" s="27">
        <f>E48/D48</f>
        <v>1.4453527683619839E-4</v>
      </c>
      <c r="G48" s="4">
        <f>SUM(G28:G47)</f>
        <v>6</v>
      </c>
      <c r="H48" s="5">
        <f>SUM(H28:H47)</f>
        <v>64.990000000000009</v>
      </c>
      <c r="I48" s="5">
        <f>SUM(I28:I47)</f>
        <v>325.16999999999996</v>
      </c>
      <c r="J48" s="5">
        <f>I48/D48*1000</f>
        <v>0.14461087990408192</v>
      </c>
      <c r="K48" s="5">
        <f>I48/E48</f>
        <v>1.0005230769230768</v>
      </c>
      <c r="L48" s="9"/>
    </row>
    <row r="49" spans="2:12">
      <c r="B49" s="7"/>
      <c r="C49" s="8"/>
      <c r="D49" s="8"/>
      <c r="E49" s="8"/>
      <c r="F49" s="8"/>
      <c r="L49" s="9"/>
    </row>
    <row r="50" spans="2:12">
      <c r="B50" s="7"/>
      <c r="C50" s="16" t="s">
        <v>15</v>
      </c>
      <c r="D50" s="20"/>
      <c r="E50" s="20"/>
      <c r="F50" s="21"/>
      <c r="G50" s="8"/>
      <c r="H50" s="8"/>
      <c r="I50" s="8"/>
      <c r="J50" s="8"/>
      <c r="K50" s="8"/>
      <c r="L50" s="9"/>
    </row>
    <row r="51" spans="2:12"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4"/>
    </row>
    <row r="53" spans="2:12">
      <c r="B53" s="15"/>
      <c r="D53" s="16"/>
      <c r="E53" s="16"/>
      <c r="F53" s="16"/>
    </row>
    <row r="54" spans="2:12">
      <c r="B54" s="16"/>
      <c r="C54" s="16"/>
      <c r="D54" s="16"/>
      <c r="E54" s="16"/>
      <c r="F54" s="16"/>
    </row>
    <row r="55" spans="2:12">
      <c r="B55" s="16"/>
      <c r="C55" s="16"/>
      <c r="D55" s="16"/>
      <c r="E55" s="16"/>
      <c r="F55" s="16"/>
    </row>
    <row r="56" spans="2:12">
      <c r="B56" s="16"/>
      <c r="C56" s="16"/>
      <c r="D56" s="16"/>
      <c r="E56" s="16"/>
      <c r="F56" s="16"/>
    </row>
  </sheetData>
  <mergeCells count="2">
    <mergeCell ref="B2:L2"/>
    <mergeCell ref="C9:K24"/>
  </mergeCells>
  <phoneticPr fontId="3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0"/>
  <sheetViews>
    <sheetView topLeftCell="A7" workbookViewId="0">
      <selection activeCell="C34" sqref="C34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18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41197</v>
      </c>
      <c r="D6" s="2">
        <v>41203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19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C21" s="33"/>
      <c r="D21" s="33"/>
      <c r="E21" s="33"/>
      <c r="F21" s="33"/>
      <c r="G21" s="33"/>
      <c r="H21" s="33"/>
      <c r="I21" s="33"/>
      <c r="J21" s="33"/>
      <c r="K21" s="33"/>
      <c r="L21" s="9"/>
    </row>
    <row r="22" spans="2:12">
      <c r="B22" s="7"/>
      <c r="L22" s="9"/>
    </row>
    <row r="23" spans="2:12">
      <c r="B23" s="7"/>
      <c r="C23" s="22" t="s">
        <v>14</v>
      </c>
      <c r="D23" s="8"/>
      <c r="E23" s="8"/>
      <c r="F23" s="8"/>
      <c r="L23" s="9"/>
    </row>
    <row r="24" spans="2:12">
      <c r="B24" s="7"/>
      <c r="C24" s="19" t="s">
        <v>3</v>
      </c>
      <c r="D24" s="19" t="s">
        <v>4</v>
      </c>
      <c r="E24" s="23" t="s">
        <v>12</v>
      </c>
      <c r="F24" s="23" t="s">
        <v>5</v>
      </c>
      <c r="G24" s="18" t="s">
        <v>6</v>
      </c>
      <c r="H24" s="19" t="s">
        <v>7</v>
      </c>
      <c r="I24" s="19" t="s">
        <v>8</v>
      </c>
      <c r="J24" s="19" t="s">
        <v>9</v>
      </c>
      <c r="K24" s="19" t="s">
        <v>10</v>
      </c>
      <c r="L24" s="9"/>
    </row>
    <row r="25" spans="2:12">
      <c r="B25" s="7"/>
      <c r="C25" s="3">
        <v>41197</v>
      </c>
      <c r="D25" s="17">
        <f>27349+16196</f>
        <v>43545</v>
      </c>
      <c r="E25" s="24">
        <v>7</v>
      </c>
      <c r="F25" s="25">
        <f t="shared" ref="F25:F31" si="0">E25/D25</f>
        <v>1.607532437708118E-4</v>
      </c>
      <c r="G25" s="17">
        <v>2</v>
      </c>
      <c r="H25" s="28">
        <v>50.69</v>
      </c>
      <c r="I25" s="1">
        <f>4.62+17.2+1.23</f>
        <v>23.05</v>
      </c>
      <c r="J25" s="1">
        <f t="shared" ref="J25:J31" si="1">I25/D25*1000</f>
        <v>0.52933746698817308</v>
      </c>
      <c r="K25" s="1">
        <f t="shared" ref="K25:K31" si="2">I25/E25</f>
        <v>3.2928571428571431</v>
      </c>
      <c r="L25" s="9"/>
    </row>
    <row r="26" spans="2:12">
      <c r="B26" s="7"/>
      <c r="C26" s="3">
        <v>41198</v>
      </c>
      <c r="D26" s="17">
        <f>59041+187054+60603</f>
        <v>306698</v>
      </c>
      <c r="E26" s="24">
        <v>75</v>
      </c>
      <c r="F26" s="25">
        <f t="shared" si="0"/>
        <v>2.4454023175892896E-4</v>
      </c>
      <c r="G26" s="17">
        <v>3</v>
      </c>
      <c r="H26" s="28">
        <v>38.869999999999997</v>
      </c>
      <c r="I26" s="1">
        <f>15.03+98.3</f>
        <v>113.33</v>
      </c>
      <c r="J26" s="1">
        <f t="shared" si="1"/>
        <v>0.36951659286985894</v>
      </c>
      <c r="K26" s="1">
        <f t="shared" si="2"/>
        <v>1.5110666666666666</v>
      </c>
      <c r="L26" s="9"/>
    </row>
    <row r="27" spans="2:12">
      <c r="B27" s="7"/>
      <c r="C27" s="3">
        <v>41199</v>
      </c>
      <c r="D27" s="17">
        <f>115132+39820+94903</f>
        <v>249855</v>
      </c>
      <c r="E27" s="24">
        <v>52</v>
      </c>
      <c r="F27" s="25">
        <f t="shared" si="0"/>
        <v>2.0812071001180684E-4</v>
      </c>
      <c r="G27" s="17">
        <v>11</v>
      </c>
      <c r="H27" s="28">
        <v>332.44</v>
      </c>
      <c r="I27" s="1">
        <f>26.12+73.21</f>
        <v>99.33</v>
      </c>
      <c r="J27" s="1">
        <f t="shared" si="1"/>
        <v>0.39755057933601484</v>
      </c>
      <c r="K27" s="1">
        <f t="shared" si="2"/>
        <v>1.9101923076923077</v>
      </c>
      <c r="L27" s="9"/>
    </row>
    <row r="28" spans="2:12">
      <c r="B28" s="7"/>
      <c r="C28" s="3">
        <v>41200</v>
      </c>
      <c r="D28" s="17">
        <f>184214+24680+212961</f>
        <v>421855</v>
      </c>
      <c r="E28" s="24">
        <v>87</v>
      </c>
      <c r="F28" s="25">
        <f t="shared" si="0"/>
        <v>2.0623199914662622E-4</v>
      </c>
      <c r="G28" s="17">
        <v>14</v>
      </c>
      <c r="H28" s="28">
        <v>260.38</v>
      </c>
      <c r="I28" s="1">
        <f>39.37+85.3</f>
        <v>124.66999999999999</v>
      </c>
      <c r="J28" s="1">
        <f t="shared" si="1"/>
        <v>0.2955280842943665</v>
      </c>
      <c r="K28" s="1">
        <f t="shared" si="2"/>
        <v>1.4329885057471263</v>
      </c>
      <c r="L28" s="9"/>
    </row>
    <row r="29" spans="2:12">
      <c r="B29" s="7"/>
      <c r="C29" s="3">
        <v>41201</v>
      </c>
      <c r="D29" s="17">
        <v>235467</v>
      </c>
      <c r="E29" s="24">
        <v>83</v>
      </c>
      <c r="F29" s="25">
        <f t="shared" si="0"/>
        <v>3.5249100723243597E-4</v>
      </c>
      <c r="G29" s="17">
        <v>8</v>
      </c>
      <c r="H29" s="28">
        <v>283.99</v>
      </c>
      <c r="I29" s="1">
        <v>60.26</v>
      </c>
      <c r="J29" s="1">
        <f t="shared" si="1"/>
        <v>0.25591696500995892</v>
      </c>
      <c r="K29" s="1">
        <f t="shared" si="2"/>
        <v>0.72602409638554211</v>
      </c>
      <c r="L29" s="9"/>
    </row>
    <row r="30" spans="2:12">
      <c r="B30" s="7"/>
      <c r="C30" s="3">
        <v>41202</v>
      </c>
      <c r="D30" s="17">
        <f>32794+188424</f>
        <v>221218</v>
      </c>
      <c r="E30" s="24">
        <v>59</v>
      </c>
      <c r="F30" s="25">
        <f t="shared" si="0"/>
        <v>2.6670524098400673E-4</v>
      </c>
      <c r="G30" s="17">
        <v>12</v>
      </c>
      <c r="H30" s="28">
        <v>225.91</v>
      </c>
      <c r="I30" s="1">
        <v>62.73</v>
      </c>
      <c r="J30" s="1">
        <f t="shared" si="1"/>
        <v>0.28356643672757187</v>
      </c>
      <c r="K30" s="1">
        <f t="shared" si="2"/>
        <v>1.0632203389830508</v>
      </c>
      <c r="L30" s="9"/>
    </row>
    <row r="31" spans="2:12">
      <c r="B31" s="7"/>
      <c r="C31" s="3">
        <v>41203</v>
      </c>
      <c r="D31" s="17">
        <f>33275+187657</f>
        <v>220932</v>
      </c>
      <c r="E31" s="24">
        <v>76</v>
      </c>
      <c r="F31" s="25">
        <f t="shared" si="0"/>
        <v>3.4399724802201581E-4</v>
      </c>
      <c r="G31" s="17">
        <v>11</v>
      </c>
      <c r="H31" s="28">
        <v>141.02000000000001</v>
      </c>
      <c r="I31" s="1">
        <v>60.69</v>
      </c>
      <c r="J31" s="1">
        <f t="shared" si="1"/>
        <v>0.27469990766389657</v>
      </c>
      <c r="K31" s="1">
        <f t="shared" si="2"/>
        <v>0.79855263157894729</v>
      </c>
      <c r="L31" s="9"/>
    </row>
    <row r="32" spans="2:12">
      <c r="B32" s="7"/>
      <c r="C32" s="11" t="s">
        <v>11</v>
      </c>
      <c r="D32" s="4">
        <f>SUM(D25:D31)</f>
        <v>1699570</v>
      </c>
      <c r="E32" s="26">
        <f>SUM(E25:E31)</f>
        <v>439</v>
      </c>
      <c r="F32" s="27">
        <f>E32/D32</f>
        <v>2.5830062898262503E-4</v>
      </c>
      <c r="G32" s="4">
        <f>SUM(G25:G31)</f>
        <v>61</v>
      </c>
      <c r="H32" s="5">
        <f>SUM(H25:H31)</f>
        <v>1333.3</v>
      </c>
      <c r="I32" s="5">
        <f>SUM(I25:I31)</f>
        <v>544.05999999999995</v>
      </c>
      <c r="J32" s="5">
        <f>I32/D32*1000</f>
        <v>0.32011626470224819</v>
      </c>
      <c r="K32" s="5">
        <f>I32/E32</f>
        <v>1.2393166287015944</v>
      </c>
      <c r="L32" s="9"/>
    </row>
    <row r="33" spans="2:12">
      <c r="B33" s="7"/>
      <c r="C33" s="8"/>
      <c r="D33" s="8"/>
      <c r="E33" s="8"/>
      <c r="F33" s="8"/>
      <c r="L33" s="9"/>
    </row>
    <row r="34" spans="2:12">
      <c r="B34" s="7"/>
      <c r="C34" s="16" t="s">
        <v>15</v>
      </c>
      <c r="D34" s="20"/>
      <c r="E34" s="20"/>
      <c r="F34" s="21"/>
      <c r="G34" s="8"/>
      <c r="H34" s="8"/>
      <c r="I34" s="8"/>
      <c r="J34" s="8"/>
      <c r="K34" s="8"/>
      <c r="L34" s="9"/>
    </row>
    <row r="35" spans="2:12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4"/>
    </row>
    <row r="37" spans="2:12">
      <c r="B37" s="15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  <row r="40" spans="2:12">
      <c r="B40" s="16"/>
      <c r="C40" s="16"/>
      <c r="D40" s="16"/>
      <c r="E40" s="16"/>
      <c r="F40" s="16"/>
    </row>
  </sheetData>
  <mergeCells count="2">
    <mergeCell ref="B2:L2"/>
    <mergeCell ref="C9:K21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7"/>
  <sheetViews>
    <sheetView workbookViewId="0">
      <selection activeCell="C6" sqref="C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18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41204</v>
      </c>
      <c r="D6" s="2">
        <v>41210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20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3</v>
      </c>
      <c r="D21" s="19" t="s">
        <v>4</v>
      </c>
      <c r="E21" s="23" t="s">
        <v>12</v>
      </c>
      <c r="F21" s="23" t="s">
        <v>5</v>
      </c>
      <c r="G21" s="18" t="s">
        <v>6</v>
      </c>
      <c r="H21" s="19" t="s">
        <v>7</v>
      </c>
      <c r="I21" s="19" t="s">
        <v>8</v>
      </c>
      <c r="J21" s="19" t="s">
        <v>9</v>
      </c>
      <c r="K21" s="19" t="s">
        <v>10</v>
      </c>
      <c r="L21" s="9"/>
    </row>
    <row r="22" spans="2:12">
      <c r="B22" s="7"/>
      <c r="C22" s="3">
        <v>41204</v>
      </c>
      <c r="D22" s="17">
        <v>192883</v>
      </c>
      <c r="E22" s="24">
        <v>70</v>
      </c>
      <c r="F22" s="25">
        <f t="shared" ref="F22:F28" si="0">E22/D22</f>
        <v>3.6291430556347631E-4</v>
      </c>
      <c r="G22" s="17">
        <v>13</v>
      </c>
      <c r="H22" s="28">
        <v>371.77</v>
      </c>
      <c r="I22" s="1">
        <v>46.155569999999997</v>
      </c>
      <c r="J22" s="1">
        <f t="shared" ref="J22:J28" si="1">I22/D22*1000</f>
        <v>0.23929309477766314</v>
      </c>
      <c r="K22" s="1">
        <f t="shared" ref="K22:K28" si="2">I22/E22</f>
        <v>0.65936528571428565</v>
      </c>
      <c r="L22" s="9"/>
    </row>
    <row r="23" spans="2:12">
      <c r="B23" s="7"/>
      <c r="C23" s="3">
        <v>41205</v>
      </c>
      <c r="D23" s="17">
        <f>183438+77510+281844</f>
        <v>542792</v>
      </c>
      <c r="E23" s="24">
        <v>118</v>
      </c>
      <c r="F23" s="25">
        <f t="shared" si="0"/>
        <v>2.173945083936388E-4</v>
      </c>
      <c r="G23" s="17">
        <v>14</v>
      </c>
      <c r="H23" s="28">
        <v>214.48</v>
      </c>
      <c r="I23" s="1">
        <f>30.01+143.92</f>
        <v>173.92999999999998</v>
      </c>
      <c r="J23" s="1">
        <f t="shared" si="1"/>
        <v>0.32043582071953891</v>
      </c>
      <c r="K23" s="1">
        <f t="shared" si="2"/>
        <v>1.4739830508474574</v>
      </c>
      <c r="L23" s="9"/>
    </row>
    <row r="24" spans="2:12">
      <c r="B24" s="7"/>
      <c r="C24" s="3">
        <v>41206</v>
      </c>
      <c r="D24" s="17">
        <f>189518+114677+74004</f>
        <v>378199</v>
      </c>
      <c r="E24" s="24">
        <v>64</v>
      </c>
      <c r="F24" s="25">
        <f t="shared" si="0"/>
        <v>1.6922308097060013E-4</v>
      </c>
      <c r="G24" s="17">
        <v>19</v>
      </c>
      <c r="H24" s="28">
        <v>284.8</v>
      </c>
      <c r="I24" s="1">
        <f>30.02+74.37</f>
        <v>104.39</v>
      </c>
      <c r="J24" s="1">
        <f t="shared" si="1"/>
        <v>0.27601870972688985</v>
      </c>
      <c r="K24" s="1">
        <f t="shared" si="2"/>
        <v>1.63109375</v>
      </c>
      <c r="L24" s="9"/>
    </row>
    <row r="25" spans="2:12">
      <c r="B25" s="7"/>
      <c r="C25" s="3">
        <v>41207</v>
      </c>
      <c r="D25" s="17">
        <f>536803+353866+86443</f>
        <v>977112</v>
      </c>
      <c r="E25" s="24">
        <v>610</v>
      </c>
      <c r="F25" s="25">
        <f t="shared" si="0"/>
        <v>6.2428872022859201E-4</v>
      </c>
      <c r="G25" s="17">
        <v>29</v>
      </c>
      <c r="H25" s="28">
        <v>601.16</v>
      </c>
      <c r="I25" s="1">
        <f>99.26+150.75</f>
        <v>250.01</v>
      </c>
      <c r="J25" s="1">
        <f t="shared" si="1"/>
        <v>0.2558662671218857</v>
      </c>
      <c r="K25" s="1">
        <f t="shared" si="2"/>
        <v>0.40985245901639344</v>
      </c>
      <c r="L25" s="9"/>
    </row>
    <row r="26" spans="2:12">
      <c r="B26" s="7"/>
      <c r="C26" s="3">
        <v>41208</v>
      </c>
      <c r="D26" s="17">
        <f>324708+367250+86446</f>
        <v>778404</v>
      </c>
      <c r="E26" s="24">
        <v>351</v>
      </c>
      <c r="F26" s="25">
        <f t="shared" si="0"/>
        <v>4.5092265712920281E-4</v>
      </c>
      <c r="G26" s="17">
        <v>14</v>
      </c>
      <c r="H26" s="28">
        <v>139.47</v>
      </c>
      <c r="I26" s="1">
        <f>57.78+147.38</f>
        <v>205.16</v>
      </c>
      <c r="J26" s="1">
        <f t="shared" si="1"/>
        <v>0.26356493543198645</v>
      </c>
      <c r="K26" s="1">
        <f t="shared" si="2"/>
        <v>0.5845014245014245</v>
      </c>
      <c r="L26" s="9"/>
    </row>
    <row r="27" spans="2:12">
      <c r="B27" s="7"/>
      <c r="C27" s="3">
        <v>41209</v>
      </c>
      <c r="D27" s="17">
        <f>300742+236836+78949</f>
        <v>616527</v>
      </c>
      <c r="E27" s="24">
        <v>306</v>
      </c>
      <c r="F27" s="25">
        <f t="shared" si="0"/>
        <v>4.9632862794330172E-4</v>
      </c>
      <c r="G27" s="17">
        <v>18</v>
      </c>
      <c r="H27" s="28">
        <v>501.54</v>
      </c>
      <c r="I27" s="1">
        <v>162.91</v>
      </c>
      <c r="J27" s="1">
        <f t="shared" si="1"/>
        <v>0.26423822476550096</v>
      </c>
      <c r="K27" s="1">
        <f t="shared" si="2"/>
        <v>0.53238562091503272</v>
      </c>
      <c r="L27" s="9"/>
    </row>
    <row r="28" spans="2:12">
      <c r="B28" s="7"/>
      <c r="C28" s="3">
        <v>41210</v>
      </c>
      <c r="D28" s="17">
        <f>309066+409681+76712</f>
        <v>795459</v>
      </c>
      <c r="E28" s="24">
        <v>330</v>
      </c>
      <c r="F28" s="25">
        <f t="shared" si="0"/>
        <v>4.148548196701527E-4</v>
      </c>
      <c r="G28" s="17">
        <v>20</v>
      </c>
      <c r="H28" s="28">
        <v>378.96</v>
      </c>
      <c r="I28" s="1">
        <f>54.34+145.99</f>
        <v>200.33</v>
      </c>
      <c r="J28" s="1">
        <f t="shared" si="1"/>
        <v>0.2518420182561264</v>
      </c>
      <c r="K28" s="1">
        <f t="shared" si="2"/>
        <v>0.60706060606060608</v>
      </c>
      <c r="L28" s="9"/>
    </row>
    <row r="29" spans="2:12">
      <c r="B29" s="7"/>
      <c r="C29" s="11" t="s">
        <v>11</v>
      </c>
      <c r="D29" s="4">
        <f>SUM(D22:D28)</f>
        <v>4281376</v>
      </c>
      <c r="E29" s="26">
        <f>SUM(E22:E28)</f>
        <v>1849</v>
      </c>
      <c r="F29" s="27">
        <f>E29/D29</f>
        <v>4.3187050144626401E-4</v>
      </c>
      <c r="G29" s="4">
        <f>SUM(G22:G28)</f>
        <v>127</v>
      </c>
      <c r="H29" s="5">
        <f>SUM(H22:H28)</f>
        <v>2492.1800000000003</v>
      </c>
      <c r="I29" s="5">
        <f>SUM(I22:I28)</f>
        <v>1142.8855699999999</v>
      </c>
      <c r="J29" s="5">
        <f>I29/D29*1000</f>
        <v>0.26694351769150848</v>
      </c>
      <c r="K29" s="5">
        <f>I29/E29</f>
        <v>0.61811009734991884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8"/>
  <sheetViews>
    <sheetView tabSelected="1" workbookViewId="0">
      <selection activeCell="G4" sqref="G4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18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41211</v>
      </c>
      <c r="D6" s="2">
        <v>41217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21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L20" s="9"/>
    </row>
    <row r="21" spans="2:12">
      <c r="B21" s="7"/>
      <c r="C21" s="22" t="s">
        <v>14</v>
      </c>
      <c r="D21" s="8"/>
      <c r="E21" s="8"/>
      <c r="F21" s="8"/>
      <c r="L21" s="9"/>
    </row>
    <row r="22" spans="2:12">
      <c r="B22" s="7"/>
      <c r="C22" s="19" t="s">
        <v>3</v>
      </c>
      <c r="D22" s="19" t="s">
        <v>4</v>
      </c>
      <c r="E22" s="23" t="s">
        <v>12</v>
      </c>
      <c r="F22" s="23" t="s">
        <v>5</v>
      </c>
      <c r="G22" s="18" t="s">
        <v>6</v>
      </c>
      <c r="H22" s="19" t="s">
        <v>7</v>
      </c>
      <c r="I22" s="19" t="s">
        <v>8</v>
      </c>
      <c r="J22" s="19" t="s">
        <v>9</v>
      </c>
      <c r="K22" s="19" t="s">
        <v>10</v>
      </c>
      <c r="L22" s="9"/>
    </row>
    <row r="23" spans="2:12">
      <c r="B23" s="7"/>
      <c r="C23" s="3">
        <v>41211</v>
      </c>
      <c r="D23" s="17">
        <v>743687</v>
      </c>
      <c r="E23" s="24">
        <v>428</v>
      </c>
      <c r="F23" s="25">
        <f t="shared" ref="F23:F29" si="0">E23/D23</f>
        <v>5.7551093403542084E-4</v>
      </c>
      <c r="G23" s="17">
        <v>24</v>
      </c>
      <c r="H23" s="28">
        <v>454.29</v>
      </c>
      <c r="I23" s="1">
        <v>188.20999999999998</v>
      </c>
      <c r="J23" s="1">
        <f t="shared" ref="J23:J29" si="1">I23/D23*1000</f>
        <v>0.25307689928693117</v>
      </c>
      <c r="K23" s="1">
        <f t="shared" ref="K23:K29" si="2">I23/E23</f>
        <v>0.43974299065420558</v>
      </c>
      <c r="L23" s="9"/>
    </row>
    <row r="24" spans="2:12">
      <c r="B24" s="7"/>
      <c r="C24" s="3">
        <v>41212</v>
      </c>
      <c r="D24" s="17">
        <v>447995</v>
      </c>
      <c r="E24" s="24">
        <v>136</v>
      </c>
      <c r="F24" s="25">
        <f t="shared" si="0"/>
        <v>3.0357481668322189E-4</v>
      </c>
      <c r="G24" s="17">
        <v>18</v>
      </c>
      <c r="H24" s="28">
        <v>352.33</v>
      </c>
      <c r="I24" s="1">
        <v>123.59</v>
      </c>
      <c r="J24" s="1">
        <f t="shared" si="1"/>
        <v>0.2758736146608779</v>
      </c>
      <c r="K24" s="1">
        <f t="shared" si="2"/>
        <v>0.90875000000000006</v>
      </c>
      <c r="L24" s="9"/>
    </row>
    <row r="25" spans="2:12">
      <c r="B25" s="7"/>
      <c r="C25" s="3">
        <v>41213</v>
      </c>
      <c r="D25" s="17">
        <v>416039</v>
      </c>
      <c r="E25" s="24">
        <v>205</v>
      </c>
      <c r="F25" s="25">
        <f t="shared" si="0"/>
        <v>4.9274226695093489E-4</v>
      </c>
      <c r="G25" s="17">
        <v>16</v>
      </c>
      <c r="H25" s="28">
        <v>425.82</v>
      </c>
      <c r="I25" s="1">
        <v>96.26</v>
      </c>
      <c r="J25" s="1">
        <f t="shared" si="1"/>
        <v>0.2313725395936439</v>
      </c>
      <c r="K25" s="1">
        <f t="shared" si="2"/>
        <v>0.46956097560975613</v>
      </c>
      <c r="L25" s="9"/>
    </row>
    <row r="26" spans="2:12">
      <c r="B26" s="7"/>
      <c r="C26" s="3">
        <v>41214</v>
      </c>
      <c r="D26" s="17">
        <v>463398</v>
      </c>
      <c r="E26" s="24">
        <v>201</v>
      </c>
      <c r="F26" s="25">
        <f t="shared" si="0"/>
        <v>4.3375241153392979E-4</v>
      </c>
      <c r="G26" s="17">
        <v>32</v>
      </c>
      <c r="H26" s="28">
        <v>741.18</v>
      </c>
      <c r="I26" s="1">
        <v>100.25</v>
      </c>
      <c r="J26" s="1">
        <f t="shared" si="1"/>
        <v>0.21633671271779334</v>
      </c>
      <c r="K26" s="1">
        <f t="shared" si="2"/>
        <v>0.49875621890547261</v>
      </c>
      <c r="L26" s="9"/>
    </row>
    <row r="27" spans="2:12">
      <c r="B27" s="7"/>
      <c r="C27" s="3">
        <v>41215</v>
      </c>
      <c r="D27" s="17">
        <v>610876</v>
      </c>
      <c r="E27" s="24">
        <v>255</v>
      </c>
      <c r="F27" s="25">
        <f t="shared" si="0"/>
        <v>4.1743332525749909E-4</v>
      </c>
      <c r="G27" s="17">
        <v>28</v>
      </c>
      <c r="H27" s="28">
        <v>542.88</v>
      </c>
      <c r="I27" s="1">
        <v>169.22</v>
      </c>
      <c r="J27" s="1">
        <f t="shared" si="1"/>
        <v>0.27701202862774116</v>
      </c>
      <c r="K27" s="1">
        <f t="shared" si="2"/>
        <v>0.66360784313725485</v>
      </c>
      <c r="L27" s="9"/>
    </row>
    <row r="28" spans="2:12">
      <c r="B28" s="7"/>
      <c r="C28" s="3">
        <v>41216</v>
      </c>
      <c r="D28" s="17">
        <v>626415</v>
      </c>
      <c r="E28" s="24">
        <v>300</v>
      </c>
      <c r="F28" s="25">
        <f t="shared" si="0"/>
        <v>4.7891573477646608E-4</v>
      </c>
      <c r="G28" s="17">
        <v>28</v>
      </c>
      <c r="H28" s="28">
        <v>564.79999999999995</v>
      </c>
      <c r="I28" s="1">
        <v>163.72</v>
      </c>
      <c r="J28" s="1">
        <f t="shared" si="1"/>
        <v>0.26136028032534342</v>
      </c>
      <c r="K28" s="1">
        <f t="shared" si="2"/>
        <v>0.54573333333333329</v>
      </c>
      <c r="L28" s="9"/>
    </row>
    <row r="29" spans="2:12">
      <c r="B29" s="7"/>
      <c r="C29" s="3">
        <v>41217</v>
      </c>
      <c r="D29" s="17">
        <v>657955</v>
      </c>
      <c r="E29" s="24">
        <v>261</v>
      </c>
      <c r="F29" s="25">
        <f t="shared" si="0"/>
        <v>3.966836637763981E-4</v>
      </c>
      <c r="G29" s="17">
        <v>20</v>
      </c>
      <c r="H29" s="28">
        <v>298.42</v>
      </c>
      <c r="I29" s="1">
        <v>158.59</v>
      </c>
      <c r="J29" s="1">
        <f t="shared" si="1"/>
        <v>0.24103472121953629</v>
      </c>
      <c r="K29" s="1">
        <f t="shared" si="2"/>
        <v>0.60762452107279696</v>
      </c>
      <c r="L29" s="9"/>
    </row>
    <row r="30" spans="2:12">
      <c r="B30" s="7"/>
      <c r="C30" s="11" t="s">
        <v>11</v>
      </c>
      <c r="D30" s="4">
        <f>SUM(D23:D29)</f>
        <v>3966365</v>
      </c>
      <c r="E30" s="26">
        <f>SUM(E23:E29)</f>
        <v>1786</v>
      </c>
      <c r="F30" s="27">
        <f>E30/D30</f>
        <v>4.5028634530609263E-4</v>
      </c>
      <c r="G30" s="4">
        <f>SUM(G23:G29)</f>
        <v>166</v>
      </c>
      <c r="H30" s="5">
        <f>SUM(H23:H29)</f>
        <v>3379.7200000000003</v>
      </c>
      <c r="I30" s="5">
        <f>SUM(I23:I29)</f>
        <v>999.84</v>
      </c>
      <c r="J30" s="5">
        <f>I30/D30*1000</f>
        <v>0.25207967496687772</v>
      </c>
      <c r="K30" s="5">
        <f>I30/E30</f>
        <v>0.55982082866741323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15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第一周（10-11～10-14）</vt:lpstr>
      <vt:lpstr>第二周（10-15～10-21）</vt:lpstr>
      <vt:lpstr>第三周（10-22～10-28）</vt:lpstr>
      <vt:lpstr>第四周（10-29～11-04）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2012-11-06T11:02:39Z</dcterms:modified>
</cp:coreProperties>
</file>