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877" firstSheet="1" activeTab="1"/>
  </bookViews>
  <sheets>
    <sheet name="Feb-2018" sheetId="2" state="hidden" r:id="rId1"/>
    <sheet name="Feb18 to March-18" sheetId="3" r:id="rId2"/>
    <sheet name="April-18" sheetId="4" r:id="rId3"/>
  </sheets>
  <calcPr calcId="144525"/>
</workbook>
</file>

<file path=xl/calcChain.xml><?xml version="1.0" encoding="utf-8"?>
<calcChain xmlns="http://schemas.openxmlformats.org/spreadsheetml/2006/main">
  <c r="AJ44" i="3" l="1"/>
  <c r="AJ60" i="3"/>
  <c r="AJ52" i="3"/>
  <c r="AJ30" i="3"/>
  <c r="AJ7" i="3"/>
  <c r="AI16" i="3"/>
  <c r="AI34" i="3"/>
  <c r="AI39" i="3"/>
  <c r="AI30" i="3"/>
  <c r="AI31" i="3"/>
  <c r="AI44" i="3"/>
  <c r="AI52" i="3" l="1"/>
  <c r="AI38" i="3"/>
  <c r="AI60" i="3"/>
  <c r="AI43" i="3"/>
  <c r="AI45" i="3"/>
  <c r="AI58" i="3"/>
  <c r="AI59" i="3"/>
  <c r="AI33" i="3"/>
  <c r="AI20" i="3"/>
  <c r="AI28" i="3"/>
  <c r="AI25" i="3"/>
  <c r="AI27" i="3"/>
  <c r="AI41" i="3"/>
  <c r="AI19" i="3"/>
  <c r="AI32" i="3"/>
  <c r="AI36" i="3"/>
  <c r="AJ36" i="3"/>
  <c r="AI17" i="3"/>
  <c r="AI14" i="3"/>
  <c r="AI13" i="3"/>
  <c r="AI12" i="3"/>
  <c r="AI11" i="3"/>
  <c r="AI10" i="3"/>
  <c r="AI9" i="3"/>
  <c r="AI8" i="3"/>
  <c r="AI7" i="3"/>
  <c r="AJ80" i="3" l="1"/>
  <c r="AJ27" i="3"/>
  <c r="AJ20" i="3"/>
  <c r="AJ19" i="3"/>
  <c r="AJ18" i="3"/>
  <c r="AJ38" i="3"/>
  <c r="AJ33" i="3"/>
  <c r="AJ32" i="3"/>
  <c r="AJ31" i="3"/>
  <c r="AJ59" i="3"/>
  <c r="AJ50" i="3"/>
  <c r="AJ46" i="3"/>
  <c r="AJ43" i="3"/>
  <c r="AJ41" i="3"/>
  <c r="AJ17" i="3"/>
  <c r="AJ14" i="3"/>
  <c r="AJ13" i="3"/>
  <c r="AJ12" i="3"/>
  <c r="AJ11" i="3"/>
  <c r="AJ10" i="3"/>
  <c r="AJ9" i="3"/>
  <c r="AJ8" i="3"/>
  <c r="AK8" i="3" l="1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H22" i="4"/>
  <c r="AH23" i="4"/>
  <c r="AP23" i="4" s="1"/>
  <c r="AH40" i="4"/>
  <c r="AH48" i="4"/>
  <c r="AH50" i="4"/>
  <c r="AH53" i="4"/>
  <c r="AH54" i="4"/>
  <c r="AH55" i="4"/>
  <c r="AH56" i="4"/>
  <c r="AH57" i="4"/>
  <c r="AH61" i="4"/>
  <c r="AH63" i="4"/>
  <c r="AH64" i="4"/>
  <c r="AH65" i="4"/>
  <c r="AH66" i="4"/>
  <c r="AH67" i="4"/>
  <c r="AH68" i="4"/>
  <c r="AH69" i="4"/>
  <c r="AH70" i="4"/>
  <c r="AH71" i="4"/>
  <c r="AH72" i="4"/>
  <c r="AH73" i="4"/>
  <c r="AP73" i="4" s="1"/>
  <c r="AH74" i="4"/>
  <c r="AP74" i="4" s="1"/>
  <c r="AH75" i="4"/>
  <c r="AH76" i="4"/>
  <c r="AH77" i="4"/>
  <c r="AH78" i="4"/>
  <c r="AH79" i="4"/>
  <c r="AM80" i="4"/>
  <c r="AL80" i="4"/>
  <c r="AJ80" i="4"/>
  <c r="AI80" i="4"/>
  <c r="AG80" i="4"/>
  <c r="AC80" i="4"/>
  <c r="AB80" i="4"/>
  <c r="F80" i="4"/>
  <c r="D80" i="4"/>
  <c r="AN79" i="4"/>
  <c r="AP79" i="4" s="1"/>
  <c r="AK79" i="4"/>
  <c r="AO79" i="4" s="1"/>
  <c r="AN78" i="4"/>
  <c r="AK78" i="4"/>
  <c r="AN77" i="4"/>
  <c r="AK77" i="4"/>
  <c r="AN76" i="4"/>
  <c r="AK76" i="4"/>
  <c r="AN75" i="4"/>
  <c r="AP75" i="4" s="1"/>
  <c r="AK75" i="4"/>
  <c r="AO75" i="4" s="1"/>
  <c r="AN74" i="4"/>
  <c r="AK74" i="4"/>
  <c r="AN73" i="4"/>
  <c r="AK73" i="4"/>
  <c r="AN72" i="4"/>
  <c r="AP72" i="4" s="1"/>
  <c r="AK72" i="4"/>
  <c r="AO71" i="4"/>
  <c r="AN71" i="4"/>
  <c r="AP71" i="4" s="1"/>
  <c r="AK71" i="4"/>
  <c r="AN70" i="4"/>
  <c r="AP70" i="4" s="1"/>
  <c r="AK70" i="4"/>
  <c r="AN69" i="4"/>
  <c r="AK69" i="4"/>
  <c r="AN68" i="4"/>
  <c r="AP68" i="4" s="1"/>
  <c r="AK68" i="4"/>
  <c r="AO67" i="4"/>
  <c r="AN67" i="4"/>
  <c r="AP67" i="4" s="1"/>
  <c r="AK67" i="4"/>
  <c r="AN66" i="4"/>
  <c r="AK66" i="4"/>
  <c r="AN65" i="4"/>
  <c r="AK65" i="4"/>
  <c r="AN64" i="4"/>
  <c r="AK64" i="4"/>
  <c r="AN63" i="4"/>
  <c r="AP63" i="4" s="1"/>
  <c r="AK63" i="4"/>
  <c r="AO63" i="4" s="1"/>
  <c r="AN62" i="4"/>
  <c r="AK62" i="4"/>
  <c r="AH62" i="4"/>
  <c r="AP62" i="4" s="1"/>
  <c r="AN61" i="4"/>
  <c r="AK61" i="4"/>
  <c r="AN60" i="4"/>
  <c r="AH60" i="4"/>
  <c r="AP60" i="4" s="1"/>
  <c r="AN59" i="4"/>
  <c r="AK59" i="4"/>
  <c r="AH59" i="4"/>
  <c r="AN58" i="4"/>
  <c r="AK58" i="4"/>
  <c r="AH58" i="4"/>
  <c r="AN57" i="4"/>
  <c r="AK57" i="4"/>
  <c r="AN56" i="4"/>
  <c r="AP56" i="4" s="1"/>
  <c r="AK56" i="4"/>
  <c r="AO55" i="4"/>
  <c r="AN55" i="4"/>
  <c r="AP55" i="4" s="1"/>
  <c r="AK55" i="4"/>
  <c r="AN54" i="4"/>
  <c r="AK54" i="4"/>
  <c r="AN53" i="4"/>
  <c r="AK53" i="4"/>
  <c r="AN52" i="4"/>
  <c r="AK52" i="4"/>
  <c r="AH52" i="4"/>
  <c r="AN51" i="4"/>
  <c r="AK51" i="4"/>
  <c r="AH51" i="4"/>
  <c r="AP51" i="4" s="1"/>
  <c r="AO50" i="4"/>
  <c r="AN50" i="4"/>
  <c r="AK50" i="4"/>
  <c r="AP50" i="4"/>
  <c r="AN49" i="4"/>
  <c r="AK49" i="4"/>
  <c r="AH49" i="4"/>
  <c r="AP49" i="4" s="1"/>
  <c r="AN48" i="4"/>
  <c r="AK48" i="4"/>
  <c r="AN47" i="4"/>
  <c r="AK47" i="4"/>
  <c r="AH47" i="4"/>
  <c r="AN46" i="4"/>
  <c r="AK46" i="4"/>
  <c r="AH46" i="4"/>
  <c r="AN45" i="4"/>
  <c r="AK45" i="4"/>
  <c r="AH45" i="4"/>
  <c r="AN44" i="4"/>
  <c r="AK44" i="4"/>
  <c r="AH44" i="4"/>
  <c r="AN43" i="4"/>
  <c r="AK43" i="4"/>
  <c r="AH43" i="4"/>
  <c r="AN42" i="4"/>
  <c r="AH42" i="4"/>
  <c r="AP42" i="4" s="1"/>
  <c r="AN41" i="4"/>
  <c r="AK41" i="4"/>
  <c r="AH41" i="4"/>
  <c r="AN40" i="4"/>
  <c r="AP40" i="4" s="1"/>
  <c r="AK40" i="4"/>
  <c r="AN39" i="4"/>
  <c r="AK39" i="4"/>
  <c r="AH39" i="4"/>
  <c r="AN38" i="4"/>
  <c r="AK38" i="4"/>
  <c r="AH38" i="4"/>
  <c r="AN37" i="4"/>
  <c r="AK37" i="4"/>
  <c r="AH37" i="4"/>
  <c r="AP37" i="4" s="1"/>
  <c r="AN36" i="4"/>
  <c r="AK36" i="4"/>
  <c r="AH36" i="4"/>
  <c r="AN35" i="4"/>
  <c r="AK35" i="4"/>
  <c r="H80" i="4"/>
  <c r="AN34" i="4"/>
  <c r="AK34" i="4"/>
  <c r="AH34" i="4"/>
  <c r="AN33" i="4"/>
  <c r="AK33" i="4"/>
  <c r="AH33" i="4"/>
  <c r="AN32" i="4"/>
  <c r="AK32" i="4"/>
  <c r="S80" i="4"/>
  <c r="C80" i="4"/>
  <c r="AN31" i="4"/>
  <c r="AK31" i="4"/>
  <c r="AH31" i="4"/>
  <c r="AN30" i="4"/>
  <c r="AK30" i="4"/>
  <c r="AH30" i="4"/>
  <c r="AN29" i="4"/>
  <c r="AK29" i="4"/>
  <c r="AH29" i="4"/>
  <c r="AO29" i="4" s="1"/>
  <c r="AN28" i="4"/>
  <c r="AK28" i="4"/>
  <c r="AH28" i="4"/>
  <c r="AN27" i="4"/>
  <c r="AK27" i="4"/>
  <c r="AH27" i="4"/>
  <c r="AN26" i="4"/>
  <c r="AK26" i="4"/>
  <c r="AH26" i="4"/>
  <c r="AN25" i="4"/>
  <c r="AK25" i="4"/>
  <c r="AH25" i="4"/>
  <c r="AO25" i="4" s="1"/>
  <c r="AN24" i="4"/>
  <c r="AK24" i="4"/>
  <c r="AH24" i="4"/>
  <c r="AN23" i="4"/>
  <c r="AK23" i="4"/>
  <c r="AN22" i="4"/>
  <c r="AK22" i="4"/>
  <c r="AO22" i="4" s="1"/>
  <c r="AP22" i="4"/>
  <c r="AN21" i="4"/>
  <c r="AK21" i="4"/>
  <c r="AH21" i="4"/>
  <c r="AN20" i="4"/>
  <c r="AK20" i="4"/>
  <c r="AH20" i="4"/>
  <c r="AN19" i="4"/>
  <c r="AK19" i="4"/>
  <c r="AH19" i="4"/>
  <c r="AN18" i="4"/>
  <c r="AK18" i="4"/>
  <c r="AH18" i="4"/>
  <c r="AN17" i="4"/>
  <c r="AK17" i="4"/>
  <c r="AH17" i="4"/>
  <c r="AN16" i="4"/>
  <c r="AK16" i="4"/>
  <c r="AA80" i="4"/>
  <c r="AH16" i="4"/>
  <c r="AN15" i="4"/>
  <c r="AK15" i="4"/>
  <c r="AH15" i="4"/>
  <c r="AN14" i="4"/>
  <c r="AK14" i="4"/>
  <c r="AH14" i="4"/>
  <c r="AN13" i="4"/>
  <c r="AK13" i="4"/>
  <c r="AH13" i="4"/>
  <c r="AN12" i="4"/>
  <c r="AK12" i="4"/>
  <c r="Z80" i="4"/>
  <c r="AH12" i="4"/>
  <c r="AN11" i="4"/>
  <c r="AK11" i="4"/>
  <c r="AH11" i="4"/>
  <c r="AN10" i="4"/>
  <c r="AK10" i="4"/>
  <c r="AH10" i="4"/>
  <c r="AN9" i="4"/>
  <c r="AK9" i="4"/>
  <c r="Q80" i="4"/>
  <c r="P80" i="4"/>
  <c r="M80" i="4"/>
  <c r="L80" i="4"/>
  <c r="J80" i="4"/>
  <c r="I80" i="4"/>
  <c r="AN8" i="4"/>
  <c r="AK8" i="4"/>
  <c r="X80" i="4"/>
  <c r="T80" i="4"/>
  <c r="R80" i="4"/>
  <c r="AN7" i="4"/>
  <c r="AN80" i="4" s="1"/>
  <c r="AK7" i="4"/>
  <c r="AF80" i="4"/>
  <c r="AE80" i="4"/>
  <c r="Y80" i="4"/>
  <c r="W80" i="4"/>
  <c r="V80" i="4"/>
  <c r="O80" i="4"/>
  <c r="G80" i="4"/>
  <c r="E80" i="4"/>
  <c r="AP54" i="4" l="1"/>
  <c r="AP66" i="4"/>
  <c r="AP78" i="4"/>
  <c r="N80" i="4"/>
  <c r="U80" i="4"/>
  <c r="AD80" i="4"/>
  <c r="AK80" i="4"/>
  <c r="K80" i="4"/>
  <c r="AH35" i="4"/>
  <c r="AO13" i="4"/>
  <c r="AP77" i="4"/>
  <c r="AP69" i="4"/>
  <c r="AP65" i="4"/>
  <c r="AP61" i="4"/>
  <c r="AP57" i="4"/>
  <c r="AP53" i="4"/>
  <c r="AH9" i="4"/>
  <c r="AH7" i="4"/>
  <c r="AP7" i="4" s="1"/>
  <c r="AP80" i="4" s="1"/>
  <c r="AP76" i="4"/>
  <c r="AP64" i="4"/>
  <c r="AP48" i="4"/>
  <c r="AH32" i="4"/>
  <c r="AP32" i="4" s="1"/>
  <c r="AH8" i="4"/>
  <c r="AP13" i="4"/>
  <c r="AO11" i="4"/>
  <c r="AP11" i="4"/>
  <c r="AP14" i="4"/>
  <c r="AO14" i="4"/>
  <c r="AP21" i="4"/>
  <c r="AO21" i="4"/>
  <c r="AP36" i="4"/>
  <c r="AO36" i="4"/>
  <c r="AO39" i="4"/>
  <c r="AP39" i="4"/>
  <c r="AP45" i="4"/>
  <c r="AO45" i="4"/>
  <c r="AP46" i="4"/>
  <c r="AO46" i="4"/>
  <c r="AP52" i="4"/>
  <c r="AO52" i="4"/>
  <c r="AP58" i="4"/>
  <c r="AO58" i="4"/>
  <c r="AO59" i="4"/>
  <c r="AP59" i="4"/>
  <c r="AP15" i="4"/>
  <c r="AO15" i="4"/>
  <c r="AP19" i="4"/>
  <c r="AO19" i="4"/>
  <c r="AP24" i="4"/>
  <c r="AO24" i="4"/>
  <c r="AP27" i="4"/>
  <c r="AO27" i="4"/>
  <c r="AP31" i="4"/>
  <c r="AO31" i="4"/>
  <c r="AO34" i="4"/>
  <c r="AP34" i="4"/>
  <c r="AO47" i="4"/>
  <c r="AP47" i="4"/>
  <c r="AP16" i="4"/>
  <c r="AO16" i="4"/>
  <c r="AP20" i="4"/>
  <c r="AO20" i="4"/>
  <c r="AP35" i="4"/>
  <c r="AO35" i="4"/>
  <c r="AP38" i="4"/>
  <c r="AO38" i="4"/>
  <c r="AO41" i="4"/>
  <c r="AP41" i="4"/>
  <c r="AP43" i="4"/>
  <c r="AO43" i="4"/>
  <c r="AP10" i="4"/>
  <c r="AO10" i="4"/>
  <c r="AP17" i="4"/>
  <c r="AO17" i="4"/>
  <c r="AP18" i="4"/>
  <c r="AO18" i="4"/>
  <c r="AP26" i="4"/>
  <c r="AO26" i="4"/>
  <c r="AP28" i="4"/>
  <c r="AO28" i="4"/>
  <c r="AP30" i="4"/>
  <c r="AO30" i="4"/>
  <c r="AP33" i="4"/>
  <c r="AO33" i="4"/>
  <c r="AP44" i="4"/>
  <c r="AO44" i="4"/>
  <c r="AP25" i="4"/>
  <c r="AP29" i="4"/>
  <c r="AO23" i="4"/>
  <c r="AO40" i="4"/>
  <c r="AO48" i="4"/>
  <c r="AO56" i="4"/>
  <c r="AO64" i="4"/>
  <c r="AO68" i="4"/>
  <c r="AO72" i="4"/>
  <c r="AO76" i="4"/>
  <c r="AO7" i="4"/>
  <c r="AO42" i="4"/>
  <c r="AO51" i="4"/>
  <c r="AO53" i="4"/>
  <c r="AO57" i="4"/>
  <c r="AO60" i="4"/>
  <c r="AO65" i="4"/>
  <c r="AO69" i="4"/>
  <c r="AO73" i="4"/>
  <c r="AO77" i="4"/>
  <c r="AO37" i="4"/>
  <c r="AO49" i="4"/>
  <c r="AO54" i="4"/>
  <c r="AO61" i="4"/>
  <c r="AO62" i="4"/>
  <c r="AO66" i="4"/>
  <c r="AO70" i="4"/>
  <c r="AO74" i="4"/>
  <c r="AO78" i="4"/>
  <c r="AN15" i="3"/>
  <c r="AN16" i="3"/>
  <c r="AN17" i="3"/>
  <c r="AR22" i="3"/>
  <c r="AQ22" i="3"/>
  <c r="AN22" i="3"/>
  <c r="AS22" i="3"/>
  <c r="AG60" i="3"/>
  <c r="AH34" i="3"/>
  <c r="AH39" i="3"/>
  <c r="AH36" i="3"/>
  <c r="AH33" i="3"/>
  <c r="AH31" i="3"/>
  <c r="AH30" i="3"/>
  <c r="AH21" i="3"/>
  <c r="AH20" i="3"/>
  <c r="AH19" i="3"/>
  <c r="AH58" i="3"/>
  <c r="AH52" i="3"/>
  <c r="AH49" i="3"/>
  <c r="AH46" i="3"/>
  <c r="AH45" i="3"/>
  <c r="AH44" i="3"/>
  <c r="AH43" i="3"/>
  <c r="AH42" i="3"/>
  <c r="AH41" i="3"/>
  <c r="AH14" i="3"/>
  <c r="AH17" i="3"/>
  <c r="AH16" i="3"/>
  <c r="AH13" i="3"/>
  <c r="AH12" i="3"/>
  <c r="AH11" i="3"/>
  <c r="AH10" i="3"/>
  <c r="AH9" i="3"/>
  <c r="AH8" i="3"/>
  <c r="AH7" i="3"/>
  <c r="AO32" i="4" l="1"/>
  <c r="AP9" i="4"/>
  <c r="AO9" i="4"/>
  <c r="AP12" i="4"/>
  <c r="AO12" i="4"/>
  <c r="AP8" i="4"/>
  <c r="AO8" i="4"/>
  <c r="AH80" i="4"/>
  <c r="AQ57" i="3"/>
  <c r="AN57" i="3"/>
  <c r="AR57" i="3"/>
  <c r="AG47" i="3"/>
  <c r="AG46" i="3"/>
  <c r="AG44" i="3"/>
  <c r="AG30" i="3"/>
  <c r="AQ23" i="3"/>
  <c r="AN23" i="3"/>
  <c r="AS23" i="3"/>
  <c r="AG21" i="3"/>
  <c r="AG20" i="3"/>
  <c r="AG13" i="3"/>
  <c r="AG12" i="3"/>
  <c r="AG11" i="3"/>
  <c r="AG10" i="3"/>
  <c r="AG8" i="3"/>
  <c r="AG7" i="3"/>
  <c r="AQ50" i="3"/>
  <c r="AN50" i="3"/>
  <c r="AN18" i="3"/>
  <c r="AQ76" i="3"/>
  <c r="AQ71" i="3"/>
  <c r="AQ51" i="3"/>
  <c r="AQ44" i="3"/>
  <c r="AN55" i="3"/>
  <c r="AN51" i="3"/>
  <c r="AN44" i="3"/>
  <c r="AR60" i="3"/>
  <c r="AQ67" i="3"/>
  <c r="AQ66" i="3"/>
  <c r="AQ63" i="3"/>
  <c r="AQ56" i="3"/>
  <c r="AQ58" i="3"/>
  <c r="AQ61" i="3"/>
  <c r="AN76" i="3"/>
  <c r="AN67" i="3"/>
  <c r="AN68" i="3"/>
  <c r="AN69" i="3"/>
  <c r="AN70" i="3"/>
  <c r="AN71" i="3"/>
  <c r="AN56" i="3"/>
  <c r="AN58" i="3"/>
  <c r="AN59" i="3"/>
  <c r="AN61" i="3"/>
  <c r="AN62" i="3"/>
  <c r="AN63" i="3"/>
  <c r="AQ28" i="3"/>
  <c r="AN28" i="3"/>
  <c r="AQ11" i="3"/>
  <c r="AQ12" i="3"/>
  <c r="AQ13" i="3"/>
  <c r="AS13" i="3" s="1"/>
  <c r="AN13" i="3"/>
  <c r="AR13" i="3" s="1"/>
  <c r="AN11" i="3"/>
  <c r="AD16" i="3"/>
  <c r="AD17" i="3"/>
  <c r="I80" i="3"/>
  <c r="G80" i="3"/>
  <c r="E80" i="3"/>
  <c r="D80" i="3"/>
  <c r="C80" i="3"/>
  <c r="AR67" i="3"/>
  <c r="AS58" i="3"/>
  <c r="AR51" i="3"/>
  <c r="AR71" i="3"/>
  <c r="AQ45" i="3"/>
  <c r="AQ42" i="3"/>
  <c r="AQ41" i="3"/>
  <c r="AQ40" i="3"/>
  <c r="AQ39" i="3"/>
  <c r="AC12" i="3"/>
  <c r="AC80" i="3" s="1"/>
  <c r="AB59" i="3"/>
  <c r="AQ53" i="3"/>
  <c r="AQ54" i="3"/>
  <c r="AQ55" i="3"/>
  <c r="AQ59" i="3"/>
  <c r="AN53" i="3"/>
  <c r="AN54" i="3"/>
  <c r="AB41" i="3"/>
  <c r="AB42" i="3"/>
  <c r="AB52" i="3"/>
  <c r="AN52" i="3"/>
  <c r="AB47" i="3"/>
  <c r="AB43" i="3"/>
  <c r="AB46" i="3"/>
  <c r="AB62" i="3"/>
  <c r="AB39" i="3"/>
  <c r="AB34" i="3"/>
  <c r="AB36" i="3"/>
  <c r="AB33" i="3"/>
  <c r="AB32" i="3"/>
  <c r="AB31" i="3"/>
  <c r="AB18" i="3"/>
  <c r="AB20" i="3"/>
  <c r="AB21" i="3"/>
  <c r="AB38" i="3"/>
  <c r="AB17" i="3"/>
  <c r="AB16" i="3"/>
  <c r="AB12" i="3"/>
  <c r="AB10" i="3"/>
  <c r="AB8" i="3"/>
  <c r="AB7" i="3"/>
  <c r="AB80" i="3" s="1"/>
  <c r="AQ75" i="3"/>
  <c r="AQ73" i="3"/>
  <c r="AQ48" i="3"/>
  <c r="AQ49" i="3"/>
  <c r="AN75" i="3"/>
  <c r="AN73" i="3"/>
  <c r="AN48" i="3"/>
  <c r="AN49" i="3"/>
  <c r="AN45" i="3"/>
  <c r="AN40" i="3"/>
  <c r="AN41" i="3"/>
  <c r="AQ46" i="3"/>
  <c r="AQ47" i="3"/>
  <c r="AN43" i="3"/>
  <c r="AN46" i="3"/>
  <c r="AN47" i="3"/>
  <c r="AQ43" i="3"/>
  <c r="AN8" i="3"/>
  <c r="AN9" i="3"/>
  <c r="AN10" i="3"/>
  <c r="AN7" i="3"/>
  <c r="AA21" i="3"/>
  <c r="AA62" i="3"/>
  <c r="AA27" i="3"/>
  <c r="AA33" i="3"/>
  <c r="AA19" i="3"/>
  <c r="AA32" i="3"/>
  <c r="AA30" i="3"/>
  <c r="AA35" i="3"/>
  <c r="AA36" i="3"/>
  <c r="AA20" i="3"/>
  <c r="AA39" i="3"/>
  <c r="AA38" i="3"/>
  <c r="AA34" i="3"/>
  <c r="AA15" i="3"/>
  <c r="AA17" i="3"/>
  <c r="AA16" i="3"/>
  <c r="AA12" i="3"/>
  <c r="AA8" i="3"/>
  <c r="Z27" i="3"/>
  <c r="Z25" i="3"/>
  <c r="Z21" i="3"/>
  <c r="Z32" i="3"/>
  <c r="Z39" i="3"/>
  <c r="Z33" i="3"/>
  <c r="Z30" i="3"/>
  <c r="Z34" i="3"/>
  <c r="Z26" i="3"/>
  <c r="Z36" i="3"/>
  <c r="AO80" i="3"/>
  <c r="Z38" i="3"/>
  <c r="Z35" i="3"/>
  <c r="Z16" i="3"/>
  <c r="Z10" i="3"/>
  <c r="Z8" i="3"/>
  <c r="Z7" i="3"/>
  <c r="AN12" i="3"/>
  <c r="AP80" i="3"/>
  <c r="AM80" i="3"/>
  <c r="AL80" i="3"/>
  <c r="AI80" i="3"/>
  <c r="AH80" i="3"/>
  <c r="AG80" i="3"/>
  <c r="AF80" i="3"/>
  <c r="AE80" i="3"/>
  <c r="AN14" i="3"/>
  <c r="AN19" i="3"/>
  <c r="AN20" i="3"/>
  <c r="AN21" i="3"/>
  <c r="AN24" i="3"/>
  <c r="AN25" i="3"/>
  <c r="AN26" i="3"/>
  <c r="AN27" i="3"/>
  <c r="AN29" i="3"/>
  <c r="AN30" i="3"/>
  <c r="AN31" i="3"/>
  <c r="AN32" i="3"/>
  <c r="AN33" i="3"/>
  <c r="AN34" i="3"/>
  <c r="AN35" i="3"/>
  <c r="AN36" i="3"/>
  <c r="AN37" i="3"/>
  <c r="AN38" i="3"/>
  <c r="AN39" i="3"/>
  <c r="AN64" i="3"/>
  <c r="AN65" i="3"/>
  <c r="AN66" i="3"/>
  <c r="AN72" i="3"/>
  <c r="AN74" i="3"/>
  <c r="AN77" i="3"/>
  <c r="AN78" i="3"/>
  <c r="AN79" i="3"/>
  <c r="AQ8" i="3"/>
  <c r="AQ9" i="3"/>
  <c r="AQ10" i="3"/>
  <c r="AQ14" i="3"/>
  <c r="AQ15" i="3"/>
  <c r="AQ16" i="3"/>
  <c r="AQ17" i="3"/>
  <c r="AQ18" i="3"/>
  <c r="AQ19" i="3"/>
  <c r="AQ20" i="3"/>
  <c r="AQ21" i="3"/>
  <c r="AQ24" i="3"/>
  <c r="AQ25" i="3"/>
  <c r="AQ26" i="3"/>
  <c r="AQ27" i="3"/>
  <c r="AQ29" i="3"/>
  <c r="AQ30" i="3"/>
  <c r="AQ31" i="3"/>
  <c r="AQ32" i="3"/>
  <c r="AQ33" i="3"/>
  <c r="AQ34" i="3"/>
  <c r="AQ35" i="3"/>
  <c r="AQ36" i="3"/>
  <c r="AQ37" i="3"/>
  <c r="AQ38" i="3"/>
  <c r="AQ62" i="3"/>
  <c r="AQ64" i="3"/>
  <c r="AQ65" i="3"/>
  <c r="AQ68" i="3"/>
  <c r="AQ69" i="3"/>
  <c r="AQ70" i="3"/>
  <c r="AQ72" i="3"/>
  <c r="AQ74" i="3"/>
  <c r="AQ77" i="3"/>
  <c r="AQ78" i="3"/>
  <c r="AQ79" i="3"/>
  <c r="AQ7" i="3"/>
  <c r="Y36" i="3"/>
  <c r="Y35" i="3"/>
  <c r="Y30" i="3"/>
  <c r="Y29" i="3"/>
  <c r="Y21" i="3"/>
  <c r="Y25" i="3"/>
  <c r="Y34" i="3"/>
  <c r="Y18" i="3"/>
  <c r="Y39" i="3"/>
  <c r="Y16" i="3"/>
  <c r="Y17" i="3"/>
  <c r="Y10" i="3"/>
  <c r="Y8" i="3"/>
  <c r="Y7" i="3"/>
  <c r="X38" i="3"/>
  <c r="X33" i="3"/>
  <c r="X32" i="3"/>
  <c r="X21" i="3"/>
  <c r="X36" i="3"/>
  <c r="X25" i="3"/>
  <c r="X18" i="3"/>
  <c r="X34" i="3"/>
  <c r="X35" i="3"/>
  <c r="X39" i="3"/>
  <c r="X29" i="3"/>
  <c r="X30" i="3"/>
  <c r="X17" i="3"/>
  <c r="X16" i="3"/>
  <c r="X10" i="3"/>
  <c r="X8" i="3"/>
  <c r="X7" i="3"/>
  <c r="W37" i="3"/>
  <c r="W17" i="3"/>
  <c r="W38" i="3"/>
  <c r="W34" i="3"/>
  <c r="W33" i="3"/>
  <c r="W32" i="3"/>
  <c r="W30" i="3"/>
  <c r="W27" i="3"/>
  <c r="W25" i="3"/>
  <c r="W18" i="3"/>
  <c r="W10" i="3"/>
  <c r="W8" i="3"/>
  <c r="V32" i="3"/>
  <c r="V80" i="3" s="1"/>
  <c r="U33" i="3"/>
  <c r="U8" i="3"/>
  <c r="U16" i="3"/>
  <c r="U15" i="3"/>
  <c r="U38" i="3"/>
  <c r="U25" i="3"/>
  <c r="U34" i="3"/>
  <c r="U32" i="3"/>
  <c r="U18" i="3"/>
  <c r="U36" i="3"/>
  <c r="U39" i="3"/>
  <c r="U10" i="3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O80" i="4" l="1"/>
  <c r="AS45" i="3"/>
  <c r="AS50" i="3"/>
  <c r="AR37" i="3"/>
  <c r="AR65" i="3"/>
  <c r="AS49" i="3"/>
  <c r="AR44" i="3"/>
  <c r="AS57" i="3"/>
  <c r="AR76" i="3"/>
  <c r="AR70" i="3"/>
  <c r="AR72" i="3"/>
  <c r="AR43" i="3"/>
  <c r="AR55" i="3"/>
  <c r="AR56" i="3"/>
  <c r="AR23" i="3"/>
  <c r="AS46" i="3"/>
  <c r="AR69" i="3"/>
  <c r="AS73" i="3"/>
  <c r="AS48" i="3"/>
  <c r="AR41" i="3"/>
  <c r="AS53" i="3"/>
  <c r="AA80" i="3"/>
  <c r="W80" i="3"/>
  <c r="X80" i="3"/>
  <c r="U80" i="3"/>
  <c r="Y80" i="3"/>
  <c r="Z80" i="3"/>
  <c r="AR74" i="3"/>
  <c r="AR64" i="3"/>
  <c r="AR66" i="3"/>
  <c r="AR77" i="3"/>
  <c r="AR50" i="3"/>
  <c r="AR79" i="3"/>
  <c r="AS54" i="3"/>
  <c r="AS71" i="3"/>
  <c r="AS67" i="3"/>
  <c r="AS60" i="3"/>
  <c r="AS55" i="3"/>
  <c r="AR68" i="3"/>
  <c r="AS56" i="3"/>
  <c r="AS76" i="3"/>
  <c r="AS51" i="3"/>
  <c r="AS59" i="3"/>
  <c r="AR28" i="3"/>
  <c r="AR61" i="3"/>
  <c r="AS63" i="3"/>
  <c r="AS61" i="3"/>
  <c r="AR58" i="3"/>
  <c r="AS44" i="3"/>
  <c r="AR63" i="3"/>
  <c r="AS28" i="3"/>
  <c r="AD80" i="3"/>
  <c r="AS11" i="3"/>
  <c r="AR52" i="3"/>
  <c r="AS29" i="3"/>
  <c r="AR20" i="3"/>
  <c r="AS42" i="3"/>
  <c r="AS8" i="3"/>
  <c r="AR78" i="3"/>
  <c r="AS12" i="3"/>
  <c r="AS40" i="3"/>
  <c r="AR54" i="3"/>
  <c r="AR53" i="3"/>
  <c r="AR73" i="3"/>
  <c r="AR48" i="3"/>
  <c r="AR45" i="3"/>
  <c r="AR59" i="3"/>
  <c r="AR49" i="3"/>
  <c r="AS41" i="3"/>
  <c r="AR40" i="3"/>
  <c r="AR42" i="3"/>
  <c r="AS52" i="3"/>
  <c r="AS43" i="3"/>
  <c r="AR75" i="3"/>
  <c r="AS47" i="3"/>
  <c r="AR47" i="3"/>
  <c r="AS75" i="3"/>
  <c r="AR12" i="3"/>
  <c r="AQ80" i="3"/>
  <c r="AN80" i="3"/>
  <c r="AS37" i="3"/>
  <c r="AS79" i="3"/>
  <c r="AS78" i="3"/>
  <c r="AS77" i="3"/>
  <c r="AS74" i="3"/>
  <c r="AS72" i="3"/>
  <c r="AS70" i="3"/>
  <c r="AS69" i="3"/>
  <c r="AS68" i="3"/>
  <c r="AS66" i="3"/>
  <c r="AS65" i="3"/>
  <c r="AS64" i="3"/>
  <c r="AS20" i="3"/>
  <c r="AE44" i="2"/>
  <c r="T17" i="3"/>
  <c r="T16" i="3"/>
  <c r="T15" i="3"/>
  <c r="T39" i="3"/>
  <c r="T38" i="3"/>
  <c r="T9" i="3"/>
  <c r="AR46" i="3" l="1"/>
  <c r="T80" i="3"/>
  <c r="AR29" i="3"/>
  <c r="AR11" i="3"/>
  <c r="AR8" i="3"/>
  <c r="AR15" i="3"/>
  <c r="AS15" i="3"/>
  <c r="S16" i="3" l="1"/>
  <c r="S26" i="3"/>
  <c r="S24" i="3"/>
  <c r="S18" i="3"/>
  <c r="S39" i="3"/>
  <c r="S38" i="3"/>
  <c r="S30" i="3"/>
  <c r="S9" i="3"/>
  <c r="R27" i="3"/>
  <c r="R9" i="3"/>
  <c r="R17" i="3"/>
  <c r="R18" i="3"/>
  <c r="R26" i="3"/>
  <c r="R32" i="3"/>
  <c r="R34" i="3"/>
  <c r="R25" i="3"/>
  <c r="R39" i="3"/>
  <c r="R38" i="3"/>
  <c r="R7" i="3"/>
  <c r="R80" i="3" s="1"/>
  <c r="Q14" i="3"/>
  <c r="Q17" i="3"/>
  <c r="Q30" i="3"/>
  <c r="Q27" i="3"/>
  <c r="Q25" i="3"/>
  <c r="Q39" i="3"/>
  <c r="Q34" i="3"/>
  <c r="Q26" i="3"/>
  <c r="Q36" i="3"/>
  <c r="Q19" i="3"/>
  <c r="Q10" i="3"/>
  <c r="Q9" i="3"/>
  <c r="Q80" i="3" s="1"/>
  <c r="P18" i="3"/>
  <c r="P24" i="3"/>
  <c r="P36" i="3"/>
  <c r="P27" i="3"/>
  <c r="P16" i="3"/>
  <c r="P14" i="3"/>
  <c r="P25" i="3"/>
  <c r="P34" i="3"/>
  <c r="P32" i="3"/>
  <c r="P10" i="3"/>
  <c r="P9" i="3"/>
  <c r="O25" i="3"/>
  <c r="O39" i="3"/>
  <c r="O14" i="3"/>
  <c r="O16" i="3"/>
  <c r="O17" i="3"/>
  <c r="O27" i="3"/>
  <c r="O26" i="3"/>
  <c r="O30" i="3"/>
  <c r="O35" i="3"/>
  <c r="O34" i="3"/>
  <c r="O10" i="3"/>
  <c r="O9" i="3"/>
  <c r="N16" i="3"/>
  <c r="N14" i="3"/>
  <c r="N31" i="3"/>
  <c r="N27" i="3"/>
  <c r="N35" i="3"/>
  <c r="N30" i="3"/>
  <c r="N10" i="3"/>
  <c r="N9" i="3"/>
  <c r="M17" i="3"/>
  <c r="M18" i="3"/>
  <c r="M27" i="3"/>
  <c r="M35" i="3"/>
  <c r="M30" i="3"/>
  <c r="M9" i="3"/>
  <c r="L62" i="3"/>
  <c r="L19" i="3"/>
  <c r="L27" i="3"/>
  <c r="L35" i="3"/>
  <c r="L30" i="3"/>
  <c r="L34" i="3"/>
  <c r="L9" i="3"/>
  <c r="L80" i="3" s="1"/>
  <c r="K35" i="3"/>
  <c r="K80" i="3" s="1"/>
  <c r="J16" i="3"/>
  <c r="J14" i="3"/>
  <c r="J7" i="3"/>
  <c r="J32" i="3"/>
  <c r="J30" i="3"/>
  <c r="J19" i="3"/>
  <c r="J21" i="3"/>
  <c r="H14" i="3"/>
  <c r="H33" i="3"/>
  <c r="H32" i="3"/>
  <c r="H30" i="3"/>
  <c r="H27" i="3"/>
  <c r="H7" i="3"/>
  <c r="F32" i="3"/>
  <c r="F80" i="3" s="1"/>
  <c r="AR34" i="3" l="1"/>
  <c r="J80" i="3"/>
  <c r="H80" i="3"/>
  <c r="AK7" i="3"/>
  <c r="AR7" i="3" s="1"/>
  <c r="M80" i="3"/>
  <c r="N80" i="3"/>
  <c r="O80" i="3"/>
  <c r="P80" i="3"/>
  <c r="S80" i="3"/>
  <c r="AR32" i="3"/>
  <c r="AS9" i="3"/>
  <c r="AS30" i="3"/>
  <c r="AS16" i="3"/>
  <c r="AS10" i="3"/>
  <c r="AS26" i="3"/>
  <c r="AR25" i="3"/>
  <c r="AR21" i="3"/>
  <c r="AS21" i="3"/>
  <c r="AR62" i="3"/>
  <c r="AS62" i="3"/>
  <c r="AR17" i="3"/>
  <c r="AS17" i="3"/>
  <c r="AR31" i="3"/>
  <c r="AS31" i="3"/>
  <c r="AR24" i="3"/>
  <c r="AS24" i="3"/>
  <c r="AR33" i="3"/>
  <c r="AS33" i="3"/>
  <c r="AR14" i="3"/>
  <c r="AS14" i="3"/>
  <c r="AR19" i="3"/>
  <c r="AS19" i="3"/>
  <c r="AR18" i="3"/>
  <c r="AS18" i="3"/>
  <c r="AR39" i="3"/>
  <c r="AS39" i="3"/>
  <c r="AR38" i="3"/>
  <c r="AS38" i="3"/>
  <c r="AS34" i="3" l="1"/>
  <c r="AR9" i="3"/>
  <c r="AR30" i="3"/>
  <c r="AR26" i="3"/>
  <c r="AS25" i="3"/>
  <c r="AR16" i="3"/>
  <c r="AS32" i="3"/>
  <c r="AR10" i="3"/>
  <c r="AS7" i="3"/>
  <c r="AS80" i="3" s="1"/>
  <c r="AR27" i="3"/>
  <c r="AS27" i="3"/>
  <c r="AR35" i="3"/>
  <c r="AS35" i="3"/>
  <c r="AS36" i="3"/>
  <c r="AR80" i="3" l="1"/>
  <c r="AK80" i="3"/>
  <c r="AR36" i="3"/>
</calcChain>
</file>

<file path=xl/sharedStrings.xml><?xml version="1.0" encoding="utf-8"?>
<sst xmlns="http://schemas.openxmlformats.org/spreadsheetml/2006/main" count="229" uniqueCount="101">
  <si>
    <t>GRADER NEW</t>
  </si>
  <si>
    <t>LODER NEW</t>
  </si>
  <si>
    <t>DIESEL TAN.</t>
  </si>
  <si>
    <t>WATER TAN.</t>
  </si>
  <si>
    <t>D.G</t>
  </si>
  <si>
    <t>Total HMR</t>
  </si>
  <si>
    <t>Closing HMR</t>
  </si>
  <si>
    <t>Starting HMR</t>
  </si>
  <si>
    <t>Starting KMR</t>
  </si>
  <si>
    <t>Closing KMR</t>
  </si>
  <si>
    <t>Total KMR</t>
  </si>
  <si>
    <t>Total--&gt;&gt;</t>
  </si>
  <si>
    <t>HYUNDAI-20</t>
  </si>
  <si>
    <t>HYUNDAI -22</t>
  </si>
  <si>
    <t>HYUNDAI -23</t>
  </si>
  <si>
    <t>HYUNDAI-21</t>
  </si>
  <si>
    <t>VOVLO-75</t>
  </si>
  <si>
    <t>VOLVO -77</t>
  </si>
  <si>
    <t>VOVLO -78</t>
  </si>
  <si>
    <t>VOVLO -80</t>
  </si>
  <si>
    <t>VOLVO -85</t>
  </si>
  <si>
    <t>VOVLO -87</t>
  </si>
  <si>
    <t>VOVLO -88</t>
  </si>
  <si>
    <t>VOVLO -89</t>
  </si>
  <si>
    <t>VOVLO -93</t>
  </si>
  <si>
    <t>VOVLO -96</t>
  </si>
  <si>
    <t>VOVLO -97</t>
  </si>
  <si>
    <t>VOVLO -98</t>
  </si>
  <si>
    <t>VOVLO -100</t>
  </si>
  <si>
    <t>VOVLO -101</t>
  </si>
  <si>
    <t>VOVLO -102</t>
  </si>
  <si>
    <t>VOVLO -103</t>
  </si>
  <si>
    <t>VOVLO -104</t>
  </si>
  <si>
    <t>VOVLO -106</t>
  </si>
  <si>
    <t>VOVLO -107</t>
  </si>
  <si>
    <t>DOZER -10</t>
  </si>
  <si>
    <t>DOZER -08</t>
  </si>
  <si>
    <t xml:space="preserve"> BOLERO -2384</t>
  </si>
  <si>
    <t>XUV -989</t>
  </si>
  <si>
    <t>FOURTUNER -6663</t>
  </si>
  <si>
    <t>CAMPER -4379</t>
  </si>
  <si>
    <t>BOLERO -6208</t>
  </si>
  <si>
    <t>CAMPER -4380</t>
  </si>
  <si>
    <t>Date</t>
  </si>
  <si>
    <t>Sr No.</t>
  </si>
  <si>
    <t>Equipment Name.</t>
  </si>
  <si>
    <t>Total</t>
  </si>
  <si>
    <t>Kolarpimpri Site Wani North Area WCL (Maharastra)</t>
  </si>
  <si>
    <t>HSD Statement for the Month of March-2018</t>
  </si>
  <si>
    <t>DRILL MAC.(HIRED)</t>
  </si>
  <si>
    <t>SERVICE VAN-</t>
  </si>
  <si>
    <t>SHIFT VAN-</t>
  </si>
  <si>
    <t>XUV 500 -0989</t>
  </si>
  <si>
    <t>DRILL MAC.( HIRED)</t>
  </si>
  <si>
    <t>Sadbhav Engineering Limited</t>
  </si>
  <si>
    <t>HSD</t>
  </si>
  <si>
    <t>Avg.</t>
  </si>
  <si>
    <t>Per/Hrs.</t>
  </si>
  <si>
    <t>Per/Kms.</t>
  </si>
  <si>
    <t>HSD Statement &amp; Avg ( Period 26.02.2018 to 31.03.2018)</t>
  </si>
  <si>
    <t>26/2</t>
  </si>
  <si>
    <t>27/2</t>
  </si>
  <si>
    <t>28/2</t>
  </si>
  <si>
    <t>HITACHI-650-11</t>
  </si>
  <si>
    <t>CAMPER 0639</t>
  </si>
  <si>
    <t>SHIFT VAN-0608</t>
  </si>
  <si>
    <t>B-BENZ-04</t>
  </si>
  <si>
    <t>B-BENZ-08</t>
  </si>
  <si>
    <t>B-BENZ-07</t>
  </si>
  <si>
    <t>B-BENZ-02</t>
  </si>
  <si>
    <t>B-BENZ-01</t>
  </si>
  <si>
    <t>B-BENZ-03</t>
  </si>
  <si>
    <t>B-BENZ-06</t>
  </si>
  <si>
    <t>B-BENZ-09</t>
  </si>
  <si>
    <t>B-BENZ-10</t>
  </si>
  <si>
    <t>B-BENZ-98</t>
  </si>
  <si>
    <t>B-BENZ-99</t>
  </si>
  <si>
    <t>B-BENZ-100</t>
  </si>
  <si>
    <t>B-BENZ-101</t>
  </si>
  <si>
    <t>B-BENZ-103</t>
  </si>
  <si>
    <t>Gris van 3734</t>
  </si>
  <si>
    <t>B-BENZ-05</t>
  </si>
  <si>
    <t>BOLERO -9728</t>
  </si>
  <si>
    <t>XUV 500 -6663</t>
  </si>
  <si>
    <t>B-BENZ-107</t>
  </si>
  <si>
    <t>B-BENZ-110</t>
  </si>
  <si>
    <t>B-BENZ-97</t>
  </si>
  <si>
    <t>HITACHI-650-12</t>
  </si>
  <si>
    <t>HITACHI-650-09</t>
  </si>
  <si>
    <t>VOVLO -92</t>
  </si>
  <si>
    <t>WATER TAN. 2</t>
  </si>
  <si>
    <t>WATER TAN. 1</t>
  </si>
  <si>
    <t>DIESEL TAN. 2</t>
  </si>
  <si>
    <t>DIESEL TAN. 3</t>
  </si>
  <si>
    <t>B-BENZ-104</t>
  </si>
  <si>
    <t>B-BENZ-96</t>
  </si>
  <si>
    <t>VOVLO -84</t>
  </si>
  <si>
    <t>B-BENZ-108</t>
  </si>
  <si>
    <t>VOVLO -82</t>
  </si>
  <si>
    <t>HYUNDAI -20</t>
  </si>
  <si>
    <t>HYUNDAI 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</si>
</sst>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doni MT Black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/>
    <xf numFmtId="0" fontId="2" fillId="5" borderId="1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" fillId="4" borderId="1" xfId="0" applyFont="1" applyFill="1" applyBorder="1"/>
    <xf numFmtId="16" fontId="1" fillId="4" borderId="1" xfId="0" quotePrefix="1" applyNumberFormat="1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6" xfId="0" applyFont="1" applyFill="1" applyBorder="1"/>
    <xf numFmtId="0" fontId="5" fillId="2" borderId="2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2" fontId="5" fillId="0" borderId="1" xfId="0" applyNumberFormat="1" applyFont="1" applyBorder="1"/>
    <xf numFmtId="0" fontId="5" fillId="5" borderId="1" xfId="0" applyFont="1" applyFill="1" applyBorder="1"/>
    <xf numFmtId="0" fontId="5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1" xfId="0" applyNumberFormat="1" applyFont="1" applyFill="1" applyBorder="1"/>
    <xf numFmtId="0" fontId="6" fillId="5" borderId="1" xfId="0" applyFont="1" applyFill="1" applyBorder="1"/>
    <xf numFmtId="0" fontId="6" fillId="0" borderId="1" xfId="0" applyFont="1" applyBorder="1"/>
    <xf numFmtId="16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6" fillId="0" borderId="1" xfId="0" applyNumberFormat="1" applyFont="1" applyBorder="1"/>
    <xf numFmtId="0" fontId="7" fillId="5" borderId="1" xfId="0" applyFont="1" applyFill="1" applyBorder="1"/>
    <xf numFmtId="0" fontId="7" fillId="0" borderId="1" xfId="0" applyFont="1" applyBorder="1"/>
    <xf numFmtId="164" fontId="7" fillId="5" borderId="2" xfId="0" applyNumberFormat="1" applyFont="1" applyFill="1" applyBorder="1" applyAlignment="1">
      <alignment horizontal="center"/>
    </xf>
    <xf numFmtId="2" fontId="7" fillId="0" borderId="1" xfId="0" applyNumberFormat="1" applyFont="1" applyBorder="1"/>
    <xf numFmtId="0" fontId="7" fillId="5" borderId="2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/>
    <xf numFmtId="0" fontId="7" fillId="0" borderId="6" xfId="0" applyFont="1" applyFill="1" applyBorder="1"/>
    <xf numFmtId="0" fontId="7" fillId="5" borderId="6" xfId="0" applyFont="1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pane ySplit="6" topLeftCell="A7" activePane="bottomLeft" state="frozen"/>
      <selection pane="bottomLeft" activeCell="AB7" sqref="AB7:AD10"/>
    </sheetView>
  </sheetViews>
  <sheetFormatPr defaultRowHeight="15" x14ac:dyDescent="0.25"/>
  <cols>
    <col min="1" max="1" width="6.28515625" style="5" bestFit="1" customWidth="1"/>
    <col min="2" max="2" width="17.28515625" style="5" bestFit="1" customWidth="1"/>
    <col min="3" max="30" width="5" style="5" customWidth="1"/>
    <col min="31" max="31" width="7.7109375" style="5" customWidth="1"/>
    <col min="32" max="16384" width="9.140625" style="5"/>
  </cols>
  <sheetData>
    <row r="1" spans="1:31" ht="15.75" customHeight="1" x14ac:dyDescent="0.25">
      <c r="A1" s="81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3"/>
    </row>
    <row r="2" spans="1:31" ht="15.75" customHeight="1" x14ac:dyDescent="0.25">
      <c r="A2" s="84" t="s">
        <v>47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6"/>
    </row>
    <row r="3" spans="1:31" ht="15" customHeight="1" x14ac:dyDescent="0.25">
      <c r="A3" s="87" t="s">
        <v>48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5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</row>
    <row r="5" spans="1:31" x14ac:dyDescent="0.25">
      <c r="A5" s="93" t="s">
        <v>44</v>
      </c>
      <c r="B5" s="95" t="s">
        <v>45</v>
      </c>
      <c r="C5" s="92" t="s">
        <v>43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0" t="s">
        <v>46</v>
      </c>
    </row>
    <row r="6" spans="1:31" ht="15.75" thickBot="1" x14ac:dyDescent="0.3">
      <c r="A6" s="94"/>
      <c r="B6" s="96"/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9">
        <v>25</v>
      </c>
      <c r="AB6" s="9">
        <v>26</v>
      </c>
      <c r="AC6" s="9">
        <v>27</v>
      </c>
      <c r="AD6" s="9">
        <v>28</v>
      </c>
      <c r="AE6" s="91"/>
    </row>
    <row r="7" spans="1:31" x14ac:dyDescent="0.25">
      <c r="A7" s="10">
        <v>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200</v>
      </c>
      <c r="AC7" s="11">
        <v>210</v>
      </c>
      <c r="AD7" s="11">
        <v>0</v>
      </c>
      <c r="AE7" s="10">
        <f>SUM(C7:AD7)</f>
        <v>410</v>
      </c>
    </row>
    <row r="8" spans="1:31" x14ac:dyDescent="0.25">
      <c r="A8" s="12">
        <v>2</v>
      </c>
      <c r="B8" s="12" t="s">
        <v>15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0">
        <f t="shared" ref="AE8:AE43" si="0">SUM(C8:AD8)</f>
        <v>0</v>
      </c>
    </row>
    <row r="9" spans="1:31" x14ac:dyDescent="0.25">
      <c r="A9" s="10">
        <v>3</v>
      </c>
      <c r="B9" s="12" t="s">
        <v>13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0">
        <f t="shared" si="0"/>
        <v>0</v>
      </c>
    </row>
    <row r="10" spans="1:31" x14ac:dyDescent="0.25">
      <c r="A10" s="12">
        <v>4</v>
      </c>
      <c r="B10" s="12" t="s">
        <v>14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0">
        <f t="shared" si="0"/>
        <v>0</v>
      </c>
    </row>
    <row r="11" spans="1:31" x14ac:dyDescent="0.25">
      <c r="A11" s="10">
        <v>5</v>
      </c>
      <c r="B11" s="12" t="s">
        <v>35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0">
        <f t="shared" si="0"/>
        <v>0</v>
      </c>
    </row>
    <row r="12" spans="1:31" x14ac:dyDescent="0.25">
      <c r="A12" s="12">
        <v>6</v>
      </c>
      <c r="B12" s="12" t="s">
        <v>36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0">
        <f t="shared" si="0"/>
        <v>0</v>
      </c>
    </row>
    <row r="13" spans="1:31" x14ac:dyDescent="0.25">
      <c r="A13" s="10">
        <v>7</v>
      </c>
      <c r="B13" s="12" t="s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300</v>
      </c>
      <c r="AD13" s="13">
        <v>0</v>
      </c>
      <c r="AE13" s="10">
        <f t="shared" si="0"/>
        <v>300</v>
      </c>
    </row>
    <row r="14" spans="1:31" x14ac:dyDescent="0.25">
      <c r="A14" s="12">
        <v>8</v>
      </c>
      <c r="B14" s="12" t="s">
        <v>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0">
        <f t="shared" si="0"/>
        <v>0</v>
      </c>
    </row>
    <row r="15" spans="1:31" x14ac:dyDescent="0.25">
      <c r="A15" s="10">
        <v>9</v>
      </c>
      <c r="B15" s="12" t="s">
        <v>16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0">
        <f t="shared" si="0"/>
        <v>0</v>
      </c>
    </row>
    <row r="16" spans="1:31" x14ac:dyDescent="0.25">
      <c r="A16" s="12">
        <v>10</v>
      </c>
      <c r="B16" s="12" t="s">
        <v>17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80</v>
      </c>
      <c r="AC16" s="13">
        <v>180</v>
      </c>
      <c r="AD16" s="13">
        <v>0</v>
      </c>
      <c r="AE16" s="10">
        <f t="shared" si="0"/>
        <v>260</v>
      </c>
    </row>
    <row r="17" spans="1:31" x14ac:dyDescent="0.25">
      <c r="A17" s="10">
        <v>11</v>
      </c>
      <c r="B17" s="12" t="s">
        <v>18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252</v>
      </c>
      <c r="AE17" s="10">
        <f t="shared" si="0"/>
        <v>252</v>
      </c>
    </row>
    <row r="18" spans="1:31" x14ac:dyDescent="0.25">
      <c r="A18" s="12">
        <v>12</v>
      </c>
      <c r="B18" s="12" t="s">
        <v>19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80</v>
      </c>
      <c r="AC18" s="13">
        <v>100</v>
      </c>
      <c r="AD18" s="13">
        <v>0</v>
      </c>
      <c r="AE18" s="10">
        <f t="shared" si="0"/>
        <v>180</v>
      </c>
    </row>
    <row r="19" spans="1:31" x14ac:dyDescent="0.25">
      <c r="A19" s="10">
        <v>13</v>
      </c>
      <c r="B19" s="12" t="s">
        <v>20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80</v>
      </c>
      <c r="AD19" s="13">
        <v>0</v>
      </c>
      <c r="AE19" s="10">
        <f t="shared" si="0"/>
        <v>80</v>
      </c>
    </row>
    <row r="20" spans="1:31" x14ac:dyDescent="0.25">
      <c r="A20" s="12">
        <v>14</v>
      </c>
      <c r="B20" s="12" t="s">
        <v>21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60</v>
      </c>
      <c r="AD20" s="13">
        <v>0</v>
      </c>
      <c r="AE20" s="10">
        <f t="shared" si="0"/>
        <v>60</v>
      </c>
    </row>
    <row r="21" spans="1:31" x14ac:dyDescent="0.25">
      <c r="A21" s="10">
        <v>15</v>
      </c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0">
        <f t="shared" si="0"/>
        <v>0</v>
      </c>
    </row>
    <row r="22" spans="1:31" x14ac:dyDescent="0.25">
      <c r="A22" s="12">
        <v>16</v>
      </c>
      <c r="B22" s="12" t="s">
        <v>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135</v>
      </c>
      <c r="AE22" s="10">
        <f t="shared" si="0"/>
        <v>135</v>
      </c>
    </row>
    <row r="23" spans="1:31" x14ac:dyDescent="0.25">
      <c r="A23" s="10">
        <v>17</v>
      </c>
      <c r="B23" s="12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90</v>
      </c>
      <c r="AD23" s="13">
        <v>0</v>
      </c>
      <c r="AE23" s="10">
        <f t="shared" si="0"/>
        <v>90</v>
      </c>
    </row>
    <row r="24" spans="1:31" x14ac:dyDescent="0.25">
      <c r="A24" s="12">
        <v>18</v>
      </c>
      <c r="B24" s="1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0">
        <f t="shared" si="0"/>
        <v>0</v>
      </c>
    </row>
    <row r="25" spans="1:31" x14ac:dyDescent="0.25">
      <c r="A25" s="10">
        <v>19</v>
      </c>
      <c r="B25" s="12" t="s">
        <v>26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0">
        <f t="shared" si="0"/>
        <v>0</v>
      </c>
    </row>
    <row r="26" spans="1:31" x14ac:dyDescent="0.25">
      <c r="A26" s="12">
        <v>20</v>
      </c>
      <c r="B26" s="12" t="s">
        <v>27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0">
        <f t="shared" si="0"/>
        <v>0</v>
      </c>
    </row>
    <row r="27" spans="1:31" x14ac:dyDescent="0.25">
      <c r="A27" s="10">
        <v>21</v>
      </c>
      <c r="B27" s="1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0">
        <f t="shared" si="0"/>
        <v>0</v>
      </c>
    </row>
    <row r="28" spans="1:31" x14ac:dyDescent="0.25">
      <c r="A28" s="12">
        <v>22</v>
      </c>
      <c r="B28" s="1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0">
        <f t="shared" si="0"/>
        <v>0</v>
      </c>
    </row>
    <row r="29" spans="1:31" x14ac:dyDescent="0.25">
      <c r="A29" s="10">
        <v>23</v>
      </c>
      <c r="B29" s="12" t="s">
        <v>30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0">
        <f t="shared" si="0"/>
        <v>0</v>
      </c>
    </row>
    <row r="30" spans="1:31" x14ac:dyDescent="0.25">
      <c r="A30" s="12">
        <v>24</v>
      </c>
      <c r="B30" s="12" t="s">
        <v>31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0">
        <f t="shared" si="0"/>
        <v>0</v>
      </c>
    </row>
    <row r="31" spans="1:31" x14ac:dyDescent="0.25">
      <c r="A31" s="10">
        <v>25</v>
      </c>
      <c r="B31" s="12" t="s">
        <v>32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0">
        <f t="shared" si="0"/>
        <v>0</v>
      </c>
    </row>
    <row r="32" spans="1:31" x14ac:dyDescent="0.25">
      <c r="A32" s="12">
        <v>26</v>
      </c>
      <c r="B32" s="12" t="s">
        <v>33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0">
        <f t="shared" si="0"/>
        <v>0</v>
      </c>
    </row>
    <row r="33" spans="1:31" x14ac:dyDescent="0.25">
      <c r="A33" s="10">
        <v>27</v>
      </c>
      <c r="B33" s="12" t="s">
        <v>34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0">
        <f t="shared" si="0"/>
        <v>0</v>
      </c>
    </row>
    <row r="34" spans="1:31" x14ac:dyDescent="0.25">
      <c r="A34" s="12">
        <v>28</v>
      </c>
      <c r="B34" s="12" t="s">
        <v>3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280</v>
      </c>
      <c r="AD34" s="13">
        <v>0</v>
      </c>
      <c r="AE34" s="10">
        <f t="shared" si="0"/>
        <v>280</v>
      </c>
    </row>
    <row r="35" spans="1:31" x14ac:dyDescent="0.25">
      <c r="A35" s="10">
        <v>29</v>
      </c>
      <c r="B35" s="12" t="s">
        <v>2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50</v>
      </c>
      <c r="AE35" s="10">
        <f t="shared" si="0"/>
        <v>50</v>
      </c>
    </row>
    <row r="36" spans="1:31" x14ac:dyDescent="0.25">
      <c r="A36" s="12">
        <v>30</v>
      </c>
      <c r="B36" s="12" t="s">
        <v>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20</v>
      </c>
      <c r="AC36" s="13">
        <v>25</v>
      </c>
      <c r="AD36" s="13">
        <v>20</v>
      </c>
      <c r="AE36" s="10">
        <f t="shared" si="0"/>
        <v>65</v>
      </c>
    </row>
    <row r="37" spans="1:31" x14ac:dyDescent="0.25">
      <c r="A37" s="10">
        <v>31</v>
      </c>
      <c r="B37" s="12" t="s">
        <v>37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36</v>
      </c>
      <c r="AC37" s="13">
        <v>0</v>
      </c>
      <c r="AD37" s="13">
        <v>0</v>
      </c>
      <c r="AE37" s="10">
        <f t="shared" si="0"/>
        <v>36</v>
      </c>
    </row>
    <row r="38" spans="1:31" ht="15" customHeight="1" x14ac:dyDescent="0.25">
      <c r="A38" s="12">
        <v>32</v>
      </c>
      <c r="B38" s="12" t="s">
        <v>38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66</v>
      </c>
      <c r="AE38" s="10">
        <f t="shared" si="0"/>
        <v>66</v>
      </c>
    </row>
    <row r="39" spans="1:31" x14ac:dyDescent="0.25">
      <c r="A39" s="10">
        <v>33</v>
      </c>
      <c r="B39" s="12" t="s">
        <v>39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0">
        <f t="shared" si="0"/>
        <v>0</v>
      </c>
    </row>
    <row r="40" spans="1:31" x14ac:dyDescent="0.25">
      <c r="A40" s="12">
        <v>34</v>
      </c>
      <c r="B40" s="12" t="s">
        <v>40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30</v>
      </c>
      <c r="AD40" s="13">
        <v>0</v>
      </c>
      <c r="AE40" s="10">
        <f t="shared" si="0"/>
        <v>30</v>
      </c>
    </row>
    <row r="41" spans="1:31" x14ac:dyDescent="0.25">
      <c r="A41" s="10">
        <v>35</v>
      </c>
      <c r="B41" s="12" t="s">
        <v>41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0">
        <f t="shared" si="0"/>
        <v>0</v>
      </c>
    </row>
    <row r="42" spans="1:31" x14ac:dyDescent="0.25">
      <c r="A42" s="12">
        <v>36</v>
      </c>
      <c r="B42" s="12" t="s">
        <v>42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0">
        <f t="shared" si="0"/>
        <v>0</v>
      </c>
    </row>
    <row r="43" spans="1:31" x14ac:dyDescent="0.25">
      <c r="A43" s="14">
        <v>37</v>
      </c>
      <c r="B43" s="15" t="s">
        <v>53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4">
        <f t="shared" si="0"/>
        <v>0</v>
      </c>
    </row>
    <row r="44" spans="1:31" ht="21" customHeight="1" x14ac:dyDescent="0.25">
      <c r="A44" s="92" t="s">
        <v>11</v>
      </c>
      <c r="B44" s="92"/>
      <c r="C44" s="17">
        <f>SUM(C7:C43)</f>
        <v>0</v>
      </c>
      <c r="D44" s="17">
        <f t="shared" ref="D44:AE44" si="1">SUM(D7:D43)</f>
        <v>0</v>
      </c>
      <c r="E44" s="17">
        <f t="shared" si="1"/>
        <v>0</v>
      </c>
      <c r="F44" s="17">
        <f t="shared" si="1"/>
        <v>0</v>
      </c>
      <c r="G44" s="17">
        <f t="shared" si="1"/>
        <v>0</v>
      </c>
      <c r="H44" s="17">
        <f t="shared" si="1"/>
        <v>0</v>
      </c>
      <c r="I44" s="17">
        <f t="shared" si="1"/>
        <v>0</v>
      </c>
      <c r="J44" s="17">
        <f t="shared" si="1"/>
        <v>0</v>
      </c>
      <c r="K44" s="17">
        <f t="shared" si="1"/>
        <v>0</v>
      </c>
      <c r="L44" s="17">
        <f t="shared" si="1"/>
        <v>0</v>
      </c>
      <c r="M44" s="17">
        <f t="shared" si="1"/>
        <v>0</v>
      </c>
      <c r="N44" s="17">
        <f t="shared" si="1"/>
        <v>0</v>
      </c>
      <c r="O44" s="17">
        <f t="shared" si="1"/>
        <v>0</v>
      </c>
      <c r="P44" s="17">
        <f t="shared" si="1"/>
        <v>0</v>
      </c>
      <c r="Q44" s="17">
        <f t="shared" si="1"/>
        <v>0</v>
      </c>
      <c r="R44" s="17">
        <f t="shared" si="1"/>
        <v>0</v>
      </c>
      <c r="S44" s="17">
        <f t="shared" si="1"/>
        <v>0</v>
      </c>
      <c r="T44" s="17">
        <f t="shared" si="1"/>
        <v>0</v>
      </c>
      <c r="U44" s="17">
        <f t="shared" si="1"/>
        <v>0</v>
      </c>
      <c r="V44" s="17">
        <f t="shared" si="1"/>
        <v>0</v>
      </c>
      <c r="W44" s="17">
        <f t="shared" si="1"/>
        <v>0</v>
      </c>
      <c r="X44" s="17">
        <f t="shared" si="1"/>
        <v>0</v>
      </c>
      <c r="Y44" s="17">
        <f t="shared" si="1"/>
        <v>0</v>
      </c>
      <c r="Z44" s="17">
        <f t="shared" si="1"/>
        <v>0</v>
      </c>
      <c r="AA44" s="17">
        <f t="shared" si="1"/>
        <v>0</v>
      </c>
      <c r="AB44" s="17">
        <f t="shared" si="1"/>
        <v>416</v>
      </c>
      <c r="AC44" s="17">
        <f t="shared" si="1"/>
        <v>1355</v>
      </c>
      <c r="AD44" s="17">
        <f t="shared" si="1"/>
        <v>523</v>
      </c>
      <c r="AE44" s="17">
        <f t="shared" si="1"/>
        <v>2294</v>
      </c>
    </row>
  </sheetData>
  <mergeCells count="8">
    <mergeCell ref="A1:AE1"/>
    <mergeCell ref="A2:AE2"/>
    <mergeCell ref="A3:AE3"/>
    <mergeCell ref="AE5:AE6"/>
    <mergeCell ref="A44:B44"/>
    <mergeCell ref="A5:A6"/>
    <mergeCell ref="B5:B6"/>
    <mergeCell ref="C5:AD5"/>
  </mergeCells>
  <pageMargins left="0.22" right="0.2" top="0.35" bottom="0.28999999999999998" header="0.3" footer="0.3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abSelected="1" workbookViewId="0">
      <pane ySplit="6" topLeftCell="A7" activePane="bottomLeft" state="frozen"/>
      <selection pane="bottomLeft" activeCell="AJ81" sqref="AJ81:AJ82"/>
    </sheetView>
  </sheetViews>
  <sheetFormatPr defaultRowHeight="15" x14ac:dyDescent="0.25"/>
  <cols>
    <col min="1" max="1" width="5.42578125" style="60" customWidth="1"/>
    <col min="2" max="2" width="16.7109375" style="60" customWidth="1"/>
    <col min="3" max="3" width="4.85546875" style="60" bestFit="1" customWidth="1"/>
    <col min="4" max="4" width="5.7109375" style="60" customWidth="1"/>
    <col min="5" max="7" width="6.42578125" style="60" customWidth="1"/>
    <col min="8" max="8" width="5.85546875" style="60" customWidth="1"/>
    <col min="9" max="9" width="5.7109375" style="60" customWidth="1"/>
    <col min="10" max="10" width="5.85546875" style="60" customWidth="1"/>
    <col min="11" max="11" width="6.28515625" style="60" customWidth="1"/>
    <col min="12" max="12" width="5.42578125" style="60" customWidth="1"/>
    <col min="13" max="13" width="6" style="60" customWidth="1"/>
    <col min="14" max="15" width="5.85546875" style="60" customWidth="1"/>
    <col min="16" max="16" width="6" style="60" customWidth="1"/>
    <col min="17" max="17" width="5.7109375" style="60" customWidth="1"/>
    <col min="18" max="18" width="5.5703125" style="60" customWidth="1"/>
    <col min="19" max="21" width="5.85546875" style="60" customWidth="1"/>
    <col min="22" max="22" width="5.42578125" style="60" customWidth="1"/>
    <col min="23" max="23" width="6.140625" style="60" customWidth="1"/>
    <col min="24" max="24" width="5.42578125" style="60" customWidth="1"/>
    <col min="25" max="25" width="5.28515625" style="60" customWidth="1"/>
    <col min="26" max="26" width="5.42578125" style="60" customWidth="1"/>
    <col min="27" max="27" width="5.5703125" style="60" bestFit="1" customWidth="1"/>
    <col min="28" max="28" width="5.5703125" style="60" customWidth="1"/>
    <col min="29" max="29" width="6.140625" style="60" customWidth="1"/>
    <col min="30" max="30" width="6.7109375" style="60" bestFit="1" customWidth="1"/>
    <col min="31" max="35" width="6.7109375" style="60" customWidth="1"/>
    <col min="36" max="36" width="7.7109375" style="60" customWidth="1"/>
    <col min="37" max="37" width="9.140625" style="60"/>
    <col min="38" max="38" width="8.85546875" style="60" customWidth="1"/>
    <col min="39" max="39" width="9.28515625" style="60" customWidth="1"/>
    <col min="40" max="40" width="9" style="60" customWidth="1"/>
    <col min="41" max="41" width="9.7109375" style="60" customWidth="1"/>
    <col min="42" max="42" width="11.140625" style="60" customWidth="1"/>
    <col min="43" max="43" width="11" style="60" customWidth="1"/>
    <col min="44" max="44" width="9.5703125" style="60" customWidth="1"/>
    <col min="45" max="45" width="11.42578125" style="60" customWidth="1"/>
    <col min="46" max="16384" width="9.140625" style="60"/>
  </cols>
  <sheetData>
    <row r="1" spans="1:45" ht="15.75" customHeight="1" x14ac:dyDescent="0.25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</row>
    <row r="2" spans="1:45" ht="15.75" customHeight="1" x14ac:dyDescent="0.25">
      <c r="A2" s="99" t="s">
        <v>47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</row>
    <row r="3" spans="1:45" ht="15" customHeight="1" x14ac:dyDescent="0.25">
      <c r="A3" s="100" t="s">
        <v>59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</row>
    <row r="4" spans="1:45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2"/>
    </row>
    <row r="5" spans="1:45" ht="30" x14ac:dyDescent="0.25">
      <c r="A5" s="58" t="s">
        <v>44</v>
      </c>
      <c r="B5" s="58" t="s">
        <v>45</v>
      </c>
      <c r="C5" s="102" t="s">
        <v>43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3"/>
      <c r="AK5" s="59" t="s">
        <v>46</v>
      </c>
      <c r="AL5" s="101" t="s">
        <v>7</v>
      </c>
      <c r="AM5" s="101" t="s">
        <v>6</v>
      </c>
      <c r="AN5" s="101" t="s">
        <v>5</v>
      </c>
      <c r="AO5" s="101" t="s">
        <v>8</v>
      </c>
      <c r="AP5" s="101" t="s">
        <v>9</v>
      </c>
      <c r="AQ5" s="101" t="s">
        <v>10</v>
      </c>
      <c r="AR5" s="102" t="s">
        <v>56</v>
      </c>
      <c r="AS5" s="103"/>
    </row>
    <row r="6" spans="1:45" x14ac:dyDescent="0.25">
      <c r="A6" s="58"/>
      <c r="B6" s="58"/>
      <c r="C6" s="21" t="s">
        <v>60</v>
      </c>
      <c r="D6" s="22" t="s">
        <v>61</v>
      </c>
      <c r="E6" s="22" t="s">
        <v>62</v>
      </c>
      <c r="F6" s="4">
        <v>1</v>
      </c>
      <c r="G6" s="4">
        <v>2</v>
      </c>
      <c r="H6" s="4">
        <v>3</v>
      </c>
      <c r="I6" s="4">
        <v>4</v>
      </c>
      <c r="J6" s="4">
        <v>5</v>
      </c>
      <c r="K6" s="4">
        <v>6</v>
      </c>
      <c r="L6" s="4">
        <v>7</v>
      </c>
      <c r="M6" s="4">
        <v>8</v>
      </c>
      <c r="N6" s="4">
        <v>9</v>
      </c>
      <c r="O6" s="4">
        <v>10</v>
      </c>
      <c r="P6" s="4">
        <v>11</v>
      </c>
      <c r="Q6" s="4">
        <v>12</v>
      </c>
      <c r="R6" s="4">
        <v>13</v>
      </c>
      <c r="S6" s="4">
        <v>14</v>
      </c>
      <c r="T6" s="4">
        <v>15</v>
      </c>
      <c r="U6" s="4">
        <v>16</v>
      </c>
      <c r="V6" s="4">
        <v>17</v>
      </c>
      <c r="W6" s="4">
        <v>18</v>
      </c>
      <c r="X6" s="4">
        <v>19</v>
      </c>
      <c r="Y6" s="4">
        <v>20</v>
      </c>
      <c r="Z6" s="4">
        <v>21</v>
      </c>
      <c r="AA6" s="4">
        <v>22</v>
      </c>
      <c r="AB6" s="4">
        <v>23</v>
      </c>
      <c r="AC6" s="4">
        <v>24</v>
      </c>
      <c r="AD6" s="4">
        <v>25</v>
      </c>
      <c r="AE6" s="4">
        <v>26</v>
      </c>
      <c r="AF6" s="4">
        <v>27</v>
      </c>
      <c r="AG6" s="4">
        <v>28</v>
      </c>
      <c r="AH6" s="4">
        <v>29</v>
      </c>
      <c r="AI6" s="4">
        <v>30</v>
      </c>
      <c r="AJ6" s="4">
        <v>31</v>
      </c>
      <c r="AK6" s="59" t="s">
        <v>55</v>
      </c>
      <c r="AL6" s="101"/>
      <c r="AM6" s="101"/>
      <c r="AN6" s="101"/>
      <c r="AO6" s="101"/>
      <c r="AP6" s="101"/>
      <c r="AQ6" s="101"/>
      <c r="AR6" s="63" t="s">
        <v>57</v>
      </c>
      <c r="AS6" s="63" t="s">
        <v>58</v>
      </c>
    </row>
    <row r="7" spans="1:45" ht="15.75" x14ac:dyDescent="0.25">
      <c r="A7" s="3">
        <v>1</v>
      </c>
      <c r="B7" s="3" t="s">
        <v>12</v>
      </c>
      <c r="C7" s="64">
        <v>200</v>
      </c>
      <c r="D7" s="64">
        <v>210</v>
      </c>
      <c r="E7" s="64">
        <v>0</v>
      </c>
      <c r="F7" s="50">
        <v>486</v>
      </c>
      <c r="G7" s="50">
        <v>0</v>
      </c>
      <c r="H7" s="50">
        <f>205+326</f>
        <v>531</v>
      </c>
      <c r="I7" s="50">
        <v>344</v>
      </c>
      <c r="J7" s="50">
        <f>420+205</f>
        <v>625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202</v>
      </c>
      <c r="R7" s="50">
        <f>441+273</f>
        <v>714</v>
      </c>
      <c r="S7" s="50">
        <v>378</v>
      </c>
      <c r="T7" s="50">
        <v>0</v>
      </c>
      <c r="U7" s="50">
        <v>0</v>
      </c>
      <c r="V7" s="50">
        <v>682</v>
      </c>
      <c r="W7" s="65">
        <v>317</v>
      </c>
      <c r="X7" s="50">
        <f>372+304</f>
        <v>676</v>
      </c>
      <c r="Y7" s="50">
        <f>315+236</f>
        <v>551</v>
      </c>
      <c r="Z7" s="50">
        <f>174+292</f>
        <v>466</v>
      </c>
      <c r="AA7" s="50">
        <v>154</v>
      </c>
      <c r="AB7" s="50">
        <f>359+315</f>
        <v>674</v>
      </c>
      <c r="AC7" s="50">
        <v>239</v>
      </c>
      <c r="AD7" s="50">
        <v>828</v>
      </c>
      <c r="AE7" s="50">
        <v>825</v>
      </c>
      <c r="AF7" s="50">
        <v>783</v>
      </c>
      <c r="AG7" s="50">
        <f>335+70</f>
        <v>405</v>
      </c>
      <c r="AH7" s="50">
        <f>470+285</f>
        <v>755</v>
      </c>
      <c r="AI7" s="50">
        <f>417+186</f>
        <v>603</v>
      </c>
      <c r="AJ7" s="50">
        <f>164+518-308</f>
        <v>374</v>
      </c>
      <c r="AK7" s="27">
        <f>SUM(C7:AJ7)</f>
        <v>12022</v>
      </c>
      <c r="AL7" s="28">
        <v>12548</v>
      </c>
      <c r="AM7" s="28">
        <v>12923.6</v>
      </c>
      <c r="AN7" s="28">
        <f>AM7-AL7</f>
        <v>375.60000000000036</v>
      </c>
      <c r="AO7" s="29">
        <v>0</v>
      </c>
      <c r="AP7" s="29">
        <v>0</v>
      </c>
      <c r="AQ7" s="29">
        <f>AP7-AO7</f>
        <v>0</v>
      </c>
      <c r="AR7" s="66">
        <f>AK7/AN7</f>
        <v>32.007454739084103</v>
      </c>
      <c r="AS7" s="50" t="e">
        <f>AK7/AQ7</f>
        <v>#DIV/0!</v>
      </c>
    </row>
    <row r="8" spans="1:45" ht="15.75" x14ac:dyDescent="0.25">
      <c r="A8" s="3">
        <v>2</v>
      </c>
      <c r="B8" s="3" t="s">
        <v>15</v>
      </c>
      <c r="C8" s="33">
        <v>0</v>
      </c>
      <c r="D8" s="33">
        <v>0</v>
      </c>
      <c r="E8" s="33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455</v>
      </c>
      <c r="U8" s="67">
        <f>338+160</f>
        <v>498</v>
      </c>
      <c r="V8" s="50">
        <v>304</v>
      </c>
      <c r="W8" s="50">
        <f>537+392</f>
        <v>929</v>
      </c>
      <c r="X8" s="50">
        <f>523+458</f>
        <v>981</v>
      </c>
      <c r="Y8" s="50">
        <f>531+340</f>
        <v>871</v>
      </c>
      <c r="Z8" s="33">
        <f>487+419</f>
        <v>906</v>
      </c>
      <c r="AA8" s="68">
        <f>453+569</f>
        <v>1022</v>
      </c>
      <c r="AB8" s="33">
        <f>135+509</f>
        <v>644</v>
      </c>
      <c r="AC8" s="50">
        <v>366</v>
      </c>
      <c r="AD8" s="50">
        <v>892</v>
      </c>
      <c r="AE8" s="50">
        <v>527</v>
      </c>
      <c r="AF8" s="50">
        <v>809</v>
      </c>
      <c r="AG8" s="50">
        <f>250+150</f>
        <v>400</v>
      </c>
      <c r="AH8" s="50">
        <f>416+175</f>
        <v>591</v>
      </c>
      <c r="AI8" s="50">
        <f>296+374</f>
        <v>670</v>
      </c>
      <c r="AJ8" s="50">
        <f>381+253</f>
        <v>634</v>
      </c>
      <c r="AK8" s="27">
        <f t="shared" ref="AK8:AK71" si="0">SUM(C8:AJ8)</f>
        <v>11499</v>
      </c>
      <c r="AL8" s="28">
        <v>17164.5</v>
      </c>
      <c r="AM8" s="28">
        <v>17471</v>
      </c>
      <c r="AN8" s="28">
        <f t="shared" ref="AN8:AN11" si="1">AM8-AL8</f>
        <v>306.5</v>
      </c>
      <c r="AO8" s="29">
        <v>0</v>
      </c>
      <c r="AP8" s="29">
        <v>0</v>
      </c>
      <c r="AQ8" s="29">
        <f t="shared" ref="AQ8:AQ79" si="2">AP8-AO8</f>
        <v>0</v>
      </c>
      <c r="AR8" s="66">
        <f t="shared" ref="AR8:AR79" si="3">AK8/AN8</f>
        <v>37.517128874388256</v>
      </c>
      <c r="AS8" s="50" t="e">
        <f t="shared" ref="AS8:AS79" si="4">AK8/AQ8</f>
        <v>#DIV/0!</v>
      </c>
    </row>
    <row r="9" spans="1:45" ht="15.75" x14ac:dyDescent="0.25">
      <c r="A9" s="3">
        <v>3</v>
      </c>
      <c r="B9" s="3" t="s">
        <v>13</v>
      </c>
      <c r="C9" s="33">
        <v>0</v>
      </c>
      <c r="D9" s="33">
        <v>0</v>
      </c>
      <c r="E9" s="33">
        <v>0</v>
      </c>
      <c r="F9" s="50">
        <v>0</v>
      </c>
      <c r="G9" s="50">
        <v>0</v>
      </c>
      <c r="H9" s="50">
        <v>0</v>
      </c>
      <c r="I9" s="50">
        <v>0</v>
      </c>
      <c r="J9" s="50">
        <v>454</v>
      </c>
      <c r="K9" s="50">
        <v>235</v>
      </c>
      <c r="L9" s="50">
        <f>400+285</f>
        <v>685</v>
      </c>
      <c r="M9" s="50">
        <f>410+232</f>
        <v>642</v>
      </c>
      <c r="N9" s="50">
        <f>518+266</f>
        <v>784</v>
      </c>
      <c r="O9" s="50">
        <f>527+240</f>
        <v>767</v>
      </c>
      <c r="P9" s="50">
        <f>405+345</f>
        <v>750</v>
      </c>
      <c r="Q9" s="50">
        <f>530+360</f>
        <v>890</v>
      </c>
      <c r="R9" s="50">
        <f>450+187</f>
        <v>637</v>
      </c>
      <c r="S9" s="50">
        <f>442+340</f>
        <v>782</v>
      </c>
      <c r="T9" s="50">
        <f>156+343</f>
        <v>499</v>
      </c>
      <c r="U9" s="50">
        <v>220</v>
      </c>
      <c r="V9" s="50">
        <v>0</v>
      </c>
      <c r="W9" s="50">
        <v>0</v>
      </c>
      <c r="X9" s="50">
        <v>0</v>
      </c>
      <c r="Y9" s="50">
        <v>0</v>
      </c>
      <c r="Z9" s="33">
        <v>0</v>
      </c>
      <c r="AA9" s="33">
        <v>0</v>
      </c>
      <c r="AB9" s="33">
        <v>0</v>
      </c>
      <c r="AC9" s="50">
        <v>156</v>
      </c>
      <c r="AD9" s="50">
        <v>810</v>
      </c>
      <c r="AE9" s="50">
        <v>910</v>
      </c>
      <c r="AF9" s="50">
        <v>877</v>
      </c>
      <c r="AG9" s="50">
        <v>480</v>
      </c>
      <c r="AH9" s="50">
        <f>506+360</f>
        <v>866</v>
      </c>
      <c r="AI9" s="50">
        <f>406+432</f>
        <v>838</v>
      </c>
      <c r="AJ9" s="50">
        <f>470+394</f>
        <v>864</v>
      </c>
      <c r="AK9" s="27">
        <f t="shared" si="0"/>
        <v>13146</v>
      </c>
      <c r="AL9" s="28">
        <v>16788.8</v>
      </c>
      <c r="AM9" s="28">
        <v>17159.5</v>
      </c>
      <c r="AN9" s="28">
        <f t="shared" si="1"/>
        <v>370.70000000000073</v>
      </c>
      <c r="AO9" s="29">
        <v>0</v>
      </c>
      <c r="AP9" s="29">
        <v>0</v>
      </c>
      <c r="AQ9" s="29">
        <f t="shared" si="2"/>
        <v>0</v>
      </c>
      <c r="AR9" s="66">
        <f t="shared" si="3"/>
        <v>35.462638251955688</v>
      </c>
      <c r="AS9" s="50" t="e">
        <f t="shared" si="4"/>
        <v>#DIV/0!</v>
      </c>
    </row>
    <row r="10" spans="1:45" ht="15.75" x14ac:dyDescent="0.25">
      <c r="A10" s="3">
        <v>4</v>
      </c>
      <c r="B10" s="3" t="s">
        <v>14</v>
      </c>
      <c r="C10" s="33">
        <v>0</v>
      </c>
      <c r="D10" s="33">
        <v>0</v>
      </c>
      <c r="E10" s="33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f>372+284</f>
        <v>656</v>
      </c>
      <c r="O10" s="50">
        <f>103+141</f>
        <v>244</v>
      </c>
      <c r="P10" s="50">
        <f>516+243</f>
        <v>759</v>
      </c>
      <c r="Q10" s="50">
        <f>526+235</f>
        <v>761</v>
      </c>
      <c r="R10" s="50">
        <v>87</v>
      </c>
      <c r="S10" s="50">
        <v>310</v>
      </c>
      <c r="T10" s="50">
        <v>30</v>
      </c>
      <c r="U10" s="50">
        <f>470+200</f>
        <v>670</v>
      </c>
      <c r="V10" s="50">
        <v>723</v>
      </c>
      <c r="W10" s="50">
        <f>536+433</f>
        <v>969</v>
      </c>
      <c r="X10" s="50">
        <f>547+452</f>
        <v>999</v>
      </c>
      <c r="Y10" s="50">
        <f>497+437</f>
        <v>934</v>
      </c>
      <c r="Z10" s="33">
        <f>403+460</f>
        <v>863</v>
      </c>
      <c r="AA10" s="33">
        <v>1023</v>
      </c>
      <c r="AB10" s="33">
        <f>300+549</f>
        <v>849</v>
      </c>
      <c r="AC10" s="50">
        <v>288</v>
      </c>
      <c r="AD10" s="50">
        <v>660</v>
      </c>
      <c r="AE10" s="50">
        <v>314</v>
      </c>
      <c r="AF10" s="50">
        <v>644</v>
      </c>
      <c r="AG10" s="50">
        <f>585+170</f>
        <v>755</v>
      </c>
      <c r="AH10" s="50">
        <f>368+305</f>
        <v>673</v>
      </c>
      <c r="AI10" s="50">
        <f>360+324</f>
        <v>684</v>
      </c>
      <c r="AJ10" s="50">
        <f>420+405</f>
        <v>825</v>
      </c>
      <c r="AK10" s="27">
        <f t="shared" si="0"/>
        <v>14720</v>
      </c>
      <c r="AL10" s="28">
        <v>16770.3</v>
      </c>
      <c r="AM10" s="28">
        <v>17138.5</v>
      </c>
      <c r="AN10" s="28">
        <f t="shared" si="1"/>
        <v>368.20000000000073</v>
      </c>
      <c r="AO10" s="29">
        <v>0</v>
      </c>
      <c r="AP10" s="29">
        <v>0</v>
      </c>
      <c r="AQ10" s="29">
        <f t="shared" si="2"/>
        <v>0</v>
      </c>
      <c r="AR10" s="66">
        <f t="shared" si="3"/>
        <v>39.97827267789237</v>
      </c>
      <c r="AS10" s="50" t="e">
        <f t="shared" si="4"/>
        <v>#DIV/0!</v>
      </c>
    </row>
    <row r="11" spans="1:45" s="72" customFormat="1" ht="15.75" x14ac:dyDescent="0.25">
      <c r="A11" s="23">
        <v>5</v>
      </c>
      <c r="B11" s="23" t="s">
        <v>88</v>
      </c>
      <c r="C11" s="69">
        <v>0</v>
      </c>
      <c r="D11" s="69">
        <v>0</v>
      </c>
      <c r="E11" s="69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69">
        <v>0</v>
      </c>
      <c r="AA11" s="69">
        <v>0</v>
      </c>
      <c r="AB11" s="69">
        <v>0</v>
      </c>
      <c r="AC11" s="70">
        <v>0</v>
      </c>
      <c r="AD11" s="70">
        <v>727</v>
      </c>
      <c r="AE11" s="70">
        <v>1187</v>
      </c>
      <c r="AF11" s="70">
        <v>706</v>
      </c>
      <c r="AG11" s="70">
        <f>50+361</f>
        <v>411</v>
      </c>
      <c r="AH11" s="70">
        <f>390+319</f>
        <v>709</v>
      </c>
      <c r="AI11" s="70">
        <f>408+340</f>
        <v>748</v>
      </c>
      <c r="AJ11" s="70">
        <f>423+242</f>
        <v>665</v>
      </c>
      <c r="AK11" s="27">
        <f t="shared" si="0"/>
        <v>5153</v>
      </c>
      <c r="AL11" s="37">
        <v>7936.7</v>
      </c>
      <c r="AM11" s="37">
        <v>8065</v>
      </c>
      <c r="AN11" s="37">
        <f t="shared" si="1"/>
        <v>128.30000000000018</v>
      </c>
      <c r="AO11" s="38">
        <v>0</v>
      </c>
      <c r="AP11" s="38">
        <v>0</v>
      </c>
      <c r="AQ11" s="38">
        <f t="shared" si="2"/>
        <v>0</v>
      </c>
      <c r="AR11" s="71">
        <f t="shared" si="3"/>
        <v>40.163678877630495</v>
      </c>
      <c r="AS11" s="50" t="e">
        <f t="shared" si="4"/>
        <v>#DIV/0!</v>
      </c>
    </row>
    <row r="12" spans="1:45" ht="15.75" x14ac:dyDescent="0.25">
      <c r="A12" s="23">
        <v>6</v>
      </c>
      <c r="B12" s="1" t="s">
        <v>63</v>
      </c>
      <c r="C12" s="73">
        <v>0</v>
      </c>
      <c r="D12" s="73">
        <v>0</v>
      </c>
      <c r="E12" s="73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3">
        <v>610</v>
      </c>
      <c r="AA12" s="73">
        <f>279+463</f>
        <v>742</v>
      </c>
      <c r="AB12" s="73">
        <f>375+340</f>
        <v>715</v>
      </c>
      <c r="AC12" s="49">
        <f>230+324</f>
        <v>554</v>
      </c>
      <c r="AD12" s="49">
        <v>685</v>
      </c>
      <c r="AE12" s="49">
        <v>780</v>
      </c>
      <c r="AF12" s="49">
        <v>721</v>
      </c>
      <c r="AG12" s="49">
        <f>480+233</f>
        <v>713</v>
      </c>
      <c r="AH12" s="49">
        <f>455+370</f>
        <v>825</v>
      </c>
      <c r="AI12" s="49">
        <f>414+360</f>
        <v>774</v>
      </c>
      <c r="AJ12" s="49">
        <f>420+377</f>
        <v>797</v>
      </c>
      <c r="AK12" s="27">
        <f t="shared" si="0"/>
        <v>7916</v>
      </c>
      <c r="AL12" s="42"/>
      <c r="AM12" s="42"/>
      <c r="AN12" s="42">
        <f>AM12-AL12</f>
        <v>0</v>
      </c>
      <c r="AO12" s="38">
        <v>0</v>
      </c>
      <c r="AP12" s="38">
        <v>0</v>
      </c>
      <c r="AQ12" s="38">
        <f t="shared" si="2"/>
        <v>0</v>
      </c>
      <c r="AR12" s="74" t="e">
        <f t="shared" ref="AR12:AR13" si="5">AK12/AN12</f>
        <v>#DIV/0!</v>
      </c>
      <c r="AS12" s="49" t="e">
        <f t="shared" ref="AS12:AS13" si="6">AK12/AQ12</f>
        <v>#DIV/0!</v>
      </c>
    </row>
    <row r="13" spans="1:45" ht="15.75" x14ac:dyDescent="0.25">
      <c r="A13" s="23">
        <v>7</v>
      </c>
      <c r="B13" s="1" t="s">
        <v>87</v>
      </c>
      <c r="C13" s="73">
        <v>0</v>
      </c>
      <c r="D13" s="73">
        <v>0</v>
      </c>
      <c r="E13" s="73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3">
        <v>0</v>
      </c>
      <c r="AA13" s="73">
        <v>0</v>
      </c>
      <c r="AB13" s="73">
        <v>19</v>
      </c>
      <c r="AC13" s="49">
        <v>0</v>
      </c>
      <c r="AD13" s="49">
        <v>376</v>
      </c>
      <c r="AE13" s="49">
        <v>1018</v>
      </c>
      <c r="AF13" s="49">
        <v>433</v>
      </c>
      <c r="AG13" s="49">
        <f>189+63</f>
        <v>252</v>
      </c>
      <c r="AH13" s="49">
        <f>305+100</f>
        <v>405</v>
      </c>
      <c r="AI13" s="49">
        <f>484+396</f>
        <v>880</v>
      </c>
      <c r="AJ13" s="49">
        <f>442+338</f>
        <v>780</v>
      </c>
      <c r="AK13" s="27">
        <f t="shared" si="0"/>
        <v>4163</v>
      </c>
      <c r="AL13" s="42">
        <v>25797.599999999999</v>
      </c>
      <c r="AM13" s="42">
        <v>25899.599999999999</v>
      </c>
      <c r="AN13" s="42">
        <f>AM13-AL13</f>
        <v>102</v>
      </c>
      <c r="AO13" s="38">
        <v>0</v>
      </c>
      <c r="AP13" s="38">
        <v>0</v>
      </c>
      <c r="AQ13" s="38">
        <f t="shared" si="2"/>
        <v>0</v>
      </c>
      <c r="AR13" s="74">
        <f t="shared" si="5"/>
        <v>40.813725490196077</v>
      </c>
      <c r="AS13" s="49" t="e">
        <f t="shared" si="6"/>
        <v>#DIV/0!</v>
      </c>
    </row>
    <row r="14" spans="1:45" ht="15.75" x14ac:dyDescent="0.25">
      <c r="A14" s="23">
        <v>8</v>
      </c>
      <c r="B14" s="1" t="s">
        <v>35</v>
      </c>
      <c r="C14" s="73">
        <v>0</v>
      </c>
      <c r="D14" s="73">
        <v>0</v>
      </c>
      <c r="E14" s="73">
        <v>0</v>
      </c>
      <c r="F14" s="49">
        <v>188</v>
      </c>
      <c r="G14" s="49">
        <v>0</v>
      </c>
      <c r="H14" s="49">
        <f>12+150</f>
        <v>162</v>
      </c>
      <c r="I14" s="49">
        <v>160</v>
      </c>
      <c r="J14" s="49">
        <f>180+57</f>
        <v>237</v>
      </c>
      <c r="K14" s="49">
        <v>100</v>
      </c>
      <c r="L14" s="49">
        <v>59</v>
      </c>
      <c r="M14" s="49">
        <v>0</v>
      </c>
      <c r="N14" s="49">
        <f>120+125</f>
        <v>245</v>
      </c>
      <c r="O14" s="49">
        <f>157+150</f>
        <v>307</v>
      </c>
      <c r="P14" s="49">
        <f>287+105</f>
        <v>392</v>
      </c>
      <c r="Q14" s="49">
        <f>244+207</f>
        <v>451</v>
      </c>
      <c r="R14" s="49">
        <v>203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3">
        <v>0</v>
      </c>
      <c r="AA14" s="73">
        <v>0</v>
      </c>
      <c r="AB14" s="73">
        <v>0</v>
      </c>
      <c r="AC14" s="49">
        <v>0</v>
      </c>
      <c r="AD14" s="49">
        <v>0</v>
      </c>
      <c r="AE14" s="49">
        <v>0</v>
      </c>
      <c r="AF14" s="49">
        <v>289</v>
      </c>
      <c r="AG14" s="49">
        <v>299</v>
      </c>
      <c r="AH14" s="49">
        <f>244+265</f>
        <v>509</v>
      </c>
      <c r="AI14" s="49">
        <f>178+232</f>
        <v>410</v>
      </c>
      <c r="AJ14" s="49">
        <f>204+106</f>
        <v>310</v>
      </c>
      <c r="AK14" s="27">
        <f t="shared" si="0"/>
        <v>4321</v>
      </c>
      <c r="AL14" s="44">
        <v>8945.2999999999993</v>
      </c>
      <c r="AM14" s="44">
        <v>9140.7000000000007</v>
      </c>
      <c r="AN14" s="44">
        <f t="shared" ref="AN14:AN79" si="7">AM14-AL14</f>
        <v>195.40000000000146</v>
      </c>
      <c r="AO14" s="38">
        <v>0</v>
      </c>
      <c r="AP14" s="38">
        <v>0</v>
      </c>
      <c r="AQ14" s="44">
        <f t="shared" si="2"/>
        <v>0</v>
      </c>
      <c r="AR14" s="74">
        <f t="shared" si="3"/>
        <v>22.11361310133044</v>
      </c>
      <c r="AS14" s="49" t="e">
        <f t="shared" si="4"/>
        <v>#DIV/0!</v>
      </c>
    </row>
    <row r="15" spans="1:45" ht="15.75" x14ac:dyDescent="0.25">
      <c r="A15" s="23">
        <v>9</v>
      </c>
      <c r="B15" s="1" t="s">
        <v>36</v>
      </c>
      <c r="C15" s="73">
        <v>0</v>
      </c>
      <c r="D15" s="73">
        <v>0</v>
      </c>
      <c r="E15" s="73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95</v>
      </c>
      <c r="P15" s="49">
        <v>0</v>
      </c>
      <c r="Q15" s="49">
        <v>0</v>
      </c>
      <c r="R15" s="49">
        <v>210</v>
      </c>
      <c r="S15" s="49">
        <v>105</v>
      </c>
      <c r="T15" s="49">
        <f>156+126</f>
        <v>282</v>
      </c>
      <c r="U15" s="49">
        <f>175+101</f>
        <v>276</v>
      </c>
      <c r="V15" s="49">
        <v>120</v>
      </c>
      <c r="W15" s="49">
        <v>0</v>
      </c>
      <c r="X15" s="49">
        <v>0</v>
      </c>
      <c r="Y15" s="49">
        <v>0</v>
      </c>
      <c r="Z15" s="49">
        <v>120</v>
      </c>
      <c r="AA15" s="49">
        <f>133+124</f>
        <v>257</v>
      </c>
      <c r="AB15" s="49">
        <v>127</v>
      </c>
      <c r="AC15" s="49">
        <v>60</v>
      </c>
      <c r="AD15" s="49">
        <v>331</v>
      </c>
      <c r="AE15" s="49">
        <v>428</v>
      </c>
      <c r="AF15" s="49">
        <v>195</v>
      </c>
      <c r="AG15" s="49">
        <v>90</v>
      </c>
      <c r="AH15" s="49">
        <v>0</v>
      </c>
      <c r="AI15" s="49"/>
      <c r="AJ15" s="49">
        <v>81</v>
      </c>
      <c r="AK15" s="27">
        <f t="shared" si="0"/>
        <v>2777</v>
      </c>
      <c r="AL15" s="44"/>
      <c r="AM15" s="44"/>
      <c r="AN15" s="44">
        <f t="shared" si="7"/>
        <v>0</v>
      </c>
      <c r="AO15" s="38">
        <v>0</v>
      </c>
      <c r="AP15" s="38">
        <v>0</v>
      </c>
      <c r="AQ15" s="44">
        <f t="shared" si="2"/>
        <v>0</v>
      </c>
      <c r="AR15" s="74" t="e">
        <f t="shared" si="3"/>
        <v>#DIV/0!</v>
      </c>
      <c r="AS15" s="49" t="e">
        <f t="shared" si="4"/>
        <v>#DIV/0!</v>
      </c>
    </row>
    <row r="16" spans="1:45" ht="15.75" x14ac:dyDescent="0.25">
      <c r="A16" s="23">
        <v>10</v>
      </c>
      <c r="B16" s="1" t="s">
        <v>0</v>
      </c>
      <c r="C16" s="73">
        <v>0</v>
      </c>
      <c r="D16" s="73">
        <v>300</v>
      </c>
      <c r="E16" s="73">
        <v>0</v>
      </c>
      <c r="F16" s="49">
        <v>180</v>
      </c>
      <c r="G16" s="49">
        <v>0</v>
      </c>
      <c r="H16" s="49">
        <v>200</v>
      </c>
      <c r="I16" s="49">
        <v>171</v>
      </c>
      <c r="J16" s="49">
        <f>210+117</f>
        <v>327</v>
      </c>
      <c r="K16" s="49">
        <v>120</v>
      </c>
      <c r="L16" s="49">
        <v>77</v>
      </c>
      <c r="M16" s="49">
        <v>60</v>
      </c>
      <c r="N16" s="49">
        <f>70+90</f>
        <v>160</v>
      </c>
      <c r="O16" s="49">
        <f>105+50</f>
        <v>155</v>
      </c>
      <c r="P16" s="49">
        <f>120+65</f>
        <v>185</v>
      </c>
      <c r="Q16" s="49">
        <v>26</v>
      </c>
      <c r="R16" s="49">
        <v>107</v>
      </c>
      <c r="S16" s="49">
        <f>97+134</f>
        <v>231</v>
      </c>
      <c r="T16" s="49">
        <f>60+66</f>
        <v>126</v>
      </c>
      <c r="U16" s="49">
        <f>127+35</f>
        <v>162</v>
      </c>
      <c r="V16" s="49">
        <v>139</v>
      </c>
      <c r="W16" s="49">
        <v>0</v>
      </c>
      <c r="X16" s="49">
        <f>57+101</f>
        <v>158</v>
      </c>
      <c r="Y16" s="49">
        <f>90+88</f>
        <v>178</v>
      </c>
      <c r="Z16" s="49">
        <f>35+120</f>
        <v>155</v>
      </c>
      <c r="AA16" s="49">
        <f>77+129</f>
        <v>206</v>
      </c>
      <c r="AB16" s="49">
        <f>48+162</f>
        <v>210</v>
      </c>
      <c r="AC16" s="49">
        <v>85</v>
      </c>
      <c r="AD16" s="49">
        <f>196+87</f>
        <v>283</v>
      </c>
      <c r="AE16" s="49">
        <v>315</v>
      </c>
      <c r="AF16" s="49">
        <v>212</v>
      </c>
      <c r="AG16" s="49">
        <v>170</v>
      </c>
      <c r="AH16" s="49">
        <f>192+127</f>
        <v>319</v>
      </c>
      <c r="AI16" s="49">
        <f>247+117</f>
        <v>364</v>
      </c>
      <c r="AJ16" s="49">
        <v>132</v>
      </c>
      <c r="AK16" s="27">
        <f t="shared" si="0"/>
        <v>5513</v>
      </c>
      <c r="AL16" s="44">
        <v>0.1</v>
      </c>
      <c r="AM16" s="44">
        <v>360.5</v>
      </c>
      <c r="AN16" s="44">
        <f t="shared" si="7"/>
        <v>360.4</v>
      </c>
      <c r="AO16" s="38">
        <v>0</v>
      </c>
      <c r="AP16" s="38">
        <v>0</v>
      </c>
      <c r="AQ16" s="44">
        <f t="shared" si="2"/>
        <v>0</v>
      </c>
      <c r="AR16" s="74">
        <f t="shared" si="3"/>
        <v>15.296892341842398</v>
      </c>
      <c r="AS16" s="49" t="e">
        <f t="shared" si="4"/>
        <v>#DIV/0!</v>
      </c>
    </row>
    <row r="17" spans="1:45" ht="15.75" x14ac:dyDescent="0.25">
      <c r="A17" s="23">
        <v>11</v>
      </c>
      <c r="B17" s="1" t="s">
        <v>1</v>
      </c>
      <c r="C17" s="73">
        <v>0</v>
      </c>
      <c r="D17" s="73">
        <v>280</v>
      </c>
      <c r="E17" s="73">
        <v>0</v>
      </c>
      <c r="F17" s="49">
        <v>0</v>
      </c>
      <c r="G17" s="49">
        <v>0</v>
      </c>
      <c r="H17" s="49">
        <v>0</v>
      </c>
      <c r="I17" s="75">
        <v>0</v>
      </c>
      <c r="J17" s="49">
        <v>0</v>
      </c>
      <c r="K17" s="49">
        <v>220</v>
      </c>
      <c r="L17" s="49">
        <v>125</v>
      </c>
      <c r="M17" s="49">
        <f>67+87</f>
        <v>154</v>
      </c>
      <c r="N17" s="49">
        <v>130</v>
      </c>
      <c r="O17" s="49">
        <f>35+110</f>
        <v>145</v>
      </c>
      <c r="P17" s="49">
        <v>70</v>
      </c>
      <c r="Q17" s="49">
        <f>90+122</f>
        <v>212</v>
      </c>
      <c r="R17" s="49">
        <f>136+104</f>
        <v>240</v>
      </c>
      <c r="S17" s="49">
        <v>131</v>
      </c>
      <c r="T17" s="49">
        <f>256+97</f>
        <v>353</v>
      </c>
      <c r="U17" s="49">
        <v>142</v>
      </c>
      <c r="V17" s="49">
        <v>171</v>
      </c>
      <c r="W17" s="49">
        <f>147+101</f>
        <v>248</v>
      </c>
      <c r="X17" s="49">
        <f>106+177</f>
        <v>283</v>
      </c>
      <c r="Y17" s="49">
        <f>65+119</f>
        <v>184</v>
      </c>
      <c r="Z17" s="49">
        <v>244</v>
      </c>
      <c r="AA17" s="49">
        <f>92+103</f>
        <v>195</v>
      </c>
      <c r="AB17" s="49">
        <f>118+142</f>
        <v>260</v>
      </c>
      <c r="AC17" s="49">
        <v>0</v>
      </c>
      <c r="AD17" s="49">
        <f>156+150</f>
        <v>306</v>
      </c>
      <c r="AE17" s="49">
        <v>430</v>
      </c>
      <c r="AF17" s="49">
        <v>225</v>
      </c>
      <c r="AG17" s="49">
        <v>239</v>
      </c>
      <c r="AH17" s="49">
        <f>110+189</f>
        <v>299</v>
      </c>
      <c r="AI17" s="49">
        <f>150+151</f>
        <v>301</v>
      </c>
      <c r="AJ17" s="49">
        <f>151+170</f>
        <v>321</v>
      </c>
      <c r="AK17" s="27">
        <f t="shared" si="0"/>
        <v>5908</v>
      </c>
      <c r="AL17" s="44">
        <v>0.1</v>
      </c>
      <c r="AM17" s="38">
        <v>309.3</v>
      </c>
      <c r="AN17" s="44">
        <f t="shared" si="7"/>
        <v>309.2</v>
      </c>
      <c r="AO17" s="38">
        <v>0</v>
      </c>
      <c r="AP17" s="38">
        <v>0</v>
      </c>
      <c r="AQ17" s="44">
        <f t="shared" si="2"/>
        <v>0</v>
      </c>
      <c r="AR17" s="74">
        <f t="shared" si="3"/>
        <v>19.107373868046572</v>
      </c>
      <c r="AS17" s="49" t="e">
        <f t="shared" si="4"/>
        <v>#DIV/0!</v>
      </c>
    </row>
    <row r="18" spans="1:45" ht="15.75" x14ac:dyDescent="0.25">
      <c r="A18" s="23">
        <v>12</v>
      </c>
      <c r="B18" s="1" t="s">
        <v>16</v>
      </c>
      <c r="C18" s="73">
        <v>0</v>
      </c>
      <c r="D18" s="73">
        <v>0</v>
      </c>
      <c r="E18" s="73">
        <v>0</v>
      </c>
      <c r="F18" s="49">
        <v>243</v>
      </c>
      <c r="G18" s="49">
        <v>0</v>
      </c>
      <c r="H18" s="49">
        <v>100</v>
      </c>
      <c r="I18" s="49">
        <v>154</v>
      </c>
      <c r="J18" s="49">
        <v>98</v>
      </c>
      <c r="K18" s="49">
        <v>83</v>
      </c>
      <c r="L18" s="49">
        <v>0</v>
      </c>
      <c r="M18" s="49">
        <f>131+58</f>
        <v>189</v>
      </c>
      <c r="N18" s="49">
        <v>0</v>
      </c>
      <c r="O18" s="49">
        <v>0</v>
      </c>
      <c r="P18" s="49">
        <f>115+79</f>
        <v>194</v>
      </c>
      <c r="Q18" s="49">
        <v>262</v>
      </c>
      <c r="R18" s="49">
        <f>74+55</f>
        <v>129</v>
      </c>
      <c r="S18" s="49">
        <f>207+50</f>
        <v>257</v>
      </c>
      <c r="T18" s="49">
        <v>20</v>
      </c>
      <c r="U18" s="49">
        <f>135+32</f>
        <v>167</v>
      </c>
      <c r="V18" s="49">
        <v>17</v>
      </c>
      <c r="W18" s="49">
        <f>203+129</f>
        <v>332</v>
      </c>
      <c r="X18" s="49">
        <f>136+110</f>
        <v>246</v>
      </c>
      <c r="Y18" s="49">
        <f>139+62</f>
        <v>201</v>
      </c>
      <c r="Z18" s="49">
        <v>103</v>
      </c>
      <c r="AA18" s="49">
        <v>131</v>
      </c>
      <c r="AB18" s="49">
        <f>83+161</f>
        <v>244</v>
      </c>
      <c r="AC18" s="49">
        <v>80</v>
      </c>
      <c r="AD18" s="49">
        <v>132</v>
      </c>
      <c r="AE18" s="49">
        <v>336</v>
      </c>
      <c r="AF18" s="49">
        <v>200</v>
      </c>
      <c r="AG18" s="49">
        <v>58</v>
      </c>
      <c r="AH18" s="49">
        <v>152</v>
      </c>
      <c r="AI18" s="49">
        <v>135</v>
      </c>
      <c r="AJ18" s="49">
        <f>134+170</f>
        <v>304</v>
      </c>
      <c r="AK18" s="27">
        <f t="shared" si="0"/>
        <v>4567</v>
      </c>
      <c r="AL18" s="44"/>
      <c r="AM18" s="44"/>
      <c r="AN18" s="44">
        <f t="shared" si="7"/>
        <v>0</v>
      </c>
      <c r="AO18" s="38">
        <v>0</v>
      </c>
      <c r="AP18" s="38">
        <v>265883</v>
      </c>
      <c r="AQ18" s="44">
        <f t="shared" si="2"/>
        <v>265883</v>
      </c>
      <c r="AR18" s="74" t="e">
        <f t="shared" si="3"/>
        <v>#DIV/0!</v>
      </c>
      <c r="AS18" s="49">
        <f t="shared" si="4"/>
        <v>1.7176728109732475E-2</v>
      </c>
    </row>
    <row r="19" spans="1:45" ht="15.75" x14ac:dyDescent="0.25">
      <c r="A19" s="23">
        <v>13</v>
      </c>
      <c r="B19" s="1" t="s">
        <v>17</v>
      </c>
      <c r="C19" s="73">
        <v>80</v>
      </c>
      <c r="D19" s="73">
        <v>180</v>
      </c>
      <c r="E19" s="73">
        <v>0</v>
      </c>
      <c r="F19" s="49">
        <v>0</v>
      </c>
      <c r="G19" s="49">
        <v>0</v>
      </c>
      <c r="H19" s="49">
        <v>0</v>
      </c>
      <c r="I19" s="49">
        <v>0</v>
      </c>
      <c r="J19" s="49">
        <f>160+120</f>
        <v>280</v>
      </c>
      <c r="K19" s="49">
        <v>65</v>
      </c>
      <c r="L19" s="49">
        <f>193+90</f>
        <v>283</v>
      </c>
      <c r="M19" s="49">
        <v>0</v>
      </c>
      <c r="N19" s="49">
        <v>0</v>
      </c>
      <c r="O19" s="49">
        <v>0</v>
      </c>
      <c r="P19" s="49">
        <v>0</v>
      </c>
      <c r="Q19" s="49">
        <f>20+127</f>
        <v>147</v>
      </c>
      <c r="R19" s="49">
        <v>120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109</v>
      </c>
      <c r="Z19" s="49">
        <v>25</v>
      </c>
      <c r="AA19" s="49">
        <f>45+158</f>
        <v>203</v>
      </c>
      <c r="AB19" s="49">
        <v>173</v>
      </c>
      <c r="AC19" s="49">
        <v>85</v>
      </c>
      <c r="AD19" s="49">
        <v>216</v>
      </c>
      <c r="AE19" s="49">
        <v>0</v>
      </c>
      <c r="AF19" s="49">
        <v>250</v>
      </c>
      <c r="AG19" s="49">
        <v>120</v>
      </c>
      <c r="AH19" s="49">
        <f>100+77</f>
        <v>177</v>
      </c>
      <c r="AI19" s="49">
        <f>119+122</f>
        <v>241</v>
      </c>
      <c r="AJ19" s="49">
        <f>58+90</f>
        <v>148</v>
      </c>
      <c r="AK19" s="27">
        <f t="shared" si="0"/>
        <v>2902</v>
      </c>
      <c r="AL19" s="44"/>
      <c r="AM19" s="44"/>
      <c r="AN19" s="44">
        <f t="shared" si="7"/>
        <v>0</v>
      </c>
      <c r="AO19" s="38">
        <v>0</v>
      </c>
      <c r="AP19" s="38">
        <v>0</v>
      </c>
      <c r="AQ19" s="44">
        <f t="shared" si="2"/>
        <v>0</v>
      </c>
      <c r="AR19" s="74" t="e">
        <f t="shared" si="3"/>
        <v>#DIV/0!</v>
      </c>
      <c r="AS19" s="49" t="e">
        <f t="shared" si="4"/>
        <v>#DIV/0!</v>
      </c>
    </row>
    <row r="20" spans="1:45" ht="15.75" x14ac:dyDescent="0.25">
      <c r="A20" s="23">
        <v>14</v>
      </c>
      <c r="B20" s="1" t="s">
        <v>18</v>
      </c>
      <c r="C20" s="73">
        <v>0</v>
      </c>
      <c r="D20" s="73">
        <v>0</v>
      </c>
      <c r="E20" s="73">
        <v>252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80</v>
      </c>
      <c r="N20" s="49">
        <v>0</v>
      </c>
      <c r="O20" s="49">
        <v>137</v>
      </c>
      <c r="P20" s="49">
        <v>0</v>
      </c>
      <c r="Q20" s="49">
        <v>0</v>
      </c>
      <c r="R20" s="49">
        <v>32</v>
      </c>
      <c r="S20" s="49">
        <v>32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37</v>
      </c>
      <c r="Z20" s="49">
        <v>114</v>
      </c>
      <c r="AA20" s="49">
        <f>123+169</f>
        <v>292</v>
      </c>
      <c r="AB20" s="49">
        <f>90+184</f>
        <v>274</v>
      </c>
      <c r="AC20" s="49">
        <v>58</v>
      </c>
      <c r="AD20" s="49">
        <v>160</v>
      </c>
      <c r="AE20" s="49">
        <v>199</v>
      </c>
      <c r="AF20" s="49">
        <v>135</v>
      </c>
      <c r="AG20" s="49">
        <f>72+28</f>
        <v>100</v>
      </c>
      <c r="AH20" s="49">
        <f>87+76</f>
        <v>163</v>
      </c>
      <c r="AI20" s="49">
        <f>124+87</f>
        <v>211</v>
      </c>
      <c r="AJ20" s="49">
        <f>180+80</f>
        <v>260</v>
      </c>
      <c r="AK20" s="27">
        <f t="shared" si="0"/>
        <v>2536</v>
      </c>
      <c r="AL20" s="44"/>
      <c r="AM20" s="44"/>
      <c r="AN20" s="44">
        <f t="shared" si="7"/>
        <v>0</v>
      </c>
      <c r="AO20" s="38">
        <v>0</v>
      </c>
      <c r="AP20" s="38">
        <v>0</v>
      </c>
      <c r="AQ20" s="44">
        <f t="shared" si="2"/>
        <v>0</v>
      </c>
      <c r="AR20" s="74" t="e">
        <f t="shared" si="3"/>
        <v>#DIV/0!</v>
      </c>
      <c r="AS20" s="49" t="e">
        <f t="shared" si="4"/>
        <v>#DIV/0!</v>
      </c>
    </row>
    <row r="21" spans="1:45" ht="15.75" x14ac:dyDescent="0.25">
      <c r="A21" s="23">
        <v>15</v>
      </c>
      <c r="B21" s="1" t="s">
        <v>19</v>
      </c>
      <c r="C21" s="73">
        <v>80</v>
      </c>
      <c r="D21" s="73">
        <v>100</v>
      </c>
      <c r="E21" s="73">
        <v>0</v>
      </c>
      <c r="F21" s="49">
        <v>139</v>
      </c>
      <c r="G21" s="49">
        <v>0</v>
      </c>
      <c r="H21" s="49">
        <v>0</v>
      </c>
      <c r="I21" s="49">
        <v>149</v>
      </c>
      <c r="J21" s="49">
        <f>210+130</f>
        <v>340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85</v>
      </c>
      <c r="S21" s="49">
        <v>90</v>
      </c>
      <c r="T21" s="49">
        <v>0</v>
      </c>
      <c r="U21" s="49">
        <v>0</v>
      </c>
      <c r="V21" s="49">
        <v>0</v>
      </c>
      <c r="W21" s="49">
        <v>34</v>
      </c>
      <c r="X21" s="49">
        <f>131+110</f>
        <v>241</v>
      </c>
      <c r="Y21" s="49">
        <f>135+109</f>
        <v>244</v>
      </c>
      <c r="Z21" s="49">
        <f>54+34</f>
        <v>88</v>
      </c>
      <c r="AA21" s="49">
        <f>98+172</f>
        <v>270</v>
      </c>
      <c r="AB21" s="49">
        <f>47+78</f>
        <v>125</v>
      </c>
      <c r="AC21" s="49">
        <v>98</v>
      </c>
      <c r="AD21" s="49">
        <v>193</v>
      </c>
      <c r="AE21" s="49">
        <v>166</v>
      </c>
      <c r="AF21" s="49">
        <v>189</v>
      </c>
      <c r="AG21" s="49">
        <f>119+35</f>
        <v>154</v>
      </c>
      <c r="AH21" s="49">
        <f>90+76</f>
        <v>166</v>
      </c>
      <c r="AI21" s="49">
        <v>121</v>
      </c>
      <c r="AJ21" s="49"/>
      <c r="AK21" s="27">
        <f t="shared" si="0"/>
        <v>3072</v>
      </c>
      <c r="AL21" s="44"/>
      <c r="AM21" s="44"/>
      <c r="AN21" s="44">
        <f t="shared" si="7"/>
        <v>0</v>
      </c>
      <c r="AO21" s="38">
        <v>0</v>
      </c>
      <c r="AP21" s="38">
        <v>0</v>
      </c>
      <c r="AQ21" s="44">
        <f t="shared" si="2"/>
        <v>0</v>
      </c>
      <c r="AR21" s="74" t="e">
        <f t="shared" si="3"/>
        <v>#DIV/0!</v>
      </c>
      <c r="AS21" s="49" t="e">
        <f t="shared" si="4"/>
        <v>#DIV/0!</v>
      </c>
    </row>
    <row r="22" spans="1:45" ht="15.75" x14ac:dyDescent="0.25">
      <c r="A22" s="23">
        <v>16</v>
      </c>
      <c r="B22" s="1" t="s">
        <v>98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73">
        <v>0</v>
      </c>
      <c r="AB22" s="73">
        <v>0</v>
      </c>
      <c r="AC22" s="73">
        <v>0</v>
      </c>
      <c r="AD22" s="73">
        <v>0</v>
      </c>
      <c r="AE22" s="73">
        <v>0</v>
      </c>
      <c r="AF22" s="73">
        <v>0</v>
      </c>
      <c r="AG22" s="73">
        <v>0</v>
      </c>
      <c r="AH22" s="73">
        <v>0</v>
      </c>
      <c r="AI22" s="73">
        <v>162</v>
      </c>
      <c r="AJ22" s="49"/>
      <c r="AK22" s="27">
        <f t="shared" si="0"/>
        <v>162</v>
      </c>
      <c r="AL22" s="44"/>
      <c r="AM22" s="44"/>
      <c r="AN22" s="44">
        <f t="shared" si="7"/>
        <v>0</v>
      </c>
      <c r="AO22" s="38"/>
      <c r="AP22" s="38"/>
      <c r="AQ22" s="44">
        <f t="shared" si="2"/>
        <v>0</v>
      </c>
      <c r="AR22" s="74" t="e">
        <f t="shared" si="3"/>
        <v>#DIV/0!</v>
      </c>
      <c r="AS22" s="49" t="e">
        <f t="shared" si="4"/>
        <v>#DIV/0!</v>
      </c>
    </row>
    <row r="23" spans="1:45" ht="15.75" x14ac:dyDescent="0.25">
      <c r="A23" s="23">
        <v>17</v>
      </c>
      <c r="B23" s="1" t="s">
        <v>96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183</v>
      </c>
      <c r="AH23" s="49">
        <v>103</v>
      </c>
      <c r="AI23" s="49">
        <v>218</v>
      </c>
      <c r="AJ23" s="49">
        <v>114</v>
      </c>
      <c r="AK23" s="27">
        <f t="shared" si="0"/>
        <v>618</v>
      </c>
      <c r="AL23" s="44"/>
      <c r="AM23" s="44"/>
      <c r="AN23" s="44">
        <f t="shared" si="7"/>
        <v>0</v>
      </c>
      <c r="AO23" s="38">
        <v>0</v>
      </c>
      <c r="AP23" s="38">
        <v>0</v>
      </c>
      <c r="AQ23" s="44">
        <f t="shared" si="2"/>
        <v>0</v>
      </c>
      <c r="AR23" s="74" t="e">
        <f t="shared" si="3"/>
        <v>#DIV/0!</v>
      </c>
      <c r="AS23" s="49" t="e">
        <f t="shared" si="4"/>
        <v>#DIV/0!</v>
      </c>
    </row>
    <row r="24" spans="1:45" ht="15.75" x14ac:dyDescent="0.25">
      <c r="A24" s="23">
        <v>18</v>
      </c>
      <c r="B24" s="1" t="s">
        <v>20</v>
      </c>
      <c r="C24" s="73">
        <v>0</v>
      </c>
      <c r="D24" s="73">
        <v>80</v>
      </c>
      <c r="E24" s="73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f>131+66</f>
        <v>197</v>
      </c>
      <c r="Q24" s="49">
        <v>0</v>
      </c>
      <c r="R24" s="49">
        <v>0</v>
      </c>
      <c r="S24" s="49">
        <f>204+72</f>
        <v>276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73">
        <v>0</v>
      </c>
      <c r="AH24" s="49">
        <v>0</v>
      </c>
      <c r="AI24" s="49"/>
      <c r="AJ24" s="49"/>
      <c r="AK24" s="27">
        <f t="shared" si="0"/>
        <v>553</v>
      </c>
      <c r="AL24" s="44"/>
      <c r="AM24" s="44"/>
      <c r="AN24" s="44">
        <f t="shared" si="7"/>
        <v>0</v>
      </c>
      <c r="AO24" s="38">
        <v>0</v>
      </c>
      <c r="AP24" s="38">
        <v>0</v>
      </c>
      <c r="AQ24" s="44">
        <f t="shared" si="2"/>
        <v>0</v>
      </c>
      <c r="AR24" s="74" t="e">
        <f t="shared" si="3"/>
        <v>#DIV/0!</v>
      </c>
      <c r="AS24" s="49" t="e">
        <f t="shared" si="4"/>
        <v>#DIV/0!</v>
      </c>
    </row>
    <row r="25" spans="1:45" ht="15.75" x14ac:dyDescent="0.25">
      <c r="A25" s="23">
        <v>19</v>
      </c>
      <c r="B25" s="1" t="s">
        <v>21</v>
      </c>
      <c r="C25" s="73">
        <v>0</v>
      </c>
      <c r="D25" s="73">
        <v>60</v>
      </c>
      <c r="E25" s="73">
        <v>0</v>
      </c>
      <c r="F25" s="49">
        <v>115</v>
      </c>
      <c r="G25" s="49">
        <v>0</v>
      </c>
      <c r="H25" s="49">
        <v>50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35</v>
      </c>
      <c r="O25" s="49">
        <f>162+60</f>
        <v>222</v>
      </c>
      <c r="P25" s="49">
        <f>247+105</f>
        <v>352</v>
      </c>
      <c r="Q25" s="49">
        <f>107+162</f>
        <v>269</v>
      </c>
      <c r="R25" s="49">
        <f>220+107</f>
        <v>327</v>
      </c>
      <c r="S25" s="49">
        <v>0</v>
      </c>
      <c r="T25" s="49">
        <v>68</v>
      </c>
      <c r="U25" s="49">
        <f>170+53</f>
        <v>223</v>
      </c>
      <c r="V25" s="49">
        <v>43</v>
      </c>
      <c r="W25" s="49">
        <f>187+87</f>
        <v>274</v>
      </c>
      <c r="X25" s="49">
        <f>40+120</f>
        <v>160</v>
      </c>
      <c r="Y25" s="76">
        <f>155+77</f>
        <v>232</v>
      </c>
      <c r="Z25" s="49">
        <f>25+38</f>
        <v>63</v>
      </c>
      <c r="AA25" s="49">
        <v>163</v>
      </c>
      <c r="AB25" s="49">
        <v>111</v>
      </c>
      <c r="AC25" s="49">
        <v>0</v>
      </c>
      <c r="AD25" s="49">
        <v>0</v>
      </c>
      <c r="AE25" s="49">
        <v>0</v>
      </c>
      <c r="AF25" s="49">
        <v>0</v>
      </c>
      <c r="AG25" s="73">
        <v>0</v>
      </c>
      <c r="AH25" s="49">
        <v>0</v>
      </c>
      <c r="AI25" s="49">
        <f>13+80</f>
        <v>93</v>
      </c>
      <c r="AJ25" s="49">
        <v>150</v>
      </c>
      <c r="AK25" s="27">
        <f t="shared" si="0"/>
        <v>3010</v>
      </c>
      <c r="AL25" s="44"/>
      <c r="AM25" s="44"/>
      <c r="AN25" s="44">
        <f t="shared" si="7"/>
        <v>0</v>
      </c>
      <c r="AO25" s="38">
        <v>0</v>
      </c>
      <c r="AP25" s="38">
        <v>0</v>
      </c>
      <c r="AQ25" s="44">
        <f t="shared" si="2"/>
        <v>0</v>
      </c>
      <c r="AR25" s="74" t="e">
        <f t="shared" si="3"/>
        <v>#DIV/0!</v>
      </c>
      <c r="AS25" s="49" t="e">
        <f t="shared" si="4"/>
        <v>#DIV/0!</v>
      </c>
    </row>
    <row r="26" spans="1:45" ht="15.75" x14ac:dyDescent="0.25">
      <c r="A26" s="23">
        <v>20</v>
      </c>
      <c r="B26" s="1" t="s">
        <v>22</v>
      </c>
      <c r="C26" s="73">
        <v>0</v>
      </c>
      <c r="D26" s="73">
        <v>0</v>
      </c>
      <c r="E26" s="73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235</v>
      </c>
      <c r="O26" s="49">
        <f>235+92</f>
        <v>327</v>
      </c>
      <c r="P26" s="49">
        <v>117</v>
      </c>
      <c r="Q26" s="49">
        <f>70+113</f>
        <v>183</v>
      </c>
      <c r="R26" s="49">
        <f>70+86</f>
        <v>156</v>
      </c>
      <c r="S26" s="49">
        <f>30+77</f>
        <v>107</v>
      </c>
      <c r="T26" s="49">
        <v>0</v>
      </c>
      <c r="U26" s="49">
        <v>40</v>
      </c>
      <c r="V26" s="49">
        <v>116</v>
      </c>
      <c r="W26" s="49">
        <v>98</v>
      </c>
      <c r="X26" s="49">
        <v>0</v>
      </c>
      <c r="Y26" s="49">
        <v>134</v>
      </c>
      <c r="Z26" s="49">
        <f>176+82</f>
        <v>258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73">
        <v>0</v>
      </c>
      <c r="AH26" s="49">
        <v>0</v>
      </c>
      <c r="AI26" s="49"/>
      <c r="AJ26" s="49"/>
      <c r="AK26" s="27">
        <f t="shared" si="0"/>
        <v>1771</v>
      </c>
      <c r="AL26" s="44"/>
      <c r="AM26" s="44"/>
      <c r="AN26" s="44">
        <f t="shared" si="7"/>
        <v>0</v>
      </c>
      <c r="AO26" s="38">
        <v>0</v>
      </c>
      <c r="AP26" s="38">
        <v>0</v>
      </c>
      <c r="AQ26" s="44">
        <f t="shared" si="2"/>
        <v>0</v>
      </c>
      <c r="AR26" s="74" t="e">
        <f t="shared" si="3"/>
        <v>#DIV/0!</v>
      </c>
      <c r="AS26" s="49" t="e">
        <f t="shared" si="4"/>
        <v>#DIV/0!</v>
      </c>
    </row>
    <row r="27" spans="1:45" ht="15.75" x14ac:dyDescent="0.25">
      <c r="A27" s="23">
        <v>21</v>
      </c>
      <c r="B27" s="1" t="s">
        <v>23</v>
      </c>
      <c r="C27" s="73">
        <v>0</v>
      </c>
      <c r="D27" s="73">
        <v>0</v>
      </c>
      <c r="E27" s="73">
        <v>135</v>
      </c>
      <c r="F27" s="49">
        <v>0</v>
      </c>
      <c r="G27" s="49">
        <v>0</v>
      </c>
      <c r="H27" s="49">
        <f>180+79</f>
        <v>259</v>
      </c>
      <c r="I27" s="49">
        <v>0</v>
      </c>
      <c r="J27" s="49">
        <v>0</v>
      </c>
      <c r="K27" s="49">
        <v>79</v>
      </c>
      <c r="L27" s="49">
        <f>155+99</f>
        <v>254</v>
      </c>
      <c r="M27" s="49">
        <f>170+91</f>
        <v>261</v>
      </c>
      <c r="N27" s="49">
        <f>224+144</f>
        <v>368</v>
      </c>
      <c r="O27" s="49">
        <f>252+106</f>
        <v>358</v>
      </c>
      <c r="P27" s="49">
        <f>10+63</f>
        <v>73</v>
      </c>
      <c r="Q27" s="49">
        <f>130+137</f>
        <v>267</v>
      </c>
      <c r="R27" s="49">
        <f>170+87</f>
        <v>257</v>
      </c>
      <c r="S27" s="49">
        <v>80</v>
      </c>
      <c r="T27" s="49">
        <v>0</v>
      </c>
      <c r="U27" s="49">
        <v>0</v>
      </c>
      <c r="V27" s="49">
        <v>24</v>
      </c>
      <c r="W27" s="49">
        <f>225+151</f>
        <v>376</v>
      </c>
      <c r="X27" s="49">
        <v>215</v>
      </c>
      <c r="Y27" s="49">
        <v>156</v>
      </c>
      <c r="Z27" s="49">
        <f>233+158</f>
        <v>391</v>
      </c>
      <c r="AA27" s="49">
        <f>138+138</f>
        <v>276</v>
      </c>
      <c r="AB27" s="49">
        <v>0</v>
      </c>
      <c r="AC27" s="49">
        <v>0</v>
      </c>
      <c r="AD27" s="49">
        <v>142</v>
      </c>
      <c r="AE27" s="49">
        <v>178</v>
      </c>
      <c r="AF27" s="49">
        <v>230</v>
      </c>
      <c r="AG27" s="49">
        <v>152</v>
      </c>
      <c r="AH27" s="49">
        <v>0</v>
      </c>
      <c r="AI27" s="49">
        <f>115+90</f>
        <v>205</v>
      </c>
      <c r="AJ27" s="49">
        <f>103+111</f>
        <v>214</v>
      </c>
      <c r="AK27" s="27">
        <f t="shared" si="0"/>
        <v>4950</v>
      </c>
      <c r="AL27" s="44"/>
      <c r="AM27" s="44"/>
      <c r="AN27" s="44">
        <f t="shared" si="7"/>
        <v>0</v>
      </c>
      <c r="AO27" s="38">
        <v>0</v>
      </c>
      <c r="AP27" s="38">
        <v>0</v>
      </c>
      <c r="AQ27" s="44">
        <f t="shared" si="2"/>
        <v>0</v>
      </c>
      <c r="AR27" s="74" t="e">
        <f t="shared" si="3"/>
        <v>#DIV/0!</v>
      </c>
      <c r="AS27" s="49" t="e">
        <f t="shared" si="4"/>
        <v>#DIV/0!</v>
      </c>
    </row>
    <row r="28" spans="1:45" ht="15.75" x14ac:dyDescent="0.25">
      <c r="A28" s="23">
        <v>22</v>
      </c>
      <c r="B28" s="1" t="s">
        <v>89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3">
        <v>0</v>
      </c>
      <c r="AB28" s="73">
        <v>0</v>
      </c>
      <c r="AC28" s="73">
        <v>0</v>
      </c>
      <c r="AD28" s="73">
        <v>0</v>
      </c>
      <c r="AE28" s="49">
        <v>277</v>
      </c>
      <c r="AF28" s="49">
        <v>158</v>
      </c>
      <c r="AG28" s="49">
        <v>143</v>
      </c>
      <c r="AH28" s="49">
        <v>0</v>
      </c>
      <c r="AI28" s="49">
        <f>34+143</f>
        <v>177</v>
      </c>
      <c r="AJ28" s="49">
        <v>190</v>
      </c>
      <c r="AK28" s="27">
        <f t="shared" si="0"/>
        <v>945</v>
      </c>
      <c r="AL28" s="44"/>
      <c r="AM28" s="44"/>
      <c r="AN28" s="44">
        <f t="shared" si="7"/>
        <v>0</v>
      </c>
      <c r="AO28" s="38">
        <v>0</v>
      </c>
      <c r="AP28" s="38">
        <v>212256.4</v>
      </c>
      <c r="AQ28" s="44">
        <f t="shared" si="2"/>
        <v>212256.4</v>
      </c>
      <c r="AR28" s="74" t="e">
        <f t="shared" si="3"/>
        <v>#DIV/0!</v>
      </c>
      <c r="AS28" s="49">
        <f t="shared" si="4"/>
        <v>4.4521625731897838E-3</v>
      </c>
    </row>
    <row r="29" spans="1:45" ht="15.75" x14ac:dyDescent="0.25">
      <c r="A29" s="23">
        <v>23</v>
      </c>
      <c r="B29" s="1" t="s">
        <v>24</v>
      </c>
      <c r="C29" s="73">
        <v>0</v>
      </c>
      <c r="D29" s="73">
        <v>90</v>
      </c>
      <c r="E29" s="73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/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120</v>
      </c>
      <c r="V29" s="49">
        <v>0</v>
      </c>
      <c r="W29" s="49">
        <v>122</v>
      </c>
      <c r="X29" s="49">
        <f>159+64</f>
        <v>223</v>
      </c>
      <c r="Y29" s="49">
        <f>70+82</f>
        <v>152</v>
      </c>
      <c r="Z29" s="49">
        <v>94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/>
      <c r="AJ29" s="49"/>
      <c r="AK29" s="27">
        <f t="shared" si="0"/>
        <v>801</v>
      </c>
      <c r="AL29" s="44"/>
      <c r="AM29" s="44"/>
      <c r="AN29" s="44">
        <f t="shared" si="7"/>
        <v>0</v>
      </c>
      <c r="AO29" s="38">
        <v>0</v>
      </c>
      <c r="AP29" s="38">
        <v>0</v>
      </c>
      <c r="AQ29" s="44">
        <f t="shared" si="2"/>
        <v>0</v>
      </c>
      <c r="AR29" s="74" t="e">
        <f t="shared" si="3"/>
        <v>#DIV/0!</v>
      </c>
      <c r="AS29" s="49" t="e">
        <f t="shared" si="4"/>
        <v>#DIV/0!</v>
      </c>
    </row>
    <row r="30" spans="1:45" ht="15.75" x14ac:dyDescent="0.25">
      <c r="A30" s="23">
        <v>24</v>
      </c>
      <c r="B30" s="1" t="s">
        <v>25</v>
      </c>
      <c r="C30" s="73">
        <v>0</v>
      </c>
      <c r="D30" s="73">
        <v>0</v>
      </c>
      <c r="E30" s="73">
        <v>0</v>
      </c>
      <c r="F30" s="49">
        <v>225</v>
      </c>
      <c r="G30" s="49">
        <v>0</v>
      </c>
      <c r="H30" s="49">
        <f>89+97</f>
        <v>186</v>
      </c>
      <c r="I30" s="49">
        <v>184</v>
      </c>
      <c r="J30" s="49">
        <f>230+90</f>
        <v>320</v>
      </c>
      <c r="K30" s="49">
        <v>0</v>
      </c>
      <c r="L30" s="49">
        <f>160+109</f>
        <v>269</v>
      </c>
      <c r="M30" s="49">
        <f>142+67</f>
        <v>209</v>
      </c>
      <c r="N30" s="49">
        <f>97+90</f>
        <v>187</v>
      </c>
      <c r="O30" s="49">
        <f>218+31</f>
        <v>249</v>
      </c>
      <c r="P30" s="49">
        <v>265</v>
      </c>
      <c r="Q30" s="49">
        <f>120+127</f>
        <v>247</v>
      </c>
      <c r="R30" s="49">
        <v>279</v>
      </c>
      <c r="S30" s="49">
        <f>178+50</f>
        <v>228</v>
      </c>
      <c r="T30" s="49">
        <v>75</v>
      </c>
      <c r="U30" s="49">
        <v>110</v>
      </c>
      <c r="V30" s="49">
        <v>85</v>
      </c>
      <c r="W30" s="49">
        <f>101+137</f>
        <v>238</v>
      </c>
      <c r="X30" s="49">
        <f>85+118</f>
        <v>203</v>
      </c>
      <c r="Y30" s="49">
        <f>125+85</f>
        <v>210</v>
      </c>
      <c r="Z30" s="49">
        <f>39+70</f>
        <v>109</v>
      </c>
      <c r="AA30" s="49">
        <f>135+81</f>
        <v>216</v>
      </c>
      <c r="AB30" s="49">
        <v>178</v>
      </c>
      <c r="AC30" s="49">
        <v>0</v>
      </c>
      <c r="AD30" s="49">
        <v>0</v>
      </c>
      <c r="AE30" s="49">
        <v>331</v>
      </c>
      <c r="AF30" s="49">
        <v>153</v>
      </c>
      <c r="AG30" s="49">
        <f>136+27</f>
        <v>163</v>
      </c>
      <c r="AH30" s="49">
        <f>97+98</f>
        <v>195</v>
      </c>
      <c r="AI30" s="49">
        <f>152+133</f>
        <v>285</v>
      </c>
      <c r="AJ30" s="49">
        <f>181</f>
        <v>181</v>
      </c>
      <c r="AK30" s="27">
        <f t="shared" si="0"/>
        <v>5580</v>
      </c>
      <c r="AL30" s="44">
        <v>13097.4</v>
      </c>
      <c r="AM30" s="44">
        <v>13405.18</v>
      </c>
      <c r="AN30" s="44">
        <f t="shared" si="7"/>
        <v>307.78000000000065</v>
      </c>
      <c r="AO30" s="44">
        <v>223629.7</v>
      </c>
      <c r="AP30" s="44">
        <v>227386.2</v>
      </c>
      <c r="AQ30" s="44">
        <f t="shared" si="2"/>
        <v>3756.5</v>
      </c>
      <c r="AR30" s="74">
        <f t="shared" si="3"/>
        <v>18.129832997595646</v>
      </c>
      <c r="AS30" s="49">
        <f t="shared" si="4"/>
        <v>1.4854252628776787</v>
      </c>
    </row>
    <row r="31" spans="1:45" ht="15.75" x14ac:dyDescent="0.25">
      <c r="A31" s="23">
        <v>25</v>
      </c>
      <c r="B31" s="1" t="s">
        <v>26</v>
      </c>
      <c r="C31" s="73">
        <v>0</v>
      </c>
      <c r="D31" s="73">
        <v>0</v>
      </c>
      <c r="E31" s="73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f>185+80</f>
        <v>265</v>
      </c>
      <c r="O31" s="49">
        <v>0</v>
      </c>
      <c r="P31" s="49">
        <v>75</v>
      </c>
      <c r="Q31" s="49">
        <v>210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31</v>
      </c>
      <c r="Z31" s="49">
        <v>0</v>
      </c>
      <c r="AA31" s="49">
        <v>199</v>
      </c>
      <c r="AB31" s="49">
        <f>55+80</f>
        <v>135</v>
      </c>
      <c r="AC31" s="49">
        <v>0</v>
      </c>
      <c r="AD31" s="49">
        <v>272</v>
      </c>
      <c r="AE31" s="49">
        <v>150</v>
      </c>
      <c r="AF31" s="49">
        <v>0</v>
      </c>
      <c r="AG31" s="49">
        <v>100</v>
      </c>
      <c r="AH31" s="49">
        <f>157+95</f>
        <v>252</v>
      </c>
      <c r="AI31" s="49">
        <f>20+16</f>
        <v>36</v>
      </c>
      <c r="AJ31" s="49">
        <f>163+142</f>
        <v>305</v>
      </c>
      <c r="AK31" s="27">
        <f t="shared" si="0"/>
        <v>2030</v>
      </c>
      <c r="AL31" s="44">
        <v>15177.4</v>
      </c>
      <c r="AM31" s="44">
        <v>15312.19</v>
      </c>
      <c r="AN31" s="44">
        <f t="shared" si="7"/>
        <v>134.79000000000087</v>
      </c>
      <c r="AO31" s="44">
        <v>123347.1</v>
      </c>
      <c r="AP31" s="44">
        <v>124597.6</v>
      </c>
      <c r="AQ31" s="44">
        <f t="shared" si="2"/>
        <v>1250.5</v>
      </c>
      <c r="AR31" s="74">
        <f t="shared" si="3"/>
        <v>15.060464426144275</v>
      </c>
      <c r="AS31" s="49">
        <f t="shared" si="4"/>
        <v>1.6233506597361056</v>
      </c>
    </row>
    <row r="32" spans="1:45" ht="15.75" x14ac:dyDescent="0.25">
      <c r="A32" s="23">
        <v>26</v>
      </c>
      <c r="B32" s="1" t="s">
        <v>27</v>
      </c>
      <c r="C32" s="73">
        <v>0</v>
      </c>
      <c r="D32" s="73">
        <v>0</v>
      </c>
      <c r="E32" s="73">
        <v>0</v>
      </c>
      <c r="F32" s="49">
        <f>205+96</f>
        <v>301</v>
      </c>
      <c r="G32" s="49">
        <v>0</v>
      </c>
      <c r="H32" s="49">
        <f>75+112</f>
        <v>187</v>
      </c>
      <c r="I32" s="49">
        <v>189</v>
      </c>
      <c r="J32" s="49">
        <f>145+100</f>
        <v>245</v>
      </c>
      <c r="K32" s="49">
        <v>84</v>
      </c>
      <c r="L32" s="49">
        <v>0</v>
      </c>
      <c r="M32" s="49">
        <v>0</v>
      </c>
      <c r="N32" s="49">
        <v>0</v>
      </c>
      <c r="O32" s="49">
        <v>110</v>
      </c>
      <c r="P32" s="49">
        <f>252+94</f>
        <v>346</v>
      </c>
      <c r="Q32" s="49">
        <v>180</v>
      </c>
      <c r="R32" s="49">
        <f>222+77</f>
        <v>299</v>
      </c>
      <c r="S32" s="49">
        <v>177</v>
      </c>
      <c r="T32" s="49">
        <v>0</v>
      </c>
      <c r="U32" s="49">
        <f>140+48</f>
        <v>188</v>
      </c>
      <c r="V32" s="49">
        <f>30+83</f>
        <v>113</v>
      </c>
      <c r="W32" s="49">
        <f>196+107</f>
        <v>303</v>
      </c>
      <c r="X32" s="49">
        <f>136+110</f>
        <v>246</v>
      </c>
      <c r="Y32" s="49">
        <v>128</v>
      </c>
      <c r="Z32" s="49">
        <f>171+95</f>
        <v>266</v>
      </c>
      <c r="AA32" s="49">
        <f>73+115</f>
        <v>188</v>
      </c>
      <c r="AB32" s="49">
        <f>93+206</f>
        <v>299</v>
      </c>
      <c r="AC32" s="49">
        <v>0</v>
      </c>
      <c r="AD32" s="49">
        <v>0</v>
      </c>
      <c r="AE32" s="49">
        <v>0</v>
      </c>
      <c r="AF32" s="49">
        <v>198</v>
      </c>
      <c r="AG32" s="49">
        <v>0</v>
      </c>
      <c r="AH32" s="49">
        <v>107</v>
      </c>
      <c r="AI32" s="49">
        <f>51+63</f>
        <v>114</v>
      </c>
      <c r="AJ32" s="49">
        <f>139+117</f>
        <v>256</v>
      </c>
      <c r="AK32" s="27">
        <f t="shared" si="0"/>
        <v>4524</v>
      </c>
      <c r="AL32" s="44">
        <v>15290.16</v>
      </c>
      <c r="AM32" s="44">
        <v>15562</v>
      </c>
      <c r="AN32" s="44">
        <f t="shared" si="7"/>
        <v>271.84000000000015</v>
      </c>
      <c r="AO32" s="44">
        <v>262863.8</v>
      </c>
      <c r="AP32" s="44">
        <v>265573.40000000002</v>
      </c>
      <c r="AQ32" s="44">
        <f t="shared" si="2"/>
        <v>2709.6000000000349</v>
      </c>
      <c r="AR32" s="74">
        <f t="shared" si="3"/>
        <v>16.642142436727479</v>
      </c>
      <c r="AS32" s="49">
        <f t="shared" si="4"/>
        <v>1.6696191319751779</v>
      </c>
    </row>
    <row r="33" spans="1:45" ht="15.75" x14ac:dyDescent="0.25">
      <c r="A33" s="23">
        <v>27</v>
      </c>
      <c r="B33" s="1" t="s">
        <v>28</v>
      </c>
      <c r="C33" s="73">
        <v>0</v>
      </c>
      <c r="D33" s="73">
        <v>0</v>
      </c>
      <c r="E33" s="73">
        <v>0</v>
      </c>
      <c r="F33" s="49">
        <v>185</v>
      </c>
      <c r="G33" s="49">
        <v>0</v>
      </c>
      <c r="H33" s="49">
        <f>95+70</f>
        <v>165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f>154+30</f>
        <v>184</v>
      </c>
      <c r="V33" s="49">
        <v>76</v>
      </c>
      <c r="W33" s="49">
        <f>190+135</f>
        <v>325</v>
      </c>
      <c r="X33" s="49">
        <f>172+113</f>
        <v>285</v>
      </c>
      <c r="Y33" s="49">
        <v>236</v>
      </c>
      <c r="Z33" s="49">
        <f>57+150</f>
        <v>207</v>
      </c>
      <c r="AA33" s="49">
        <f>144+181</f>
        <v>325</v>
      </c>
      <c r="AB33" s="49">
        <f>77+200</f>
        <v>277</v>
      </c>
      <c r="AC33" s="49">
        <v>119</v>
      </c>
      <c r="AD33" s="49">
        <v>281</v>
      </c>
      <c r="AE33" s="49">
        <v>197</v>
      </c>
      <c r="AF33" s="49">
        <v>148</v>
      </c>
      <c r="AG33" s="49">
        <v>175</v>
      </c>
      <c r="AH33" s="49">
        <f>211+101</f>
        <v>312</v>
      </c>
      <c r="AI33" s="49">
        <f>118+110</f>
        <v>228</v>
      </c>
      <c r="AJ33" s="49">
        <f>122+112</f>
        <v>234</v>
      </c>
      <c r="AK33" s="27">
        <f t="shared" si="0"/>
        <v>3959</v>
      </c>
      <c r="AL33" s="44">
        <v>11753.28</v>
      </c>
      <c r="AM33" s="44">
        <v>1207.04</v>
      </c>
      <c r="AN33" s="44">
        <f t="shared" si="7"/>
        <v>-10546.240000000002</v>
      </c>
      <c r="AO33" s="44">
        <v>196147.7</v>
      </c>
      <c r="AP33" s="44">
        <v>198594.5</v>
      </c>
      <c r="AQ33" s="44">
        <f t="shared" si="2"/>
        <v>2446.7999999999884</v>
      </c>
      <c r="AR33" s="74">
        <f t="shared" si="3"/>
        <v>-0.37539445337864485</v>
      </c>
      <c r="AS33" s="49">
        <f t="shared" si="4"/>
        <v>1.6180317148929291</v>
      </c>
    </row>
    <row r="34" spans="1:45" ht="15.75" x14ac:dyDescent="0.25">
      <c r="A34" s="23">
        <v>28</v>
      </c>
      <c r="B34" s="1" t="s">
        <v>29</v>
      </c>
      <c r="C34" s="73">
        <v>0</v>
      </c>
      <c r="D34" s="73">
        <v>0</v>
      </c>
      <c r="E34" s="73">
        <v>0</v>
      </c>
      <c r="F34" s="75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f>201+114</f>
        <v>315</v>
      </c>
      <c r="M34" s="49">
        <v>149</v>
      </c>
      <c r="N34" s="49">
        <v>170</v>
      </c>
      <c r="O34" s="49">
        <f>202+121</f>
        <v>323</v>
      </c>
      <c r="P34" s="49">
        <f>240+92</f>
        <v>332</v>
      </c>
      <c r="Q34" s="49">
        <f>189+133</f>
        <v>322</v>
      </c>
      <c r="R34" s="49">
        <f>171+66</f>
        <v>237</v>
      </c>
      <c r="S34" s="49">
        <v>220</v>
      </c>
      <c r="T34" s="49">
        <v>52</v>
      </c>
      <c r="U34" s="49">
        <f>127+36</f>
        <v>163</v>
      </c>
      <c r="V34" s="49">
        <v>116</v>
      </c>
      <c r="W34" s="49">
        <f>94+82</f>
        <v>176</v>
      </c>
      <c r="X34" s="49">
        <f>144+142</f>
        <v>286</v>
      </c>
      <c r="Y34" s="49">
        <f>96+119</f>
        <v>215</v>
      </c>
      <c r="Z34" s="49">
        <f>54+104</f>
        <v>158</v>
      </c>
      <c r="AA34" s="49">
        <f>114+157</f>
        <v>271</v>
      </c>
      <c r="AB34" s="49">
        <f>114+187</f>
        <v>301</v>
      </c>
      <c r="AC34" s="49">
        <v>0</v>
      </c>
      <c r="AD34" s="49">
        <v>306</v>
      </c>
      <c r="AE34" s="49">
        <v>0</v>
      </c>
      <c r="AF34" s="49">
        <v>396</v>
      </c>
      <c r="AG34" s="49">
        <v>52</v>
      </c>
      <c r="AH34" s="49">
        <f>35+90</f>
        <v>125</v>
      </c>
      <c r="AI34" s="49">
        <f>40+100</f>
        <v>140</v>
      </c>
      <c r="AJ34" s="49">
        <v>205</v>
      </c>
      <c r="AK34" s="27">
        <f t="shared" si="0"/>
        <v>5030</v>
      </c>
      <c r="AL34" s="44">
        <v>14913.33</v>
      </c>
      <c r="AM34" s="44">
        <v>15268.8</v>
      </c>
      <c r="AN34" s="44">
        <f t="shared" si="7"/>
        <v>355.46999999999935</v>
      </c>
      <c r="AO34" s="44">
        <v>249733.5</v>
      </c>
      <c r="AP34" s="44">
        <v>253545.3</v>
      </c>
      <c r="AQ34" s="44">
        <f t="shared" si="2"/>
        <v>3811.7999999999884</v>
      </c>
      <c r="AR34" s="74">
        <f t="shared" si="3"/>
        <v>14.150279911103635</v>
      </c>
      <c r="AS34" s="49">
        <f t="shared" si="4"/>
        <v>1.3195865470381487</v>
      </c>
    </row>
    <row r="35" spans="1:45" ht="15.75" x14ac:dyDescent="0.25">
      <c r="A35" s="23">
        <v>29</v>
      </c>
      <c r="B35" s="1" t="s">
        <v>30</v>
      </c>
      <c r="C35" s="73">
        <v>0</v>
      </c>
      <c r="D35" s="73">
        <v>0</v>
      </c>
      <c r="E35" s="73">
        <v>0</v>
      </c>
      <c r="F35" s="75">
        <v>0</v>
      </c>
      <c r="G35" s="49">
        <v>0</v>
      </c>
      <c r="H35" s="49">
        <v>0</v>
      </c>
      <c r="I35" s="49">
        <v>0</v>
      </c>
      <c r="J35" s="49">
        <v>0</v>
      </c>
      <c r="K35" s="49">
        <f>216+73</f>
        <v>289</v>
      </c>
      <c r="L35" s="49">
        <f>169+95</f>
        <v>264</v>
      </c>
      <c r="M35" s="49">
        <f>150+60</f>
        <v>210</v>
      </c>
      <c r="N35" s="49">
        <f>212+166</f>
        <v>378</v>
      </c>
      <c r="O35" s="49">
        <f>220+90</f>
        <v>310</v>
      </c>
      <c r="P35" s="49">
        <v>40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148</v>
      </c>
      <c r="X35" s="49">
        <f>101+126</f>
        <v>227</v>
      </c>
      <c r="Y35" s="49">
        <f>45+92</f>
        <v>137</v>
      </c>
      <c r="Z35" s="49">
        <f>52+159</f>
        <v>211</v>
      </c>
      <c r="AA35" s="49">
        <f>141+88</f>
        <v>229</v>
      </c>
      <c r="AB35" s="49">
        <v>175</v>
      </c>
      <c r="AC35" s="49">
        <v>0</v>
      </c>
      <c r="AD35" s="49">
        <v>136</v>
      </c>
      <c r="AE35" s="49">
        <v>0</v>
      </c>
      <c r="AF35" s="49">
        <v>0</v>
      </c>
      <c r="AG35" s="49">
        <v>0</v>
      </c>
      <c r="AH35" s="49">
        <v>0</v>
      </c>
      <c r="AI35" s="49"/>
      <c r="AJ35" s="49"/>
      <c r="AK35" s="27">
        <f t="shared" si="0"/>
        <v>2754</v>
      </c>
      <c r="AL35" s="44">
        <v>5345.01</v>
      </c>
      <c r="AM35" s="44">
        <v>5507.11</v>
      </c>
      <c r="AN35" s="44">
        <f t="shared" si="7"/>
        <v>162.09999999999945</v>
      </c>
      <c r="AO35" s="44">
        <v>16716</v>
      </c>
      <c r="AP35" s="44">
        <v>18570.900000000001</v>
      </c>
      <c r="AQ35" s="44">
        <f t="shared" si="2"/>
        <v>1854.9000000000015</v>
      </c>
      <c r="AR35" s="74">
        <f t="shared" si="3"/>
        <v>16.989512646514555</v>
      </c>
      <c r="AS35" s="49">
        <f t="shared" si="4"/>
        <v>1.484716157205239</v>
      </c>
    </row>
    <row r="36" spans="1:45" ht="15.75" x14ac:dyDescent="0.25">
      <c r="A36" s="23">
        <v>30</v>
      </c>
      <c r="B36" s="1" t="s">
        <v>31</v>
      </c>
      <c r="C36" s="73">
        <v>0</v>
      </c>
      <c r="D36" s="73">
        <v>0</v>
      </c>
      <c r="E36" s="73">
        <v>0</v>
      </c>
      <c r="F36" s="75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75">
        <v>0</v>
      </c>
      <c r="M36" s="49">
        <v>0</v>
      </c>
      <c r="N36" s="49">
        <v>0</v>
      </c>
      <c r="O36" s="77">
        <v>0</v>
      </c>
      <c r="P36" s="49">
        <f>214+70</f>
        <v>284</v>
      </c>
      <c r="Q36" s="49">
        <f>170+110</f>
        <v>280</v>
      </c>
      <c r="R36" s="49">
        <v>203</v>
      </c>
      <c r="S36" s="49">
        <v>0</v>
      </c>
      <c r="T36" s="49">
        <v>30</v>
      </c>
      <c r="U36" s="49">
        <f>139+30</f>
        <v>169</v>
      </c>
      <c r="V36" s="49">
        <v>0</v>
      </c>
      <c r="W36" s="49">
        <v>171</v>
      </c>
      <c r="X36" s="49">
        <f>127+95</f>
        <v>222</v>
      </c>
      <c r="Y36" s="49">
        <f>121+132</f>
        <v>253</v>
      </c>
      <c r="Z36" s="49">
        <f>120+141</f>
        <v>261</v>
      </c>
      <c r="AA36" s="49">
        <f>159+158</f>
        <v>317</v>
      </c>
      <c r="AB36" s="49">
        <f>72+210</f>
        <v>282</v>
      </c>
      <c r="AC36" s="49">
        <v>127</v>
      </c>
      <c r="AD36" s="49">
        <v>260</v>
      </c>
      <c r="AE36" s="49">
        <v>342</v>
      </c>
      <c r="AF36" s="49">
        <v>199</v>
      </c>
      <c r="AG36" s="49">
        <v>177</v>
      </c>
      <c r="AH36" s="49">
        <f>210+49</f>
        <v>259</v>
      </c>
      <c r="AI36" s="49">
        <f>111+80</f>
        <v>191</v>
      </c>
      <c r="AJ36" s="49">
        <f>154+145</f>
        <v>299</v>
      </c>
      <c r="AK36" s="27">
        <f t="shared" si="0"/>
        <v>4326</v>
      </c>
      <c r="AL36" s="44">
        <v>13168.16</v>
      </c>
      <c r="AM36" s="44">
        <v>13464.21</v>
      </c>
      <c r="AN36" s="44">
        <f t="shared" si="7"/>
        <v>296.04999999999927</v>
      </c>
      <c r="AO36" s="44">
        <v>226398.4</v>
      </c>
      <c r="AP36" s="44">
        <v>229877.8</v>
      </c>
      <c r="AQ36" s="44">
        <f t="shared" si="2"/>
        <v>3479.3999999999942</v>
      </c>
      <c r="AR36" s="74">
        <f t="shared" si="3"/>
        <v>14.612396554636078</v>
      </c>
      <c r="AS36" s="49">
        <f t="shared" si="4"/>
        <v>1.2433178134161083</v>
      </c>
    </row>
    <row r="37" spans="1:45" ht="15.75" x14ac:dyDescent="0.25">
      <c r="A37" s="23">
        <v>31</v>
      </c>
      <c r="B37" s="1" t="s">
        <v>32</v>
      </c>
      <c r="C37" s="73">
        <v>0</v>
      </c>
      <c r="D37" s="73">
        <v>0</v>
      </c>
      <c r="E37" s="73">
        <v>0</v>
      </c>
      <c r="F37" s="75">
        <v>0</v>
      </c>
      <c r="G37" s="49">
        <v>0</v>
      </c>
      <c r="H37" s="49">
        <v>0</v>
      </c>
      <c r="I37" s="49">
        <v>177</v>
      </c>
      <c r="J37" s="49">
        <v>203</v>
      </c>
      <c r="K37" s="77">
        <v>0</v>
      </c>
      <c r="L37" s="75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f>60+114</f>
        <v>174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78">
        <v>96</v>
      </c>
      <c r="AH37" s="49"/>
      <c r="AI37" s="49"/>
      <c r="AJ37" s="49"/>
      <c r="AK37" s="27">
        <f t="shared" si="0"/>
        <v>650</v>
      </c>
      <c r="AL37" s="44"/>
      <c r="AM37" s="44"/>
      <c r="AN37" s="44">
        <f t="shared" si="7"/>
        <v>0</v>
      </c>
      <c r="AO37" s="44">
        <v>96312.2</v>
      </c>
      <c r="AP37" s="44"/>
      <c r="AQ37" s="44">
        <f t="shared" si="2"/>
        <v>-96312.2</v>
      </c>
      <c r="AR37" s="74" t="e">
        <f t="shared" si="3"/>
        <v>#DIV/0!</v>
      </c>
      <c r="AS37" s="49">
        <f t="shared" si="4"/>
        <v>-6.7488853956196625E-3</v>
      </c>
    </row>
    <row r="38" spans="1:45" ht="15.75" x14ac:dyDescent="0.25">
      <c r="A38" s="23">
        <v>32</v>
      </c>
      <c r="B38" s="1" t="s">
        <v>33</v>
      </c>
      <c r="C38" s="73">
        <v>0</v>
      </c>
      <c r="D38" s="73">
        <v>0</v>
      </c>
      <c r="E38" s="73">
        <v>0</v>
      </c>
      <c r="F38" s="75">
        <v>0</v>
      </c>
      <c r="G38" s="49">
        <v>0</v>
      </c>
      <c r="H38" s="49">
        <v>0</v>
      </c>
      <c r="I38" s="49">
        <v>192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205</v>
      </c>
      <c r="Q38" s="49">
        <v>0</v>
      </c>
      <c r="R38" s="49">
        <f>12+93</f>
        <v>105</v>
      </c>
      <c r="S38" s="49">
        <f>210+60</f>
        <v>270</v>
      </c>
      <c r="T38" s="49">
        <f>128+80</f>
        <v>208</v>
      </c>
      <c r="U38" s="49">
        <f>148+35</f>
        <v>183</v>
      </c>
      <c r="V38" s="49">
        <v>72</v>
      </c>
      <c r="W38" s="49">
        <f>203+171</f>
        <v>374</v>
      </c>
      <c r="X38" s="49">
        <f>147+112</f>
        <v>259</v>
      </c>
      <c r="Y38" s="49">
        <v>134</v>
      </c>
      <c r="Z38" s="49">
        <f>133+143</f>
        <v>276</v>
      </c>
      <c r="AA38" s="49">
        <f>151+95</f>
        <v>246</v>
      </c>
      <c r="AB38" s="49">
        <f>193+120</f>
        <v>313</v>
      </c>
      <c r="AC38" s="49">
        <v>89</v>
      </c>
      <c r="AD38" s="49">
        <v>178</v>
      </c>
      <c r="AE38" s="49">
        <v>82</v>
      </c>
      <c r="AF38" s="49">
        <v>147</v>
      </c>
      <c r="AG38" s="49">
        <v>0</v>
      </c>
      <c r="AH38" s="49">
        <v>129</v>
      </c>
      <c r="AI38" s="49">
        <f>150+119</f>
        <v>269</v>
      </c>
      <c r="AJ38" s="49">
        <f>117+130</f>
        <v>247</v>
      </c>
      <c r="AK38" s="27">
        <f t="shared" si="0"/>
        <v>3978</v>
      </c>
      <c r="AL38" s="44">
        <v>11883.49</v>
      </c>
      <c r="AM38" s="44">
        <v>12143.48</v>
      </c>
      <c r="AN38" s="44">
        <f t="shared" si="7"/>
        <v>259.98999999999978</v>
      </c>
      <c r="AO38" s="44">
        <v>206220.4</v>
      </c>
      <c r="AP38" s="44">
        <v>206779.6</v>
      </c>
      <c r="AQ38" s="44">
        <f t="shared" si="2"/>
        <v>559.20000000001164</v>
      </c>
      <c r="AR38" s="74">
        <f t="shared" si="3"/>
        <v>15.300588484172481</v>
      </c>
      <c r="AS38" s="49">
        <f t="shared" si="4"/>
        <v>7.1137339055792514</v>
      </c>
    </row>
    <row r="39" spans="1:45" ht="15.75" x14ac:dyDescent="0.25">
      <c r="A39" s="23">
        <v>33</v>
      </c>
      <c r="B39" s="1" t="s">
        <v>34</v>
      </c>
      <c r="C39" s="73">
        <v>0</v>
      </c>
      <c r="D39" s="73">
        <v>0</v>
      </c>
      <c r="E39" s="73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f>208+70</f>
        <v>278</v>
      </c>
      <c r="P39" s="49">
        <v>288</v>
      </c>
      <c r="Q39" s="49">
        <f>187+118</f>
        <v>305</v>
      </c>
      <c r="R39" s="49">
        <f>230+123</f>
        <v>353</v>
      </c>
      <c r="S39" s="49">
        <f>190+61</f>
        <v>251</v>
      </c>
      <c r="T39" s="49">
        <f>85+77</f>
        <v>162</v>
      </c>
      <c r="U39" s="49">
        <f>157+74</f>
        <v>231</v>
      </c>
      <c r="V39" s="49">
        <v>127</v>
      </c>
      <c r="W39" s="49">
        <v>159</v>
      </c>
      <c r="X39" s="49">
        <f>124+86</f>
        <v>210</v>
      </c>
      <c r="Y39" s="49">
        <f>129+121</f>
        <v>250</v>
      </c>
      <c r="Z39" s="49">
        <f>146+61</f>
        <v>207</v>
      </c>
      <c r="AA39" s="49">
        <f>129+169</f>
        <v>298</v>
      </c>
      <c r="AB39" s="49">
        <f>103+152</f>
        <v>255</v>
      </c>
      <c r="AC39" s="49">
        <v>86</v>
      </c>
      <c r="AD39" s="49">
        <v>200</v>
      </c>
      <c r="AE39" s="49">
        <v>0</v>
      </c>
      <c r="AF39" s="49">
        <v>243</v>
      </c>
      <c r="AG39" s="49">
        <v>133</v>
      </c>
      <c r="AH39" s="49">
        <f>117+100</f>
        <v>217</v>
      </c>
      <c r="AI39" s="49">
        <f>153+137</f>
        <v>290</v>
      </c>
      <c r="AJ39" s="49">
        <v>130</v>
      </c>
      <c r="AK39" s="27">
        <f t="shared" si="0"/>
        <v>4673</v>
      </c>
      <c r="AL39" s="44">
        <v>14026.26</v>
      </c>
      <c r="AM39" s="44">
        <v>14299.39</v>
      </c>
      <c r="AN39" s="44">
        <f t="shared" si="7"/>
        <v>273.1299999999992</v>
      </c>
      <c r="AO39" s="44">
        <v>241707.53</v>
      </c>
      <c r="AP39" s="44">
        <v>243925.7</v>
      </c>
      <c r="AQ39" s="44">
        <f>AP39-AO39</f>
        <v>2218.1700000000128</v>
      </c>
      <c r="AR39" s="74">
        <f t="shared" si="3"/>
        <v>17.109068941529724</v>
      </c>
      <c r="AS39" s="49">
        <f t="shared" si="4"/>
        <v>2.1066915520451421</v>
      </c>
    </row>
    <row r="40" spans="1:45" ht="15.75" x14ac:dyDescent="0.25">
      <c r="A40" s="23">
        <v>34</v>
      </c>
      <c r="B40" s="1" t="s">
        <v>70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  <c r="AA40" s="73">
        <v>0</v>
      </c>
      <c r="AB40" s="49">
        <v>227</v>
      </c>
      <c r="AC40" s="49">
        <v>0</v>
      </c>
      <c r="AD40" s="49">
        <v>127</v>
      </c>
      <c r="AE40" s="49">
        <v>0</v>
      </c>
      <c r="AF40" s="49">
        <v>0</v>
      </c>
      <c r="AG40" s="49">
        <v>0</v>
      </c>
      <c r="AH40" s="49">
        <v>0</v>
      </c>
      <c r="AI40" s="49"/>
      <c r="AJ40" s="49"/>
      <c r="AK40" s="27">
        <f t="shared" si="0"/>
        <v>354</v>
      </c>
      <c r="AL40" s="44"/>
      <c r="AM40" s="44"/>
      <c r="AN40" s="44">
        <f t="shared" si="7"/>
        <v>0</v>
      </c>
      <c r="AO40" s="44">
        <v>194113.3</v>
      </c>
      <c r="AP40" s="44">
        <v>196705</v>
      </c>
      <c r="AQ40" s="44">
        <f>AP40-AO40</f>
        <v>2591.7000000000116</v>
      </c>
      <c r="AR40" s="74" t="e">
        <f t="shared" si="3"/>
        <v>#DIV/0!</v>
      </c>
      <c r="AS40" s="49">
        <f t="shared" si="4"/>
        <v>0.13658988308831979</v>
      </c>
    </row>
    <row r="41" spans="1:45" ht="15.75" x14ac:dyDescent="0.25">
      <c r="A41" s="23">
        <v>35</v>
      </c>
      <c r="B41" s="1" t="s">
        <v>69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49">
        <f>209+108</f>
        <v>317</v>
      </c>
      <c r="AC41" s="49">
        <v>0</v>
      </c>
      <c r="AD41" s="49">
        <v>298</v>
      </c>
      <c r="AE41" s="49">
        <v>196</v>
      </c>
      <c r="AF41" s="49">
        <v>201</v>
      </c>
      <c r="AG41" s="49">
        <v>109</v>
      </c>
      <c r="AH41" s="49">
        <f>101+66</f>
        <v>167</v>
      </c>
      <c r="AI41" s="49">
        <f>137+77</f>
        <v>214</v>
      </c>
      <c r="AJ41" s="49">
        <f>115+93</f>
        <v>208</v>
      </c>
      <c r="AK41" s="27">
        <f t="shared" si="0"/>
        <v>1710</v>
      </c>
      <c r="AL41" s="44">
        <v>11664</v>
      </c>
      <c r="AM41" s="44">
        <v>11742</v>
      </c>
      <c r="AN41" s="44">
        <f t="shared" si="7"/>
        <v>78</v>
      </c>
      <c r="AO41" s="44"/>
      <c r="AP41" s="44">
        <v>156705.60000000001</v>
      </c>
      <c r="AQ41" s="44">
        <f>AP41-AO41</f>
        <v>156705.60000000001</v>
      </c>
      <c r="AR41" s="74">
        <f t="shared" si="3"/>
        <v>21.923076923076923</v>
      </c>
      <c r="AS41" s="49">
        <f t="shared" si="4"/>
        <v>1.0912181823751033E-2</v>
      </c>
    </row>
    <row r="42" spans="1:45" ht="15.75" x14ac:dyDescent="0.25">
      <c r="A42" s="23">
        <v>36</v>
      </c>
      <c r="B42" s="1" t="s">
        <v>71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49">
        <f>244+94</f>
        <v>338</v>
      </c>
      <c r="AC42" s="49">
        <v>100</v>
      </c>
      <c r="AD42" s="49">
        <v>295</v>
      </c>
      <c r="AE42" s="49">
        <v>441</v>
      </c>
      <c r="AF42" s="49">
        <v>260</v>
      </c>
      <c r="AG42" s="49">
        <v>144</v>
      </c>
      <c r="AH42" s="49">
        <f>113+74</f>
        <v>187</v>
      </c>
      <c r="AI42" s="49">
        <v>150</v>
      </c>
      <c r="AJ42" s="49"/>
      <c r="AK42" s="27">
        <f t="shared" si="0"/>
        <v>1915</v>
      </c>
      <c r="AL42" s="44">
        <v>11788</v>
      </c>
      <c r="AM42" s="44">
        <v>11842</v>
      </c>
      <c r="AN42" s="44"/>
      <c r="AO42" s="44">
        <v>156548.4</v>
      </c>
      <c r="AP42" s="44">
        <v>157072.79999999999</v>
      </c>
      <c r="AQ42" s="44">
        <f>AP42-AO42</f>
        <v>524.39999999999418</v>
      </c>
      <c r="AR42" s="74" t="e">
        <f t="shared" si="3"/>
        <v>#DIV/0!</v>
      </c>
      <c r="AS42" s="49">
        <f t="shared" si="4"/>
        <v>3.6517925247902769</v>
      </c>
    </row>
    <row r="43" spans="1:45" ht="15.75" x14ac:dyDescent="0.25">
      <c r="A43" s="23">
        <v>37</v>
      </c>
      <c r="B43" s="1" t="s">
        <v>66</v>
      </c>
      <c r="C43" s="73">
        <v>0</v>
      </c>
      <c r="D43" s="73">
        <v>0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 s="73">
        <v>268</v>
      </c>
      <c r="AB43" s="49">
        <f>106+63</f>
        <v>169</v>
      </c>
      <c r="AC43" s="49">
        <v>70</v>
      </c>
      <c r="AD43" s="49">
        <v>317</v>
      </c>
      <c r="AE43" s="49">
        <v>195</v>
      </c>
      <c r="AF43" s="49">
        <v>220</v>
      </c>
      <c r="AG43" s="49">
        <v>130</v>
      </c>
      <c r="AH43" s="49">
        <f>98+106</f>
        <v>204</v>
      </c>
      <c r="AI43" s="49">
        <f>115+100</f>
        <v>215</v>
      </c>
      <c r="AJ43" s="49">
        <f>108+120</f>
        <v>228</v>
      </c>
      <c r="AK43" s="27">
        <f t="shared" si="0"/>
        <v>2016</v>
      </c>
      <c r="AL43" s="44"/>
      <c r="AM43" s="44"/>
      <c r="AN43" s="44">
        <f t="shared" si="7"/>
        <v>0</v>
      </c>
      <c r="AO43" s="44">
        <v>145471.70000000001</v>
      </c>
      <c r="AP43" s="44">
        <v>146858.20000000001</v>
      </c>
      <c r="AQ43" s="44">
        <f t="shared" si="2"/>
        <v>1386.5</v>
      </c>
      <c r="AR43" s="74" t="e">
        <f t="shared" ref="AR43:AR61" si="8">AK43/AN43</f>
        <v>#DIV/0!</v>
      </c>
      <c r="AS43" s="49">
        <f t="shared" ref="AS43:AS61" si="9">AK43/AQ43</f>
        <v>1.4540209159754778</v>
      </c>
    </row>
    <row r="44" spans="1:45" ht="15.75" x14ac:dyDescent="0.25">
      <c r="A44" s="23">
        <v>38</v>
      </c>
      <c r="B44" s="1" t="s">
        <v>81</v>
      </c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9">
        <v>0</v>
      </c>
      <c r="M44" s="79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49">
        <v>227</v>
      </c>
      <c r="AD44" s="49">
        <v>327</v>
      </c>
      <c r="AE44" s="49">
        <v>321</v>
      </c>
      <c r="AF44" s="49">
        <v>195</v>
      </c>
      <c r="AG44" s="49">
        <f>160+45</f>
        <v>205</v>
      </c>
      <c r="AH44" s="49">
        <f>79+62</f>
        <v>141</v>
      </c>
      <c r="AI44" s="49">
        <f>161+147</f>
        <v>308</v>
      </c>
      <c r="AJ44" s="49">
        <f>130+213-157</f>
        <v>186</v>
      </c>
      <c r="AK44" s="27">
        <f t="shared" si="0"/>
        <v>1910</v>
      </c>
      <c r="AL44" s="44"/>
      <c r="AM44" s="44">
        <v>10126</v>
      </c>
      <c r="AN44" s="44">
        <f t="shared" si="7"/>
        <v>10126</v>
      </c>
      <c r="AO44" s="44"/>
      <c r="AP44" s="44">
        <v>143846.6</v>
      </c>
      <c r="AQ44" s="44">
        <f t="shared" si="2"/>
        <v>143846.6</v>
      </c>
      <c r="AR44" s="74">
        <f t="shared" si="8"/>
        <v>0.18862334584238594</v>
      </c>
      <c r="AS44" s="49">
        <f t="shared" si="9"/>
        <v>1.3278033683104084E-2</v>
      </c>
    </row>
    <row r="45" spans="1:45" ht="15.75" x14ac:dyDescent="0.25">
      <c r="A45" s="23">
        <v>39</v>
      </c>
      <c r="B45" s="1" t="s">
        <v>72</v>
      </c>
      <c r="C45" s="73">
        <v>0</v>
      </c>
      <c r="D45" s="73">
        <v>0</v>
      </c>
      <c r="E45" s="73">
        <v>0</v>
      </c>
      <c r="F45" s="73">
        <v>0</v>
      </c>
      <c r="G45" s="73">
        <v>0</v>
      </c>
      <c r="H45" s="73">
        <v>0</v>
      </c>
      <c r="I45" s="73">
        <v>0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0</v>
      </c>
      <c r="Z45" s="73">
        <v>0</v>
      </c>
      <c r="AA45" s="73">
        <v>0</v>
      </c>
      <c r="AB45" s="49">
        <v>0</v>
      </c>
      <c r="AC45" s="49">
        <v>254</v>
      </c>
      <c r="AD45" s="49">
        <v>188</v>
      </c>
      <c r="AE45" s="49">
        <v>314</v>
      </c>
      <c r="AF45" s="49">
        <v>285</v>
      </c>
      <c r="AG45" s="49">
        <v>40</v>
      </c>
      <c r="AH45" s="49">
        <f>82+98</f>
        <v>180</v>
      </c>
      <c r="AI45" s="49">
        <f>128+90</f>
        <v>218</v>
      </c>
      <c r="AJ45" s="49">
        <v>213</v>
      </c>
      <c r="AK45" s="27">
        <f t="shared" si="0"/>
        <v>1692</v>
      </c>
      <c r="AL45" s="44">
        <v>8640</v>
      </c>
      <c r="AM45" s="44">
        <v>8772</v>
      </c>
      <c r="AN45" s="44">
        <f t="shared" si="7"/>
        <v>132</v>
      </c>
      <c r="AO45" s="44">
        <v>97631.8</v>
      </c>
      <c r="AP45" s="44">
        <v>98377.600000000006</v>
      </c>
      <c r="AQ45" s="44">
        <f>AP45-AO45</f>
        <v>745.80000000000291</v>
      </c>
      <c r="AR45" s="74">
        <f t="shared" si="8"/>
        <v>12.818181818181818</v>
      </c>
      <c r="AS45" s="49">
        <f t="shared" si="9"/>
        <v>2.2687047465808439</v>
      </c>
    </row>
    <row r="46" spans="1:45" ht="15.75" x14ac:dyDescent="0.25">
      <c r="A46" s="23">
        <v>40</v>
      </c>
      <c r="B46" s="1" t="s">
        <v>68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3">
        <v>0</v>
      </c>
      <c r="Z46" s="73">
        <v>0</v>
      </c>
      <c r="AA46" s="73">
        <v>265</v>
      </c>
      <c r="AB46" s="49">
        <f>78+143</f>
        <v>221</v>
      </c>
      <c r="AC46" s="49">
        <v>82</v>
      </c>
      <c r="AD46" s="49">
        <v>168</v>
      </c>
      <c r="AE46" s="49">
        <v>404</v>
      </c>
      <c r="AF46" s="49">
        <v>220</v>
      </c>
      <c r="AG46" s="49">
        <f>92+50</f>
        <v>142</v>
      </c>
      <c r="AH46" s="49">
        <f>172+49</f>
        <v>221</v>
      </c>
      <c r="AI46" s="49">
        <v>162</v>
      </c>
      <c r="AJ46" s="49">
        <f>244+107</f>
        <v>351</v>
      </c>
      <c r="AK46" s="27">
        <f t="shared" si="0"/>
        <v>2236</v>
      </c>
      <c r="AL46" s="44">
        <v>9950</v>
      </c>
      <c r="AM46" s="44">
        <v>10106</v>
      </c>
      <c r="AN46" s="44">
        <f t="shared" si="7"/>
        <v>156</v>
      </c>
      <c r="AO46" s="44"/>
      <c r="AP46" s="44">
        <v>111896.1</v>
      </c>
      <c r="AQ46" s="44">
        <f t="shared" si="2"/>
        <v>111896.1</v>
      </c>
      <c r="AR46" s="74">
        <f t="shared" si="8"/>
        <v>14.333333333333334</v>
      </c>
      <c r="AS46" s="49">
        <f t="shared" si="9"/>
        <v>1.998282335130536E-2</v>
      </c>
    </row>
    <row r="47" spans="1:45" ht="15.75" x14ac:dyDescent="0.25">
      <c r="A47" s="23">
        <v>41</v>
      </c>
      <c r="B47" s="1" t="s">
        <v>67</v>
      </c>
      <c r="C47" s="73">
        <v>0</v>
      </c>
      <c r="D47" s="73">
        <v>0</v>
      </c>
      <c r="E47" s="73">
        <v>0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208</v>
      </c>
      <c r="AB47" s="73">
        <f>102+91</f>
        <v>193</v>
      </c>
      <c r="AC47" s="49">
        <v>77</v>
      </c>
      <c r="AD47" s="49">
        <v>263</v>
      </c>
      <c r="AE47" s="49">
        <v>266</v>
      </c>
      <c r="AF47" s="49">
        <v>225</v>
      </c>
      <c r="AG47" s="49">
        <f>106+55</f>
        <v>161</v>
      </c>
      <c r="AH47" s="49">
        <v>133</v>
      </c>
      <c r="AI47" s="49"/>
      <c r="AJ47" s="49"/>
      <c r="AK47" s="27">
        <f t="shared" si="0"/>
        <v>1526</v>
      </c>
      <c r="AL47" s="44">
        <v>8969</v>
      </c>
      <c r="AM47" s="44">
        <v>9061</v>
      </c>
      <c r="AN47" s="44">
        <f t="shared" si="7"/>
        <v>92</v>
      </c>
      <c r="AO47" s="44">
        <v>102211.3</v>
      </c>
      <c r="AP47" s="44">
        <v>102773.3</v>
      </c>
      <c r="AQ47" s="44">
        <f t="shared" si="2"/>
        <v>562</v>
      </c>
      <c r="AR47" s="74">
        <f t="shared" si="8"/>
        <v>16.586956521739129</v>
      </c>
      <c r="AS47" s="49">
        <f t="shared" si="9"/>
        <v>2.7153024911032029</v>
      </c>
    </row>
    <row r="48" spans="1:45" ht="15.75" x14ac:dyDescent="0.25">
      <c r="A48" s="23">
        <v>42</v>
      </c>
      <c r="B48" s="1" t="s">
        <v>73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3">
        <v>0</v>
      </c>
      <c r="Z48" s="73">
        <v>0</v>
      </c>
      <c r="AA48" s="73">
        <v>0</v>
      </c>
      <c r="AB48" s="73">
        <v>0</v>
      </c>
      <c r="AC48" s="49">
        <v>0</v>
      </c>
      <c r="AD48" s="49">
        <v>0</v>
      </c>
      <c r="AE48" s="49">
        <v>285</v>
      </c>
      <c r="AF48" s="49">
        <v>0</v>
      </c>
      <c r="AG48" s="49">
        <v>199</v>
      </c>
      <c r="AH48" s="49">
        <v>168</v>
      </c>
      <c r="AI48" s="49"/>
      <c r="AJ48" s="49"/>
      <c r="AK48" s="27">
        <f t="shared" si="0"/>
        <v>652</v>
      </c>
      <c r="AL48" s="44">
        <v>8946</v>
      </c>
      <c r="AM48" s="44"/>
      <c r="AN48" s="44">
        <f t="shared" si="7"/>
        <v>-8946</v>
      </c>
      <c r="AO48" s="44">
        <v>102761.1</v>
      </c>
      <c r="AP48" s="44"/>
      <c r="AQ48" s="44">
        <f t="shared" si="2"/>
        <v>-102761.1</v>
      </c>
      <c r="AR48" s="74">
        <f t="shared" si="8"/>
        <v>-7.2881734853565833E-2</v>
      </c>
      <c r="AS48" s="49">
        <f t="shared" si="9"/>
        <v>-6.3448133583622595E-3</v>
      </c>
    </row>
    <row r="49" spans="1:45" ht="15.75" x14ac:dyDescent="0.25">
      <c r="A49" s="23">
        <v>43</v>
      </c>
      <c r="B49" s="1" t="s">
        <v>74</v>
      </c>
      <c r="C49" s="73">
        <v>0</v>
      </c>
      <c r="D49" s="73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49">
        <v>277</v>
      </c>
      <c r="AD49" s="49">
        <v>265</v>
      </c>
      <c r="AE49" s="49">
        <v>316</v>
      </c>
      <c r="AF49" s="49">
        <v>242</v>
      </c>
      <c r="AG49" s="49">
        <v>125</v>
      </c>
      <c r="AH49" s="49">
        <f>204+106</f>
        <v>310</v>
      </c>
      <c r="AI49" s="49"/>
      <c r="AJ49" s="49"/>
      <c r="AK49" s="27">
        <f t="shared" si="0"/>
        <v>1535</v>
      </c>
      <c r="AL49" s="44"/>
      <c r="AM49" s="44"/>
      <c r="AN49" s="44">
        <f t="shared" si="7"/>
        <v>0</v>
      </c>
      <c r="AO49" s="44"/>
      <c r="AP49" s="44"/>
      <c r="AQ49" s="44">
        <f t="shared" si="2"/>
        <v>0</v>
      </c>
      <c r="AR49" s="74" t="e">
        <f t="shared" si="8"/>
        <v>#DIV/0!</v>
      </c>
      <c r="AS49" s="49" t="e">
        <f t="shared" si="9"/>
        <v>#DIV/0!</v>
      </c>
    </row>
    <row r="50" spans="1:45" ht="15.75" x14ac:dyDescent="0.25">
      <c r="A50" s="23">
        <v>44</v>
      </c>
      <c r="B50" s="1" t="s">
        <v>95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 s="73">
        <v>0</v>
      </c>
      <c r="AB50" s="73">
        <v>0</v>
      </c>
      <c r="AC50" s="73">
        <v>0</v>
      </c>
      <c r="AD50" s="73">
        <v>0</v>
      </c>
      <c r="AE50" s="73">
        <v>220</v>
      </c>
      <c r="AF50" s="49">
        <v>0</v>
      </c>
      <c r="AG50" s="49">
        <v>0</v>
      </c>
      <c r="AH50" s="49">
        <v>0</v>
      </c>
      <c r="AI50" s="49">
        <v>40</v>
      </c>
      <c r="AJ50" s="49">
        <f>125+80</f>
        <v>205</v>
      </c>
      <c r="AK50" s="27">
        <f t="shared" si="0"/>
        <v>465</v>
      </c>
      <c r="AL50" s="44"/>
      <c r="AM50" s="44">
        <v>16662</v>
      </c>
      <c r="AN50" s="44">
        <f t="shared" si="7"/>
        <v>16662</v>
      </c>
      <c r="AO50" s="44"/>
      <c r="AP50" s="44">
        <v>203680.4</v>
      </c>
      <c r="AQ50" s="44">
        <f t="shared" si="2"/>
        <v>203680.4</v>
      </c>
      <c r="AR50" s="74">
        <f t="shared" si="8"/>
        <v>2.7907814187972634E-2</v>
      </c>
      <c r="AS50" s="49">
        <f t="shared" si="9"/>
        <v>2.2829884466055643E-3</v>
      </c>
    </row>
    <row r="51" spans="1:45" ht="15.75" x14ac:dyDescent="0.25">
      <c r="A51" s="23">
        <v>45</v>
      </c>
      <c r="B51" s="1" t="s">
        <v>86</v>
      </c>
      <c r="C51" s="73"/>
      <c r="D51" s="73">
        <v>0</v>
      </c>
      <c r="E51" s="73">
        <v>0</v>
      </c>
      <c r="F51" s="73">
        <v>0</v>
      </c>
      <c r="G51" s="73">
        <v>0</v>
      </c>
      <c r="H51" s="73">
        <v>0</v>
      </c>
      <c r="I51" s="73">
        <v>0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49">
        <v>0</v>
      </c>
      <c r="AD51" s="49">
        <v>0</v>
      </c>
      <c r="AE51" s="49">
        <v>374</v>
      </c>
      <c r="AF51" s="49">
        <v>225</v>
      </c>
      <c r="AG51" s="49">
        <v>100</v>
      </c>
      <c r="AH51" s="49">
        <v>0</v>
      </c>
      <c r="AI51" s="49"/>
      <c r="AJ51" s="49"/>
      <c r="AK51" s="27">
        <f t="shared" si="0"/>
        <v>699</v>
      </c>
      <c r="AL51" s="44"/>
      <c r="AM51" s="44">
        <v>16776</v>
      </c>
      <c r="AN51" s="44">
        <f t="shared" si="7"/>
        <v>16776</v>
      </c>
      <c r="AO51" s="44"/>
      <c r="AP51" s="44">
        <v>205033.4</v>
      </c>
      <c r="AQ51" s="44">
        <f t="shared" si="2"/>
        <v>205033.4</v>
      </c>
      <c r="AR51" s="74">
        <f t="shared" si="8"/>
        <v>4.1666666666666664E-2</v>
      </c>
      <c r="AS51" s="49">
        <f t="shared" si="9"/>
        <v>3.4092006473091701E-3</v>
      </c>
    </row>
    <row r="52" spans="1:45" ht="15.75" x14ac:dyDescent="0.25">
      <c r="A52" s="23">
        <v>46</v>
      </c>
      <c r="B52" s="1" t="s">
        <v>75</v>
      </c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0</v>
      </c>
      <c r="S52" s="73">
        <v>0</v>
      </c>
      <c r="T52" s="73">
        <v>0</v>
      </c>
      <c r="U52" s="73">
        <v>0</v>
      </c>
      <c r="V52" s="73">
        <v>0</v>
      </c>
      <c r="W52" s="73">
        <v>0</v>
      </c>
      <c r="X52" s="73">
        <v>0</v>
      </c>
      <c r="Y52" s="73">
        <v>0</v>
      </c>
      <c r="Z52" s="73">
        <v>0</v>
      </c>
      <c r="AA52" s="73">
        <v>0</v>
      </c>
      <c r="AB52" s="73">
        <f>137+223</f>
        <v>360</v>
      </c>
      <c r="AC52" s="49">
        <v>80</v>
      </c>
      <c r="AD52" s="49">
        <v>186</v>
      </c>
      <c r="AE52" s="49">
        <v>270</v>
      </c>
      <c r="AF52" s="49">
        <v>200</v>
      </c>
      <c r="AG52" s="49">
        <v>140</v>
      </c>
      <c r="AH52" s="49">
        <f>113+113</f>
        <v>226</v>
      </c>
      <c r="AI52" s="49">
        <f>122+100</f>
        <v>222</v>
      </c>
      <c r="AJ52" s="49">
        <f>115</f>
        <v>115</v>
      </c>
      <c r="AK52" s="27">
        <f t="shared" si="0"/>
        <v>1799</v>
      </c>
      <c r="AL52" s="44"/>
      <c r="AM52" s="44">
        <v>11852</v>
      </c>
      <c r="AN52" s="44">
        <f t="shared" si="7"/>
        <v>11852</v>
      </c>
      <c r="AO52" s="44"/>
      <c r="AP52" s="44">
        <v>144167.4</v>
      </c>
      <c r="AQ52" s="44">
        <v>144306.29999999999</v>
      </c>
      <c r="AR52" s="74">
        <f t="shared" si="8"/>
        <v>0.15178872764090448</v>
      </c>
      <c r="AS52" s="49">
        <f t="shared" si="9"/>
        <v>1.2466538189947356E-2</v>
      </c>
    </row>
    <row r="53" spans="1:45" ht="15.75" x14ac:dyDescent="0.25">
      <c r="A53" s="23">
        <v>47</v>
      </c>
      <c r="B53" s="1" t="s">
        <v>76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/>
      <c r="AJ53" s="49">
        <v>158</v>
      </c>
      <c r="AK53" s="27">
        <f t="shared" si="0"/>
        <v>158</v>
      </c>
      <c r="AL53" s="44">
        <v>16503</v>
      </c>
      <c r="AM53" s="44"/>
      <c r="AN53" s="44">
        <f t="shared" si="7"/>
        <v>-16503</v>
      </c>
      <c r="AO53" s="44">
        <v>206666.1</v>
      </c>
      <c r="AP53" s="44"/>
      <c r="AQ53" s="44">
        <f t="shared" si="2"/>
        <v>-206666.1</v>
      </c>
      <c r="AR53" s="74">
        <f t="shared" si="8"/>
        <v>-9.5740168454220443E-3</v>
      </c>
      <c r="AS53" s="49">
        <f t="shared" si="9"/>
        <v>-7.6451822529190801E-4</v>
      </c>
    </row>
    <row r="54" spans="1:45" ht="15.75" x14ac:dyDescent="0.25">
      <c r="A54" s="23">
        <v>48</v>
      </c>
      <c r="B54" s="1" t="s">
        <v>77</v>
      </c>
      <c r="C54" s="73">
        <v>0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73">
        <v>0</v>
      </c>
      <c r="Y54" s="73">
        <v>0</v>
      </c>
      <c r="Z54" s="73">
        <v>0</v>
      </c>
      <c r="AA54" s="73">
        <v>0</v>
      </c>
      <c r="AB54" s="73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/>
      <c r="AJ54" s="49"/>
      <c r="AK54" s="27">
        <f t="shared" si="0"/>
        <v>0</v>
      </c>
      <c r="AL54" s="44">
        <v>15848</v>
      </c>
      <c r="AM54" s="44"/>
      <c r="AN54" s="44">
        <f t="shared" si="7"/>
        <v>-15848</v>
      </c>
      <c r="AO54" s="44">
        <v>192880.8</v>
      </c>
      <c r="AP54" s="44"/>
      <c r="AQ54" s="44">
        <f t="shared" si="2"/>
        <v>-192880.8</v>
      </c>
      <c r="AR54" s="74">
        <f t="shared" si="8"/>
        <v>0</v>
      </c>
      <c r="AS54" s="49">
        <f t="shared" si="9"/>
        <v>0</v>
      </c>
    </row>
    <row r="55" spans="1:45" ht="15.75" x14ac:dyDescent="0.25">
      <c r="A55" s="23">
        <v>49</v>
      </c>
      <c r="B55" s="1" t="s">
        <v>78</v>
      </c>
      <c r="C55" s="73">
        <v>0</v>
      </c>
      <c r="D55" s="73">
        <v>0</v>
      </c>
      <c r="E55" s="73">
        <v>0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/>
      <c r="AJ55" s="49"/>
      <c r="AK55" s="27">
        <f t="shared" si="0"/>
        <v>0</v>
      </c>
      <c r="AL55" s="44"/>
      <c r="AM55" s="44"/>
      <c r="AN55" s="44">
        <f t="shared" si="7"/>
        <v>0</v>
      </c>
      <c r="AO55" s="44">
        <v>125800.8</v>
      </c>
      <c r="AP55" s="44"/>
      <c r="AQ55" s="44">
        <f t="shared" si="2"/>
        <v>-125800.8</v>
      </c>
      <c r="AR55" s="74" t="e">
        <f t="shared" si="8"/>
        <v>#DIV/0!</v>
      </c>
      <c r="AS55" s="49">
        <f t="shared" si="9"/>
        <v>0</v>
      </c>
    </row>
    <row r="56" spans="1:45" ht="15.75" x14ac:dyDescent="0.25">
      <c r="A56" s="23">
        <v>50</v>
      </c>
      <c r="B56" s="1" t="s">
        <v>84</v>
      </c>
      <c r="C56" s="73">
        <v>0</v>
      </c>
      <c r="D56" s="73">
        <v>0</v>
      </c>
      <c r="E56" s="73">
        <v>0</v>
      </c>
      <c r="F56" s="73">
        <v>0</v>
      </c>
      <c r="G56" s="73">
        <v>0</v>
      </c>
      <c r="H56" s="73">
        <v>0</v>
      </c>
      <c r="I56" s="73">
        <v>0</v>
      </c>
      <c r="J56" s="73">
        <v>0</v>
      </c>
      <c r="K56" s="73">
        <v>0</v>
      </c>
      <c r="L56" s="73">
        <v>0</v>
      </c>
      <c r="M56" s="73">
        <v>0</v>
      </c>
      <c r="N56" s="73">
        <v>0</v>
      </c>
      <c r="O56" s="73">
        <v>0</v>
      </c>
      <c r="P56" s="73">
        <v>0</v>
      </c>
      <c r="Q56" s="73">
        <v>0</v>
      </c>
      <c r="R56" s="73">
        <v>0</v>
      </c>
      <c r="S56" s="73">
        <v>0</v>
      </c>
      <c r="T56" s="73">
        <v>0</v>
      </c>
      <c r="U56" s="73">
        <v>0</v>
      </c>
      <c r="V56" s="73">
        <v>0</v>
      </c>
      <c r="W56" s="73">
        <v>0</v>
      </c>
      <c r="X56" s="73">
        <v>0</v>
      </c>
      <c r="Y56" s="73">
        <v>0</v>
      </c>
      <c r="Z56" s="73">
        <v>0</v>
      </c>
      <c r="AA56" s="73">
        <v>0</v>
      </c>
      <c r="AB56" s="73">
        <v>0</v>
      </c>
      <c r="AC56" s="49">
        <v>0</v>
      </c>
      <c r="AD56" s="49">
        <v>223</v>
      </c>
      <c r="AE56" s="49">
        <v>0</v>
      </c>
      <c r="AF56" s="49">
        <v>0</v>
      </c>
      <c r="AG56" s="49">
        <v>0</v>
      </c>
      <c r="AH56" s="49">
        <v>0</v>
      </c>
      <c r="AI56" s="49"/>
      <c r="AJ56" s="49"/>
      <c r="AK56" s="27">
        <f t="shared" si="0"/>
        <v>223</v>
      </c>
      <c r="AL56" s="44"/>
      <c r="AM56" s="44"/>
      <c r="AN56" s="44">
        <f t="shared" si="7"/>
        <v>0</v>
      </c>
      <c r="AO56" s="44"/>
      <c r="AP56" s="44"/>
      <c r="AQ56" s="44">
        <f t="shared" si="2"/>
        <v>0</v>
      </c>
      <c r="AR56" s="74" t="e">
        <f t="shared" si="8"/>
        <v>#DIV/0!</v>
      </c>
      <c r="AS56" s="49" t="e">
        <f t="shared" si="9"/>
        <v>#DIV/0!</v>
      </c>
    </row>
    <row r="57" spans="1:45" ht="15.75" x14ac:dyDescent="0.25">
      <c r="A57" s="23">
        <v>51</v>
      </c>
      <c r="B57" s="1" t="s">
        <v>97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73">
        <v>0</v>
      </c>
      <c r="S57" s="73">
        <v>0</v>
      </c>
      <c r="T57" s="73">
        <v>0</v>
      </c>
      <c r="U57" s="73">
        <v>0</v>
      </c>
      <c r="V57" s="73">
        <v>0</v>
      </c>
      <c r="W57" s="73">
        <v>0</v>
      </c>
      <c r="X57" s="73">
        <v>0</v>
      </c>
      <c r="Y57" s="73">
        <v>0</v>
      </c>
      <c r="Z57" s="73">
        <v>0</v>
      </c>
      <c r="AA57" s="73">
        <v>0</v>
      </c>
      <c r="AB57" s="73">
        <v>0</v>
      </c>
      <c r="AC57" s="73">
        <v>0</v>
      </c>
      <c r="AD57" s="73">
        <v>0</v>
      </c>
      <c r="AE57" s="73">
        <v>0</v>
      </c>
      <c r="AF57" s="73">
        <v>0</v>
      </c>
      <c r="AG57" s="73">
        <v>209</v>
      </c>
      <c r="AH57" s="49">
        <v>34</v>
      </c>
      <c r="AI57" s="49"/>
      <c r="AJ57" s="49"/>
      <c r="AK57" s="27">
        <f t="shared" si="0"/>
        <v>243</v>
      </c>
      <c r="AL57" s="44"/>
      <c r="AM57" s="44"/>
      <c r="AN57" s="44">
        <f t="shared" si="7"/>
        <v>0</v>
      </c>
      <c r="AO57" s="44"/>
      <c r="AP57" s="44">
        <v>146858.20000000001</v>
      </c>
      <c r="AQ57" s="44">
        <f t="shared" si="2"/>
        <v>146858.20000000001</v>
      </c>
      <c r="AR57" s="74" t="e">
        <f t="shared" si="8"/>
        <v>#DIV/0!</v>
      </c>
      <c r="AS57" s="49">
        <f t="shared" si="9"/>
        <v>1.654657349742813E-3</v>
      </c>
    </row>
    <row r="58" spans="1:45" ht="15.75" x14ac:dyDescent="0.25">
      <c r="A58" s="23">
        <v>52</v>
      </c>
      <c r="B58" s="1" t="s">
        <v>85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49">
        <v>0</v>
      </c>
      <c r="AD58" s="49">
        <v>205</v>
      </c>
      <c r="AE58" s="49">
        <v>157</v>
      </c>
      <c r="AF58" s="49">
        <v>215</v>
      </c>
      <c r="AG58" s="49">
        <v>154</v>
      </c>
      <c r="AH58" s="49">
        <f>82+81</f>
        <v>163</v>
      </c>
      <c r="AI58" s="49">
        <f>134+80</f>
        <v>214</v>
      </c>
      <c r="AJ58" s="49">
        <v>91</v>
      </c>
      <c r="AK58" s="27">
        <f t="shared" si="0"/>
        <v>1199</v>
      </c>
      <c r="AL58" s="44"/>
      <c r="AM58" s="44">
        <v>13728</v>
      </c>
      <c r="AN58" s="44">
        <f t="shared" si="7"/>
        <v>13728</v>
      </c>
      <c r="AO58" s="44"/>
      <c r="AP58" s="44">
        <v>173391.5</v>
      </c>
      <c r="AQ58" s="44">
        <f t="shared" si="2"/>
        <v>173391.5</v>
      </c>
      <c r="AR58" s="74">
        <f t="shared" si="8"/>
        <v>8.7339743589743585E-2</v>
      </c>
      <c r="AS58" s="49">
        <f t="shared" si="9"/>
        <v>6.9149871821859782E-3</v>
      </c>
    </row>
    <row r="59" spans="1:45" ht="15.75" x14ac:dyDescent="0.25">
      <c r="A59" s="23">
        <v>53</v>
      </c>
      <c r="B59" s="1" t="s">
        <v>79</v>
      </c>
      <c r="C59" s="73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f>234+90</f>
        <v>324</v>
      </c>
      <c r="AC59" s="49">
        <v>96</v>
      </c>
      <c r="AD59" s="49">
        <v>75</v>
      </c>
      <c r="AE59" s="49">
        <v>0</v>
      </c>
      <c r="AF59" s="49">
        <v>185</v>
      </c>
      <c r="AG59" s="49">
        <v>271</v>
      </c>
      <c r="AH59" s="49">
        <v>193</v>
      </c>
      <c r="AI59" s="49">
        <f>91+177</f>
        <v>268</v>
      </c>
      <c r="AJ59" s="49">
        <f>179+169</f>
        <v>348</v>
      </c>
      <c r="AK59" s="27">
        <f t="shared" si="0"/>
        <v>1760</v>
      </c>
      <c r="AL59" s="44"/>
      <c r="AM59" s="44"/>
      <c r="AN59" s="44">
        <f t="shared" si="7"/>
        <v>0</v>
      </c>
      <c r="AO59" s="44">
        <v>177487.1</v>
      </c>
      <c r="AP59" s="44">
        <v>178565.6</v>
      </c>
      <c r="AQ59" s="44">
        <f t="shared" si="2"/>
        <v>1078.5</v>
      </c>
      <c r="AR59" s="74" t="e">
        <f t="shared" si="8"/>
        <v>#DIV/0!</v>
      </c>
      <c r="AS59" s="49">
        <f t="shared" si="9"/>
        <v>1.6318961520630506</v>
      </c>
    </row>
    <row r="60" spans="1:45" ht="15.75" x14ac:dyDescent="0.25">
      <c r="A60" s="23">
        <v>54</v>
      </c>
      <c r="B60" s="1" t="s">
        <v>94</v>
      </c>
      <c r="C60" s="73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49">
        <v>0</v>
      </c>
      <c r="AF60" s="49">
        <v>80</v>
      </c>
      <c r="AG60" s="78">
        <f>245+74+50</f>
        <v>369</v>
      </c>
      <c r="AH60" s="49">
        <v>191</v>
      </c>
      <c r="AI60" s="49">
        <f>69+101</f>
        <v>170</v>
      </c>
      <c r="AJ60" s="49">
        <f>205</f>
        <v>205</v>
      </c>
      <c r="AK60" s="27">
        <f t="shared" si="0"/>
        <v>1015</v>
      </c>
      <c r="AL60" s="44"/>
      <c r="AM60" s="44">
        <v>15038</v>
      </c>
      <c r="AN60" s="44">
        <v>15079</v>
      </c>
      <c r="AO60" s="44"/>
      <c r="AP60" s="44">
        <v>199509.6</v>
      </c>
      <c r="AQ60" s="44">
        <v>199648.8</v>
      </c>
      <c r="AR60" s="74">
        <f t="shared" si="8"/>
        <v>6.7312155978513158E-2</v>
      </c>
      <c r="AS60" s="49">
        <f t="shared" si="9"/>
        <v>5.0839273764730873E-3</v>
      </c>
    </row>
    <row r="61" spans="1:45" ht="15.75" x14ac:dyDescent="0.25">
      <c r="A61" s="23">
        <v>55</v>
      </c>
      <c r="B61" s="1" t="s">
        <v>90</v>
      </c>
      <c r="C61" s="73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3">
        <v>0</v>
      </c>
      <c r="Y61" s="73">
        <v>0</v>
      </c>
      <c r="Z61" s="73">
        <v>0</v>
      </c>
      <c r="AA61" s="73">
        <v>0</v>
      </c>
      <c r="AB61" s="73">
        <v>0</v>
      </c>
      <c r="AC61" s="73">
        <v>0</v>
      </c>
      <c r="AD61" s="73">
        <v>0</v>
      </c>
      <c r="AE61" s="73">
        <v>0</v>
      </c>
      <c r="AF61" s="73">
        <v>110</v>
      </c>
      <c r="AG61" s="73">
        <v>0</v>
      </c>
      <c r="AH61" s="73">
        <v>107</v>
      </c>
      <c r="AI61" s="73">
        <v>210</v>
      </c>
      <c r="AJ61" s="73">
        <v>119</v>
      </c>
      <c r="AK61" s="27">
        <f t="shared" si="0"/>
        <v>546</v>
      </c>
      <c r="AL61" s="44"/>
      <c r="AM61" s="44"/>
      <c r="AN61" s="44">
        <f t="shared" si="7"/>
        <v>0</v>
      </c>
      <c r="AO61" s="44"/>
      <c r="AP61" s="44"/>
      <c r="AQ61" s="44">
        <f t="shared" si="2"/>
        <v>0</v>
      </c>
      <c r="AR61" s="74" t="e">
        <f t="shared" si="8"/>
        <v>#DIV/0!</v>
      </c>
      <c r="AS61" s="49" t="e">
        <f t="shared" si="9"/>
        <v>#DIV/0!</v>
      </c>
    </row>
    <row r="62" spans="1:45" ht="15.75" x14ac:dyDescent="0.25">
      <c r="A62" s="23">
        <v>56</v>
      </c>
      <c r="B62" s="1" t="s">
        <v>91</v>
      </c>
      <c r="C62" s="73">
        <v>0</v>
      </c>
      <c r="D62" s="73">
        <v>0</v>
      </c>
      <c r="E62" s="73">
        <v>0</v>
      </c>
      <c r="F62" s="49">
        <v>0</v>
      </c>
      <c r="G62" s="49">
        <v>0</v>
      </c>
      <c r="H62" s="49">
        <v>142</v>
      </c>
      <c r="I62" s="75">
        <v>0</v>
      </c>
      <c r="J62" s="49">
        <v>130</v>
      </c>
      <c r="K62" s="49">
        <v>0</v>
      </c>
      <c r="L62" s="49">
        <f>144+60</f>
        <v>204</v>
      </c>
      <c r="M62" s="49">
        <v>60</v>
      </c>
      <c r="N62" s="49">
        <v>85</v>
      </c>
      <c r="O62" s="49">
        <v>0</v>
      </c>
      <c r="P62" s="49">
        <v>55</v>
      </c>
      <c r="Q62" s="49">
        <v>80</v>
      </c>
      <c r="R62" s="49">
        <v>85</v>
      </c>
      <c r="S62" s="49">
        <v>0</v>
      </c>
      <c r="T62" s="49">
        <v>80</v>
      </c>
      <c r="U62" s="49">
        <v>0</v>
      </c>
      <c r="V62" s="49">
        <v>67</v>
      </c>
      <c r="W62" s="49">
        <v>96</v>
      </c>
      <c r="X62" s="49">
        <v>107</v>
      </c>
      <c r="Y62" s="49">
        <v>99</v>
      </c>
      <c r="Z62" s="49">
        <v>96</v>
      </c>
      <c r="AA62" s="49">
        <f>54+139</f>
        <v>193</v>
      </c>
      <c r="AB62" s="49">
        <f>63+160</f>
        <v>223</v>
      </c>
      <c r="AC62" s="49">
        <v>0</v>
      </c>
      <c r="AD62" s="49">
        <v>203</v>
      </c>
      <c r="AE62" s="49">
        <v>287</v>
      </c>
      <c r="AF62" s="49">
        <v>0</v>
      </c>
      <c r="AG62" s="49">
        <v>54</v>
      </c>
      <c r="AH62" s="49">
        <v>0</v>
      </c>
      <c r="AI62" s="49"/>
      <c r="AJ62" s="49">
        <v>276</v>
      </c>
      <c r="AK62" s="27">
        <f t="shared" si="0"/>
        <v>2622</v>
      </c>
      <c r="AL62" s="44"/>
      <c r="AM62" s="44"/>
      <c r="AN62" s="44">
        <f t="shared" si="7"/>
        <v>0</v>
      </c>
      <c r="AO62" s="44"/>
      <c r="AP62" s="44"/>
      <c r="AQ62" s="44">
        <f t="shared" si="2"/>
        <v>0</v>
      </c>
      <c r="AR62" s="74" t="e">
        <f t="shared" si="3"/>
        <v>#DIV/0!</v>
      </c>
      <c r="AS62" s="49" t="e">
        <f t="shared" si="4"/>
        <v>#DIV/0!</v>
      </c>
    </row>
    <row r="63" spans="1:45" ht="15.75" x14ac:dyDescent="0.25">
      <c r="A63" s="23">
        <v>57</v>
      </c>
      <c r="B63" s="1" t="s">
        <v>92</v>
      </c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/>
      <c r="AE63" s="73">
        <v>0</v>
      </c>
      <c r="AF63" s="49">
        <v>102</v>
      </c>
      <c r="AG63" s="49">
        <v>0</v>
      </c>
      <c r="AH63" s="49">
        <v>0</v>
      </c>
      <c r="AI63" s="49"/>
      <c r="AJ63" s="49">
        <v>0</v>
      </c>
      <c r="AK63" s="27">
        <f t="shared" si="0"/>
        <v>102</v>
      </c>
      <c r="AL63" s="44"/>
      <c r="AM63" s="44"/>
      <c r="AN63" s="44">
        <f t="shared" si="7"/>
        <v>0</v>
      </c>
      <c r="AO63" s="44"/>
      <c r="AP63" s="44"/>
      <c r="AQ63" s="44">
        <f t="shared" si="2"/>
        <v>0</v>
      </c>
      <c r="AR63" s="74" t="e">
        <f t="shared" si="3"/>
        <v>#DIV/0!</v>
      </c>
      <c r="AS63" s="49" t="e">
        <f t="shared" si="4"/>
        <v>#DIV/0!</v>
      </c>
    </row>
    <row r="64" spans="1:45" ht="15.75" x14ac:dyDescent="0.25">
      <c r="A64" s="23">
        <v>58</v>
      </c>
      <c r="B64" s="1" t="s">
        <v>93</v>
      </c>
      <c r="C64" s="73">
        <v>0</v>
      </c>
      <c r="D64" s="73">
        <v>0</v>
      </c>
      <c r="E64" s="73">
        <v>50</v>
      </c>
      <c r="F64" s="49">
        <v>0</v>
      </c>
      <c r="G64" s="49">
        <v>0</v>
      </c>
      <c r="H64" s="49">
        <v>0</v>
      </c>
      <c r="I64" s="75">
        <v>0</v>
      </c>
      <c r="J64" s="49">
        <v>0</v>
      </c>
      <c r="K64" s="49">
        <v>0</v>
      </c>
      <c r="L64" s="49">
        <v>0</v>
      </c>
      <c r="M64" s="49">
        <v>60</v>
      </c>
      <c r="N64" s="49">
        <v>0</v>
      </c>
      <c r="O64" s="49">
        <v>0</v>
      </c>
      <c r="P64" s="49">
        <v>70</v>
      </c>
      <c r="Q64" s="49">
        <v>0</v>
      </c>
      <c r="R64" s="49">
        <v>55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97</v>
      </c>
      <c r="Z64" s="49">
        <v>0</v>
      </c>
      <c r="AA64" s="49">
        <v>39</v>
      </c>
      <c r="AB64" s="49">
        <v>0</v>
      </c>
      <c r="AC64" s="49">
        <v>0</v>
      </c>
      <c r="AD64" s="49">
        <v>96</v>
      </c>
      <c r="AE64" s="49">
        <v>47</v>
      </c>
      <c r="AF64" s="49">
        <v>0</v>
      </c>
      <c r="AG64" s="49">
        <v>0</v>
      </c>
      <c r="AH64" s="49">
        <v>0</v>
      </c>
      <c r="AI64" s="49"/>
      <c r="AJ64" s="49">
        <v>100</v>
      </c>
      <c r="AK64" s="27">
        <f t="shared" si="0"/>
        <v>614</v>
      </c>
      <c r="AL64" s="44"/>
      <c r="AM64" s="44"/>
      <c r="AN64" s="44">
        <f t="shared" si="7"/>
        <v>0</v>
      </c>
      <c r="AO64" s="44"/>
      <c r="AP64" s="44"/>
      <c r="AQ64" s="44">
        <f t="shared" si="2"/>
        <v>0</v>
      </c>
      <c r="AR64" s="74" t="e">
        <f t="shared" si="3"/>
        <v>#DIV/0!</v>
      </c>
      <c r="AS64" s="49" t="e">
        <f t="shared" si="4"/>
        <v>#DIV/0!</v>
      </c>
    </row>
    <row r="65" spans="1:45" ht="15.75" x14ac:dyDescent="0.25">
      <c r="A65" s="23">
        <v>59</v>
      </c>
      <c r="B65" s="1" t="s">
        <v>4</v>
      </c>
      <c r="C65" s="73">
        <v>20</v>
      </c>
      <c r="D65" s="73">
        <v>25</v>
      </c>
      <c r="E65" s="73">
        <v>20</v>
      </c>
      <c r="F65" s="49">
        <v>0</v>
      </c>
      <c r="G65" s="49">
        <v>0</v>
      </c>
      <c r="H65" s="49">
        <v>30</v>
      </c>
      <c r="I65" s="75">
        <v>0</v>
      </c>
      <c r="J65" s="49">
        <v>0</v>
      </c>
      <c r="K65" s="49">
        <v>0</v>
      </c>
      <c r="L65" s="49">
        <v>35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53</v>
      </c>
      <c r="U65" s="49">
        <v>0</v>
      </c>
      <c r="V65" s="49">
        <v>0</v>
      </c>
      <c r="W65" s="49">
        <v>23</v>
      </c>
      <c r="X65" s="49">
        <v>0</v>
      </c>
      <c r="Y65" s="49">
        <v>0</v>
      </c>
      <c r="Z65" s="49">
        <v>0</v>
      </c>
      <c r="AA65" s="49">
        <v>0</v>
      </c>
      <c r="AB65" s="49">
        <v>49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9"/>
      <c r="AJ65" s="49"/>
      <c r="AK65" s="27">
        <f t="shared" si="0"/>
        <v>255</v>
      </c>
      <c r="AL65" s="44"/>
      <c r="AM65" s="44"/>
      <c r="AN65" s="44">
        <f t="shared" si="7"/>
        <v>0</v>
      </c>
      <c r="AO65" s="44"/>
      <c r="AP65" s="44"/>
      <c r="AQ65" s="44">
        <f t="shared" si="2"/>
        <v>0</v>
      </c>
      <c r="AR65" s="74" t="e">
        <f t="shared" si="3"/>
        <v>#DIV/0!</v>
      </c>
      <c r="AS65" s="49" t="e">
        <f t="shared" si="4"/>
        <v>#DIV/0!</v>
      </c>
    </row>
    <row r="66" spans="1:45" ht="15.75" x14ac:dyDescent="0.25">
      <c r="A66" s="23">
        <v>60</v>
      </c>
      <c r="B66" s="1" t="s">
        <v>37</v>
      </c>
      <c r="C66" s="73">
        <v>36</v>
      </c>
      <c r="D66" s="73">
        <v>0</v>
      </c>
      <c r="E66" s="73">
        <v>0</v>
      </c>
      <c r="F66" s="49">
        <v>0</v>
      </c>
      <c r="G66" s="49">
        <v>0</v>
      </c>
      <c r="H66" s="49">
        <v>49</v>
      </c>
      <c r="I66" s="75">
        <v>0</v>
      </c>
      <c r="J66" s="49">
        <v>0</v>
      </c>
      <c r="K66" s="49">
        <v>0</v>
      </c>
      <c r="L66" s="49">
        <v>0</v>
      </c>
      <c r="M66" s="49">
        <v>0</v>
      </c>
      <c r="N66" s="49">
        <v>55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52</v>
      </c>
      <c r="W66" s="49">
        <v>0</v>
      </c>
      <c r="X66" s="49">
        <v>0</v>
      </c>
      <c r="Y66" s="49">
        <v>39</v>
      </c>
      <c r="Z66" s="49">
        <v>0</v>
      </c>
      <c r="AA66" s="49">
        <v>0</v>
      </c>
      <c r="AB66" s="49">
        <v>34</v>
      </c>
      <c r="AC66" s="49">
        <v>0</v>
      </c>
      <c r="AD66" s="49">
        <v>0</v>
      </c>
      <c r="AE66" s="49">
        <v>0</v>
      </c>
      <c r="AF66" s="49">
        <v>0</v>
      </c>
      <c r="AG66" s="49">
        <v>36</v>
      </c>
      <c r="AH66" s="49">
        <v>0</v>
      </c>
      <c r="AI66" s="49"/>
      <c r="AJ66" s="49"/>
      <c r="AK66" s="27">
        <f t="shared" si="0"/>
        <v>301</v>
      </c>
      <c r="AL66" s="44"/>
      <c r="AM66" s="44"/>
      <c r="AN66" s="44">
        <f t="shared" si="7"/>
        <v>0</v>
      </c>
      <c r="AO66" s="44"/>
      <c r="AP66" s="44"/>
      <c r="AQ66" s="44">
        <f>AP66-AO66</f>
        <v>0</v>
      </c>
      <c r="AR66" s="74" t="e">
        <f t="shared" si="3"/>
        <v>#DIV/0!</v>
      </c>
      <c r="AS66" s="49" t="e">
        <f t="shared" si="4"/>
        <v>#DIV/0!</v>
      </c>
    </row>
    <row r="67" spans="1:45" ht="15.75" x14ac:dyDescent="0.25">
      <c r="A67" s="23">
        <v>61</v>
      </c>
      <c r="B67" s="1" t="s">
        <v>83</v>
      </c>
      <c r="C67" s="79">
        <v>0</v>
      </c>
      <c r="D67" s="79">
        <v>0</v>
      </c>
      <c r="E67" s="73">
        <v>0</v>
      </c>
      <c r="F67" s="77">
        <v>0</v>
      </c>
      <c r="G67" s="49">
        <v>0</v>
      </c>
      <c r="H67" s="49">
        <v>0</v>
      </c>
      <c r="I67" s="75">
        <v>0</v>
      </c>
      <c r="J67" s="49">
        <v>0</v>
      </c>
      <c r="K67" s="49">
        <v>0</v>
      </c>
      <c r="L67" s="49">
        <v>0</v>
      </c>
      <c r="M67" s="49">
        <v>0</v>
      </c>
      <c r="N67" s="73">
        <v>0</v>
      </c>
      <c r="O67" s="49">
        <v>0</v>
      </c>
      <c r="P67" s="73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45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57</v>
      </c>
      <c r="AJ67" s="49"/>
      <c r="AK67" s="27">
        <f t="shared" si="0"/>
        <v>102</v>
      </c>
      <c r="AL67" s="44"/>
      <c r="AM67" s="44"/>
      <c r="AN67" s="44">
        <f t="shared" si="7"/>
        <v>0</v>
      </c>
      <c r="AO67" s="44"/>
      <c r="AP67" s="44"/>
      <c r="AQ67" s="44">
        <f>AP67-AO67</f>
        <v>0</v>
      </c>
      <c r="AR67" s="74" t="e">
        <f t="shared" si="3"/>
        <v>#DIV/0!</v>
      </c>
      <c r="AS67" s="49" t="e">
        <f t="shared" si="4"/>
        <v>#DIV/0!</v>
      </c>
    </row>
    <row r="68" spans="1:45" ht="15" customHeight="1" x14ac:dyDescent="0.25">
      <c r="A68" s="23">
        <v>62</v>
      </c>
      <c r="B68" s="1" t="s">
        <v>52</v>
      </c>
      <c r="C68" s="73">
        <v>0</v>
      </c>
      <c r="D68" s="73">
        <v>0</v>
      </c>
      <c r="E68" s="73">
        <v>66</v>
      </c>
      <c r="F68" s="49">
        <v>0</v>
      </c>
      <c r="G68" s="49">
        <v>0</v>
      </c>
      <c r="H68" s="49">
        <v>65</v>
      </c>
      <c r="I68" s="75">
        <v>0</v>
      </c>
      <c r="J68" s="49">
        <v>0</v>
      </c>
      <c r="K68" s="49">
        <v>73</v>
      </c>
      <c r="L68" s="49">
        <v>43</v>
      </c>
      <c r="M68" s="49">
        <v>0</v>
      </c>
      <c r="N68" s="49">
        <v>36</v>
      </c>
      <c r="O68" s="49">
        <v>42</v>
      </c>
      <c r="P68" s="49">
        <v>0</v>
      </c>
      <c r="Q68" s="49">
        <v>43</v>
      </c>
      <c r="R68" s="49">
        <v>28</v>
      </c>
      <c r="S68" s="49">
        <v>33</v>
      </c>
      <c r="T68" s="49">
        <v>0</v>
      </c>
      <c r="U68" s="49">
        <v>41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46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/>
      <c r="AJ68" s="49"/>
      <c r="AK68" s="27">
        <f t="shared" si="0"/>
        <v>516</v>
      </c>
      <c r="AL68" s="44"/>
      <c r="AM68" s="44"/>
      <c r="AN68" s="44">
        <f t="shared" si="7"/>
        <v>0</v>
      </c>
      <c r="AO68" s="44"/>
      <c r="AP68" s="44"/>
      <c r="AQ68" s="44">
        <f t="shared" si="2"/>
        <v>0</v>
      </c>
      <c r="AR68" s="74" t="e">
        <f t="shared" si="3"/>
        <v>#DIV/0!</v>
      </c>
      <c r="AS68" s="49" t="e">
        <f t="shared" si="4"/>
        <v>#DIV/0!</v>
      </c>
    </row>
    <row r="69" spans="1:45" ht="15.75" x14ac:dyDescent="0.25">
      <c r="A69" s="23">
        <v>63</v>
      </c>
      <c r="B69" s="1" t="s">
        <v>39</v>
      </c>
      <c r="C69" s="73">
        <v>0</v>
      </c>
      <c r="D69" s="73">
        <v>0</v>
      </c>
      <c r="E69" s="73">
        <v>0</v>
      </c>
      <c r="F69" s="49">
        <v>0</v>
      </c>
      <c r="G69" s="49">
        <v>0</v>
      </c>
      <c r="H69" s="49">
        <v>0</v>
      </c>
      <c r="I69" s="75">
        <v>0</v>
      </c>
      <c r="J69" s="49">
        <v>56</v>
      </c>
      <c r="K69" s="49">
        <v>0</v>
      </c>
      <c r="L69" s="49">
        <v>33</v>
      </c>
      <c r="M69" s="49">
        <v>0</v>
      </c>
      <c r="N69" s="49">
        <v>0</v>
      </c>
      <c r="O69" s="49">
        <v>54</v>
      </c>
      <c r="P69" s="49">
        <v>33</v>
      </c>
      <c r="Q69" s="49">
        <v>35</v>
      </c>
      <c r="R69" s="49">
        <v>0</v>
      </c>
      <c r="S69" s="49">
        <v>35</v>
      </c>
      <c r="T69" s="49">
        <v>0</v>
      </c>
      <c r="U69" s="49">
        <v>0</v>
      </c>
      <c r="V69" s="49">
        <v>0</v>
      </c>
      <c r="W69" s="49">
        <v>53</v>
      </c>
      <c r="X69" s="49">
        <v>0</v>
      </c>
      <c r="Y69" s="49">
        <v>0</v>
      </c>
      <c r="Z69" s="49">
        <v>46</v>
      </c>
      <c r="AA69" s="49">
        <v>0</v>
      </c>
      <c r="AB69" s="49">
        <v>0</v>
      </c>
      <c r="AC69" s="49">
        <v>33</v>
      </c>
      <c r="AD69" s="49">
        <v>0</v>
      </c>
      <c r="AE69" s="49">
        <v>0</v>
      </c>
      <c r="AF69" s="49">
        <v>61</v>
      </c>
      <c r="AG69" s="49">
        <v>0</v>
      </c>
      <c r="AH69" s="49">
        <v>0</v>
      </c>
      <c r="AI69" s="49">
        <v>46</v>
      </c>
      <c r="AJ69" s="49"/>
      <c r="AK69" s="27">
        <f t="shared" si="0"/>
        <v>485</v>
      </c>
      <c r="AL69" s="44"/>
      <c r="AM69" s="44"/>
      <c r="AN69" s="44">
        <f t="shared" si="7"/>
        <v>0</v>
      </c>
      <c r="AO69" s="44"/>
      <c r="AP69" s="44"/>
      <c r="AQ69" s="44">
        <f t="shared" si="2"/>
        <v>0</v>
      </c>
      <c r="AR69" s="74" t="e">
        <f t="shared" si="3"/>
        <v>#DIV/0!</v>
      </c>
      <c r="AS69" s="49" t="e">
        <f t="shared" si="4"/>
        <v>#DIV/0!</v>
      </c>
    </row>
    <row r="70" spans="1:45" ht="15.75" x14ac:dyDescent="0.25">
      <c r="A70" s="23">
        <v>64</v>
      </c>
      <c r="B70" s="1" t="s">
        <v>40</v>
      </c>
      <c r="C70" s="73">
        <v>0</v>
      </c>
      <c r="D70" s="73">
        <v>30</v>
      </c>
      <c r="E70" s="73">
        <v>0</v>
      </c>
      <c r="F70" s="49">
        <v>0</v>
      </c>
      <c r="G70" s="49">
        <v>0</v>
      </c>
      <c r="H70" s="49">
        <v>20</v>
      </c>
      <c r="I70" s="75">
        <v>0</v>
      </c>
      <c r="J70" s="49">
        <v>0</v>
      </c>
      <c r="K70" s="49">
        <v>27</v>
      </c>
      <c r="L70" s="49">
        <v>0</v>
      </c>
      <c r="M70" s="49">
        <v>22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38</v>
      </c>
      <c r="W70" s="49">
        <v>0</v>
      </c>
      <c r="X70" s="49">
        <v>28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28</v>
      </c>
      <c r="AE70" s="49">
        <v>0</v>
      </c>
      <c r="AF70" s="49">
        <v>20</v>
      </c>
      <c r="AG70" s="49">
        <v>32</v>
      </c>
      <c r="AH70" s="49">
        <v>32</v>
      </c>
      <c r="AI70" s="49"/>
      <c r="AJ70" s="49">
        <v>25</v>
      </c>
      <c r="AK70" s="27">
        <f t="shared" si="0"/>
        <v>302</v>
      </c>
      <c r="AL70" s="44"/>
      <c r="AM70" s="44"/>
      <c r="AN70" s="44">
        <f t="shared" si="7"/>
        <v>0</v>
      </c>
      <c r="AO70" s="44"/>
      <c r="AP70" s="44"/>
      <c r="AQ70" s="44">
        <f t="shared" si="2"/>
        <v>0</v>
      </c>
      <c r="AR70" s="74" t="e">
        <f t="shared" si="3"/>
        <v>#DIV/0!</v>
      </c>
      <c r="AS70" s="49" t="e">
        <f t="shared" si="4"/>
        <v>#DIV/0!</v>
      </c>
    </row>
    <row r="71" spans="1:45" ht="15.75" x14ac:dyDescent="0.25">
      <c r="A71" s="23">
        <v>65</v>
      </c>
      <c r="B71" s="1" t="s">
        <v>82</v>
      </c>
      <c r="C71" s="73">
        <v>0</v>
      </c>
      <c r="D71" s="73">
        <v>0</v>
      </c>
      <c r="E71" s="73">
        <v>0</v>
      </c>
      <c r="F71" s="49">
        <v>0</v>
      </c>
      <c r="G71" s="49">
        <v>0</v>
      </c>
      <c r="H71" s="49">
        <v>0</v>
      </c>
      <c r="I71" s="75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0</v>
      </c>
      <c r="AB71" s="49">
        <v>0</v>
      </c>
      <c r="AC71" s="49">
        <v>50</v>
      </c>
      <c r="AD71" s="49">
        <v>0</v>
      </c>
      <c r="AE71" s="49">
        <v>20</v>
      </c>
      <c r="AF71" s="49">
        <v>0</v>
      </c>
      <c r="AG71" s="49">
        <v>34</v>
      </c>
      <c r="AH71" s="49">
        <v>0</v>
      </c>
      <c r="AI71" s="49"/>
      <c r="AJ71" s="49">
        <v>45</v>
      </c>
      <c r="AK71" s="27">
        <f t="shared" si="0"/>
        <v>149</v>
      </c>
      <c r="AL71" s="44"/>
      <c r="AM71" s="44"/>
      <c r="AN71" s="44">
        <f t="shared" si="7"/>
        <v>0</v>
      </c>
      <c r="AO71" s="44"/>
      <c r="AP71" s="44"/>
      <c r="AQ71" s="44">
        <f t="shared" si="2"/>
        <v>0</v>
      </c>
      <c r="AR71" s="74" t="e">
        <f t="shared" si="3"/>
        <v>#DIV/0!</v>
      </c>
      <c r="AS71" s="49" t="e">
        <f t="shared" si="4"/>
        <v>#DIV/0!</v>
      </c>
    </row>
    <row r="72" spans="1:45" ht="15.75" x14ac:dyDescent="0.25">
      <c r="A72" s="23">
        <v>66</v>
      </c>
      <c r="B72" s="1" t="s">
        <v>41</v>
      </c>
      <c r="C72" s="73">
        <v>0</v>
      </c>
      <c r="D72" s="73">
        <v>0</v>
      </c>
      <c r="E72" s="73">
        <v>0</v>
      </c>
      <c r="F72" s="49">
        <v>0</v>
      </c>
      <c r="G72" s="49">
        <v>0</v>
      </c>
      <c r="H72" s="49">
        <v>0</v>
      </c>
      <c r="I72" s="75">
        <v>0</v>
      </c>
      <c r="J72" s="49">
        <v>0</v>
      </c>
      <c r="K72" s="49">
        <v>30</v>
      </c>
      <c r="L72" s="49">
        <v>30</v>
      </c>
      <c r="M72" s="49">
        <v>0</v>
      </c>
      <c r="N72" s="49">
        <v>25</v>
      </c>
      <c r="O72" s="49">
        <v>0</v>
      </c>
      <c r="P72" s="49">
        <v>0</v>
      </c>
      <c r="Q72" s="49">
        <v>35</v>
      </c>
      <c r="R72" s="49">
        <v>22</v>
      </c>
      <c r="S72" s="49">
        <v>0</v>
      </c>
      <c r="T72" s="49">
        <v>7</v>
      </c>
      <c r="U72" s="49">
        <v>0</v>
      </c>
      <c r="V72" s="49">
        <v>26</v>
      </c>
      <c r="W72" s="49">
        <v>0</v>
      </c>
      <c r="X72" s="49">
        <v>22</v>
      </c>
      <c r="Y72" s="49">
        <v>0</v>
      </c>
      <c r="Z72" s="49">
        <v>30</v>
      </c>
      <c r="AA72" s="49">
        <v>27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31</v>
      </c>
      <c r="AI72" s="49"/>
      <c r="AJ72" s="49"/>
      <c r="AK72" s="27">
        <f t="shared" ref="AK72:AK79" si="10">SUM(C72:AJ72)</f>
        <v>285</v>
      </c>
      <c r="AL72" s="44"/>
      <c r="AM72" s="44"/>
      <c r="AN72" s="44">
        <f t="shared" si="7"/>
        <v>0</v>
      </c>
      <c r="AO72" s="44"/>
      <c r="AP72" s="44"/>
      <c r="AQ72" s="44">
        <f t="shared" si="2"/>
        <v>0</v>
      </c>
      <c r="AR72" s="74" t="e">
        <f t="shared" si="3"/>
        <v>#DIV/0!</v>
      </c>
      <c r="AS72" s="49" t="e">
        <f t="shared" si="4"/>
        <v>#DIV/0!</v>
      </c>
    </row>
    <row r="73" spans="1:45" ht="15.75" x14ac:dyDescent="0.25">
      <c r="A73" s="23">
        <v>67</v>
      </c>
      <c r="B73" s="1" t="s">
        <v>64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49">
        <v>12</v>
      </c>
      <c r="AB73" s="49">
        <v>0</v>
      </c>
      <c r="AC73" s="49">
        <v>0</v>
      </c>
      <c r="AD73" s="49">
        <v>0</v>
      </c>
      <c r="AE73" s="49">
        <v>26</v>
      </c>
      <c r="AF73" s="49">
        <v>0</v>
      </c>
      <c r="AG73" s="49">
        <v>0</v>
      </c>
      <c r="AH73" s="49">
        <v>0</v>
      </c>
      <c r="AI73" s="49"/>
      <c r="AJ73" s="49"/>
      <c r="AK73" s="27">
        <f t="shared" si="10"/>
        <v>38</v>
      </c>
      <c r="AL73" s="44"/>
      <c r="AM73" s="44"/>
      <c r="AN73" s="44">
        <f t="shared" si="7"/>
        <v>0</v>
      </c>
      <c r="AO73" s="44"/>
      <c r="AP73" s="44"/>
      <c r="AQ73" s="44">
        <f t="shared" si="2"/>
        <v>0</v>
      </c>
      <c r="AR73" s="74" t="e">
        <f t="shared" ref="AR73" si="11">AK73/AN73</f>
        <v>#DIV/0!</v>
      </c>
      <c r="AS73" s="49" t="e">
        <f t="shared" ref="AS73" si="12">AK73/AQ73</f>
        <v>#DIV/0!</v>
      </c>
    </row>
    <row r="74" spans="1:45" ht="15.75" x14ac:dyDescent="0.25">
      <c r="A74" s="23">
        <v>68</v>
      </c>
      <c r="B74" s="1" t="s">
        <v>42</v>
      </c>
      <c r="C74" s="73">
        <v>0</v>
      </c>
      <c r="D74" s="73">
        <v>0</v>
      </c>
      <c r="E74" s="73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40</v>
      </c>
      <c r="M74" s="49">
        <v>0</v>
      </c>
      <c r="N74" s="49">
        <v>0</v>
      </c>
      <c r="O74" s="49">
        <v>30</v>
      </c>
      <c r="P74" s="49">
        <v>0</v>
      </c>
      <c r="Q74" s="49">
        <v>0</v>
      </c>
      <c r="R74" s="49">
        <v>31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27</v>
      </c>
      <c r="Y74" s="49">
        <v>0</v>
      </c>
      <c r="Z74" s="49">
        <v>28</v>
      </c>
      <c r="AA74" s="49">
        <v>0</v>
      </c>
      <c r="AB74" s="49">
        <v>0</v>
      </c>
      <c r="AC74" s="49">
        <v>27</v>
      </c>
      <c r="AD74" s="49">
        <v>0</v>
      </c>
      <c r="AE74" s="49">
        <v>20</v>
      </c>
      <c r="AF74" s="49">
        <v>0</v>
      </c>
      <c r="AG74" s="49">
        <v>30</v>
      </c>
      <c r="AH74" s="49">
        <v>0</v>
      </c>
      <c r="AI74" s="49"/>
      <c r="AJ74" s="49"/>
      <c r="AK74" s="27">
        <f t="shared" si="10"/>
        <v>233</v>
      </c>
      <c r="AL74" s="44"/>
      <c r="AM74" s="44"/>
      <c r="AN74" s="44">
        <f t="shared" si="7"/>
        <v>0</v>
      </c>
      <c r="AO74" s="44"/>
      <c r="AP74" s="44"/>
      <c r="AQ74" s="44">
        <f t="shared" si="2"/>
        <v>0</v>
      </c>
      <c r="AR74" s="74" t="e">
        <f t="shared" si="3"/>
        <v>#DIV/0!</v>
      </c>
      <c r="AS74" s="49" t="e">
        <f t="shared" si="4"/>
        <v>#DIV/0!</v>
      </c>
    </row>
    <row r="75" spans="1:45" ht="15.75" x14ac:dyDescent="0.25">
      <c r="A75" s="23">
        <v>69</v>
      </c>
      <c r="B75" s="1" t="s">
        <v>65</v>
      </c>
      <c r="C75" s="73">
        <v>0</v>
      </c>
      <c r="D75" s="73">
        <v>0</v>
      </c>
      <c r="E75" s="73">
        <v>0</v>
      </c>
      <c r="F75" s="73">
        <v>0</v>
      </c>
      <c r="G75" s="73">
        <v>0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3">
        <v>0</v>
      </c>
      <c r="S75" s="73">
        <v>0</v>
      </c>
      <c r="T75" s="73">
        <v>0</v>
      </c>
      <c r="U75" s="73">
        <v>0</v>
      </c>
      <c r="V75" s="73">
        <v>0</v>
      </c>
      <c r="W75" s="73">
        <v>0</v>
      </c>
      <c r="X75" s="73">
        <v>0</v>
      </c>
      <c r="Y75" s="73">
        <v>0</v>
      </c>
      <c r="Z75" s="73">
        <v>0</v>
      </c>
      <c r="AA75" s="49">
        <v>0</v>
      </c>
      <c r="AB75" s="49">
        <v>102</v>
      </c>
      <c r="AC75" s="49">
        <v>0</v>
      </c>
      <c r="AD75" s="49">
        <v>0</v>
      </c>
      <c r="AE75" s="49">
        <v>0</v>
      </c>
      <c r="AF75" s="49">
        <v>0</v>
      </c>
      <c r="AG75" s="49">
        <v>0</v>
      </c>
      <c r="AH75" s="49">
        <v>0</v>
      </c>
      <c r="AI75" s="49"/>
      <c r="AJ75" s="49"/>
      <c r="AK75" s="27">
        <f t="shared" si="10"/>
        <v>102</v>
      </c>
      <c r="AL75" s="44"/>
      <c r="AM75" s="44"/>
      <c r="AN75" s="44">
        <f t="shared" si="7"/>
        <v>0</v>
      </c>
      <c r="AO75" s="44"/>
      <c r="AP75" s="44"/>
      <c r="AQ75" s="44">
        <f t="shared" si="2"/>
        <v>0</v>
      </c>
      <c r="AR75" s="74" t="e">
        <f t="shared" ref="AR75:AR76" si="13">AK75/AN75</f>
        <v>#DIV/0!</v>
      </c>
      <c r="AS75" s="49" t="e">
        <f t="shared" ref="AS75:AS76" si="14">AK75/AQ75</f>
        <v>#DIV/0!</v>
      </c>
    </row>
    <row r="76" spans="1:45" ht="15.75" x14ac:dyDescent="0.25">
      <c r="A76" s="23">
        <v>70</v>
      </c>
      <c r="B76" s="1" t="s">
        <v>80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73">
        <v>0</v>
      </c>
      <c r="W76" s="73">
        <v>0</v>
      </c>
      <c r="X76" s="73">
        <v>0</v>
      </c>
      <c r="Y76" s="73">
        <v>0</v>
      </c>
      <c r="Z76" s="73">
        <v>0</v>
      </c>
      <c r="AA76" s="49"/>
      <c r="AB76" s="49">
        <v>0</v>
      </c>
      <c r="AC76" s="49">
        <v>53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/>
      <c r="AJ76" s="49">
        <v>55</v>
      </c>
      <c r="AK76" s="27">
        <f t="shared" si="10"/>
        <v>108</v>
      </c>
      <c r="AL76" s="44"/>
      <c r="AM76" s="44"/>
      <c r="AN76" s="44">
        <f t="shared" si="7"/>
        <v>0</v>
      </c>
      <c r="AO76" s="44"/>
      <c r="AP76" s="44"/>
      <c r="AQ76" s="44">
        <f t="shared" si="2"/>
        <v>0</v>
      </c>
      <c r="AR76" s="74" t="e">
        <f t="shared" si="13"/>
        <v>#DIV/0!</v>
      </c>
      <c r="AS76" s="49" t="e">
        <f t="shared" si="14"/>
        <v>#DIV/0!</v>
      </c>
    </row>
    <row r="77" spans="1:45" ht="15.75" x14ac:dyDescent="0.25">
      <c r="A77" s="23">
        <v>71</v>
      </c>
      <c r="B77" s="1" t="s">
        <v>50</v>
      </c>
      <c r="C77" s="69">
        <v>0</v>
      </c>
      <c r="D77" s="69">
        <v>0</v>
      </c>
      <c r="E77" s="69">
        <v>0</v>
      </c>
      <c r="F77" s="70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90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170</v>
      </c>
      <c r="AJ77" s="49"/>
      <c r="AK77" s="27">
        <f t="shared" si="10"/>
        <v>260</v>
      </c>
      <c r="AL77" s="44"/>
      <c r="AM77" s="44"/>
      <c r="AN77" s="44">
        <f t="shared" si="7"/>
        <v>0</v>
      </c>
      <c r="AO77" s="44"/>
      <c r="AP77" s="44"/>
      <c r="AQ77" s="44">
        <f t="shared" si="2"/>
        <v>0</v>
      </c>
      <c r="AR77" s="74" t="e">
        <f t="shared" si="3"/>
        <v>#DIV/0!</v>
      </c>
      <c r="AS77" s="49" t="e">
        <f t="shared" si="4"/>
        <v>#DIV/0!</v>
      </c>
    </row>
    <row r="78" spans="1:45" ht="15.75" x14ac:dyDescent="0.25">
      <c r="A78" s="23">
        <v>72</v>
      </c>
      <c r="B78" s="1" t="s">
        <v>51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118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115</v>
      </c>
      <c r="AE78" s="49">
        <v>0</v>
      </c>
      <c r="AF78" s="49">
        <v>0</v>
      </c>
      <c r="AG78" s="49">
        <v>0</v>
      </c>
      <c r="AH78" s="49">
        <v>0</v>
      </c>
      <c r="AI78" s="49"/>
      <c r="AJ78" s="49">
        <v>110</v>
      </c>
      <c r="AK78" s="27">
        <f t="shared" si="10"/>
        <v>343</v>
      </c>
      <c r="AL78" s="44"/>
      <c r="AM78" s="44"/>
      <c r="AN78" s="44">
        <f t="shared" si="7"/>
        <v>0</v>
      </c>
      <c r="AO78" s="44"/>
      <c r="AP78" s="44"/>
      <c r="AQ78" s="44">
        <f t="shared" si="2"/>
        <v>0</v>
      </c>
      <c r="AR78" s="74" t="e">
        <f t="shared" si="3"/>
        <v>#DIV/0!</v>
      </c>
      <c r="AS78" s="49" t="e">
        <f t="shared" si="4"/>
        <v>#DIV/0!</v>
      </c>
    </row>
    <row r="79" spans="1:45" ht="15.75" x14ac:dyDescent="0.25">
      <c r="A79" s="23">
        <v>73</v>
      </c>
      <c r="B79" s="3" t="s">
        <v>49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80">
        <v>0</v>
      </c>
      <c r="J79" s="50">
        <v>465</v>
      </c>
      <c r="K79" s="50">
        <v>305</v>
      </c>
      <c r="L79" s="50">
        <v>133</v>
      </c>
      <c r="M79" s="50">
        <v>199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292</v>
      </c>
      <c r="AB79" s="50">
        <v>0</v>
      </c>
      <c r="AC79" s="50">
        <v>222</v>
      </c>
      <c r="AD79" s="50">
        <v>359</v>
      </c>
      <c r="AE79" s="50">
        <v>558</v>
      </c>
      <c r="AF79" s="50">
        <v>437</v>
      </c>
      <c r="AG79" s="50">
        <v>456</v>
      </c>
      <c r="AH79" s="50">
        <v>463</v>
      </c>
      <c r="AI79" s="50"/>
      <c r="AJ79" s="50">
        <v>0</v>
      </c>
      <c r="AK79" s="27">
        <f t="shared" si="10"/>
        <v>3889</v>
      </c>
      <c r="AL79" s="29"/>
      <c r="AM79" s="29"/>
      <c r="AN79" s="44">
        <f t="shared" si="7"/>
        <v>0</v>
      </c>
      <c r="AO79" s="29"/>
      <c r="AP79" s="29"/>
      <c r="AQ79" s="44">
        <f t="shared" si="2"/>
        <v>0</v>
      </c>
      <c r="AR79" s="74" t="e">
        <f t="shared" si="3"/>
        <v>#DIV/0!</v>
      </c>
      <c r="AS79" s="49" t="e">
        <f t="shared" si="4"/>
        <v>#DIV/0!</v>
      </c>
    </row>
    <row r="80" spans="1:45" ht="23.25" customHeight="1" x14ac:dyDescent="0.25">
      <c r="A80" s="97" t="s">
        <v>11</v>
      </c>
      <c r="B80" s="98"/>
      <c r="C80" s="52">
        <f t="shared" ref="C80:AC80" si="15">SUM(C7:C79)</f>
        <v>416</v>
      </c>
      <c r="D80" s="52">
        <f t="shared" si="15"/>
        <v>1355</v>
      </c>
      <c r="E80" s="52">
        <f t="shared" si="15"/>
        <v>523</v>
      </c>
      <c r="F80" s="52">
        <f t="shared" si="15"/>
        <v>2062</v>
      </c>
      <c r="G80" s="52">
        <f t="shared" si="15"/>
        <v>0</v>
      </c>
      <c r="H80" s="52">
        <f t="shared" si="15"/>
        <v>2146</v>
      </c>
      <c r="I80" s="52">
        <f t="shared" si="15"/>
        <v>1720</v>
      </c>
      <c r="J80" s="52">
        <f t="shared" si="15"/>
        <v>3780</v>
      </c>
      <c r="K80" s="52">
        <f t="shared" si="15"/>
        <v>1710</v>
      </c>
      <c r="L80" s="52">
        <f t="shared" si="15"/>
        <v>2849</v>
      </c>
      <c r="M80" s="52">
        <f t="shared" si="15"/>
        <v>2295</v>
      </c>
      <c r="N80" s="52">
        <f t="shared" si="15"/>
        <v>3814</v>
      </c>
      <c r="O80" s="52">
        <f t="shared" si="15"/>
        <v>4153</v>
      </c>
      <c r="P80" s="52">
        <f t="shared" si="15"/>
        <v>5082</v>
      </c>
      <c r="Q80" s="52">
        <f t="shared" si="15"/>
        <v>5525</v>
      </c>
      <c r="R80" s="52">
        <f t="shared" si="15"/>
        <v>5091</v>
      </c>
      <c r="S80" s="52">
        <f t="shared" si="15"/>
        <v>3993</v>
      </c>
      <c r="T80" s="52">
        <f t="shared" si="15"/>
        <v>2500</v>
      </c>
      <c r="U80" s="52">
        <f t="shared" si="15"/>
        <v>3787</v>
      </c>
      <c r="V80" s="52">
        <f t="shared" si="15"/>
        <v>3111</v>
      </c>
      <c r="W80" s="52">
        <f t="shared" si="15"/>
        <v>5939</v>
      </c>
      <c r="X80" s="52">
        <f t="shared" si="15"/>
        <v>6304</v>
      </c>
      <c r="Y80" s="52">
        <f t="shared" si="15"/>
        <v>5812</v>
      </c>
      <c r="Z80" s="52">
        <f t="shared" si="15"/>
        <v>6395</v>
      </c>
      <c r="AA80" s="52">
        <f t="shared" si="15"/>
        <v>8527</v>
      </c>
      <c r="AB80" s="52">
        <f t="shared" si="15"/>
        <v>9243</v>
      </c>
      <c r="AC80" s="52">
        <f t="shared" si="15"/>
        <v>4183</v>
      </c>
      <c r="AD80" s="52">
        <f>SUM(AD7:AD79)</f>
        <v>12112</v>
      </c>
      <c r="AE80" s="52">
        <f t="shared" ref="AE80:AS80" si="16">SUM(AE7:AE79)</f>
        <v>13709</v>
      </c>
      <c r="AF80" s="52">
        <f t="shared" si="16"/>
        <v>12023</v>
      </c>
      <c r="AG80" s="55">
        <f t="shared" si="16"/>
        <v>9160</v>
      </c>
      <c r="AH80" s="52">
        <f t="shared" si="16"/>
        <v>11459</v>
      </c>
      <c r="AI80" s="55">
        <f t="shared" si="16"/>
        <v>12052</v>
      </c>
      <c r="AJ80" s="52">
        <f t="shared" si="16"/>
        <v>12058</v>
      </c>
      <c r="AK80" s="52">
        <f t="shared" si="16"/>
        <v>184888</v>
      </c>
      <c r="AL80" s="52">
        <f t="shared" si="16"/>
        <v>312913.89</v>
      </c>
      <c r="AM80" s="52">
        <f t="shared" si="16"/>
        <v>350342.1</v>
      </c>
      <c r="AN80" s="52">
        <f t="shared" si="16"/>
        <v>37415.21</v>
      </c>
      <c r="AO80" s="52">
        <f>SUM(AO7:AO79)</f>
        <v>3344648.7299999995</v>
      </c>
      <c r="AP80" s="52">
        <f t="shared" si="16"/>
        <v>4612431.6999999993</v>
      </c>
      <c r="AQ80" s="52">
        <f t="shared" si="16"/>
        <v>1268061.07</v>
      </c>
      <c r="AR80" s="53" t="e">
        <f t="shared" si="16"/>
        <v>#DIV/0!</v>
      </c>
      <c r="AS80" s="52" t="e">
        <f t="shared" si="16"/>
        <v>#DIV/0!</v>
      </c>
    </row>
  </sheetData>
  <mergeCells count="12">
    <mergeCell ref="A80:B80"/>
    <mergeCell ref="A1:AS1"/>
    <mergeCell ref="A2:AS2"/>
    <mergeCell ref="A3:AS3"/>
    <mergeCell ref="AL5:AL6"/>
    <mergeCell ref="AM5:AM6"/>
    <mergeCell ref="AN5:AN6"/>
    <mergeCell ref="AR5:AS5"/>
    <mergeCell ref="AO5:AO6"/>
    <mergeCell ref="AP5:AP6"/>
    <mergeCell ref="AQ5:AQ6"/>
    <mergeCell ref="C5:AJ5"/>
  </mergeCells>
  <pageMargins left="0.36" right="0.2" top="0.4" bottom="0.33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"/>
  <sheetViews>
    <sheetView workbookViewId="0">
      <selection activeCell="C7" sqref="C7"/>
    </sheetView>
  </sheetViews>
  <sheetFormatPr defaultRowHeight="15" x14ac:dyDescent="0.25"/>
  <cols>
    <col min="1" max="1" width="5.42578125" customWidth="1"/>
    <col min="2" max="2" width="16.7109375" customWidth="1"/>
    <col min="3" max="4" width="6.42578125" customWidth="1"/>
    <col min="5" max="5" width="5.85546875" customWidth="1"/>
    <col min="6" max="6" width="5.7109375" customWidth="1"/>
    <col min="7" max="7" width="5.85546875" customWidth="1"/>
    <col min="8" max="8" width="6.28515625" customWidth="1"/>
    <col min="9" max="9" width="5.42578125" customWidth="1"/>
    <col min="10" max="10" width="6" customWidth="1"/>
    <col min="11" max="12" width="5.85546875" customWidth="1"/>
    <col min="13" max="13" width="6" customWidth="1"/>
    <col min="14" max="14" width="5.7109375" customWidth="1"/>
    <col min="15" max="15" width="5.5703125" customWidth="1"/>
    <col min="16" max="18" width="5.85546875" customWidth="1"/>
    <col min="19" max="19" width="5.42578125" customWidth="1"/>
    <col min="20" max="20" width="6.140625" customWidth="1"/>
    <col min="21" max="21" width="5.42578125" customWidth="1"/>
    <col min="22" max="22" width="5.28515625" customWidth="1"/>
    <col min="23" max="23" width="5.42578125" customWidth="1"/>
    <col min="24" max="24" width="5.5703125" bestFit="1" customWidth="1"/>
    <col min="25" max="25" width="5.5703125" customWidth="1"/>
    <col min="26" max="26" width="6.140625" customWidth="1"/>
    <col min="27" max="27" width="6.7109375" bestFit="1" customWidth="1"/>
    <col min="28" max="32" width="6.7109375" customWidth="1"/>
    <col min="33" max="33" width="5.85546875" customWidth="1"/>
    <col min="35" max="35" width="8.85546875" customWidth="1"/>
    <col min="36" max="36" width="9.28515625" customWidth="1"/>
    <col min="37" max="37" width="9" customWidth="1"/>
    <col min="38" max="38" width="9.7109375" customWidth="1"/>
    <col min="39" max="39" width="11.140625" customWidth="1"/>
    <col min="40" max="40" width="8.42578125" customWidth="1"/>
    <col min="41" max="41" width="9.5703125" customWidth="1"/>
    <col min="42" max="42" width="11.42578125" customWidth="1"/>
  </cols>
  <sheetData>
    <row r="1" spans="1:42" ht="15.75" customHeight="1" x14ac:dyDescent="0.25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</row>
    <row r="2" spans="1:42" ht="15.75" customHeight="1" x14ac:dyDescent="0.25">
      <c r="A2" s="99" t="s">
        <v>47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</row>
    <row r="3" spans="1:42" ht="15" customHeight="1" x14ac:dyDescent="0.25">
      <c r="A3" s="100" t="s">
        <v>59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</row>
    <row r="4" spans="1:4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9"/>
    </row>
    <row r="5" spans="1:42" ht="30" x14ac:dyDescent="0.25">
      <c r="A5" s="56" t="s">
        <v>44</v>
      </c>
      <c r="B5" s="56" t="s">
        <v>45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3"/>
      <c r="AH5" s="57" t="s">
        <v>46</v>
      </c>
      <c r="AI5" s="101" t="s">
        <v>7</v>
      </c>
      <c r="AJ5" s="101" t="s">
        <v>6</v>
      </c>
      <c r="AK5" s="101" t="s">
        <v>5</v>
      </c>
      <c r="AL5" s="101" t="s">
        <v>8</v>
      </c>
      <c r="AM5" s="101" t="s">
        <v>9</v>
      </c>
      <c r="AN5" s="101" t="s">
        <v>10</v>
      </c>
      <c r="AO5" s="102" t="s">
        <v>56</v>
      </c>
      <c r="AP5" s="103"/>
    </row>
    <row r="6" spans="1:42" x14ac:dyDescent="0.25">
      <c r="A6" s="56"/>
      <c r="B6" s="56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4">
        <v>27</v>
      </c>
      <c r="AD6" s="4">
        <v>28</v>
      </c>
      <c r="AE6" s="4">
        <v>29</v>
      </c>
      <c r="AF6" s="4">
        <v>30</v>
      </c>
      <c r="AG6" s="4">
        <v>31</v>
      </c>
      <c r="AH6" s="57" t="s">
        <v>55</v>
      </c>
      <c r="AI6" s="101"/>
      <c r="AJ6" s="101"/>
      <c r="AK6" s="101"/>
      <c r="AL6" s="101"/>
      <c r="AM6" s="101"/>
      <c r="AN6" s="101"/>
      <c r="AO6" s="20" t="s">
        <v>57</v>
      </c>
      <c r="AP6" s="20" t="s">
        <v>58</v>
      </c>
    </row>
    <row r="7" spans="1:42" ht="15.75" x14ac:dyDescent="0.25">
      <c r="A7" s="3">
        <v>1</v>
      </c>
      <c r="B7" s="23" t="s">
        <v>88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7">
        <f t="shared" ref="AH7:AH38" si="0">SUM(C7:AG7)</f>
        <v>0</v>
      </c>
      <c r="AI7" s="28">
        <v>12548</v>
      </c>
      <c r="AJ7" s="28">
        <v>12913.1</v>
      </c>
      <c r="AK7" s="28">
        <f>AJ7-AI7</f>
        <v>365.10000000000036</v>
      </c>
      <c r="AL7" s="29">
        <v>0</v>
      </c>
      <c r="AM7" s="29">
        <v>0</v>
      </c>
      <c r="AN7" s="29">
        <f>AM7-AL7</f>
        <v>0</v>
      </c>
      <c r="AO7" s="30">
        <f>AH7/AK7</f>
        <v>0</v>
      </c>
      <c r="AP7" s="25" t="e">
        <f>AH7/AN7</f>
        <v>#DIV/0!</v>
      </c>
    </row>
    <row r="8" spans="1:42" ht="15.75" x14ac:dyDescent="0.25">
      <c r="A8" s="3">
        <v>2</v>
      </c>
      <c r="B8" s="1" t="s">
        <v>63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32"/>
      <c r="S8" s="25"/>
      <c r="T8" s="25"/>
      <c r="U8" s="25"/>
      <c r="V8" s="25"/>
      <c r="W8" s="33"/>
      <c r="X8" s="34"/>
      <c r="Y8" s="31"/>
      <c r="Z8" s="25"/>
      <c r="AA8" s="25"/>
      <c r="AB8" s="25"/>
      <c r="AC8" s="25"/>
      <c r="AD8" s="25"/>
      <c r="AE8" s="25"/>
      <c r="AF8" s="25"/>
      <c r="AG8" s="25"/>
      <c r="AH8" s="27">
        <f t="shared" si="0"/>
        <v>0</v>
      </c>
      <c r="AI8" s="28">
        <v>17164.5</v>
      </c>
      <c r="AJ8" s="28">
        <v>17463.599999999999</v>
      </c>
      <c r="AK8" s="28">
        <f t="shared" ref="AK8:AK11" si="1">AJ8-AI8</f>
        <v>299.09999999999854</v>
      </c>
      <c r="AL8" s="29">
        <v>0</v>
      </c>
      <c r="AM8" s="29">
        <v>0</v>
      </c>
      <c r="AN8" s="29">
        <f t="shared" ref="AN8:AN79" si="2">AM8-AL8</f>
        <v>0</v>
      </c>
      <c r="AO8" s="30">
        <f t="shared" ref="AO8:AO79" si="3">AH8/AK8</f>
        <v>0</v>
      </c>
      <c r="AP8" s="25" t="e">
        <f t="shared" ref="AP8:AP79" si="4">AH8/AN8</f>
        <v>#DIV/0!</v>
      </c>
    </row>
    <row r="9" spans="1:42" ht="15.75" x14ac:dyDescent="0.25">
      <c r="A9" s="3">
        <v>3</v>
      </c>
      <c r="B9" s="1" t="s">
        <v>87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1"/>
      <c r="X9" s="31"/>
      <c r="Y9" s="31"/>
      <c r="Z9" s="25"/>
      <c r="AA9" s="25"/>
      <c r="AB9" s="25"/>
      <c r="AC9" s="25"/>
      <c r="AD9" s="25"/>
      <c r="AE9" s="25"/>
      <c r="AF9" s="25"/>
      <c r="AG9" s="25"/>
      <c r="AH9" s="27">
        <f t="shared" si="0"/>
        <v>0</v>
      </c>
      <c r="AI9" s="28">
        <v>16788.8</v>
      </c>
      <c r="AJ9" s="28">
        <v>17148.900000000001</v>
      </c>
      <c r="AK9" s="28">
        <f t="shared" si="1"/>
        <v>360.10000000000218</v>
      </c>
      <c r="AL9" s="29">
        <v>0</v>
      </c>
      <c r="AM9" s="29">
        <v>0</v>
      </c>
      <c r="AN9" s="29">
        <f t="shared" si="2"/>
        <v>0</v>
      </c>
      <c r="AO9" s="30">
        <f t="shared" si="3"/>
        <v>0</v>
      </c>
      <c r="AP9" s="25" t="e">
        <f t="shared" si="4"/>
        <v>#DIV/0!</v>
      </c>
    </row>
    <row r="10" spans="1:42" ht="15.75" x14ac:dyDescent="0.25">
      <c r="A10" s="3">
        <v>4</v>
      </c>
      <c r="B10" s="3" t="s">
        <v>99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1"/>
      <c r="X10" s="31"/>
      <c r="Y10" s="31"/>
      <c r="Z10" s="25"/>
      <c r="AA10" s="25"/>
      <c r="AB10" s="25"/>
      <c r="AC10" s="25"/>
      <c r="AD10" s="25"/>
      <c r="AE10" s="25"/>
      <c r="AF10" s="25"/>
      <c r="AG10" s="25"/>
      <c r="AH10" s="27">
        <f t="shared" si="0"/>
        <v>0</v>
      </c>
      <c r="AI10" s="28">
        <v>16770.3</v>
      </c>
      <c r="AJ10" s="28">
        <v>17131.400000000001</v>
      </c>
      <c r="AK10" s="28">
        <f t="shared" si="1"/>
        <v>361.10000000000218</v>
      </c>
      <c r="AL10" s="29">
        <v>0</v>
      </c>
      <c r="AM10" s="29">
        <v>0</v>
      </c>
      <c r="AN10" s="29">
        <f t="shared" si="2"/>
        <v>0</v>
      </c>
      <c r="AO10" s="30">
        <f t="shared" si="3"/>
        <v>0</v>
      </c>
      <c r="AP10" s="25" t="e">
        <f t="shared" si="4"/>
        <v>#DIV/0!</v>
      </c>
    </row>
    <row r="11" spans="1:42" s="24" customFormat="1" ht="15.75" x14ac:dyDescent="0.25">
      <c r="A11" s="23">
        <v>5</v>
      </c>
      <c r="B11" s="3" t="s">
        <v>100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5"/>
      <c r="X11" s="35"/>
      <c r="Y11" s="35"/>
      <c r="Z11" s="36"/>
      <c r="AA11" s="36"/>
      <c r="AB11" s="36"/>
      <c r="AC11" s="36"/>
      <c r="AD11" s="36"/>
      <c r="AE11" s="36"/>
      <c r="AF11" s="36"/>
      <c r="AG11" s="36"/>
      <c r="AH11" s="27">
        <f t="shared" si="0"/>
        <v>0</v>
      </c>
      <c r="AI11" s="37">
        <v>7936.7</v>
      </c>
      <c r="AJ11" s="37">
        <v>8057.6</v>
      </c>
      <c r="AK11" s="37">
        <f t="shared" si="1"/>
        <v>120.90000000000055</v>
      </c>
      <c r="AL11" s="38">
        <v>0</v>
      </c>
      <c r="AM11" s="38">
        <v>0</v>
      </c>
      <c r="AN11" s="38">
        <f t="shared" si="2"/>
        <v>0</v>
      </c>
      <c r="AO11" s="39">
        <f t="shared" si="3"/>
        <v>0</v>
      </c>
      <c r="AP11" s="25" t="e">
        <f t="shared" si="4"/>
        <v>#DIV/0!</v>
      </c>
    </row>
    <row r="12" spans="1:42" ht="15.75" x14ac:dyDescent="0.25">
      <c r="A12" s="23">
        <v>6</v>
      </c>
      <c r="B12" s="3" t="s">
        <v>13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0"/>
      <c r="X12" s="40"/>
      <c r="Y12" s="40"/>
      <c r="Z12" s="41"/>
      <c r="AA12" s="41"/>
      <c r="AB12" s="41"/>
      <c r="AC12" s="41"/>
      <c r="AD12" s="41"/>
      <c r="AE12" s="41"/>
      <c r="AF12" s="41"/>
      <c r="AG12" s="41"/>
      <c r="AH12" s="27">
        <f t="shared" si="0"/>
        <v>0</v>
      </c>
      <c r="AI12" s="42"/>
      <c r="AJ12" s="42"/>
      <c r="AK12" s="42">
        <f>AJ12-AI12</f>
        <v>0</v>
      </c>
      <c r="AL12" s="38">
        <v>0</v>
      </c>
      <c r="AM12" s="38">
        <v>0</v>
      </c>
      <c r="AN12" s="38">
        <f t="shared" si="2"/>
        <v>0</v>
      </c>
      <c r="AO12" s="43" t="e">
        <f t="shared" si="3"/>
        <v>#DIV/0!</v>
      </c>
      <c r="AP12" s="41" t="e">
        <f t="shared" si="4"/>
        <v>#DIV/0!</v>
      </c>
    </row>
    <row r="13" spans="1:42" ht="15.75" x14ac:dyDescent="0.25">
      <c r="A13" s="23">
        <v>7</v>
      </c>
      <c r="B13" s="3" t="s">
        <v>14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0"/>
      <c r="X13" s="40"/>
      <c r="Y13" s="40"/>
      <c r="Z13" s="41"/>
      <c r="AA13" s="41"/>
      <c r="AB13" s="41"/>
      <c r="AC13" s="41"/>
      <c r="AD13" s="41"/>
      <c r="AE13" s="41"/>
      <c r="AF13" s="41"/>
      <c r="AG13" s="41"/>
      <c r="AH13" s="27">
        <f t="shared" si="0"/>
        <v>0</v>
      </c>
      <c r="AI13" s="42">
        <v>25797.599999999999</v>
      </c>
      <c r="AJ13" s="42">
        <v>25889.599999999999</v>
      </c>
      <c r="AK13" s="42">
        <f>AJ13-AI13</f>
        <v>92</v>
      </c>
      <c r="AL13" s="38">
        <v>0</v>
      </c>
      <c r="AM13" s="38">
        <v>0</v>
      </c>
      <c r="AN13" s="38">
        <f t="shared" si="2"/>
        <v>0</v>
      </c>
      <c r="AO13" s="43">
        <f t="shared" si="3"/>
        <v>0</v>
      </c>
      <c r="AP13" s="41" t="e">
        <f t="shared" si="4"/>
        <v>#DIV/0!</v>
      </c>
    </row>
    <row r="14" spans="1:42" ht="15.75" x14ac:dyDescent="0.25">
      <c r="A14" s="23">
        <v>8</v>
      </c>
      <c r="B14" s="1" t="s">
        <v>36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0"/>
      <c r="X14" s="40"/>
      <c r="Y14" s="40"/>
      <c r="Z14" s="41"/>
      <c r="AA14" s="41"/>
      <c r="AB14" s="41"/>
      <c r="AC14" s="41"/>
      <c r="AD14" s="41"/>
      <c r="AE14" s="41"/>
      <c r="AF14" s="41"/>
      <c r="AG14" s="41"/>
      <c r="AH14" s="27">
        <f t="shared" si="0"/>
        <v>0</v>
      </c>
      <c r="AI14" s="44">
        <v>8945.2999999999993</v>
      </c>
      <c r="AJ14" s="44">
        <v>9133.7999999999993</v>
      </c>
      <c r="AK14" s="44">
        <f t="shared" ref="AK14:AK79" si="5">AJ14-AI14</f>
        <v>188.5</v>
      </c>
      <c r="AL14" s="38">
        <v>0</v>
      </c>
      <c r="AM14" s="38">
        <v>0</v>
      </c>
      <c r="AN14" s="44">
        <f t="shared" si="2"/>
        <v>0</v>
      </c>
      <c r="AO14" s="43">
        <f t="shared" si="3"/>
        <v>0</v>
      </c>
      <c r="AP14" s="41" t="e">
        <f t="shared" si="4"/>
        <v>#DIV/0!</v>
      </c>
    </row>
    <row r="15" spans="1:42" ht="15.75" x14ac:dyDescent="0.25">
      <c r="A15" s="23">
        <v>9</v>
      </c>
      <c r="B15" s="1" t="s">
        <v>35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27">
        <f t="shared" si="0"/>
        <v>0</v>
      </c>
      <c r="AI15" s="44"/>
      <c r="AJ15" s="44"/>
      <c r="AK15" s="44">
        <f t="shared" si="5"/>
        <v>0</v>
      </c>
      <c r="AL15" s="38">
        <v>0</v>
      </c>
      <c r="AM15" s="38">
        <v>0</v>
      </c>
      <c r="AN15" s="44">
        <f t="shared" si="2"/>
        <v>0</v>
      </c>
      <c r="AO15" s="43" t="e">
        <f t="shared" si="3"/>
        <v>#DIV/0!</v>
      </c>
      <c r="AP15" s="41" t="e">
        <f t="shared" si="4"/>
        <v>#DIV/0!</v>
      </c>
    </row>
    <row r="16" spans="1:42" ht="15.75" x14ac:dyDescent="0.25">
      <c r="A16" s="23">
        <v>10</v>
      </c>
      <c r="B16" s="1" t="s">
        <v>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27">
        <f t="shared" si="0"/>
        <v>0</v>
      </c>
      <c r="AI16" s="44">
        <v>0.1</v>
      </c>
      <c r="AJ16" s="44">
        <v>360.5</v>
      </c>
      <c r="AK16" s="44">
        <f t="shared" si="5"/>
        <v>360.4</v>
      </c>
      <c r="AL16" s="38">
        <v>0</v>
      </c>
      <c r="AM16" s="38">
        <v>0</v>
      </c>
      <c r="AN16" s="44">
        <f t="shared" si="2"/>
        <v>0</v>
      </c>
      <c r="AO16" s="43">
        <f t="shared" si="3"/>
        <v>0</v>
      </c>
      <c r="AP16" s="41" t="e">
        <f t="shared" si="4"/>
        <v>#DIV/0!</v>
      </c>
    </row>
    <row r="17" spans="1:42" ht="15.75" x14ac:dyDescent="0.25">
      <c r="A17" s="23">
        <v>11</v>
      </c>
      <c r="B17" s="1" t="s">
        <v>1</v>
      </c>
      <c r="C17" s="41"/>
      <c r="D17" s="41"/>
      <c r="E17" s="41"/>
      <c r="F17" s="4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27">
        <f t="shared" si="0"/>
        <v>0</v>
      </c>
      <c r="AI17" s="44">
        <v>0.1</v>
      </c>
      <c r="AJ17" s="38">
        <v>302.10000000000002</v>
      </c>
      <c r="AK17" s="44">
        <f t="shared" si="5"/>
        <v>302</v>
      </c>
      <c r="AL17" s="38">
        <v>0</v>
      </c>
      <c r="AM17" s="38">
        <v>0</v>
      </c>
      <c r="AN17" s="44">
        <f t="shared" si="2"/>
        <v>0</v>
      </c>
      <c r="AO17" s="43">
        <f t="shared" si="3"/>
        <v>0</v>
      </c>
      <c r="AP17" s="41" t="e">
        <f t="shared" si="4"/>
        <v>#DIV/0!</v>
      </c>
    </row>
    <row r="18" spans="1:42" ht="15.75" x14ac:dyDescent="0.25">
      <c r="A18" s="23">
        <v>12</v>
      </c>
      <c r="B18" s="1" t="s">
        <v>16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27">
        <f t="shared" si="0"/>
        <v>0</v>
      </c>
      <c r="AI18" s="44"/>
      <c r="AJ18" s="44"/>
      <c r="AK18" s="44">
        <f t="shared" si="5"/>
        <v>0</v>
      </c>
      <c r="AL18" s="38">
        <v>0</v>
      </c>
      <c r="AM18" s="38">
        <v>265883</v>
      </c>
      <c r="AN18" s="44">
        <f t="shared" si="2"/>
        <v>265883</v>
      </c>
      <c r="AO18" s="43" t="e">
        <f t="shared" si="3"/>
        <v>#DIV/0!</v>
      </c>
      <c r="AP18" s="41">
        <f t="shared" si="4"/>
        <v>0</v>
      </c>
    </row>
    <row r="19" spans="1:42" ht="15.75" x14ac:dyDescent="0.25">
      <c r="A19" s="23">
        <v>13</v>
      </c>
      <c r="B19" s="1" t="s">
        <v>17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27">
        <f t="shared" si="0"/>
        <v>0</v>
      </c>
      <c r="AI19" s="44"/>
      <c r="AJ19" s="44"/>
      <c r="AK19" s="44">
        <f t="shared" si="5"/>
        <v>0</v>
      </c>
      <c r="AL19" s="38">
        <v>0</v>
      </c>
      <c r="AM19" s="38">
        <v>0</v>
      </c>
      <c r="AN19" s="44">
        <f t="shared" si="2"/>
        <v>0</v>
      </c>
      <c r="AO19" s="43" t="e">
        <f t="shared" si="3"/>
        <v>#DIV/0!</v>
      </c>
      <c r="AP19" s="41" t="e">
        <f t="shared" si="4"/>
        <v>#DIV/0!</v>
      </c>
    </row>
    <row r="20" spans="1:42" ht="15.75" x14ac:dyDescent="0.25">
      <c r="A20" s="23">
        <v>14</v>
      </c>
      <c r="B20" s="1" t="s">
        <v>18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27">
        <f t="shared" si="0"/>
        <v>0</v>
      </c>
      <c r="AI20" s="44"/>
      <c r="AJ20" s="44"/>
      <c r="AK20" s="44">
        <f t="shared" si="5"/>
        <v>0</v>
      </c>
      <c r="AL20" s="38">
        <v>0</v>
      </c>
      <c r="AM20" s="38">
        <v>0</v>
      </c>
      <c r="AN20" s="44">
        <f t="shared" si="2"/>
        <v>0</v>
      </c>
      <c r="AO20" s="43" t="e">
        <f t="shared" si="3"/>
        <v>#DIV/0!</v>
      </c>
      <c r="AP20" s="41" t="e">
        <f t="shared" si="4"/>
        <v>#DIV/0!</v>
      </c>
    </row>
    <row r="21" spans="1:42" ht="15.75" x14ac:dyDescent="0.25">
      <c r="A21" s="23">
        <v>15</v>
      </c>
      <c r="B21" s="1" t="s">
        <v>19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27">
        <f t="shared" si="0"/>
        <v>0</v>
      </c>
      <c r="AI21" s="44"/>
      <c r="AJ21" s="44"/>
      <c r="AK21" s="44">
        <f t="shared" si="5"/>
        <v>0</v>
      </c>
      <c r="AL21" s="38">
        <v>0</v>
      </c>
      <c r="AM21" s="38">
        <v>0</v>
      </c>
      <c r="AN21" s="44">
        <f t="shared" si="2"/>
        <v>0</v>
      </c>
      <c r="AO21" s="43" t="e">
        <f t="shared" si="3"/>
        <v>#DIV/0!</v>
      </c>
      <c r="AP21" s="41" t="e">
        <f t="shared" si="4"/>
        <v>#DIV/0!</v>
      </c>
    </row>
    <row r="22" spans="1:42" ht="15.75" x14ac:dyDescent="0.25">
      <c r="A22" s="23">
        <v>16</v>
      </c>
      <c r="B22" s="1" t="s">
        <v>98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1"/>
      <c r="AH22" s="27">
        <f t="shared" si="0"/>
        <v>0</v>
      </c>
      <c r="AI22" s="44"/>
      <c r="AJ22" s="44"/>
      <c r="AK22" s="44">
        <f t="shared" si="5"/>
        <v>0</v>
      </c>
      <c r="AL22" s="38"/>
      <c r="AM22" s="38"/>
      <c r="AN22" s="44">
        <f t="shared" si="2"/>
        <v>0</v>
      </c>
      <c r="AO22" s="43" t="e">
        <f t="shared" si="3"/>
        <v>#DIV/0!</v>
      </c>
      <c r="AP22" s="41" t="e">
        <f t="shared" si="4"/>
        <v>#DIV/0!</v>
      </c>
    </row>
    <row r="23" spans="1:42" ht="15.75" x14ac:dyDescent="0.25">
      <c r="A23" s="23">
        <v>17</v>
      </c>
      <c r="B23" s="1" t="s">
        <v>96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1"/>
      <c r="AF23" s="41"/>
      <c r="AG23" s="41"/>
      <c r="AH23" s="27">
        <f t="shared" si="0"/>
        <v>0</v>
      </c>
      <c r="AI23" s="44"/>
      <c r="AJ23" s="44"/>
      <c r="AK23" s="44">
        <f t="shared" si="5"/>
        <v>0</v>
      </c>
      <c r="AL23" s="38">
        <v>0</v>
      </c>
      <c r="AM23" s="38">
        <v>0</v>
      </c>
      <c r="AN23" s="44">
        <f t="shared" si="2"/>
        <v>0</v>
      </c>
      <c r="AO23" s="43" t="e">
        <f t="shared" si="3"/>
        <v>#DIV/0!</v>
      </c>
      <c r="AP23" s="41" t="e">
        <f t="shared" si="4"/>
        <v>#DIV/0!</v>
      </c>
    </row>
    <row r="24" spans="1:42" ht="15.75" x14ac:dyDescent="0.25">
      <c r="A24" s="23">
        <v>18</v>
      </c>
      <c r="B24" s="1" t="s">
        <v>20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0"/>
      <c r="AE24" s="41"/>
      <c r="AF24" s="41"/>
      <c r="AG24" s="41"/>
      <c r="AH24" s="27">
        <f t="shared" si="0"/>
        <v>0</v>
      </c>
      <c r="AI24" s="44"/>
      <c r="AJ24" s="44"/>
      <c r="AK24" s="44">
        <f t="shared" si="5"/>
        <v>0</v>
      </c>
      <c r="AL24" s="38">
        <v>0</v>
      </c>
      <c r="AM24" s="38">
        <v>0</v>
      </c>
      <c r="AN24" s="44">
        <f t="shared" si="2"/>
        <v>0</v>
      </c>
      <c r="AO24" s="43" t="e">
        <f t="shared" si="3"/>
        <v>#DIV/0!</v>
      </c>
      <c r="AP24" s="41" t="e">
        <f t="shared" si="4"/>
        <v>#DIV/0!</v>
      </c>
    </row>
    <row r="25" spans="1:42" ht="15.75" x14ac:dyDescent="0.25">
      <c r="A25" s="23">
        <v>19</v>
      </c>
      <c r="B25" s="1" t="s">
        <v>21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6"/>
      <c r="W25" s="41"/>
      <c r="X25" s="41"/>
      <c r="Y25" s="41"/>
      <c r="Z25" s="41"/>
      <c r="AA25" s="41"/>
      <c r="AB25" s="41"/>
      <c r="AC25" s="41"/>
      <c r="AD25" s="40"/>
      <c r="AE25" s="41"/>
      <c r="AF25" s="41"/>
      <c r="AG25" s="41"/>
      <c r="AH25" s="27">
        <f t="shared" si="0"/>
        <v>0</v>
      </c>
      <c r="AI25" s="44"/>
      <c r="AJ25" s="44"/>
      <c r="AK25" s="44">
        <f t="shared" si="5"/>
        <v>0</v>
      </c>
      <c r="AL25" s="38">
        <v>0</v>
      </c>
      <c r="AM25" s="38">
        <v>0</v>
      </c>
      <c r="AN25" s="44">
        <f t="shared" si="2"/>
        <v>0</v>
      </c>
      <c r="AO25" s="43" t="e">
        <f t="shared" si="3"/>
        <v>#DIV/0!</v>
      </c>
      <c r="AP25" s="41" t="e">
        <f t="shared" si="4"/>
        <v>#DIV/0!</v>
      </c>
    </row>
    <row r="26" spans="1:42" ht="15.75" x14ac:dyDescent="0.25">
      <c r="A26" s="23">
        <v>20</v>
      </c>
      <c r="B26" s="1" t="s">
        <v>22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0"/>
      <c r="AE26" s="41"/>
      <c r="AF26" s="41"/>
      <c r="AG26" s="41"/>
      <c r="AH26" s="27">
        <f t="shared" si="0"/>
        <v>0</v>
      </c>
      <c r="AI26" s="44"/>
      <c r="AJ26" s="44"/>
      <c r="AK26" s="44">
        <f t="shared" si="5"/>
        <v>0</v>
      </c>
      <c r="AL26" s="38">
        <v>0</v>
      </c>
      <c r="AM26" s="38">
        <v>0</v>
      </c>
      <c r="AN26" s="44">
        <f t="shared" si="2"/>
        <v>0</v>
      </c>
      <c r="AO26" s="43" t="e">
        <f t="shared" si="3"/>
        <v>#DIV/0!</v>
      </c>
      <c r="AP26" s="41" t="e">
        <f t="shared" si="4"/>
        <v>#DIV/0!</v>
      </c>
    </row>
    <row r="27" spans="1:42" ht="15.75" x14ac:dyDescent="0.25">
      <c r="A27" s="23">
        <v>21</v>
      </c>
      <c r="B27" s="1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27">
        <f t="shared" si="0"/>
        <v>0</v>
      </c>
      <c r="AI27" s="44"/>
      <c r="AJ27" s="44"/>
      <c r="AK27" s="44">
        <f t="shared" si="5"/>
        <v>0</v>
      </c>
      <c r="AL27" s="38">
        <v>0</v>
      </c>
      <c r="AM27" s="38">
        <v>0</v>
      </c>
      <c r="AN27" s="44">
        <f t="shared" si="2"/>
        <v>0</v>
      </c>
      <c r="AO27" s="43" t="e">
        <f t="shared" si="3"/>
        <v>#DIV/0!</v>
      </c>
      <c r="AP27" s="41" t="e">
        <f t="shared" si="4"/>
        <v>#DIV/0!</v>
      </c>
    </row>
    <row r="28" spans="1:42" ht="15.75" x14ac:dyDescent="0.25">
      <c r="A28" s="23">
        <v>22</v>
      </c>
      <c r="B28" s="1" t="s">
        <v>89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1"/>
      <c r="AC28" s="41"/>
      <c r="AD28" s="41"/>
      <c r="AE28" s="41"/>
      <c r="AF28" s="41"/>
      <c r="AG28" s="41"/>
      <c r="AH28" s="27">
        <f t="shared" si="0"/>
        <v>0</v>
      </c>
      <c r="AI28" s="44"/>
      <c r="AJ28" s="44"/>
      <c r="AK28" s="44">
        <f t="shared" si="5"/>
        <v>0</v>
      </c>
      <c r="AL28" s="38">
        <v>0</v>
      </c>
      <c r="AM28" s="38">
        <v>212256.4</v>
      </c>
      <c r="AN28" s="44">
        <f t="shared" si="2"/>
        <v>212256.4</v>
      </c>
      <c r="AO28" s="43" t="e">
        <f t="shared" si="3"/>
        <v>#DIV/0!</v>
      </c>
      <c r="AP28" s="41">
        <f t="shared" si="4"/>
        <v>0</v>
      </c>
    </row>
    <row r="29" spans="1:42" ht="15.75" x14ac:dyDescent="0.25">
      <c r="A29" s="23">
        <v>23</v>
      </c>
      <c r="B29" s="1" t="s">
        <v>24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27">
        <f t="shared" si="0"/>
        <v>0</v>
      </c>
      <c r="AI29" s="44"/>
      <c r="AJ29" s="44"/>
      <c r="AK29" s="44">
        <f t="shared" si="5"/>
        <v>0</v>
      </c>
      <c r="AL29" s="38">
        <v>0</v>
      </c>
      <c r="AM29" s="38">
        <v>0</v>
      </c>
      <c r="AN29" s="44">
        <f t="shared" si="2"/>
        <v>0</v>
      </c>
      <c r="AO29" s="43" t="e">
        <f t="shared" si="3"/>
        <v>#DIV/0!</v>
      </c>
      <c r="AP29" s="41" t="e">
        <f t="shared" si="4"/>
        <v>#DIV/0!</v>
      </c>
    </row>
    <row r="30" spans="1:42" ht="15.75" x14ac:dyDescent="0.25">
      <c r="A30" s="23">
        <v>24</v>
      </c>
      <c r="B30" s="1" t="s">
        <v>25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27">
        <f t="shared" si="0"/>
        <v>0</v>
      </c>
      <c r="AI30" s="44">
        <v>13097.4</v>
      </c>
      <c r="AJ30" s="44">
        <v>13405.18</v>
      </c>
      <c r="AK30" s="44">
        <f t="shared" si="5"/>
        <v>307.78000000000065</v>
      </c>
      <c r="AL30" s="44">
        <v>223629.7</v>
      </c>
      <c r="AM30" s="44">
        <v>227386.2</v>
      </c>
      <c r="AN30" s="44">
        <f t="shared" si="2"/>
        <v>3756.5</v>
      </c>
      <c r="AO30" s="43">
        <f t="shared" si="3"/>
        <v>0</v>
      </c>
      <c r="AP30" s="41">
        <f t="shared" si="4"/>
        <v>0</v>
      </c>
    </row>
    <row r="31" spans="1:42" ht="15.75" x14ac:dyDescent="0.25">
      <c r="A31" s="23">
        <v>25</v>
      </c>
      <c r="B31" s="1" t="s">
        <v>26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27">
        <f t="shared" si="0"/>
        <v>0</v>
      </c>
      <c r="AI31" s="44">
        <v>15177.4</v>
      </c>
      <c r="AJ31" s="44">
        <v>15312.19</v>
      </c>
      <c r="AK31" s="44">
        <f t="shared" si="5"/>
        <v>134.79000000000087</v>
      </c>
      <c r="AL31" s="44">
        <v>123347.1</v>
      </c>
      <c r="AM31" s="44">
        <v>124597.6</v>
      </c>
      <c r="AN31" s="44">
        <f t="shared" si="2"/>
        <v>1250.5</v>
      </c>
      <c r="AO31" s="43">
        <f t="shared" si="3"/>
        <v>0</v>
      </c>
      <c r="AP31" s="41">
        <f t="shared" si="4"/>
        <v>0</v>
      </c>
    </row>
    <row r="32" spans="1:42" ht="15.75" x14ac:dyDescent="0.25">
      <c r="A32" s="23">
        <v>26</v>
      </c>
      <c r="B32" s="1" t="s">
        <v>27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27">
        <f t="shared" si="0"/>
        <v>0</v>
      </c>
      <c r="AI32" s="44">
        <v>15290.16</v>
      </c>
      <c r="AJ32" s="44">
        <v>15562</v>
      </c>
      <c r="AK32" s="44">
        <f t="shared" si="5"/>
        <v>271.84000000000015</v>
      </c>
      <c r="AL32" s="44">
        <v>262863.8</v>
      </c>
      <c r="AM32" s="44">
        <v>265573.40000000002</v>
      </c>
      <c r="AN32" s="44">
        <f t="shared" si="2"/>
        <v>2709.6000000000349</v>
      </c>
      <c r="AO32" s="43">
        <f t="shared" si="3"/>
        <v>0</v>
      </c>
      <c r="AP32" s="41">
        <f t="shared" si="4"/>
        <v>0</v>
      </c>
    </row>
    <row r="33" spans="1:42" ht="15.75" x14ac:dyDescent="0.25">
      <c r="A33" s="23">
        <v>27</v>
      </c>
      <c r="B33" s="1" t="s">
        <v>28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27">
        <f t="shared" si="0"/>
        <v>0</v>
      </c>
      <c r="AI33" s="44">
        <v>11753.28</v>
      </c>
      <c r="AJ33" s="44">
        <v>1207.04</v>
      </c>
      <c r="AK33" s="44">
        <f t="shared" si="5"/>
        <v>-10546.240000000002</v>
      </c>
      <c r="AL33" s="44">
        <v>196147.7</v>
      </c>
      <c r="AM33" s="44">
        <v>198594.5</v>
      </c>
      <c r="AN33" s="44">
        <f t="shared" si="2"/>
        <v>2446.7999999999884</v>
      </c>
      <c r="AO33" s="43">
        <f t="shared" si="3"/>
        <v>0</v>
      </c>
      <c r="AP33" s="41">
        <f t="shared" si="4"/>
        <v>0</v>
      </c>
    </row>
    <row r="34" spans="1:42" ht="15.75" x14ac:dyDescent="0.25">
      <c r="A34" s="23">
        <v>28</v>
      </c>
      <c r="B34" s="1" t="s">
        <v>29</v>
      </c>
      <c r="C34" s="45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27">
        <f t="shared" si="0"/>
        <v>0</v>
      </c>
      <c r="AI34" s="44">
        <v>14913.33</v>
      </c>
      <c r="AJ34" s="44">
        <v>15268.8</v>
      </c>
      <c r="AK34" s="44">
        <f t="shared" si="5"/>
        <v>355.46999999999935</v>
      </c>
      <c r="AL34" s="44">
        <v>249733.5</v>
      </c>
      <c r="AM34" s="44">
        <v>253545.3</v>
      </c>
      <c r="AN34" s="44">
        <f t="shared" si="2"/>
        <v>3811.7999999999884</v>
      </c>
      <c r="AO34" s="43">
        <f t="shared" si="3"/>
        <v>0</v>
      </c>
      <c r="AP34" s="41">
        <f t="shared" si="4"/>
        <v>0</v>
      </c>
    </row>
    <row r="35" spans="1:42" ht="15.75" x14ac:dyDescent="0.25">
      <c r="A35" s="23">
        <v>29</v>
      </c>
      <c r="B35" s="1" t="s">
        <v>30</v>
      </c>
      <c r="C35" s="45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27">
        <f t="shared" si="0"/>
        <v>0</v>
      </c>
      <c r="AI35" s="44">
        <v>5345.01</v>
      </c>
      <c r="AJ35" s="44">
        <v>5507.11</v>
      </c>
      <c r="AK35" s="44">
        <f t="shared" si="5"/>
        <v>162.09999999999945</v>
      </c>
      <c r="AL35" s="44">
        <v>16716</v>
      </c>
      <c r="AM35" s="44">
        <v>18570.900000000001</v>
      </c>
      <c r="AN35" s="44">
        <f t="shared" si="2"/>
        <v>1854.9000000000015</v>
      </c>
      <c r="AO35" s="43">
        <f t="shared" si="3"/>
        <v>0</v>
      </c>
      <c r="AP35" s="41">
        <f t="shared" si="4"/>
        <v>0</v>
      </c>
    </row>
    <row r="36" spans="1:42" ht="15.75" x14ac:dyDescent="0.25">
      <c r="A36" s="23">
        <v>30</v>
      </c>
      <c r="B36" s="1" t="s">
        <v>31</v>
      </c>
      <c r="C36" s="45"/>
      <c r="D36" s="41"/>
      <c r="E36" s="41"/>
      <c r="F36" s="41"/>
      <c r="G36" s="41"/>
      <c r="H36" s="41"/>
      <c r="I36" s="45"/>
      <c r="J36" s="41"/>
      <c r="K36" s="41"/>
      <c r="L36" s="47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27">
        <f t="shared" si="0"/>
        <v>0</v>
      </c>
      <c r="AI36" s="44">
        <v>13168.16</v>
      </c>
      <c r="AJ36" s="44">
        <v>13464.21</v>
      </c>
      <c r="AK36" s="44">
        <f t="shared" si="5"/>
        <v>296.04999999999927</v>
      </c>
      <c r="AL36" s="44">
        <v>226398.4</v>
      </c>
      <c r="AM36" s="44">
        <v>229877.8</v>
      </c>
      <c r="AN36" s="44">
        <f t="shared" si="2"/>
        <v>3479.3999999999942</v>
      </c>
      <c r="AO36" s="43">
        <f t="shared" si="3"/>
        <v>0</v>
      </c>
      <c r="AP36" s="41">
        <f t="shared" si="4"/>
        <v>0</v>
      </c>
    </row>
    <row r="37" spans="1:42" ht="15.75" x14ac:dyDescent="0.25">
      <c r="A37" s="23">
        <v>31</v>
      </c>
      <c r="B37" s="1" t="s">
        <v>32</v>
      </c>
      <c r="C37" s="45"/>
      <c r="D37" s="41"/>
      <c r="E37" s="41"/>
      <c r="F37" s="41"/>
      <c r="G37" s="41"/>
      <c r="H37" s="47"/>
      <c r="I37" s="45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54"/>
      <c r="AE37" s="41"/>
      <c r="AF37" s="41"/>
      <c r="AG37" s="41"/>
      <c r="AH37" s="27">
        <f t="shared" si="0"/>
        <v>0</v>
      </c>
      <c r="AI37" s="44"/>
      <c r="AJ37" s="44"/>
      <c r="AK37" s="44">
        <f t="shared" si="5"/>
        <v>0</v>
      </c>
      <c r="AL37" s="44">
        <v>96312.2</v>
      </c>
      <c r="AM37" s="44"/>
      <c r="AN37" s="44">
        <f t="shared" si="2"/>
        <v>-96312.2</v>
      </c>
      <c r="AO37" s="43" t="e">
        <f t="shared" si="3"/>
        <v>#DIV/0!</v>
      </c>
      <c r="AP37" s="41">
        <f t="shared" si="4"/>
        <v>0</v>
      </c>
    </row>
    <row r="38" spans="1:42" ht="15.75" x14ac:dyDescent="0.25">
      <c r="A38" s="23">
        <v>32</v>
      </c>
      <c r="B38" s="1" t="s">
        <v>33</v>
      </c>
      <c r="C38" s="45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27">
        <f t="shared" si="0"/>
        <v>0</v>
      </c>
      <c r="AI38" s="44">
        <v>11883.49</v>
      </c>
      <c r="AJ38" s="44">
        <v>12143.48</v>
      </c>
      <c r="AK38" s="44">
        <f t="shared" si="5"/>
        <v>259.98999999999978</v>
      </c>
      <c r="AL38" s="44">
        <v>206220.4</v>
      </c>
      <c r="AM38" s="44">
        <v>206779.6</v>
      </c>
      <c r="AN38" s="44">
        <f t="shared" si="2"/>
        <v>559.20000000001164</v>
      </c>
      <c r="AO38" s="43">
        <f t="shared" si="3"/>
        <v>0</v>
      </c>
      <c r="AP38" s="41">
        <f t="shared" si="4"/>
        <v>0</v>
      </c>
    </row>
    <row r="39" spans="1:42" ht="15.75" x14ac:dyDescent="0.25">
      <c r="A39" s="23">
        <v>33</v>
      </c>
      <c r="B39" s="1" t="s">
        <v>34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27">
        <f t="shared" ref="AH39:AH70" si="6">SUM(C39:AG39)</f>
        <v>0</v>
      </c>
      <c r="AI39" s="44">
        <v>14026.26</v>
      </c>
      <c r="AJ39" s="44">
        <v>14299.39</v>
      </c>
      <c r="AK39" s="44">
        <f t="shared" si="5"/>
        <v>273.1299999999992</v>
      </c>
      <c r="AL39" s="44">
        <v>241707.53</v>
      </c>
      <c r="AM39" s="44">
        <v>243925.7</v>
      </c>
      <c r="AN39" s="44">
        <f>AM39-AL39</f>
        <v>2218.1700000000128</v>
      </c>
      <c r="AO39" s="43">
        <f t="shared" si="3"/>
        <v>0</v>
      </c>
      <c r="AP39" s="41">
        <f t="shared" si="4"/>
        <v>0</v>
      </c>
    </row>
    <row r="40" spans="1:42" ht="15.75" x14ac:dyDescent="0.25">
      <c r="A40" s="23">
        <v>34</v>
      </c>
      <c r="B40" s="1" t="s">
        <v>70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1"/>
      <c r="Z40" s="41"/>
      <c r="AA40" s="41"/>
      <c r="AB40" s="41"/>
      <c r="AC40" s="41"/>
      <c r="AD40" s="41"/>
      <c r="AE40" s="41"/>
      <c r="AF40" s="41"/>
      <c r="AG40" s="41"/>
      <c r="AH40" s="27">
        <f t="shared" si="6"/>
        <v>0</v>
      </c>
      <c r="AI40" s="44"/>
      <c r="AJ40" s="44"/>
      <c r="AK40" s="44">
        <f t="shared" si="5"/>
        <v>0</v>
      </c>
      <c r="AL40" s="44">
        <v>194113.3</v>
      </c>
      <c r="AM40" s="44"/>
      <c r="AN40" s="44">
        <f>AM40-AL40</f>
        <v>-194113.3</v>
      </c>
      <c r="AO40" s="43" t="e">
        <f t="shared" si="3"/>
        <v>#DIV/0!</v>
      </c>
      <c r="AP40" s="41">
        <f t="shared" si="4"/>
        <v>0</v>
      </c>
    </row>
    <row r="41" spans="1:42" ht="15.75" x14ac:dyDescent="0.25">
      <c r="A41" s="23">
        <v>35</v>
      </c>
      <c r="B41" s="1" t="s">
        <v>69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/>
      <c r="Z41" s="41"/>
      <c r="AA41" s="41"/>
      <c r="AB41" s="41"/>
      <c r="AC41" s="41"/>
      <c r="AD41" s="41"/>
      <c r="AE41" s="41"/>
      <c r="AF41" s="41"/>
      <c r="AG41" s="41"/>
      <c r="AH41" s="27">
        <f t="shared" si="6"/>
        <v>0</v>
      </c>
      <c r="AI41" s="44">
        <v>11664</v>
      </c>
      <c r="AJ41" s="44">
        <v>11742</v>
      </c>
      <c r="AK41" s="44">
        <f t="shared" si="5"/>
        <v>78</v>
      </c>
      <c r="AL41" s="44"/>
      <c r="AM41" s="44">
        <v>156705.60000000001</v>
      </c>
      <c r="AN41" s="44">
        <f>AM41-AL41</f>
        <v>156705.60000000001</v>
      </c>
      <c r="AO41" s="43">
        <f t="shared" si="3"/>
        <v>0</v>
      </c>
      <c r="AP41" s="41">
        <f t="shared" si="4"/>
        <v>0</v>
      </c>
    </row>
    <row r="42" spans="1:42" ht="15.75" x14ac:dyDescent="0.25">
      <c r="A42" s="23">
        <v>36</v>
      </c>
      <c r="B42" s="1" t="s">
        <v>71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1"/>
      <c r="Z42" s="41"/>
      <c r="AA42" s="41"/>
      <c r="AB42" s="41"/>
      <c r="AC42" s="41"/>
      <c r="AD42" s="41"/>
      <c r="AE42" s="41"/>
      <c r="AF42" s="41"/>
      <c r="AG42" s="41"/>
      <c r="AH42" s="27">
        <f t="shared" si="6"/>
        <v>0</v>
      </c>
      <c r="AI42" s="44">
        <v>11788</v>
      </c>
      <c r="AJ42" s="44">
        <v>11842</v>
      </c>
      <c r="AK42" s="44"/>
      <c r="AL42" s="44">
        <v>156548.4</v>
      </c>
      <c r="AM42" s="44">
        <v>157072.79999999999</v>
      </c>
      <c r="AN42" s="44">
        <f>AM42-AL42</f>
        <v>524.39999999999418</v>
      </c>
      <c r="AO42" s="43" t="e">
        <f t="shared" si="3"/>
        <v>#DIV/0!</v>
      </c>
      <c r="AP42" s="41">
        <f t="shared" si="4"/>
        <v>0</v>
      </c>
    </row>
    <row r="43" spans="1:42" ht="15.75" x14ac:dyDescent="0.25">
      <c r="A43" s="23">
        <v>37</v>
      </c>
      <c r="B43" s="1" t="s">
        <v>66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1"/>
      <c r="Z43" s="41"/>
      <c r="AA43" s="41"/>
      <c r="AB43" s="41"/>
      <c r="AC43" s="41"/>
      <c r="AD43" s="41"/>
      <c r="AE43" s="41"/>
      <c r="AF43" s="41"/>
      <c r="AG43" s="41"/>
      <c r="AH43" s="27">
        <f t="shared" si="6"/>
        <v>0</v>
      </c>
      <c r="AI43" s="44"/>
      <c r="AJ43" s="44"/>
      <c r="AK43" s="44">
        <f t="shared" si="5"/>
        <v>0</v>
      </c>
      <c r="AL43" s="44">
        <v>145471.70000000001</v>
      </c>
      <c r="AM43" s="44">
        <v>145927.20000000001</v>
      </c>
      <c r="AN43" s="44">
        <f t="shared" si="2"/>
        <v>455.5</v>
      </c>
      <c r="AO43" s="43" t="e">
        <f t="shared" si="3"/>
        <v>#DIV/0!</v>
      </c>
      <c r="AP43" s="41">
        <f t="shared" si="4"/>
        <v>0</v>
      </c>
    </row>
    <row r="44" spans="1:42" ht="15.75" x14ac:dyDescent="0.25">
      <c r="A44" s="23">
        <v>38</v>
      </c>
      <c r="B44" s="1" t="s">
        <v>81</v>
      </c>
      <c r="C44" s="40"/>
      <c r="D44" s="40"/>
      <c r="E44" s="40"/>
      <c r="F44" s="40"/>
      <c r="G44" s="40"/>
      <c r="H44" s="40"/>
      <c r="I44" s="48"/>
      <c r="J44" s="48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1"/>
      <c r="AA44" s="41"/>
      <c r="AB44" s="41"/>
      <c r="AC44" s="41"/>
      <c r="AD44" s="41"/>
      <c r="AE44" s="41"/>
      <c r="AF44" s="41"/>
      <c r="AG44" s="41"/>
      <c r="AH44" s="27">
        <f t="shared" si="6"/>
        <v>0</v>
      </c>
      <c r="AI44" s="44"/>
      <c r="AJ44" s="44">
        <v>10110</v>
      </c>
      <c r="AK44" s="44">
        <f t="shared" si="5"/>
        <v>10110</v>
      </c>
      <c r="AL44" s="44"/>
      <c r="AM44" s="44">
        <v>143715.1</v>
      </c>
      <c r="AN44" s="44">
        <f t="shared" si="2"/>
        <v>143715.1</v>
      </c>
      <c r="AO44" s="43">
        <f t="shared" si="3"/>
        <v>0</v>
      </c>
      <c r="AP44" s="41">
        <f t="shared" si="4"/>
        <v>0</v>
      </c>
    </row>
    <row r="45" spans="1:42" ht="15.75" x14ac:dyDescent="0.25">
      <c r="A45" s="23">
        <v>39</v>
      </c>
      <c r="B45" s="1" t="s">
        <v>72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1"/>
      <c r="Z45" s="41"/>
      <c r="AA45" s="41"/>
      <c r="AB45" s="41"/>
      <c r="AC45" s="41"/>
      <c r="AD45" s="41"/>
      <c r="AE45" s="41"/>
      <c r="AF45" s="41"/>
      <c r="AG45" s="41"/>
      <c r="AH45" s="27">
        <f t="shared" si="6"/>
        <v>0</v>
      </c>
      <c r="AI45" s="44">
        <v>8640</v>
      </c>
      <c r="AJ45" s="44">
        <v>8762</v>
      </c>
      <c r="AK45" s="44">
        <f t="shared" si="5"/>
        <v>122</v>
      </c>
      <c r="AL45" s="44">
        <v>97631.8</v>
      </c>
      <c r="AM45" s="44">
        <v>98377.600000000006</v>
      </c>
      <c r="AN45" s="44">
        <f>AM45-AL45</f>
        <v>745.80000000000291</v>
      </c>
      <c r="AO45" s="43">
        <f t="shared" si="3"/>
        <v>0</v>
      </c>
      <c r="AP45" s="41">
        <f t="shared" si="4"/>
        <v>0</v>
      </c>
    </row>
    <row r="46" spans="1:42" ht="15.75" x14ac:dyDescent="0.25">
      <c r="A46" s="23">
        <v>40</v>
      </c>
      <c r="B46" s="1" t="s">
        <v>68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1"/>
      <c r="Z46" s="41"/>
      <c r="AA46" s="41"/>
      <c r="AB46" s="41"/>
      <c r="AC46" s="41"/>
      <c r="AD46" s="41"/>
      <c r="AE46" s="41"/>
      <c r="AF46" s="41"/>
      <c r="AG46" s="41"/>
      <c r="AH46" s="27">
        <f t="shared" si="6"/>
        <v>0</v>
      </c>
      <c r="AI46" s="44">
        <v>9950</v>
      </c>
      <c r="AJ46" s="44">
        <v>10106</v>
      </c>
      <c r="AK46" s="44">
        <f t="shared" si="5"/>
        <v>156</v>
      </c>
      <c r="AL46" s="44"/>
      <c r="AM46" s="44">
        <v>111896.1</v>
      </c>
      <c r="AN46" s="44">
        <f t="shared" si="2"/>
        <v>111896.1</v>
      </c>
      <c r="AO46" s="43">
        <f t="shared" si="3"/>
        <v>0</v>
      </c>
      <c r="AP46" s="41">
        <f t="shared" si="4"/>
        <v>0</v>
      </c>
    </row>
    <row r="47" spans="1:42" ht="15.75" x14ac:dyDescent="0.25">
      <c r="A47" s="23">
        <v>41</v>
      </c>
      <c r="B47" s="1" t="s">
        <v>67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1"/>
      <c r="AA47" s="41"/>
      <c r="AB47" s="41"/>
      <c r="AC47" s="41"/>
      <c r="AD47" s="41"/>
      <c r="AE47" s="41"/>
      <c r="AF47" s="41"/>
      <c r="AG47" s="41"/>
      <c r="AH47" s="27">
        <f t="shared" si="6"/>
        <v>0</v>
      </c>
      <c r="AI47" s="44">
        <v>8969</v>
      </c>
      <c r="AJ47" s="44">
        <v>9061</v>
      </c>
      <c r="AK47" s="44">
        <f t="shared" si="5"/>
        <v>92</v>
      </c>
      <c r="AL47" s="44">
        <v>102211.3</v>
      </c>
      <c r="AM47" s="44">
        <v>102773.3</v>
      </c>
      <c r="AN47" s="44">
        <f t="shared" si="2"/>
        <v>562</v>
      </c>
      <c r="AO47" s="43">
        <f t="shared" si="3"/>
        <v>0</v>
      </c>
      <c r="AP47" s="41">
        <f t="shared" si="4"/>
        <v>0</v>
      </c>
    </row>
    <row r="48" spans="1:42" ht="15.75" x14ac:dyDescent="0.25">
      <c r="A48" s="23">
        <v>42</v>
      </c>
      <c r="B48" s="1" t="s">
        <v>73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1"/>
      <c r="AA48" s="41"/>
      <c r="AB48" s="41"/>
      <c r="AC48" s="41"/>
      <c r="AD48" s="41"/>
      <c r="AE48" s="41"/>
      <c r="AF48" s="41"/>
      <c r="AG48" s="41"/>
      <c r="AH48" s="27">
        <f t="shared" si="6"/>
        <v>0</v>
      </c>
      <c r="AI48" s="44">
        <v>8946</v>
      </c>
      <c r="AJ48" s="44"/>
      <c r="AK48" s="44">
        <f t="shared" si="5"/>
        <v>-8946</v>
      </c>
      <c r="AL48" s="44">
        <v>102761.1</v>
      </c>
      <c r="AM48" s="44"/>
      <c r="AN48" s="44">
        <f t="shared" si="2"/>
        <v>-102761.1</v>
      </c>
      <c r="AO48" s="43">
        <f t="shared" si="3"/>
        <v>0</v>
      </c>
      <c r="AP48" s="41">
        <f t="shared" si="4"/>
        <v>0</v>
      </c>
    </row>
    <row r="49" spans="1:42" ht="15.75" x14ac:dyDescent="0.25">
      <c r="A49" s="23">
        <v>43</v>
      </c>
      <c r="B49" s="1" t="s">
        <v>74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1"/>
      <c r="AA49" s="41"/>
      <c r="AB49" s="41"/>
      <c r="AC49" s="41"/>
      <c r="AD49" s="41"/>
      <c r="AE49" s="41"/>
      <c r="AF49" s="41"/>
      <c r="AG49" s="41"/>
      <c r="AH49" s="27">
        <f t="shared" si="6"/>
        <v>0</v>
      </c>
      <c r="AI49" s="44"/>
      <c r="AJ49" s="44"/>
      <c r="AK49" s="44">
        <f t="shared" si="5"/>
        <v>0</v>
      </c>
      <c r="AL49" s="44"/>
      <c r="AM49" s="44"/>
      <c r="AN49" s="44">
        <f t="shared" si="2"/>
        <v>0</v>
      </c>
      <c r="AO49" s="43" t="e">
        <f t="shared" si="3"/>
        <v>#DIV/0!</v>
      </c>
      <c r="AP49" s="41" t="e">
        <f t="shared" si="4"/>
        <v>#DIV/0!</v>
      </c>
    </row>
    <row r="50" spans="1:42" ht="15.75" x14ac:dyDescent="0.25">
      <c r="A50" s="23">
        <v>44</v>
      </c>
      <c r="B50" s="1" t="s">
        <v>95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1"/>
      <c r="AD50" s="41"/>
      <c r="AE50" s="41"/>
      <c r="AF50" s="41"/>
      <c r="AG50" s="41"/>
      <c r="AH50" s="27">
        <f t="shared" si="6"/>
        <v>0</v>
      </c>
      <c r="AI50" s="44"/>
      <c r="AJ50" s="44">
        <v>16662</v>
      </c>
      <c r="AK50" s="44">
        <f t="shared" si="5"/>
        <v>16662</v>
      </c>
      <c r="AL50" s="44"/>
      <c r="AM50" s="44">
        <v>203680.4</v>
      </c>
      <c r="AN50" s="44">
        <f t="shared" si="2"/>
        <v>203680.4</v>
      </c>
      <c r="AO50" s="43">
        <f t="shared" si="3"/>
        <v>0</v>
      </c>
      <c r="AP50" s="41">
        <f t="shared" si="4"/>
        <v>0</v>
      </c>
    </row>
    <row r="51" spans="1:42" ht="15.75" x14ac:dyDescent="0.25">
      <c r="A51" s="23">
        <v>45</v>
      </c>
      <c r="B51" s="1" t="s">
        <v>86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1"/>
      <c r="AA51" s="41"/>
      <c r="AB51" s="41"/>
      <c r="AC51" s="41"/>
      <c r="AD51" s="41"/>
      <c r="AE51" s="41"/>
      <c r="AF51" s="41"/>
      <c r="AG51" s="41"/>
      <c r="AH51" s="27">
        <f t="shared" si="6"/>
        <v>0</v>
      </c>
      <c r="AI51" s="44"/>
      <c r="AJ51" s="44">
        <v>16776</v>
      </c>
      <c r="AK51" s="44">
        <f t="shared" si="5"/>
        <v>16776</v>
      </c>
      <c r="AL51" s="44"/>
      <c r="AM51" s="44">
        <v>205033.4</v>
      </c>
      <c r="AN51" s="44">
        <f t="shared" si="2"/>
        <v>205033.4</v>
      </c>
      <c r="AO51" s="43">
        <f t="shared" si="3"/>
        <v>0</v>
      </c>
      <c r="AP51" s="41">
        <f t="shared" si="4"/>
        <v>0</v>
      </c>
    </row>
    <row r="52" spans="1:42" ht="15.75" x14ac:dyDescent="0.25">
      <c r="A52" s="23">
        <v>46</v>
      </c>
      <c r="B52" s="1" t="s">
        <v>75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1"/>
      <c r="AG52" s="41"/>
      <c r="AH52" s="27">
        <f t="shared" si="6"/>
        <v>0</v>
      </c>
      <c r="AI52" s="44"/>
      <c r="AJ52" s="44">
        <v>11852</v>
      </c>
      <c r="AK52" s="44">
        <f t="shared" si="5"/>
        <v>11852</v>
      </c>
      <c r="AL52" s="44"/>
      <c r="AM52" s="44">
        <v>144167.4</v>
      </c>
      <c r="AN52" s="44">
        <f t="shared" si="2"/>
        <v>144167.4</v>
      </c>
      <c r="AO52" s="43">
        <f t="shared" si="3"/>
        <v>0</v>
      </c>
      <c r="AP52" s="41">
        <f t="shared" si="4"/>
        <v>0</v>
      </c>
    </row>
    <row r="53" spans="1:42" ht="15.75" x14ac:dyDescent="0.25">
      <c r="A53" s="23">
        <v>47</v>
      </c>
      <c r="B53" s="1" t="s">
        <v>76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1"/>
      <c r="AA53" s="41"/>
      <c r="AB53" s="41"/>
      <c r="AC53" s="41"/>
      <c r="AD53" s="41"/>
      <c r="AE53" s="41"/>
      <c r="AF53" s="41"/>
      <c r="AG53" s="41"/>
      <c r="AH53" s="27">
        <f t="shared" si="6"/>
        <v>0</v>
      </c>
      <c r="AI53" s="44">
        <v>16503</v>
      </c>
      <c r="AJ53" s="44"/>
      <c r="AK53" s="44">
        <f t="shared" si="5"/>
        <v>-16503</v>
      </c>
      <c r="AL53" s="44">
        <v>206666.1</v>
      </c>
      <c r="AM53" s="44"/>
      <c r="AN53" s="44">
        <f t="shared" si="2"/>
        <v>-206666.1</v>
      </c>
      <c r="AO53" s="43">
        <f t="shared" si="3"/>
        <v>0</v>
      </c>
      <c r="AP53" s="41">
        <f t="shared" si="4"/>
        <v>0</v>
      </c>
    </row>
    <row r="54" spans="1:42" ht="15.75" x14ac:dyDescent="0.25">
      <c r="A54" s="23">
        <v>48</v>
      </c>
      <c r="B54" s="1" t="s">
        <v>77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1"/>
      <c r="AA54" s="41"/>
      <c r="AB54" s="41"/>
      <c r="AC54" s="41"/>
      <c r="AD54" s="41"/>
      <c r="AE54" s="41"/>
      <c r="AF54" s="41"/>
      <c r="AG54" s="41"/>
      <c r="AH54" s="27">
        <f t="shared" si="6"/>
        <v>0</v>
      </c>
      <c r="AI54" s="44">
        <v>15848</v>
      </c>
      <c r="AJ54" s="44"/>
      <c r="AK54" s="44">
        <f t="shared" si="5"/>
        <v>-15848</v>
      </c>
      <c r="AL54" s="44">
        <v>192880.8</v>
      </c>
      <c r="AM54" s="44"/>
      <c r="AN54" s="44">
        <f t="shared" si="2"/>
        <v>-192880.8</v>
      </c>
      <c r="AO54" s="43">
        <f t="shared" si="3"/>
        <v>0</v>
      </c>
      <c r="AP54" s="41">
        <f t="shared" si="4"/>
        <v>0</v>
      </c>
    </row>
    <row r="55" spans="1:42" ht="15.75" x14ac:dyDescent="0.25">
      <c r="A55" s="23">
        <v>49</v>
      </c>
      <c r="B55" s="1" t="s">
        <v>78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1"/>
      <c r="AA55" s="41"/>
      <c r="AB55" s="41"/>
      <c r="AC55" s="41"/>
      <c r="AD55" s="41"/>
      <c r="AE55" s="41"/>
      <c r="AF55" s="41"/>
      <c r="AG55" s="41"/>
      <c r="AH55" s="27">
        <f t="shared" si="6"/>
        <v>0</v>
      </c>
      <c r="AI55" s="44"/>
      <c r="AJ55" s="44"/>
      <c r="AK55" s="44">
        <f t="shared" si="5"/>
        <v>0</v>
      </c>
      <c r="AL55" s="44">
        <v>125800.8</v>
      </c>
      <c r="AM55" s="44"/>
      <c r="AN55" s="44">
        <f t="shared" si="2"/>
        <v>-125800.8</v>
      </c>
      <c r="AO55" s="43" t="e">
        <f t="shared" si="3"/>
        <v>#DIV/0!</v>
      </c>
      <c r="AP55" s="41">
        <f t="shared" si="4"/>
        <v>0</v>
      </c>
    </row>
    <row r="56" spans="1:42" ht="15.75" x14ac:dyDescent="0.25">
      <c r="A56" s="23">
        <v>50</v>
      </c>
      <c r="B56" s="1" t="s">
        <v>79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1"/>
      <c r="AA56" s="41"/>
      <c r="AB56" s="41"/>
      <c r="AC56" s="41"/>
      <c r="AD56" s="41"/>
      <c r="AE56" s="41"/>
      <c r="AF56" s="41"/>
      <c r="AG56" s="41"/>
      <c r="AH56" s="27">
        <f t="shared" si="6"/>
        <v>0</v>
      </c>
      <c r="AI56" s="44"/>
      <c r="AJ56" s="44"/>
      <c r="AK56" s="44">
        <f t="shared" si="5"/>
        <v>0</v>
      </c>
      <c r="AL56" s="44"/>
      <c r="AM56" s="44"/>
      <c r="AN56" s="44">
        <f t="shared" si="2"/>
        <v>0</v>
      </c>
      <c r="AO56" s="43" t="e">
        <f t="shared" si="3"/>
        <v>#DIV/0!</v>
      </c>
      <c r="AP56" s="41" t="e">
        <f t="shared" si="4"/>
        <v>#DIV/0!</v>
      </c>
    </row>
    <row r="57" spans="1:42" ht="15.75" x14ac:dyDescent="0.25">
      <c r="A57" s="23">
        <v>51</v>
      </c>
      <c r="B57" s="1" t="s">
        <v>94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1"/>
      <c r="AF57" s="41"/>
      <c r="AG57" s="41"/>
      <c r="AH57" s="27">
        <f t="shared" si="6"/>
        <v>0</v>
      </c>
      <c r="AI57" s="44"/>
      <c r="AJ57" s="44"/>
      <c r="AK57" s="44">
        <f t="shared" si="5"/>
        <v>0</v>
      </c>
      <c r="AL57" s="44"/>
      <c r="AM57" s="44">
        <v>146858.20000000001</v>
      </c>
      <c r="AN57" s="44">
        <f t="shared" si="2"/>
        <v>146858.20000000001</v>
      </c>
      <c r="AO57" s="43" t="e">
        <f t="shared" si="3"/>
        <v>#DIV/0!</v>
      </c>
      <c r="AP57" s="41">
        <f t="shared" si="4"/>
        <v>0</v>
      </c>
    </row>
    <row r="58" spans="1:42" ht="15.75" x14ac:dyDescent="0.25">
      <c r="A58" s="23">
        <v>52</v>
      </c>
      <c r="B58" s="1" t="s">
        <v>84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1"/>
      <c r="AA58" s="41"/>
      <c r="AB58" s="41"/>
      <c r="AC58" s="41"/>
      <c r="AD58" s="41"/>
      <c r="AE58" s="41"/>
      <c r="AF58" s="41"/>
      <c r="AG58" s="41"/>
      <c r="AH58" s="27">
        <f t="shared" si="6"/>
        <v>0</v>
      </c>
      <c r="AI58" s="44"/>
      <c r="AJ58" s="44">
        <v>13728</v>
      </c>
      <c r="AK58" s="44">
        <f t="shared" si="5"/>
        <v>13728</v>
      </c>
      <c r="AL58" s="44"/>
      <c r="AM58" s="44">
        <v>173391.5</v>
      </c>
      <c r="AN58" s="44">
        <f t="shared" si="2"/>
        <v>173391.5</v>
      </c>
      <c r="AO58" s="43">
        <f t="shared" si="3"/>
        <v>0</v>
      </c>
      <c r="AP58" s="41">
        <f t="shared" si="4"/>
        <v>0</v>
      </c>
    </row>
    <row r="59" spans="1:42" ht="15.75" x14ac:dyDescent="0.25">
      <c r="A59" s="23">
        <v>53</v>
      </c>
      <c r="B59" s="1" t="s">
        <v>97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1"/>
      <c r="AA59" s="41"/>
      <c r="AB59" s="41"/>
      <c r="AC59" s="41"/>
      <c r="AD59" s="41"/>
      <c r="AE59" s="41"/>
      <c r="AF59" s="41"/>
      <c r="AG59" s="41"/>
      <c r="AH59" s="27">
        <f t="shared" si="6"/>
        <v>0</v>
      </c>
      <c r="AI59" s="44"/>
      <c r="AJ59" s="44"/>
      <c r="AK59" s="44">
        <f t="shared" si="5"/>
        <v>0</v>
      </c>
      <c r="AL59" s="44">
        <v>177487.1</v>
      </c>
      <c r="AM59" s="44">
        <v>178565.6</v>
      </c>
      <c r="AN59" s="44">
        <f t="shared" si="2"/>
        <v>1078.5</v>
      </c>
      <c r="AO59" s="43" t="e">
        <f t="shared" si="3"/>
        <v>#DIV/0!</v>
      </c>
      <c r="AP59" s="41">
        <f t="shared" si="4"/>
        <v>0</v>
      </c>
    </row>
    <row r="60" spans="1:42" ht="15.75" x14ac:dyDescent="0.25">
      <c r="A60" s="23">
        <v>54</v>
      </c>
      <c r="B60" s="1" t="s">
        <v>85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1"/>
      <c r="AC60" s="41"/>
      <c r="AD60" s="54"/>
      <c r="AE60" s="41"/>
      <c r="AF60" s="41"/>
      <c r="AG60" s="41"/>
      <c r="AH60" s="27">
        <f t="shared" si="6"/>
        <v>0</v>
      </c>
      <c r="AI60" s="44"/>
      <c r="AJ60" s="44">
        <v>15038</v>
      </c>
      <c r="AK60" s="44">
        <v>15079</v>
      </c>
      <c r="AL60" s="44"/>
      <c r="AM60" s="44">
        <v>199509.6</v>
      </c>
      <c r="AN60" s="44">
        <f>AM60-AL60</f>
        <v>199509.6</v>
      </c>
      <c r="AO60" s="43">
        <f t="shared" si="3"/>
        <v>0</v>
      </c>
      <c r="AP60" s="41">
        <f t="shared" si="4"/>
        <v>0</v>
      </c>
    </row>
    <row r="61" spans="1:42" ht="15.75" x14ac:dyDescent="0.25">
      <c r="A61" s="23">
        <v>55</v>
      </c>
      <c r="B61" s="1" t="s">
        <v>91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27">
        <f t="shared" si="6"/>
        <v>0</v>
      </c>
      <c r="AI61" s="44"/>
      <c r="AJ61" s="44"/>
      <c r="AK61" s="44">
        <f t="shared" si="5"/>
        <v>0</v>
      </c>
      <c r="AL61" s="44"/>
      <c r="AM61" s="44"/>
      <c r="AN61" s="44">
        <f t="shared" si="2"/>
        <v>0</v>
      </c>
      <c r="AO61" s="43" t="e">
        <f t="shared" si="3"/>
        <v>#DIV/0!</v>
      </c>
      <c r="AP61" s="41" t="e">
        <f t="shared" si="4"/>
        <v>#DIV/0!</v>
      </c>
    </row>
    <row r="62" spans="1:42" ht="15.75" x14ac:dyDescent="0.25">
      <c r="A62" s="23">
        <v>56</v>
      </c>
      <c r="B62" s="1" t="s">
        <v>90</v>
      </c>
      <c r="C62" s="41"/>
      <c r="D62" s="41"/>
      <c r="E62" s="41"/>
      <c r="F62" s="45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27">
        <f t="shared" si="6"/>
        <v>0</v>
      </c>
      <c r="AI62" s="44"/>
      <c r="AJ62" s="44"/>
      <c r="AK62" s="44">
        <f t="shared" si="5"/>
        <v>0</v>
      </c>
      <c r="AL62" s="44"/>
      <c r="AM62" s="44"/>
      <c r="AN62" s="44">
        <f t="shared" si="2"/>
        <v>0</v>
      </c>
      <c r="AO62" s="43" t="e">
        <f t="shared" si="3"/>
        <v>#DIV/0!</v>
      </c>
      <c r="AP62" s="41" t="e">
        <f t="shared" si="4"/>
        <v>#DIV/0!</v>
      </c>
    </row>
    <row r="63" spans="1:42" ht="15.75" x14ac:dyDescent="0.25">
      <c r="A63" s="23">
        <v>57</v>
      </c>
      <c r="B63" s="1" t="s">
        <v>92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1"/>
      <c r="AD63" s="41"/>
      <c r="AE63" s="41"/>
      <c r="AF63" s="41"/>
      <c r="AG63" s="41"/>
      <c r="AH63" s="27">
        <f t="shared" si="6"/>
        <v>0</v>
      </c>
      <c r="AI63" s="44"/>
      <c r="AJ63" s="44"/>
      <c r="AK63" s="44">
        <f t="shared" si="5"/>
        <v>0</v>
      </c>
      <c r="AL63" s="44"/>
      <c r="AM63" s="44"/>
      <c r="AN63" s="44">
        <f t="shared" si="2"/>
        <v>0</v>
      </c>
      <c r="AO63" s="43" t="e">
        <f t="shared" si="3"/>
        <v>#DIV/0!</v>
      </c>
      <c r="AP63" s="41" t="e">
        <f t="shared" si="4"/>
        <v>#DIV/0!</v>
      </c>
    </row>
    <row r="64" spans="1:42" ht="15.75" x14ac:dyDescent="0.25">
      <c r="A64" s="23">
        <v>58</v>
      </c>
      <c r="B64" s="1" t="s">
        <v>93</v>
      </c>
      <c r="C64" s="41"/>
      <c r="D64" s="41"/>
      <c r="E64" s="41"/>
      <c r="F64" s="45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27">
        <f t="shared" si="6"/>
        <v>0</v>
      </c>
      <c r="AI64" s="44"/>
      <c r="AJ64" s="44"/>
      <c r="AK64" s="44">
        <f t="shared" si="5"/>
        <v>0</v>
      </c>
      <c r="AL64" s="44"/>
      <c r="AM64" s="44"/>
      <c r="AN64" s="44">
        <f t="shared" si="2"/>
        <v>0</v>
      </c>
      <c r="AO64" s="43" t="e">
        <f t="shared" si="3"/>
        <v>#DIV/0!</v>
      </c>
      <c r="AP64" s="41" t="e">
        <f t="shared" si="4"/>
        <v>#DIV/0!</v>
      </c>
    </row>
    <row r="65" spans="1:42" ht="15.75" x14ac:dyDescent="0.25">
      <c r="A65" s="23">
        <v>59</v>
      </c>
      <c r="B65" s="1" t="s">
        <v>4</v>
      </c>
      <c r="C65" s="41"/>
      <c r="D65" s="41"/>
      <c r="E65" s="41"/>
      <c r="F65" s="45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27">
        <f t="shared" si="6"/>
        <v>0</v>
      </c>
      <c r="AI65" s="44"/>
      <c r="AJ65" s="44"/>
      <c r="AK65" s="44">
        <f t="shared" si="5"/>
        <v>0</v>
      </c>
      <c r="AL65" s="44"/>
      <c r="AM65" s="44"/>
      <c r="AN65" s="44">
        <f t="shared" si="2"/>
        <v>0</v>
      </c>
      <c r="AO65" s="43" t="e">
        <f t="shared" si="3"/>
        <v>#DIV/0!</v>
      </c>
      <c r="AP65" s="41" t="e">
        <f t="shared" si="4"/>
        <v>#DIV/0!</v>
      </c>
    </row>
    <row r="66" spans="1:42" ht="15.75" x14ac:dyDescent="0.25">
      <c r="A66" s="23">
        <v>60</v>
      </c>
      <c r="B66" s="1" t="s">
        <v>37</v>
      </c>
      <c r="C66" s="41"/>
      <c r="D66" s="41"/>
      <c r="E66" s="41"/>
      <c r="F66" s="45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27">
        <f t="shared" si="6"/>
        <v>0</v>
      </c>
      <c r="AI66" s="44"/>
      <c r="AJ66" s="44"/>
      <c r="AK66" s="44">
        <f t="shared" si="5"/>
        <v>0</v>
      </c>
      <c r="AL66" s="44"/>
      <c r="AM66" s="44"/>
      <c r="AN66" s="44">
        <f>AM66-AL66</f>
        <v>0</v>
      </c>
      <c r="AO66" s="43" t="e">
        <f t="shared" si="3"/>
        <v>#DIV/0!</v>
      </c>
      <c r="AP66" s="41" t="e">
        <f t="shared" si="4"/>
        <v>#DIV/0!</v>
      </c>
    </row>
    <row r="67" spans="1:42" ht="15.75" x14ac:dyDescent="0.25">
      <c r="A67" s="23">
        <v>61</v>
      </c>
      <c r="B67" s="1" t="s">
        <v>83</v>
      </c>
      <c r="C67" s="47"/>
      <c r="D67" s="41"/>
      <c r="E67" s="41"/>
      <c r="F67" s="45"/>
      <c r="G67" s="41"/>
      <c r="H67" s="41"/>
      <c r="I67" s="41"/>
      <c r="J67" s="41"/>
      <c r="K67" s="40"/>
      <c r="L67" s="41"/>
      <c r="M67" s="40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27">
        <f t="shared" si="6"/>
        <v>0</v>
      </c>
      <c r="AI67" s="44"/>
      <c r="AJ67" s="44"/>
      <c r="AK67" s="44">
        <f t="shared" si="5"/>
        <v>0</v>
      </c>
      <c r="AL67" s="44"/>
      <c r="AM67" s="44"/>
      <c r="AN67" s="44">
        <f>AM67-AL67</f>
        <v>0</v>
      </c>
      <c r="AO67" s="43" t="e">
        <f t="shared" si="3"/>
        <v>#DIV/0!</v>
      </c>
      <c r="AP67" s="41" t="e">
        <f t="shared" si="4"/>
        <v>#DIV/0!</v>
      </c>
    </row>
    <row r="68" spans="1:42" ht="15" customHeight="1" x14ac:dyDescent="0.25">
      <c r="A68" s="23">
        <v>62</v>
      </c>
      <c r="B68" s="1" t="s">
        <v>52</v>
      </c>
      <c r="C68" s="41"/>
      <c r="D68" s="41"/>
      <c r="E68" s="41"/>
      <c r="F68" s="45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27">
        <f t="shared" si="6"/>
        <v>0</v>
      </c>
      <c r="AI68" s="44"/>
      <c r="AJ68" s="44"/>
      <c r="AK68" s="44">
        <f t="shared" si="5"/>
        <v>0</v>
      </c>
      <c r="AL68" s="44"/>
      <c r="AM68" s="44"/>
      <c r="AN68" s="44">
        <f t="shared" si="2"/>
        <v>0</v>
      </c>
      <c r="AO68" s="43" t="e">
        <f t="shared" si="3"/>
        <v>#DIV/0!</v>
      </c>
      <c r="AP68" s="41" t="e">
        <f t="shared" si="4"/>
        <v>#DIV/0!</v>
      </c>
    </row>
    <row r="69" spans="1:42" ht="15.75" x14ac:dyDescent="0.25">
      <c r="A69" s="23">
        <v>63</v>
      </c>
      <c r="B69" s="1" t="s">
        <v>39</v>
      </c>
      <c r="C69" s="41"/>
      <c r="D69" s="41"/>
      <c r="E69" s="41"/>
      <c r="F69" s="45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27">
        <f t="shared" si="6"/>
        <v>0</v>
      </c>
      <c r="AI69" s="44"/>
      <c r="AJ69" s="44"/>
      <c r="AK69" s="44">
        <f t="shared" si="5"/>
        <v>0</v>
      </c>
      <c r="AL69" s="44"/>
      <c r="AM69" s="44"/>
      <c r="AN69" s="44">
        <f t="shared" si="2"/>
        <v>0</v>
      </c>
      <c r="AO69" s="43" t="e">
        <f t="shared" si="3"/>
        <v>#DIV/0!</v>
      </c>
      <c r="AP69" s="41" t="e">
        <f t="shared" si="4"/>
        <v>#DIV/0!</v>
      </c>
    </row>
    <row r="70" spans="1:42" ht="15.75" x14ac:dyDescent="0.25">
      <c r="A70" s="23">
        <v>64</v>
      </c>
      <c r="B70" s="1" t="s">
        <v>40</v>
      </c>
      <c r="C70" s="41"/>
      <c r="D70" s="41"/>
      <c r="E70" s="41"/>
      <c r="F70" s="45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27">
        <f t="shared" si="6"/>
        <v>0</v>
      </c>
      <c r="AI70" s="44"/>
      <c r="AJ70" s="44"/>
      <c r="AK70" s="44">
        <f t="shared" si="5"/>
        <v>0</v>
      </c>
      <c r="AL70" s="44"/>
      <c r="AM70" s="44"/>
      <c r="AN70" s="44">
        <f t="shared" si="2"/>
        <v>0</v>
      </c>
      <c r="AO70" s="43" t="e">
        <f t="shared" si="3"/>
        <v>#DIV/0!</v>
      </c>
      <c r="AP70" s="41" t="e">
        <f t="shared" si="4"/>
        <v>#DIV/0!</v>
      </c>
    </row>
    <row r="71" spans="1:42" ht="15.75" x14ac:dyDescent="0.25">
      <c r="A71" s="23">
        <v>65</v>
      </c>
      <c r="B71" s="1" t="s">
        <v>82</v>
      </c>
      <c r="C71" s="41"/>
      <c r="D71" s="41"/>
      <c r="E71" s="41"/>
      <c r="F71" s="45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27">
        <f t="shared" ref="AH71:AH102" si="7">SUM(C71:AG71)</f>
        <v>0</v>
      </c>
      <c r="AI71" s="44"/>
      <c r="AJ71" s="44"/>
      <c r="AK71" s="44">
        <f t="shared" si="5"/>
        <v>0</v>
      </c>
      <c r="AL71" s="44"/>
      <c r="AM71" s="44"/>
      <c r="AN71" s="44">
        <f t="shared" si="2"/>
        <v>0</v>
      </c>
      <c r="AO71" s="43" t="e">
        <f t="shared" si="3"/>
        <v>#DIV/0!</v>
      </c>
      <c r="AP71" s="41" t="e">
        <f t="shared" si="4"/>
        <v>#DIV/0!</v>
      </c>
    </row>
    <row r="72" spans="1:42" ht="15.75" x14ac:dyDescent="0.25">
      <c r="A72" s="23">
        <v>66</v>
      </c>
      <c r="B72" s="1" t="s">
        <v>41</v>
      </c>
      <c r="C72" s="41"/>
      <c r="D72" s="41"/>
      <c r="E72" s="41"/>
      <c r="F72" s="45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27">
        <f t="shared" si="7"/>
        <v>0</v>
      </c>
      <c r="AI72" s="44"/>
      <c r="AJ72" s="44"/>
      <c r="AK72" s="44">
        <f t="shared" si="5"/>
        <v>0</v>
      </c>
      <c r="AL72" s="44"/>
      <c r="AM72" s="44"/>
      <c r="AN72" s="44">
        <f t="shared" si="2"/>
        <v>0</v>
      </c>
      <c r="AO72" s="43" t="e">
        <f t="shared" si="3"/>
        <v>#DIV/0!</v>
      </c>
      <c r="AP72" s="41" t="e">
        <f t="shared" si="4"/>
        <v>#DIV/0!</v>
      </c>
    </row>
    <row r="73" spans="1:42" ht="15.75" x14ac:dyDescent="0.25">
      <c r="A73" s="23">
        <v>67</v>
      </c>
      <c r="B73" s="1" t="s">
        <v>64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27">
        <f t="shared" si="7"/>
        <v>0</v>
      </c>
      <c r="AI73" s="44"/>
      <c r="AJ73" s="44"/>
      <c r="AK73" s="44">
        <f t="shared" si="5"/>
        <v>0</v>
      </c>
      <c r="AL73" s="44"/>
      <c r="AM73" s="44"/>
      <c r="AN73" s="44">
        <f t="shared" si="2"/>
        <v>0</v>
      </c>
      <c r="AO73" s="43" t="e">
        <f t="shared" si="3"/>
        <v>#DIV/0!</v>
      </c>
      <c r="AP73" s="41" t="e">
        <f t="shared" si="4"/>
        <v>#DIV/0!</v>
      </c>
    </row>
    <row r="74" spans="1:42" ht="15.75" x14ac:dyDescent="0.25">
      <c r="A74" s="23">
        <v>68</v>
      </c>
      <c r="B74" s="1" t="s">
        <v>42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27">
        <f t="shared" si="7"/>
        <v>0</v>
      </c>
      <c r="AI74" s="44"/>
      <c r="AJ74" s="44"/>
      <c r="AK74" s="44">
        <f t="shared" si="5"/>
        <v>0</v>
      </c>
      <c r="AL74" s="44"/>
      <c r="AM74" s="44"/>
      <c r="AN74" s="44">
        <f t="shared" si="2"/>
        <v>0</v>
      </c>
      <c r="AO74" s="43" t="e">
        <f t="shared" si="3"/>
        <v>#DIV/0!</v>
      </c>
      <c r="AP74" s="41" t="e">
        <f t="shared" si="4"/>
        <v>#DIV/0!</v>
      </c>
    </row>
    <row r="75" spans="1:42" ht="15.75" x14ac:dyDescent="0.25">
      <c r="A75" s="23">
        <v>69</v>
      </c>
      <c r="B75" s="1" t="s">
        <v>65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27">
        <f t="shared" si="7"/>
        <v>0</v>
      </c>
      <c r="AI75" s="44"/>
      <c r="AJ75" s="44"/>
      <c r="AK75" s="44">
        <f t="shared" si="5"/>
        <v>0</v>
      </c>
      <c r="AL75" s="44"/>
      <c r="AM75" s="44"/>
      <c r="AN75" s="44">
        <f t="shared" si="2"/>
        <v>0</v>
      </c>
      <c r="AO75" s="43" t="e">
        <f t="shared" si="3"/>
        <v>#DIV/0!</v>
      </c>
      <c r="AP75" s="41" t="e">
        <f t="shared" si="4"/>
        <v>#DIV/0!</v>
      </c>
    </row>
    <row r="76" spans="1:42" ht="15.75" x14ac:dyDescent="0.25">
      <c r="A76" s="23">
        <v>70</v>
      </c>
      <c r="B76" s="1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27">
        <f t="shared" si="7"/>
        <v>0</v>
      </c>
      <c r="AI76" s="44"/>
      <c r="AJ76" s="44"/>
      <c r="AK76" s="44">
        <f t="shared" si="5"/>
        <v>0</v>
      </c>
      <c r="AL76" s="44"/>
      <c r="AM76" s="44"/>
      <c r="AN76" s="44">
        <f t="shared" si="2"/>
        <v>0</v>
      </c>
      <c r="AO76" s="43" t="e">
        <f t="shared" si="3"/>
        <v>#DIV/0!</v>
      </c>
      <c r="AP76" s="41" t="e">
        <f t="shared" si="4"/>
        <v>#DIV/0!</v>
      </c>
    </row>
    <row r="77" spans="1:42" ht="15.75" x14ac:dyDescent="0.25">
      <c r="A77" s="23">
        <v>71</v>
      </c>
      <c r="B77" s="1" t="s">
        <v>50</v>
      </c>
      <c r="C77" s="36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27">
        <f t="shared" si="7"/>
        <v>0</v>
      </c>
      <c r="AI77" s="44"/>
      <c r="AJ77" s="44"/>
      <c r="AK77" s="44">
        <f t="shared" si="5"/>
        <v>0</v>
      </c>
      <c r="AL77" s="44"/>
      <c r="AM77" s="44"/>
      <c r="AN77" s="44">
        <f t="shared" si="2"/>
        <v>0</v>
      </c>
      <c r="AO77" s="43" t="e">
        <f t="shared" si="3"/>
        <v>#DIV/0!</v>
      </c>
      <c r="AP77" s="41" t="e">
        <f t="shared" si="4"/>
        <v>#DIV/0!</v>
      </c>
    </row>
    <row r="78" spans="1:42" ht="15.75" x14ac:dyDescent="0.25">
      <c r="A78" s="23">
        <v>72</v>
      </c>
      <c r="B78" s="1" t="s">
        <v>51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27">
        <f t="shared" si="7"/>
        <v>0</v>
      </c>
      <c r="AI78" s="44"/>
      <c r="AJ78" s="44"/>
      <c r="AK78" s="44">
        <f t="shared" si="5"/>
        <v>0</v>
      </c>
      <c r="AL78" s="44"/>
      <c r="AM78" s="44"/>
      <c r="AN78" s="44">
        <f t="shared" si="2"/>
        <v>0</v>
      </c>
      <c r="AO78" s="43" t="e">
        <f t="shared" si="3"/>
        <v>#DIV/0!</v>
      </c>
      <c r="AP78" s="41" t="e">
        <f t="shared" si="4"/>
        <v>#DIV/0!</v>
      </c>
    </row>
    <row r="79" spans="1:42" ht="15.75" x14ac:dyDescent="0.25">
      <c r="A79" s="23">
        <v>73</v>
      </c>
      <c r="B79" s="3" t="s">
        <v>49</v>
      </c>
      <c r="C79" s="25"/>
      <c r="D79" s="25"/>
      <c r="E79" s="25"/>
      <c r="F79" s="5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7">
        <f t="shared" si="7"/>
        <v>0</v>
      </c>
      <c r="AI79" s="29"/>
      <c r="AJ79" s="29"/>
      <c r="AK79" s="44">
        <f t="shared" si="5"/>
        <v>0</v>
      </c>
      <c r="AL79" s="29"/>
      <c r="AM79" s="29"/>
      <c r="AN79" s="44">
        <f t="shared" si="2"/>
        <v>0</v>
      </c>
      <c r="AO79" s="43" t="e">
        <f t="shared" si="3"/>
        <v>#DIV/0!</v>
      </c>
      <c r="AP79" s="41" t="e">
        <f t="shared" si="4"/>
        <v>#DIV/0!</v>
      </c>
    </row>
    <row r="80" spans="1:42" ht="23.25" customHeight="1" x14ac:dyDescent="0.25">
      <c r="A80" s="97" t="s">
        <v>11</v>
      </c>
      <c r="B80" s="98"/>
      <c r="C80" s="52">
        <f t="shared" ref="C80:Z80" si="8">SUM(C7:C79)</f>
        <v>0</v>
      </c>
      <c r="D80" s="52">
        <f t="shared" si="8"/>
        <v>0</v>
      </c>
      <c r="E80" s="52">
        <f t="shared" si="8"/>
        <v>0</v>
      </c>
      <c r="F80" s="52">
        <f t="shared" si="8"/>
        <v>0</v>
      </c>
      <c r="G80" s="52">
        <f t="shared" si="8"/>
        <v>0</v>
      </c>
      <c r="H80" s="52">
        <f t="shared" si="8"/>
        <v>0</v>
      </c>
      <c r="I80" s="52">
        <f t="shared" si="8"/>
        <v>0</v>
      </c>
      <c r="J80" s="52">
        <f t="shared" si="8"/>
        <v>0</v>
      </c>
      <c r="K80" s="52">
        <f t="shared" si="8"/>
        <v>0</v>
      </c>
      <c r="L80" s="52">
        <f t="shared" si="8"/>
        <v>0</v>
      </c>
      <c r="M80" s="52">
        <f t="shared" si="8"/>
        <v>0</v>
      </c>
      <c r="N80" s="52">
        <f t="shared" si="8"/>
        <v>0</v>
      </c>
      <c r="O80" s="52">
        <f t="shared" si="8"/>
        <v>0</v>
      </c>
      <c r="P80" s="52">
        <f t="shared" si="8"/>
        <v>0</v>
      </c>
      <c r="Q80" s="52">
        <f t="shared" si="8"/>
        <v>0</v>
      </c>
      <c r="R80" s="52">
        <f t="shared" si="8"/>
        <v>0</v>
      </c>
      <c r="S80" s="52">
        <f t="shared" si="8"/>
        <v>0</v>
      </c>
      <c r="T80" s="52">
        <f t="shared" si="8"/>
        <v>0</v>
      </c>
      <c r="U80" s="52">
        <f t="shared" si="8"/>
        <v>0</v>
      </c>
      <c r="V80" s="52">
        <f t="shared" si="8"/>
        <v>0</v>
      </c>
      <c r="W80" s="52">
        <f t="shared" si="8"/>
        <v>0</v>
      </c>
      <c r="X80" s="52">
        <f t="shared" si="8"/>
        <v>0</v>
      </c>
      <c r="Y80" s="52">
        <f t="shared" si="8"/>
        <v>0</v>
      </c>
      <c r="Z80" s="52">
        <f t="shared" si="8"/>
        <v>0</v>
      </c>
      <c r="AA80" s="52">
        <f>SUM(AA7:AA79)</f>
        <v>0</v>
      </c>
      <c r="AB80" s="52">
        <f t="shared" ref="AB80:AP80" si="9">SUM(AB7:AB79)</f>
        <v>0</v>
      </c>
      <c r="AC80" s="52">
        <f t="shared" si="9"/>
        <v>0</v>
      </c>
      <c r="AD80" s="55">
        <f t="shared" si="9"/>
        <v>0</v>
      </c>
      <c r="AE80" s="52">
        <f t="shared" si="9"/>
        <v>0</v>
      </c>
      <c r="AF80" s="55">
        <f t="shared" si="9"/>
        <v>0</v>
      </c>
      <c r="AG80" s="52">
        <f>SUM(AG7:AG79)</f>
        <v>0</v>
      </c>
      <c r="AH80" s="52">
        <f t="shared" si="9"/>
        <v>0</v>
      </c>
      <c r="AI80" s="52">
        <f t="shared" si="9"/>
        <v>312913.89</v>
      </c>
      <c r="AJ80" s="52">
        <f t="shared" si="9"/>
        <v>350249</v>
      </c>
      <c r="AK80" s="52">
        <f t="shared" si="9"/>
        <v>37322.11</v>
      </c>
      <c r="AL80" s="52">
        <f>SUM(AL7:AL79)</f>
        <v>3344648.7299999995</v>
      </c>
      <c r="AM80" s="52">
        <f t="shared" si="9"/>
        <v>4414664.2</v>
      </c>
      <c r="AN80" s="52">
        <f t="shared" si="9"/>
        <v>1070015.4700000002</v>
      </c>
      <c r="AO80" s="53" t="e">
        <f t="shared" si="9"/>
        <v>#DIV/0!</v>
      </c>
      <c r="AP80" s="52" t="e">
        <f t="shared" si="9"/>
        <v>#DIV/0!</v>
      </c>
    </row>
    <row r="83" spans="30:32" x14ac:dyDescent="0.25">
      <c r="AD83">
        <v>96</v>
      </c>
      <c r="AF83">
        <v>1099</v>
      </c>
    </row>
  </sheetData>
  <mergeCells count="12">
    <mergeCell ref="AO5:AP5"/>
    <mergeCell ref="A80:B80"/>
    <mergeCell ref="A1:AP1"/>
    <mergeCell ref="A2:AP2"/>
    <mergeCell ref="A3:AP3"/>
    <mergeCell ref="C5:AG5"/>
    <mergeCell ref="AI5:AI6"/>
    <mergeCell ref="AJ5:AJ6"/>
    <mergeCell ref="AK5:AK6"/>
    <mergeCell ref="AL5:AL6"/>
    <mergeCell ref="AM5:AM6"/>
    <mergeCell ref="AN5:A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Feb-2018</vt:lpstr>
      <vt:lpstr>Feb18 to March-18</vt:lpstr>
      <vt:lpstr>April-18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HP</cp:lastModifiedBy>
  <cp:lastPrinted>2018-03-30T06:01:47Z</cp:lastPrinted>
  <dcterms:created xsi:type="dcterms:W3CDTF">2018-03-14T07:40:55Z</dcterms:created>
  <dcterms:modified xsi:type="dcterms:W3CDTF">2018-04-02T11:53:43Z</dcterms:modified>
</cp:coreProperties>
</file>