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1" sheetId="1" r:id="rId4"/>
    <sheet state="visible" name="CS1-IRR Calculation" sheetId="2" r:id="rId5"/>
    <sheet state="visible" name="CS2" sheetId="3" r:id="rId6"/>
    <sheet state="visible" name="CS3" sheetId="4" r:id="rId7"/>
    <sheet state="visible" name="9-12" sheetId="5" r:id="rId8"/>
    <sheet state="visible" name="Chart 9-12" sheetId="6" r:id="rId9"/>
    <sheet state="visible" name="9-17" sheetId="7" r:id="rId10"/>
    <sheet state="visible" name="9-26" sheetId="8" r:id="rId11"/>
  </sheets>
  <definedNames/>
  <calcPr/>
</workbook>
</file>

<file path=xl/sharedStrings.xml><?xml version="1.0" encoding="utf-8"?>
<sst xmlns="http://schemas.openxmlformats.org/spreadsheetml/2006/main" count="127" uniqueCount="108">
  <si>
    <t>Initial investment</t>
  </si>
  <si>
    <t>Year</t>
  </si>
  <si>
    <t>Tax rate</t>
  </si>
  <si>
    <t>PBIT</t>
  </si>
  <si>
    <t>Cost of equity</t>
  </si>
  <si>
    <t>Depreciation</t>
  </si>
  <si>
    <t>Cost of debt - pre tax</t>
  </si>
  <si>
    <t>Salvage value</t>
  </si>
  <si>
    <t>Debt to total assets</t>
  </si>
  <si>
    <t>Cost of debt - post tax</t>
  </si>
  <si>
    <t>WACC</t>
  </si>
  <si>
    <t>NOPAT</t>
  </si>
  <si>
    <t>Number of years</t>
  </si>
  <si>
    <t>Add: Depreciation</t>
  </si>
  <si>
    <t>Operating cash flow</t>
  </si>
  <si>
    <t>Net salvage value</t>
  </si>
  <si>
    <t>Net cash flow</t>
  </si>
  <si>
    <t>NPV</t>
  </si>
  <si>
    <t xml:space="preserve">The company follows straight line method of depreciation. </t>
  </si>
  <si>
    <t>Cumulative cash flow</t>
  </si>
  <si>
    <t xml:space="preserve">Find: </t>
  </si>
  <si>
    <t>Accounting rate of return (ARR)</t>
  </si>
  <si>
    <t>Average profit / Average Investment</t>
  </si>
  <si>
    <t>Average profit</t>
  </si>
  <si>
    <t>Average Investment</t>
  </si>
  <si>
    <t>Payback period (PBP)</t>
  </si>
  <si>
    <t>ARR</t>
  </si>
  <si>
    <t>Discounted PBP</t>
  </si>
  <si>
    <t>Benchmark ARR</t>
  </si>
  <si>
    <t>Internal rate of return (IRR)</t>
  </si>
  <si>
    <t>PBP</t>
  </si>
  <si>
    <t>2 yr 4 m 10 days</t>
  </si>
  <si>
    <t>Net present value (NPV)</t>
  </si>
  <si>
    <t>Benchmark PBP</t>
  </si>
  <si>
    <t>3 years</t>
  </si>
  <si>
    <t>Profitability Index or Benefit-cost ratio</t>
  </si>
  <si>
    <t>Rate of return at which the PV of cash inflow is equal PV of cash outflow, i.e. when NPV = 0</t>
  </si>
  <si>
    <t>PV of cash flow</t>
  </si>
  <si>
    <t>By interpolation/ extrapolation</t>
  </si>
  <si>
    <t>Change in NPV</t>
  </si>
  <si>
    <t>Change in 'r'</t>
  </si>
  <si>
    <t>Change in NPV to Change in r</t>
  </si>
  <si>
    <t>If NPV has to be zero, it has to be reduced further by Rs.3,02,881</t>
  </si>
  <si>
    <t>IRR by using extrapolation</t>
  </si>
  <si>
    <t>Caution: One should use Excel formula or Solver in Calculator to find out correct IRR</t>
  </si>
  <si>
    <t>IRR using excel formula</t>
  </si>
  <si>
    <t>One can see the difference between trial and error IRR and actual IRR.</t>
  </si>
  <si>
    <t>Sales price per unit</t>
  </si>
  <si>
    <t>VC per unit</t>
  </si>
  <si>
    <t>FC (excluding depreciation) per annum</t>
  </si>
  <si>
    <t>Annual sales in units</t>
  </si>
  <si>
    <t>Revenue</t>
  </si>
  <si>
    <t>Cost of capital</t>
  </si>
  <si>
    <t>Variable cost</t>
  </si>
  <si>
    <t>Contribution</t>
  </si>
  <si>
    <t>Initial investment in machine</t>
  </si>
  <si>
    <t>Fixed cost (excluding depreciation)</t>
  </si>
  <si>
    <t>Salvage value of machine</t>
  </si>
  <si>
    <t>Initial Working capital</t>
  </si>
  <si>
    <t>Operating profit before tax (PBIT)</t>
  </si>
  <si>
    <t>Life of the machine</t>
  </si>
  <si>
    <t>Net operating profit after tax (NOPAT)</t>
  </si>
  <si>
    <t>Operating cash flow (NOPAT + Depreciation)</t>
  </si>
  <si>
    <t>Find NPV</t>
  </si>
  <si>
    <t>PVIFA (15%,5)</t>
  </si>
  <si>
    <t>Find the minimum bid price per unit.</t>
  </si>
  <si>
    <t>PV of operating cash inflow</t>
  </si>
  <si>
    <t>PV of salvage value and recovery of working capital</t>
  </si>
  <si>
    <t>Sub-total</t>
  </si>
  <si>
    <t>PV of cash outflow</t>
  </si>
  <si>
    <t>[((SP p.u. - VC p.u.) * Q -FC -DEP)*(1-T)]+DEP</t>
  </si>
  <si>
    <t>Net present value</t>
  </si>
  <si>
    <t>SP p.u.</t>
  </si>
  <si>
    <t>X</t>
  </si>
  <si>
    <t>Rest of the figures are available</t>
  </si>
  <si>
    <t>PVIFA</t>
  </si>
  <si>
    <t>NPV = 0</t>
  </si>
  <si>
    <t>r</t>
  </si>
  <si>
    <t>Project A</t>
  </si>
  <si>
    <t>Project B</t>
  </si>
  <si>
    <t>10A</t>
  </si>
  <si>
    <t>Incremental CF</t>
  </si>
  <si>
    <t>IRR</t>
  </si>
  <si>
    <t>Expected rate of return</t>
  </si>
  <si>
    <t>RoR</t>
  </si>
  <si>
    <t>NPV (A)</t>
  </si>
  <si>
    <t>NPV (B)</t>
  </si>
  <si>
    <t>Cash Flow (A)</t>
  </si>
  <si>
    <t>Cash Flow (B)</t>
  </si>
  <si>
    <t>NPV @ 14%</t>
  </si>
  <si>
    <t>NPV @ 17%</t>
  </si>
  <si>
    <t>Difference in NPV</t>
  </si>
  <si>
    <t>CoC</t>
  </si>
  <si>
    <t>Assumption about rate of reinvestment of cashflow</t>
  </si>
  <si>
    <t>Expected rate of return:</t>
  </si>
  <si>
    <t>Cumulative CF (A)</t>
  </si>
  <si>
    <t>Discounted CF (A)</t>
  </si>
  <si>
    <t>Cumulative DCF (A)</t>
  </si>
  <si>
    <t>Cumulative CF (B)</t>
  </si>
  <si>
    <t>Discounted CF (B)</t>
  </si>
  <si>
    <t>Cumulative DCF (B)</t>
  </si>
  <si>
    <t>Pay back period (years)</t>
  </si>
  <si>
    <t>Discounted PBP (years)</t>
  </si>
  <si>
    <t>Cash Flow</t>
  </si>
  <si>
    <t>NPV @ 12%</t>
  </si>
  <si>
    <t>Modified IRR</t>
  </si>
  <si>
    <t>NPV @ 24%</t>
  </si>
  <si>
    <t>NPV @ 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</si>
</sst>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 [$₹-4009]\ * #,##0_ ;_ [$₹-4009]\ * \-#,##0_ ;_ [$₹-4009]\ * &quot;-&quot;??_ ;_ @_ "/>
    <numFmt numFmtId="165" formatCode="0.0%"/>
    <numFmt numFmtId="166" formatCode="_ [$₹-4009]\ * #,##0.00_ ;_ [$₹-4009]\ * \-#,##0.00_ ;_ [$₹-4009]\ * &quot;-&quot;??_ ;_ @_ "/>
    <numFmt numFmtId="167" formatCode="_ * #,##0.00_ ;_ * \-#,##0.00_ ;_ * &quot;-&quot;??_ ;_ @_ "/>
    <numFmt numFmtId="168" formatCode="&quot;₹&quot;\ #,##0;[Red]&quot;₹&quot;\ \-#,##0"/>
    <numFmt numFmtId="169" formatCode="0.000%"/>
    <numFmt numFmtId="170" formatCode="_ * #,##0_ ;_ * \-#,##0_ ;_ * &quot;-&quot;??_ ;_ @_ "/>
    <numFmt numFmtId="171" formatCode="&quot;₹&quot;\ #,##0.0000;[Red]&quot;₹&quot;\ \-#,##0.0000"/>
    <numFmt numFmtId="172" formatCode="_ &quot;₹&quot;\ * #,##0_ ;_ &quot;₹&quot;\ * \-#,##0_ ;_ &quot;₹&quot;\ * &quot;-&quot;??_ ;_ @_ "/>
    <numFmt numFmtId="173" formatCode="_ &quot;₹&quot;\ * #,##0.00_ ;_ &quot;₹&quot;\ * \-#,##0.00_ ;_ &quot;₹&quot;\ * &quot;-&quot;??_ ;_ @_ 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FF0000"/>
      <name val="Calibri"/>
      <scheme val="minor"/>
    </font>
    <font>
      <sz val="16.0"/>
      <color theme="1"/>
      <name val="Calibri"/>
      <scheme val="minor"/>
    </font>
    <font>
      <sz val="16.0"/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10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9" xfId="0" applyFont="1" applyNumberFormat="1"/>
    <xf borderId="0" fillId="0" fontId="0" numFmtId="165" xfId="0" applyFont="1" applyNumberFormat="1"/>
    <xf borderId="0" fillId="0" fontId="0" numFmtId="10" xfId="0" applyFont="1" applyNumberFormat="1"/>
    <xf borderId="1" fillId="2" fontId="0" numFmtId="164" xfId="0" applyBorder="1" applyFill="1" applyFont="1" applyNumberFormat="1"/>
    <xf borderId="1" fillId="3" fontId="0" numFmtId="0" xfId="0" applyBorder="1" applyFill="1" applyFont="1"/>
    <xf borderId="1" fillId="3" fontId="0" numFmtId="164" xfId="0" applyBorder="1" applyFont="1" applyNumberFormat="1"/>
    <xf borderId="1" fillId="3" fontId="0" numFmtId="166" xfId="0" applyBorder="1" applyFont="1" applyNumberFormat="1"/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0" numFmtId="167" xfId="0" applyFont="1" applyNumberFormat="1"/>
    <xf borderId="0" fillId="0" fontId="0" numFmtId="168" xfId="0" applyFont="1" applyNumberFormat="1"/>
    <xf borderId="0" fillId="0" fontId="3" numFmtId="0" xfId="0" applyFont="1"/>
    <xf borderId="1" fillId="3" fontId="3" numFmtId="164" xfId="0" applyBorder="1" applyFont="1" applyNumberFormat="1"/>
    <xf borderId="0" fillId="0" fontId="3" numFmtId="10" xfId="0" applyFont="1" applyNumberFormat="1"/>
    <xf borderId="0" fillId="0" fontId="3" numFmtId="164" xfId="0" applyFont="1" applyNumberFormat="1"/>
    <xf borderId="0" fillId="0" fontId="3" numFmtId="9" xfId="0" applyFont="1" applyNumberFormat="1"/>
    <xf borderId="0" fillId="0" fontId="3" numFmtId="169" xfId="0" applyFont="1" applyNumberFormat="1"/>
    <xf borderId="0" fillId="0" fontId="3" numFmtId="0" xfId="0" applyAlignment="1" applyFont="1">
      <alignment shrinkToFit="0" wrapText="1"/>
    </xf>
    <xf borderId="0" fillId="0" fontId="3" numFmtId="167" xfId="0" applyFont="1" applyNumberFormat="1"/>
    <xf borderId="1" fillId="2" fontId="4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0" numFmtId="166" xfId="0" applyFont="1" applyNumberForma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170" xfId="0" applyBorder="1" applyFont="1" applyNumberFormat="1"/>
    <xf borderId="0" fillId="0" fontId="0" numFmtId="170" xfId="0" applyFont="1" applyNumberFormat="1"/>
    <xf borderId="5" fillId="0" fontId="0" numFmtId="164" xfId="0" applyBorder="1" applyFont="1" applyNumberFormat="1"/>
    <xf borderId="6" fillId="0" fontId="0" numFmtId="0" xfId="0" applyBorder="1" applyFont="1"/>
    <xf borderId="7" fillId="0" fontId="0" numFmtId="164" xfId="0" applyBorder="1" applyFont="1" applyNumberFormat="1"/>
    <xf borderId="1" fillId="2" fontId="0" numFmtId="0" xfId="0" applyBorder="1" applyFont="1"/>
    <xf borderId="8" fillId="0" fontId="0" numFmtId="0" xfId="0" applyBorder="1" applyFont="1"/>
    <xf borderId="9" fillId="0" fontId="0" numFmtId="171" xfId="0" applyBorder="1" applyFont="1" applyNumberFormat="1"/>
    <xf borderId="3" fillId="0" fontId="0" numFmtId="164" xfId="0" applyBorder="1" applyFont="1" applyNumberFormat="1"/>
    <xf borderId="0" fillId="0" fontId="0" numFmtId="172" xfId="0" applyFont="1" applyNumberFormat="1"/>
    <xf borderId="0" fillId="0" fontId="0" numFmtId="173" xfId="0" applyFont="1" applyNumberFormat="1"/>
    <xf borderId="1" fillId="2" fontId="0" numFmtId="173" xfId="0" applyBorder="1" applyFont="1" applyNumberFormat="1"/>
    <xf borderId="1" fillId="2" fontId="0" numFmtId="9" xfId="0" applyBorder="1" applyFont="1" applyNumberFormat="1"/>
    <xf borderId="0" fillId="0" fontId="0" numFmtId="3" xfId="0" applyFont="1" applyNumberFormat="1"/>
    <xf borderId="0" fillId="0" fontId="0" numFmtId="4" xfId="0" applyFont="1" applyNumberFormat="1"/>
    <xf borderId="1" fillId="3" fontId="0" numFmtId="4" xfId="0" applyBorder="1" applyFont="1" applyNumberFormat="1"/>
    <xf borderId="1" fillId="3" fontId="0" numFmtId="10" xfId="0" applyBorder="1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9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B050"/>
                </a:solidFill>
                <a:latin typeface="+mn-lt"/>
              </a:defRPr>
            </a:pPr>
            <a:r>
              <a:rPr b="1" i="0" sz="2000">
                <a:solidFill>
                  <a:srgbClr val="00B050"/>
                </a:solidFill>
                <a:latin typeface="+mn-lt"/>
              </a:rPr>
              <a:t>NPV Profiles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'9-12'!$I$2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'9-12'!$H$3:$H$16</c:f>
            </c:numRef>
          </c:xVal>
          <c:yVal>
            <c:numRef>
              <c:f>'9-12'!$I$3:$I$16</c:f>
              <c:numCache/>
            </c:numRef>
          </c:yVal>
        </c:ser>
        <c:ser>
          <c:idx val="1"/>
          <c:order val="1"/>
          <c:tx>
            <c:strRef>
              <c:f>'9-12'!$J$2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'9-12'!$H$3:$H$16</c:f>
            </c:numRef>
          </c:xVal>
          <c:yVal>
            <c:numRef>
              <c:f>'9-12'!$J$3:$J$16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078976"/>
        <c:axId val="926222223"/>
      </c:scatterChart>
      <c:valAx>
        <c:axId val="10200789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600">
                <a:solidFill>
                  <a:srgbClr val="FF0000"/>
                </a:solidFill>
                <a:latin typeface="+mn-lt"/>
              </a:defRPr>
            </a:pPr>
          </a:p>
        </c:txPr>
        <c:crossAx val="926222223"/>
      </c:valAx>
      <c:valAx>
        <c:axId val="926222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600">
                <a:solidFill>
                  <a:srgbClr val="0070C0"/>
                </a:solidFill>
                <a:latin typeface="+mn-lt"/>
              </a:defRPr>
            </a:pPr>
          </a:p>
        </c:txPr>
        <c:crossAx val="1020078976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43"/>
    <col customWidth="1" min="3" max="3" width="12.57"/>
    <col customWidth="1" min="4" max="4" width="17.57"/>
    <col customWidth="1" min="5" max="5" width="13.43"/>
    <col customWidth="1" min="6" max="6" width="13.71"/>
    <col customWidth="1" min="7" max="10" width="11.57"/>
    <col customWidth="1" min="11" max="11" width="10.14"/>
    <col customWidth="1" min="12" max="26" width="8.71"/>
  </cols>
  <sheetData>
    <row r="1" ht="14.25" customHeight="1"/>
    <row r="2" ht="14.25" customHeight="1">
      <c r="B2" s="1" t="s">
        <v>0</v>
      </c>
      <c r="C2" s="2">
        <v>800000.0</v>
      </c>
      <c r="D2" s="1" t="s">
        <v>1</v>
      </c>
      <c r="E2" s="1">
        <v>0.0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</row>
    <row r="3" ht="14.25" customHeight="1">
      <c r="B3" s="1" t="s">
        <v>2</v>
      </c>
      <c r="C3" s="3">
        <v>0.3</v>
      </c>
      <c r="D3" s="1" t="s">
        <v>3</v>
      </c>
      <c r="F3" s="2">
        <v>200000.0</v>
      </c>
      <c r="G3" s="2">
        <v>310000.0</v>
      </c>
      <c r="H3" s="2">
        <v>350000.0</v>
      </c>
      <c r="I3" s="2">
        <v>400000.0</v>
      </c>
      <c r="J3" s="2">
        <v>320000.0</v>
      </c>
    </row>
    <row r="4" ht="14.25" customHeight="1">
      <c r="B4" s="1" t="s">
        <v>4</v>
      </c>
      <c r="C4" s="3">
        <v>0.16</v>
      </c>
      <c r="D4" s="1" t="s">
        <v>5</v>
      </c>
      <c r="F4" s="2">
        <f t="shared" ref="F4:J4" si="1">($C$2-$J$5)/$C$10</f>
        <v>150000</v>
      </c>
      <c r="G4" s="2">
        <f t="shared" si="1"/>
        <v>150000</v>
      </c>
      <c r="H4" s="2">
        <f t="shared" si="1"/>
        <v>150000</v>
      </c>
      <c r="I4" s="2">
        <f t="shared" si="1"/>
        <v>150000</v>
      </c>
      <c r="J4" s="2">
        <f t="shared" si="1"/>
        <v>150000</v>
      </c>
    </row>
    <row r="5" ht="14.25" customHeight="1">
      <c r="B5" s="1" t="s">
        <v>6</v>
      </c>
      <c r="C5" s="3">
        <v>0.12</v>
      </c>
      <c r="D5" s="1" t="s">
        <v>7</v>
      </c>
      <c r="F5" s="2"/>
      <c r="G5" s="2"/>
      <c r="H5" s="2"/>
      <c r="I5" s="2"/>
      <c r="J5" s="2">
        <v>50000.0</v>
      </c>
      <c r="K5" s="2"/>
    </row>
    <row r="6" ht="14.25" customHeight="1">
      <c r="B6" s="1" t="s">
        <v>8</v>
      </c>
      <c r="C6" s="3">
        <v>0.5</v>
      </c>
      <c r="F6" s="2"/>
      <c r="G6" s="2"/>
      <c r="H6" s="2"/>
      <c r="I6" s="2"/>
      <c r="J6" s="2"/>
      <c r="K6" s="2"/>
    </row>
    <row r="7" ht="14.25" customHeight="1">
      <c r="B7" s="1" t="s">
        <v>9</v>
      </c>
      <c r="C7" s="4">
        <f>C5*(1-C3)</f>
        <v>0.084</v>
      </c>
      <c r="D7" s="1" t="s">
        <v>0</v>
      </c>
      <c r="E7" s="2">
        <f>-C2</f>
        <v>-800000</v>
      </c>
      <c r="F7" s="2"/>
      <c r="G7" s="2"/>
      <c r="H7" s="2"/>
      <c r="I7" s="2"/>
      <c r="J7" s="2"/>
    </row>
    <row r="8" ht="14.25" customHeight="1">
      <c r="D8" s="1" t="s">
        <v>3</v>
      </c>
      <c r="F8" s="2">
        <f t="shared" ref="F8:J8" si="2">F3</f>
        <v>200000</v>
      </c>
      <c r="G8" s="2">
        <f t="shared" si="2"/>
        <v>310000</v>
      </c>
      <c r="H8" s="2">
        <f t="shared" si="2"/>
        <v>350000</v>
      </c>
      <c r="I8" s="2">
        <f t="shared" si="2"/>
        <v>400000</v>
      </c>
      <c r="J8" s="2">
        <f t="shared" si="2"/>
        <v>320000</v>
      </c>
    </row>
    <row r="9" ht="14.25" customHeight="1">
      <c r="B9" s="1" t="s">
        <v>10</v>
      </c>
      <c r="C9" s="5">
        <f>C7*C6+C4*(1-C6)</f>
        <v>0.122</v>
      </c>
      <c r="D9" s="5" t="s">
        <v>11</v>
      </c>
      <c r="F9" s="2">
        <f t="shared" ref="F9:J9" si="3">F3*(1-$C$3)</f>
        <v>140000</v>
      </c>
      <c r="G9" s="2">
        <f t="shared" si="3"/>
        <v>217000</v>
      </c>
      <c r="H9" s="2">
        <f t="shared" si="3"/>
        <v>245000</v>
      </c>
      <c r="I9" s="2">
        <f t="shared" si="3"/>
        <v>280000</v>
      </c>
      <c r="J9" s="2">
        <f t="shared" si="3"/>
        <v>224000</v>
      </c>
    </row>
    <row r="10" ht="14.25" customHeight="1">
      <c r="B10" s="1" t="s">
        <v>12</v>
      </c>
      <c r="C10" s="1">
        <v>5.0</v>
      </c>
      <c r="D10" s="1" t="s">
        <v>13</v>
      </c>
      <c r="F10" s="2">
        <f t="shared" ref="F10:J10" si="4">F4</f>
        <v>150000</v>
      </c>
      <c r="G10" s="2">
        <f t="shared" si="4"/>
        <v>150000</v>
      </c>
      <c r="H10" s="2">
        <f t="shared" si="4"/>
        <v>150000</v>
      </c>
      <c r="I10" s="2">
        <f t="shared" si="4"/>
        <v>150000</v>
      </c>
      <c r="J10" s="2">
        <f t="shared" si="4"/>
        <v>150000</v>
      </c>
    </row>
    <row r="11" ht="14.25" customHeight="1">
      <c r="D11" s="1" t="s">
        <v>14</v>
      </c>
      <c r="F11" s="6">
        <f t="shared" ref="F11:J11" si="5">F9+F10</f>
        <v>290000</v>
      </c>
      <c r="G11" s="6">
        <f t="shared" si="5"/>
        <v>367000</v>
      </c>
      <c r="H11" s="6">
        <f t="shared" si="5"/>
        <v>395000</v>
      </c>
      <c r="I11" s="6">
        <f t="shared" si="5"/>
        <v>430000</v>
      </c>
      <c r="J11" s="6">
        <f t="shared" si="5"/>
        <v>374000</v>
      </c>
    </row>
    <row r="12" ht="14.25" customHeight="1">
      <c r="D12" s="1" t="s">
        <v>15</v>
      </c>
      <c r="F12" s="2"/>
      <c r="G12" s="2"/>
      <c r="H12" s="2"/>
      <c r="I12" s="2"/>
      <c r="J12" s="2">
        <f>J5</f>
        <v>50000</v>
      </c>
    </row>
    <row r="13" ht="14.25" customHeight="1">
      <c r="D13" s="7" t="s">
        <v>16</v>
      </c>
      <c r="E13" s="8">
        <f t="shared" ref="E13:J13" si="6">E7+E11+E12</f>
        <v>-800000</v>
      </c>
      <c r="F13" s="8">
        <f t="shared" si="6"/>
        <v>290000</v>
      </c>
      <c r="G13" s="8">
        <f t="shared" si="6"/>
        <v>367000</v>
      </c>
      <c r="H13" s="8">
        <f t="shared" si="6"/>
        <v>395000</v>
      </c>
      <c r="I13" s="8">
        <f t="shared" si="6"/>
        <v>430000</v>
      </c>
      <c r="J13" s="8">
        <f t="shared" si="6"/>
        <v>424000</v>
      </c>
    </row>
    <row r="14" ht="14.25" customHeight="1">
      <c r="D14" s="1" t="s">
        <v>17</v>
      </c>
      <c r="E14" s="9">
        <f t="array" ref="E14">NPV(C9,F13:J13)+E13</f>
        <v>539429.2975</v>
      </c>
    </row>
    <row r="15" ht="14.25" customHeight="1">
      <c r="B15" s="10" t="s">
        <v>18</v>
      </c>
      <c r="D15" s="1" t="s">
        <v>19</v>
      </c>
      <c r="E15" s="2">
        <f>E7</f>
        <v>-800000</v>
      </c>
      <c r="F15" s="2">
        <f>E15+F11</f>
        <v>-510000</v>
      </c>
      <c r="G15" s="2">
        <f t="shared" ref="G15:J15" si="7">F15+G13</f>
        <v>-143000</v>
      </c>
      <c r="H15" s="2">
        <f t="shared" si="7"/>
        <v>252000</v>
      </c>
      <c r="I15" s="2">
        <f t="shared" si="7"/>
        <v>682000</v>
      </c>
      <c r="J15" s="2">
        <f t="shared" si="7"/>
        <v>1106000</v>
      </c>
    </row>
    <row r="16" ht="14.25" customHeight="1">
      <c r="B16" s="1" t="s">
        <v>20</v>
      </c>
    </row>
    <row r="17" ht="14.25" customHeight="1">
      <c r="B17" s="1" t="s">
        <v>21</v>
      </c>
      <c r="C17" s="1" t="s">
        <v>22</v>
      </c>
      <c r="F17" s="1" t="s">
        <v>23</v>
      </c>
      <c r="G17" s="2">
        <f>AVERAGE(F9:J9)</f>
        <v>221200</v>
      </c>
      <c r="H17" s="1" t="s">
        <v>24</v>
      </c>
      <c r="I17" s="2">
        <f>(C2+J5)/2</f>
        <v>425000</v>
      </c>
    </row>
    <row r="18" ht="14.25" customHeight="1"/>
    <row r="19" ht="14.25" customHeight="1">
      <c r="B19" s="1" t="s">
        <v>25</v>
      </c>
      <c r="F19" s="1" t="s">
        <v>26</v>
      </c>
      <c r="G19" s="3">
        <f>G17/I17</f>
        <v>0.5204705882</v>
      </c>
    </row>
    <row r="20" ht="14.25" customHeight="1"/>
    <row r="21" ht="14.25" customHeight="1">
      <c r="B21" s="1" t="s">
        <v>27</v>
      </c>
      <c r="F21" s="1" t="s">
        <v>28</v>
      </c>
      <c r="G21" s="3">
        <v>0.3</v>
      </c>
    </row>
    <row r="22" ht="14.25" customHeight="1">
      <c r="M22" s="11"/>
    </row>
    <row r="23" ht="14.25" customHeight="1">
      <c r="B23" s="1" t="s">
        <v>29</v>
      </c>
      <c r="D23" s="5">
        <f>IRR(E13:J13)</f>
        <v>0.3504837354</v>
      </c>
      <c r="F23" s="1" t="s">
        <v>30</v>
      </c>
      <c r="G23" s="12">
        <f>2+(-G15)/H11</f>
        <v>2.362025316</v>
      </c>
      <c r="H23" s="1">
        <f>0.36*365</f>
        <v>131.4</v>
      </c>
      <c r="I23" s="1" t="s">
        <v>31</v>
      </c>
    </row>
    <row r="24" ht="14.25" customHeight="1"/>
    <row r="25" ht="14.25" customHeight="1">
      <c r="B25" s="1" t="s">
        <v>32</v>
      </c>
      <c r="D25" s="13">
        <f t="array" ref="D25">E13+NPV(35.05%,F13:J13)</f>
        <v>-25.13842938</v>
      </c>
      <c r="F25" s="1" t="s">
        <v>33</v>
      </c>
      <c r="G25" s="1" t="s">
        <v>34</v>
      </c>
    </row>
    <row r="26" ht="14.25" customHeight="1"/>
    <row r="27" ht="14.25" customHeight="1">
      <c r="B27" s="1" t="s">
        <v>35</v>
      </c>
      <c r="D27" s="12">
        <f t="array" ref="D27">NPV(C9,F13:J13)/(C2)</f>
        <v>1.674286622</v>
      </c>
    </row>
    <row r="28" ht="14.25" customHeight="1">
      <c r="B28" s="1" t="s">
        <v>36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3" width="38.14"/>
    <col customWidth="1" min="4" max="4" width="18.29"/>
    <col customWidth="1" min="5" max="9" width="14.57"/>
    <col customWidth="1" min="10" max="10" width="15.57"/>
    <col customWidth="1" min="11" max="26" width="8.71"/>
  </cols>
  <sheetData>
    <row r="1" ht="21.0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14"/>
      <c r="B2" s="14"/>
      <c r="C2" s="14"/>
      <c r="D2" s="14">
        <v>0.0</v>
      </c>
      <c r="E2" s="14">
        <v>1.0</v>
      </c>
      <c r="F2" s="14">
        <v>2.0</v>
      </c>
      <c r="G2" s="14">
        <v>3.0</v>
      </c>
      <c r="H2" s="14">
        <v>4.0</v>
      </c>
      <c r="I2" s="14">
        <v>5.0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.0" customHeight="1">
      <c r="A3" s="14"/>
      <c r="B3" s="14"/>
      <c r="C3" s="14"/>
      <c r="D3" s="15">
        <v>-800000.0</v>
      </c>
      <c r="E3" s="15">
        <v>290000.0</v>
      </c>
      <c r="F3" s="15">
        <v>367000.0</v>
      </c>
      <c r="G3" s="15">
        <v>395000.0</v>
      </c>
      <c r="H3" s="15">
        <v>430000.0</v>
      </c>
      <c r="I3" s="15">
        <v>424000.0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14"/>
      <c r="B4" s="16">
        <v>0.122</v>
      </c>
      <c r="C4" s="14" t="s">
        <v>37</v>
      </c>
      <c r="D4" s="15">
        <f t="shared" ref="D4:I4" si="1">D3/(1+$B$4)^D2</f>
        <v>-800000</v>
      </c>
      <c r="E4" s="15">
        <f t="shared" si="1"/>
        <v>258467.0232</v>
      </c>
      <c r="F4" s="15">
        <f t="shared" si="1"/>
        <v>291528.0518</v>
      </c>
      <c r="G4" s="15">
        <f t="shared" si="1"/>
        <v>279652.3833</v>
      </c>
      <c r="H4" s="15">
        <f t="shared" si="1"/>
        <v>271329.5084</v>
      </c>
      <c r="I4" s="15">
        <f t="shared" si="1"/>
        <v>238452.3309</v>
      </c>
      <c r="J4" s="17">
        <f>SUM(D4:I4)</f>
        <v>539429.2975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14"/>
      <c r="B5" s="14"/>
      <c r="C5" s="14"/>
      <c r="D5" s="14"/>
      <c r="E5" s="14"/>
      <c r="F5" s="14"/>
      <c r="G5" s="14"/>
      <c r="H5" s="14"/>
      <c r="I5" s="14"/>
      <c r="J5" s="17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1.0" customHeight="1">
      <c r="A6" s="14"/>
      <c r="B6" s="18">
        <v>0.2</v>
      </c>
      <c r="C6" s="14"/>
      <c r="D6" s="15">
        <f t="shared" ref="D6:I6" si="2">D3/(1+$B$6)^D2</f>
        <v>-800000</v>
      </c>
      <c r="E6" s="15">
        <f t="shared" si="2"/>
        <v>241666.6667</v>
      </c>
      <c r="F6" s="15">
        <f t="shared" si="2"/>
        <v>254861.1111</v>
      </c>
      <c r="G6" s="15">
        <f t="shared" si="2"/>
        <v>228587.963</v>
      </c>
      <c r="H6" s="15">
        <f t="shared" si="2"/>
        <v>207368.8272</v>
      </c>
      <c r="I6" s="15">
        <f t="shared" si="2"/>
        <v>170396.0905</v>
      </c>
      <c r="J6" s="17">
        <f>SUM(D6:I6)</f>
        <v>302880.6584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0" customHeight="1">
      <c r="A7" s="14"/>
      <c r="B7" s="14"/>
      <c r="C7" s="14" t="s">
        <v>38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0" customHeight="1">
      <c r="A8" s="14"/>
      <c r="B8" s="14"/>
      <c r="C8" s="14" t="s">
        <v>39</v>
      </c>
      <c r="D8" s="17">
        <f>J4-J6</f>
        <v>236548.6391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0" customHeight="1">
      <c r="A9" s="14"/>
      <c r="B9" s="14"/>
      <c r="C9" s="14" t="s">
        <v>40</v>
      </c>
      <c r="D9" s="19">
        <f>B6-B4</f>
        <v>0.078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0" customHeight="1">
      <c r="A10" s="14"/>
      <c r="B10" s="14"/>
      <c r="C10" s="14" t="s">
        <v>41</v>
      </c>
      <c r="D10" s="17">
        <f>D8/(D9*100)</f>
        <v>30326.7486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14"/>
      <c r="B11" s="14"/>
      <c r="C11" s="20" t="s">
        <v>42</v>
      </c>
      <c r="D11" s="21">
        <f>J6/D10</f>
        <v>9.987244675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14"/>
      <c r="B12" s="14"/>
      <c r="C12" s="14" t="s">
        <v>43</v>
      </c>
      <c r="D12" s="16">
        <f>B6+(D11/100)</f>
        <v>0.2998724467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14"/>
      <c r="B13" s="14"/>
      <c r="C13" s="22" t="s">
        <v>44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14"/>
      <c r="B14" s="14"/>
      <c r="C14" s="14" t="s">
        <v>45</v>
      </c>
      <c r="D14" s="16">
        <f>IRR(D3:I3)</f>
        <v>0.3504837354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14"/>
      <c r="B16" s="14"/>
      <c r="C16" s="23" t="s">
        <v>46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1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9.86"/>
    <col customWidth="1" min="4" max="4" width="12.57"/>
    <col customWidth="1" min="5" max="5" width="4.43"/>
    <col customWidth="1" min="6" max="6" width="43.71"/>
    <col customWidth="1" min="7" max="7" width="11.14"/>
    <col customWidth="1" min="8" max="26" width="8.71"/>
  </cols>
  <sheetData>
    <row r="1" ht="14.25" customHeight="1"/>
    <row r="2" ht="14.25" customHeight="1">
      <c r="C2" s="1" t="s">
        <v>47</v>
      </c>
      <c r="D2" s="24">
        <v>120.0</v>
      </c>
    </row>
    <row r="3" ht="14.25" customHeight="1">
      <c r="C3" s="1" t="s">
        <v>48</v>
      </c>
      <c r="D3" s="24">
        <v>50.0</v>
      </c>
      <c r="F3" s="25" t="s">
        <v>14</v>
      </c>
      <c r="G3" s="26"/>
    </row>
    <row r="4" ht="14.25" customHeight="1">
      <c r="C4" s="1" t="s">
        <v>49</v>
      </c>
      <c r="D4" s="2">
        <v>150000.0</v>
      </c>
      <c r="F4" s="27"/>
      <c r="G4" s="28"/>
    </row>
    <row r="5" ht="14.25" customHeight="1">
      <c r="C5" s="1" t="s">
        <v>50</v>
      </c>
      <c r="D5" s="29">
        <v>10000.0</v>
      </c>
      <c r="F5" s="27" t="s">
        <v>51</v>
      </c>
      <c r="G5" s="30">
        <f>D2*D5</f>
        <v>1200000</v>
      </c>
    </row>
    <row r="6" ht="14.25" customHeight="1">
      <c r="C6" s="1" t="s">
        <v>52</v>
      </c>
      <c r="D6" s="3">
        <v>0.15</v>
      </c>
      <c r="F6" s="27" t="s">
        <v>53</v>
      </c>
      <c r="G6" s="30">
        <f>D3*D5</f>
        <v>500000</v>
      </c>
    </row>
    <row r="7" ht="14.25" customHeight="1">
      <c r="C7" s="1" t="s">
        <v>2</v>
      </c>
      <c r="D7" s="3">
        <v>0.3</v>
      </c>
      <c r="F7" s="27" t="s">
        <v>54</v>
      </c>
      <c r="G7" s="30">
        <f>G5-G6</f>
        <v>700000</v>
      </c>
    </row>
    <row r="8" ht="14.25" customHeight="1">
      <c r="C8" s="1" t="s">
        <v>55</v>
      </c>
      <c r="D8" s="2">
        <v>1100000.0</v>
      </c>
      <c r="F8" s="27" t="s">
        <v>56</v>
      </c>
      <c r="G8" s="30">
        <f>D4</f>
        <v>150000</v>
      </c>
    </row>
    <row r="9" ht="14.25" customHeight="1">
      <c r="C9" s="1" t="s">
        <v>57</v>
      </c>
      <c r="D9" s="2">
        <v>100000.0</v>
      </c>
      <c r="F9" s="27" t="s">
        <v>5</v>
      </c>
      <c r="G9" s="30">
        <f>(D8-D9)/5</f>
        <v>200000</v>
      </c>
    </row>
    <row r="10" ht="14.25" customHeight="1">
      <c r="C10" s="1" t="s">
        <v>58</v>
      </c>
      <c r="D10" s="2">
        <v>200000.0</v>
      </c>
      <c r="F10" s="27" t="s">
        <v>59</v>
      </c>
      <c r="G10" s="30">
        <f>G7-G8-G9</f>
        <v>350000</v>
      </c>
    </row>
    <row r="11" ht="14.25" customHeight="1">
      <c r="C11" s="1" t="s">
        <v>60</v>
      </c>
      <c r="D11" s="29">
        <v>5.0</v>
      </c>
      <c r="F11" s="27" t="s">
        <v>61</v>
      </c>
      <c r="G11" s="30">
        <f>G10*(1-D7)</f>
        <v>245000</v>
      </c>
    </row>
    <row r="12" ht="14.25" customHeight="1">
      <c r="F12" s="31" t="s">
        <v>62</v>
      </c>
      <c r="G12" s="32">
        <f>G11+G9</f>
        <v>445000</v>
      </c>
    </row>
    <row r="13" ht="14.25" customHeight="1">
      <c r="C13" s="33" t="s">
        <v>63</v>
      </c>
      <c r="D13" s="2">
        <f>G20</f>
        <v>340862.0392</v>
      </c>
    </row>
    <row r="14" ht="14.25" customHeight="1">
      <c r="F14" s="34" t="s">
        <v>64</v>
      </c>
      <c r="G14" s="35">
        <f>PV(D6,D11,-1)</f>
        <v>3.352155098</v>
      </c>
    </row>
    <row r="15" ht="14.25" customHeight="1">
      <c r="C15" s="33" t="s">
        <v>65</v>
      </c>
    </row>
    <row r="16" ht="14.25" customHeight="1">
      <c r="F16" s="25" t="s">
        <v>66</v>
      </c>
      <c r="G16" s="36">
        <f>G12*G14</f>
        <v>1491709.019</v>
      </c>
    </row>
    <row r="17" ht="14.25" customHeight="1">
      <c r="F17" s="27" t="s">
        <v>67</v>
      </c>
      <c r="G17" s="30">
        <f>(D9+D10)/(1+D6)^D11</f>
        <v>149153.0206</v>
      </c>
    </row>
    <row r="18" ht="14.25" customHeight="1">
      <c r="F18" s="27" t="s">
        <v>68</v>
      </c>
      <c r="G18" s="30">
        <f>G16+G17</f>
        <v>1640862.039</v>
      </c>
    </row>
    <row r="19" ht="14.25" customHeight="1">
      <c r="F19" s="27" t="s">
        <v>69</v>
      </c>
      <c r="G19" s="30">
        <f>D8+D10</f>
        <v>1300000</v>
      </c>
    </row>
    <row r="20" ht="14.25" customHeight="1">
      <c r="C20" s="1" t="s">
        <v>70</v>
      </c>
      <c r="F20" s="31" t="s">
        <v>71</v>
      </c>
      <c r="G20" s="32">
        <f>G18-G19</f>
        <v>340862.0392</v>
      </c>
    </row>
    <row r="21" ht="14.25" customHeight="1"/>
    <row r="22" ht="14.25" customHeight="1">
      <c r="C22" s="1" t="s">
        <v>72</v>
      </c>
      <c r="D22" s="1" t="s">
        <v>73</v>
      </c>
    </row>
    <row r="23" ht="14.25" customHeight="1"/>
    <row r="24" ht="14.25" customHeight="1">
      <c r="C24" s="1" t="s">
        <v>74</v>
      </c>
    </row>
    <row r="25" ht="14.25" customHeight="1"/>
    <row r="26" ht="14.25" customHeight="1">
      <c r="C26" s="1" t="s">
        <v>75</v>
      </c>
    </row>
    <row r="27" ht="14.25" customHeight="1"/>
    <row r="28" ht="14.25" customHeight="1">
      <c r="C28" s="1" t="s">
        <v>76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86"/>
    <col customWidth="1" min="5" max="5" width="12.57"/>
    <col customWidth="1" min="6" max="6" width="11.14"/>
    <col customWidth="1" min="7" max="7" width="13.43"/>
    <col customWidth="1" min="8" max="26" width="8.71"/>
  </cols>
  <sheetData>
    <row r="1" ht="14.25" customHeight="1">
      <c r="D1" s="1" t="s">
        <v>77</v>
      </c>
      <c r="E1" s="3">
        <v>0.12</v>
      </c>
    </row>
    <row r="2" ht="14.25" customHeight="1"/>
    <row r="3" ht="14.25" customHeight="1">
      <c r="D3" s="1" t="s">
        <v>78</v>
      </c>
      <c r="E3" s="1" t="s">
        <v>79</v>
      </c>
      <c r="F3" s="1" t="s">
        <v>80</v>
      </c>
      <c r="G3" s="1" t="s">
        <v>81</v>
      </c>
    </row>
    <row r="4" ht="14.25" customHeight="1">
      <c r="C4" s="1">
        <v>0.0</v>
      </c>
      <c r="D4" s="37">
        <v>-10000.0</v>
      </c>
      <c r="E4" s="37">
        <v>-100000.0</v>
      </c>
      <c r="F4" s="37">
        <f t="shared" ref="F4:F5" si="1">D4*10</f>
        <v>-100000</v>
      </c>
      <c r="G4" s="37">
        <f t="shared" ref="G4:G5" si="2">E4-D4</f>
        <v>-90000</v>
      </c>
    </row>
    <row r="5" ht="14.25" customHeight="1">
      <c r="C5" s="1">
        <v>1.0</v>
      </c>
      <c r="D5" s="37">
        <v>20000.0</v>
      </c>
      <c r="E5" s="37">
        <v>150000.0</v>
      </c>
      <c r="F5" s="37">
        <f t="shared" si="1"/>
        <v>200000</v>
      </c>
      <c r="G5" s="37">
        <f t="shared" si="2"/>
        <v>130000</v>
      </c>
    </row>
    <row r="6" ht="14.25" customHeight="1"/>
    <row r="7" ht="14.25" customHeight="1">
      <c r="C7" s="1" t="s">
        <v>17</v>
      </c>
      <c r="D7" s="38">
        <f t="shared" ref="D7:G7" si="3">D5/(1+$E$1)+D4</f>
        <v>7857.142857</v>
      </c>
      <c r="E7" s="39">
        <f t="shared" si="3"/>
        <v>33928.57143</v>
      </c>
      <c r="F7" s="39">
        <f t="shared" si="3"/>
        <v>78571.42857</v>
      </c>
      <c r="G7" s="39">
        <f t="shared" si="3"/>
        <v>26071.42857</v>
      </c>
    </row>
    <row r="8" ht="14.25" customHeight="1"/>
    <row r="9" ht="14.25" customHeight="1">
      <c r="C9" s="1" t="s">
        <v>82</v>
      </c>
      <c r="D9" s="40">
        <f t="shared" ref="D9:G9" si="4">IRR(D4:D5)</f>
        <v>1</v>
      </c>
      <c r="E9" s="3">
        <f t="shared" si="4"/>
        <v>0.5</v>
      </c>
      <c r="F9" s="3">
        <f t="shared" si="4"/>
        <v>1</v>
      </c>
      <c r="G9" s="3">
        <f t="shared" si="4"/>
        <v>0.4444444444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29"/>
    <col customWidth="1" min="4" max="4" width="12.14"/>
    <col customWidth="1" min="5" max="5" width="12.0"/>
    <col customWidth="1" min="6" max="26" width="8.71"/>
  </cols>
  <sheetData>
    <row r="1" ht="14.25" customHeight="1"/>
    <row r="2" ht="14.25" customHeight="1">
      <c r="C2" s="1" t="s">
        <v>83</v>
      </c>
      <c r="D2" s="5">
        <v>0.15298841926902212</v>
      </c>
      <c r="H2" s="1" t="s">
        <v>84</v>
      </c>
      <c r="I2" s="1" t="s">
        <v>85</v>
      </c>
      <c r="J2" s="1" t="s">
        <v>86</v>
      </c>
    </row>
    <row r="3" ht="14.25" customHeight="1">
      <c r="D3" s="5">
        <v>0.17</v>
      </c>
      <c r="H3" s="3">
        <v>0.0</v>
      </c>
      <c r="I3" s="41">
        <f t="shared" ref="I3:I16" si="1">NPV(H3,$D$7:$D$10)+$D$6</f>
        <v>19700</v>
      </c>
      <c r="J3" s="41">
        <f t="shared" ref="J3:J16" si="2">NPV(H3,$E$7:$E$10)+$E$6</f>
        <v>27800</v>
      </c>
    </row>
    <row r="4" ht="14.25" customHeight="1">
      <c r="H4" s="3">
        <v>0.02</v>
      </c>
      <c r="I4" s="41">
        <f t="shared" si="1"/>
        <v>17122.88475</v>
      </c>
      <c r="J4" s="41">
        <f t="shared" si="2"/>
        <v>23762.59138</v>
      </c>
    </row>
    <row r="5" ht="14.25" customHeight="1">
      <c r="C5" s="1" t="s">
        <v>1</v>
      </c>
      <c r="D5" s="1" t="s">
        <v>87</v>
      </c>
      <c r="E5" s="1" t="s">
        <v>88</v>
      </c>
      <c r="H5" s="3">
        <v>0.04</v>
      </c>
      <c r="I5" s="41">
        <f t="shared" si="1"/>
        <v>14723.65507</v>
      </c>
      <c r="J5" s="41">
        <f t="shared" si="2"/>
        <v>20050.46655</v>
      </c>
    </row>
    <row r="6" ht="14.25" customHeight="1">
      <c r="C6" s="1">
        <v>0.0</v>
      </c>
      <c r="D6" s="41">
        <v>-43000.0</v>
      </c>
      <c r="E6" s="41">
        <v>-43000.0</v>
      </c>
      <c r="H6" s="3">
        <v>0.06</v>
      </c>
      <c r="I6" s="41">
        <f t="shared" si="1"/>
        <v>12486.00903</v>
      </c>
      <c r="J6" s="41">
        <f t="shared" si="2"/>
        <v>16631.02249</v>
      </c>
    </row>
    <row r="7" ht="14.25" customHeight="1">
      <c r="C7" s="1">
        <v>1.0</v>
      </c>
      <c r="D7" s="41">
        <v>23000.0</v>
      </c>
      <c r="E7" s="41">
        <v>7000.0</v>
      </c>
      <c r="H7" s="3">
        <v>0.08</v>
      </c>
      <c r="I7" s="41">
        <f t="shared" si="1"/>
        <v>10395.46158</v>
      </c>
      <c r="J7" s="41">
        <f t="shared" si="2"/>
        <v>13475.50716</v>
      </c>
    </row>
    <row r="8" ht="14.25" customHeight="1">
      <c r="C8" s="1">
        <v>2.0</v>
      </c>
      <c r="D8" s="41">
        <v>17900.0</v>
      </c>
      <c r="E8" s="41">
        <v>13800.0</v>
      </c>
      <c r="H8" s="3">
        <v>0.1</v>
      </c>
      <c r="I8" s="41">
        <f t="shared" si="1"/>
        <v>8439.10935</v>
      </c>
      <c r="J8" s="41">
        <f t="shared" si="2"/>
        <v>10558.5001</v>
      </c>
    </row>
    <row r="9" ht="14.25" customHeight="1">
      <c r="C9" s="1">
        <v>3.0</v>
      </c>
      <c r="D9" s="41">
        <v>12400.0</v>
      </c>
      <c r="E9" s="41">
        <v>24000.0</v>
      </c>
      <c r="H9" s="3">
        <v>0.12</v>
      </c>
      <c r="I9" s="41">
        <f t="shared" si="1"/>
        <v>6605.429704</v>
      </c>
      <c r="J9" s="41">
        <f t="shared" si="2"/>
        <v>7857.471496</v>
      </c>
    </row>
    <row r="10" ht="14.25" customHeight="1">
      <c r="C10" s="1">
        <v>4.0</v>
      </c>
      <c r="D10" s="41">
        <v>9400.0</v>
      </c>
      <c r="E10" s="41">
        <v>26000.0</v>
      </c>
      <c r="H10" s="3">
        <v>0.14</v>
      </c>
      <c r="I10" s="41">
        <f t="shared" si="1"/>
        <v>4884.108764</v>
      </c>
      <c r="J10" s="41">
        <f t="shared" si="2"/>
        <v>5352.406371</v>
      </c>
    </row>
    <row r="11" ht="14.25" customHeight="1">
      <c r="C11" s="1" t="s">
        <v>89</v>
      </c>
      <c r="D11" s="42">
        <f t="shared" ref="D11:E11" si="3">NPV($D$2, D7:D10)+D6</f>
        <v>3822.007818</v>
      </c>
      <c r="E11" s="43">
        <f t="shared" si="3"/>
        <v>3822.007818</v>
      </c>
      <c r="H11" s="3">
        <v>0.16</v>
      </c>
      <c r="I11" s="41">
        <f t="shared" si="1"/>
        <v>3265.893612</v>
      </c>
      <c r="J11" s="41">
        <f t="shared" si="2"/>
        <v>3025.483507</v>
      </c>
    </row>
    <row r="12" ht="14.25" customHeight="1">
      <c r="C12" s="1" t="s">
        <v>82</v>
      </c>
      <c r="D12" s="44">
        <f t="shared" ref="D12:E12" si="4">IRR(D6:D10)</f>
        <v>0.2044204208</v>
      </c>
      <c r="E12" s="5">
        <f t="shared" si="4"/>
        <v>0.1883658582</v>
      </c>
      <c r="H12" s="3">
        <v>0.18</v>
      </c>
      <c r="I12" s="41">
        <f t="shared" si="1"/>
        <v>1742.464964</v>
      </c>
      <c r="J12" s="41">
        <f t="shared" si="2"/>
        <v>860.8002188</v>
      </c>
    </row>
    <row r="13" ht="14.25" customHeight="1">
      <c r="C13" s="1" t="s">
        <v>90</v>
      </c>
      <c r="D13" s="43">
        <f t="shared" ref="D13:E13" si="5">NPV($D$3,D7:D10)+D6</f>
        <v>2492.817575</v>
      </c>
      <c r="E13" s="42">
        <f t="shared" si="5"/>
        <v>1923.787596</v>
      </c>
      <c r="H13" s="3">
        <v>0.2</v>
      </c>
      <c r="I13" s="41">
        <f t="shared" si="1"/>
        <v>306.3271605</v>
      </c>
      <c r="J13" s="41">
        <f t="shared" si="2"/>
        <v>-1155.864198</v>
      </c>
    </row>
    <row r="14" ht="14.25" customHeight="1">
      <c r="H14" s="3">
        <v>0.22</v>
      </c>
      <c r="I14" s="41">
        <f t="shared" si="1"/>
        <v>-1049.287147</v>
      </c>
      <c r="J14" s="41">
        <f t="shared" si="2"/>
        <v>-3037.252342</v>
      </c>
    </row>
    <row r="15" ht="14.25" customHeight="1">
      <c r="C15" s="1" t="s">
        <v>91</v>
      </c>
      <c r="D15" s="42">
        <f>E11-D11</f>
        <v>0.00000004017783795</v>
      </c>
      <c r="H15" s="3">
        <v>0.24</v>
      </c>
      <c r="I15" s="41">
        <f t="shared" si="1"/>
        <v>-2330.499794</v>
      </c>
      <c r="J15" s="41">
        <f t="shared" si="2"/>
        <v>-4794.804883</v>
      </c>
    </row>
    <row r="16" ht="14.25" customHeight="1">
      <c r="D16" s="42"/>
      <c r="H16" s="3">
        <v>0.26</v>
      </c>
      <c r="I16" s="41">
        <f t="shared" si="1"/>
        <v>-3542.859212</v>
      </c>
      <c r="J16" s="41">
        <f t="shared" si="2"/>
        <v>-6438.813186</v>
      </c>
    </row>
    <row r="17" ht="14.25" customHeight="1">
      <c r="E17" s="1" t="s">
        <v>17</v>
      </c>
      <c r="F17" s="1" t="s">
        <v>82</v>
      </c>
      <c r="H17" s="3"/>
      <c r="I17" s="41"/>
      <c r="J17" s="41"/>
    </row>
    <row r="18" ht="14.25" customHeight="1">
      <c r="E18" s="1" t="s">
        <v>92</v>
      </c>
      <c r="F18" s="1" t="s">
        <v>82</v>
      </c>
    </row>
    <row r="19" ht="14.25" customHeight="1">
      <c r="B19" s="1" t="s">
        <v>93</v>
      </c>
    </row>
    <row r="20" ht="14.25" customHeight="1"/>
    <row r="21" ht="14.25" customHeight="1">
      <c r="H21" s="3"/>
    </row>
    <row r="22" ht="14.25" customHeight="1">
      <c r="H22" s="3"/>
    </row>
    <row r="23" ht="14.25" customHeight="1">
      <c r="H23" s="3"/>
    </row>
    <row r="24" ht="14.25" customHeight="1">
      <c r="H24" s="3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9.57"/>
    <col customWidth="1" min="4" max="5" width="10.14"/>
    <col customWidth="1" min="6" max="6" width="10.57"/>
    <col customWidth="1" min="7" max="7" width="4.14"/>
    <col customWidth="1" min="8" max="8" width="8.71"/>
    <col customWidth="1" min="9" max="9" width="10.14"/>
    <col customWidth="1" min="10" max="10" width="10.86"/>
    <col customWidth="1" min="11" max="11" width="10.57"/>
    <col customWidth="1" min="12" max="26" width="8.71"/>
  </cols>
  <sheetData>
    <row r="1" ht="14.25" customHeight="1"/>
    <row r="2" ht="14.25" customHeight="1">
      <c r="B2" s="33" t="s">
        <v>94</v>
      </c>
      <c r="C2" s="40">
        <v>0.15</v>
      </c>
    </row>
    <row r="3" ht="14.25" customHeight="1">
      <c r="D3" s="3"/>
    </row>
    <row r="4" ht="14.25" customHeight="1">
      <c r="B4" s="1" t="s">
        <v>1</v>
      </c>
      <c r="C4" s="10" t="s">
        <v>87</v>
      </c>
      <c r="D4" s="10" t="s">
        <v>95</v>
      </c>
      <c r="E4" s="10" t="s">
        <v>96</v>
      </c>
      <c r="F4" s="10" t="s">
        <v>97</v>
      </c>
      <c r="G4" s="10"/>
      <c r="H4" s="10" t="s">
        <v>79</v>
      </c>
      <c r="I4" s="10" t="s">
        <v>98</v>
      </c>
      <c r="J4" s="10" t="s">
        <v>99</v>
      </c>
      <c r="K4" s="10" t="s">
        <v>100</v>
      </c>
    </row>
    <row r="5" ht="14.25" customHeight="1">
      <c r="B5" s="1">
        <v>0.0</v>
      </c>
      <c r="C5" s="29">
        <v>-300000.0</v>
      </c>
      <c r="D5" s="29">
        <f>C5</f>
        <v>-300000</v>
      </c>
      <c r="E5" s="29">
        <f t="shared" ref="E5:E9" si="1">C5/(1+$C$2)^$B5</f>
        <v>-300000</v>
      </c>
      <c r="F5" s="29">
        <f>E5</f>
        <v>-300000</v>
      </c>
      <c r="H5" s="29">
        <v>-40000.0</v>
      </c>
      <c r="I5" s="29">
        <f>H5</f>
        <v>-40000</v>
      </c>
      <c r="J5" s="29">
        <f t="shared" ref="J5:J9" si="2">H5/(1+$C$2)^$B5</f>
        <v>-40000</v>
      </c>
      <c r="K5" s="29">
        <f>I5</f>
        <v>-40000</v>
      </c>
    </row>
    <row r="6" ht="14.25" customHeight="1">
      <c r="B6" s="1">
        <v>1.0</v>
      </c>
      <c r="C6" s="29">
        <v>20000.0</v>
      </c>
      <c r="D6" s="29">
        <f t="shared" ref="D6:D9" si="3">D5+C6</f>
        <v>-280000</v>
      </c>
      <c r="E6" s="29">
        <f t="shared" si="1"/>
        <v>17391.30435</v>
      </c>
      <c r="F6" s="29">
        <f t="shared" ref="F6:F9" si="4">F5+E6</f>
        <v>-282608.6957</v>
      </c>
      <c r="H6" s="29">
        <v>19000.0</v>
      </c>
      <c r="I6" s="29">
        <f t="shared" ref="I6:I9" si="5">I5+H6</f>
        <v>-21000</v>
      </c>
      <c r="J6" s="29">
        <f t="shared" si="2"/>
        <v>16521.73913</v>
      </c>
      <c r="K6" s="29">
        <f t="shared" ref="K6:K9" si="6">K5+J6</f>
        <v>-23478.26087</v>
      </c>
    </row>
    <row r="7" ht="14.25" customHeight="1">
      <c r="B7" s="1">
        <v>2.0</v>
      </c>
      <c r="C7" s="29">
        <v>50000.0</v>
      </c>
      <c r="D7" s="29">
        <f t="shared" si="3"/>
        <v>-230000</v>
      </c>
      <c r="E7" s="29">
        <f t="shared" si="1"/>
        <v>37807.18336</v>
      </c>
      <c r="F7" s="29">
        <f t="shared" si="4"/>
        <v>-244801.5123</v>
      </c>
      <c r="H7" s="29">
        <v>12000.0</v>
      </c>
      <c r="I7" s="29">
        <f t="shared" si="5"/>
        <v>-9000</v>
      </c>
      <c r="J7" s="29">
        <f t="shared" si="2"/>
        <v>9073.724008</v>
      </c>
      <c r="K7" s="29">
        <f t="shared" si="6"/>
        <v>-14404.53686</v>
      </c>
    </row>
    <row r="8" ht="14.25" customHeight="1">
      <c r="B8" s="1">
        <v>3.0</v>
      </c>
      <c r="C8" s="29">
        <v>90000.0</v>
      </c>
      <c r="D8" s="29">
        <f t="shared" si="3"/>
        <v>-140000</v>
      </c>
      <c r="E8" s="29">
        <f t="shared" si="1"/>
        <v>59176.46092</v>
      </c>
      <c r="F8" s="29">
        <f t="shared" si="4"/>
        <v>-185625.0514</v>
      </c>
      <c r="H8" s="29">
        <v>18000.0</v>
      </c>
      <c r="I8" s="29">
        <f t="shared" si="5"/>
        <v>9000</v>
      </c>
      <c r="J8" s="29">
        <f t="shared" si="2"/>
        <v>11835.29218</v>
      </c>
      <c r="K8" s="29">
        <f t="shared" si="6"/>
        <v>-2569.244678</v>
      </c>
    </row>
    <row r="9" ht="14.25" customHeight="1">
      <c r="B9" s="1">
        <v>4.0</v>
      </c>
      <c r="C9" s="29">
        <v>390000.0</v>
      </c>
      <c r="D9" s="29">
        <f t="shared" si="3"/>
        <v>250000</v>
      </c>
      <c r="E9" s="29">
        <f t="shared" si="1"/>
        <v>222983.7658</v>
      </c>
      <c r="F9" s="29">
        <f t="shared" si="4"/>
        <v>37358.71441</v>
      </c>
      <c r="H9" s="29">
        <v>10500.0</v>
      </c>
      <c r="I9" s="29">
        <f t="shared" si="5"/>
        <v>19500</v>
      </c>
      <c r="J9" s="29">
        <f t="shared" si="2"/>
        <v>6003.409079</v>
      </c>
      <c r="K9" s="29">
        <f t="shared" si="6"/>
        <v>3434.1644</v>
      </c>
    </row>
    <row r="10" ht="14.25" customHeight="1"/>
    <row r="11" ht="14.25" customHeight="1">
      <c r="B11" s="1" t="s">
        <v>17</v>
      </c>
      <c r="C11" s="12">
        <f t="array" ref="C11">NPV($C$2,C6:C9)+C5</f>
        <v>37358.71441</v>
      </c>
      <c r="D11" s="45"/>
      <c r="E11" s="45"/>
      <c r="F11" s="45"/>
      <c r="G11" s="45"/>
      <c r="H11" s="12">
        <f t="array" ref="H11">NPV($C$2,H6:H9)+H5</f>
        <v>3434.1644</v>
      </c>
      <c r="I11" s="45"/>
      <c r="J11" s="45"/>
    </row>
    <row r="12" ht="14.25" customHeight="1">
      <c r="B12" s="1" t="s">
        <v>101</v>
      </c>
      <c r="C12" s="12">
        <f>B8+(-D8/C9)</f>
        <v>3.358974359</v>
      </c>
      <c r="D12" s="12"/>
      <c r="E12" s="45"/>
      <c r="F12" s="45"/>
      <c r="G12" s="45"/>
      <c r="H12" s="12">
        <f>B7+(-I7/H8)</f>
        <v>2.5</v>
      </c>
      <c r="I12" s="45"/>
      <c r="J12" s="45"/>
    </row>
    <row r="13" ht="14.25" customHeight="1">
      <c r="B13" s="1" t="s">
        <v>82</v>
      </c>
      <c r="C13" s="3">
        <f>IRR(C5:C9)</f>
        <v>0.190003713</v>
      </c>
      <c r="D13" s="45"/>
      <c r="E13" s="45"/>
      <c r="F13" s="45"/>
      <c r="G13" s="45"/>
      <c r="H13" s="3">
        <f>IRR(H5:H9)</f>
        <v>0.194995803</v>
      </c>
      <c r="I13" s="45"/>
      <c r="J13" s="45"/>
    </row>
    <row r="14" ht="14.25" customHeight="1">
      <c r="B14" s="1" t="s">
        <v>102</v>
      </c>
      <c r="C14" s="12">
        <f>B8+(-F8/E9)</f>
        <v>3.832459936</v>
      </c>
      <c r="D14" s="45"/>
      <c r="E14" s="45"/>
      <c r="F14" s="45"/>
      <c r="G14" s="45"/>
      <c r="H14" s="12">
        <f>B8+(-K8/J9)</f>
        <v>3.427964286</v>
      </c>
      <c r="I14" s="45"/>
      <c r="J14" s="45"/>
    </row>
    <row r="15" ht="14.25" customHeight="1">
      <c r="C15" s="45"/>
      <c r="D15" s="45"/>
      <c r="E15" s="45"/>
      <c r="F15" s="45"/>
      <c r="G15" s="45"/>
      <c r="H15" s="45"/>
      <c r="I15" s="45"/>
      <c r="J15" s="45"/>
    </row>
    <row r="16" ht="14.25" customHeight="1">
      <c r="C16" s="45"/>
      <c r="D16" s="45"/>
      <c r="E16" s="45"/>
      <c r="F16" s="45"/>
      <c r="G16" s="45"/>
      <c r="H16" s="45"/>
      <c r="I16" s="45"/>
      <c r="J16" s="4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43"/>
    <col customWidth="1" min="4" max="4" width="8.71"/>
    <col customWidth="1" min="5" max="5" width="20.29"/>
    <col customWidth="1" min="6" max="26" width="8.71"/>
  </cols>
  <sheetData>
    <row r="1" ht="14.25" customHeight="1"/>
    <row r="2" ht="14.25" customHeight="1"/>
    <row r="3" ht="14.25" customHeight="1">
      <c r="B3" s="1" t="s">
        <v>1</v>
      </c>
      <c r="C3" s="1" t="s">
        <v>103</v>
      </c>
      <c r="E3" s="1" t="s">
        <v>83</v>
      </c>
      <c r="F3" s="3">
        <v>0.12</v>
      </c>
      <c r="G3" s="3">
        <v>0.24</v>
      </c>
      <c r="H3" s="3">
        <v>0.0</v>
      </c>
    </row>
    <row r="4" ht="14.25" customHeight="1">
      <c r="B4" s="1">
        <v>0.0</v>
      </c>
      <c r="C4" s="41">
        <v>58000.0</v>
      </c>
      <c r="D4" s="41">
        <v>-58000.0</v>
      </c>
    </row>
    <row r="5" ht="14.25" customHeight="1">
      <c r="B5" s="1">
        <v>1.0</v>
      </c>
      <c r="C5" s="41">
        <v>-34000.0</v>
      </c>
      <c r="D5" s="41">
        <v>34000.0</v>
      </c>
    </row>
    <row r="6" ht="14.25" customHeight="1">
      <c r="B6" s="1">
        <v>2.0</v>
      </c>
      <c r="C6" s="41">
        <v>-45000.0</v>
      </c>
      <c r="D6" s="41">
        <v>45000.0</v>
      </c>
    </row>
    <row r="7" ht="14.25" customHeight="1"/>
    <row r="8" ht="14.25" customHeight="1">
      <c r="B8" s="1" t="s">
        <v>82</v>
      </c>
      <c r="C8" s="5">
        <f t="shared" ref="C8:D8" si="1">IRR(C4:C6)</f>
        <v>0.2214200432</v>
      </c>
      <c r="D8" s="5">
        <f t="shared" si="1"/>
        <v>0.2214200432</v>
      </c>
    </row>
    <row r="9" ht="14.25" customHeight="1"/>
    <row r="10" ht="14.25" customHeight="1">
      <c r="B10" s="1" t="s">
        <v>104</v>
      </c>
      <c r="C10" s="42">
        <f t="array" ref="C10">NPV(F3,C5:C6)+C4</f>
        <v>-8230.867347</v>
      </c>
      <c r="E10" s="1" t="s">
        <v>105</v>
      </c>
    </row>
    <row r="11" ht="14.25" customHeight="1">
      <c r="B11" s="1" t="s">
        <v>106</v>
      </c>
      <c r="C11" s="42">
        <f t="array" ref="C11">NPV(G3,C5:C6)+C4</f>
        <v>1314.255983</v>
      </c>
    </row>
    <row r="12" ht="14.25" customHeight="1">
      <c r="B12" s="1" t="s">
        <v>107</v>
      </c>
      <c r="C12" s="42">
        <f t="array" ref="C12">NPV(H3,C5:C6)+C4</f>
        <v>-21000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