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 of debt" sheetId="1" r:id="rId4"/>
    <sheet state="visible" name="Cost of Equity" sheetId="2" r:id="rId5"/>
    <sheet state="visible" name="Sheet1" sheetId="3" r:id="rId6"/>
    <sheet state="visible" name="CoPS" sheetId="4" r:id="rId7"/>
    <sheet state="visible" name="WACC" sheetId="5" r:id="rId8"/>
    <sheet state="visible" name="Beta of unlisted share" sheetId="6" r:id="rId9"/>
    <sheet state="visible" name="CoC of Divisions" sheetId="7" r:id="rId10"/>
  </sheets>
  <definedNames/>
  <calcPr/>
</workbook>
</file>

<file path=xl/sharedStrings.xml><?xml version="1.0" encoding="utf-8"?>
<sst xmlns="http://schemas.openxmlformats.org/spreadsheetml/2006/main" count="104" uniqueCount="99">
  <si>
    <t xml:space="preserve">Coupon </t>
  </si>
  <si>
    <t>Face value</t>
  </si>
  <si>
    <t>Premium at redemption</t>
  </si>
  <si>
    <t>Floatation cost</t>
  </si>
  <si>
    <t>N</t>
  </si>
  <si>
    <t>T</t>
  </si>
  <si>
    <t>Maturity proceeds (M)</t>
  </si>
  <si>
    <r>
      <rPr>
        <rFont val="Calibri"/>
        <color theme="1"/>
      </rPr>
      <t>Net proceeds, adjusted for floatation cost (P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>)</t>
    </r>
  </si>
  <si>
    <t>Annual interest adjusted for tax</t>
  </si>
  <si>
    <t>YTM (using shortcut approach)</t>
  </si>
  <si>
    <t>Settlement date</t>
  </si>
  <si>
    <t>Maturity date</t>
  </si>
  <si>
    <t>YTM (using 'yield' function)</t>
  </si>
  <si>
    <t>Year</t>
  </si>
  <si>
    <t>Cash flow</t>
  </si>
  <si>
    <t>YTM (using IRR)</t>
  </si>
  <si>
    <t>Multi-stage dividend growth model</t>
  </si>
  <si>
    <t>Current dividend per share</t>
  </si>
  <si>
    <t>Year:</t>
  </si>
  <si>
    <r>
      <rPr>
        <rFont val="Calibri"/>
        <color theme="1"/>
      </rPr>
      <t>Current market price (P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>)</t>
    </r>
  </si>
  <si>
    <t>DPS:</t>
  </si>
  <si>
    <t>Growth in DPS - first stage for two years (years 1 and 2)</t>
  </si>
  <si>
    <t>Terminal value, 4th year end:</t>
  </si>
  <si>
    <t>Growth in DPS - subsequent two years (years 3 and 4)</t>
  </si>
  <si>
    <t>Cash flow:</t>
  </si>
  <si>
    <t>Growth in DPS - 5th year onward</t>
  </si>
  <si>
    <t>Price today, with assumed cost of equity:</t>
  </si>
  <si>
    <r>
      <rPr>
        <rFont val="Calibri"/>
        <color theme="1"/>
      </rPr>
      <t>K</t>
    </r>
    <r>
      <rPr>
        <rFont val="Calibri"/>
        <color theme="1"/>
        <sz val="11.0"/>
        <vertAlign val="subscript"/>
      </rPr>
      <t>e</t>
    </r>
    <r>
      <rPr>
        <rFont val="Calibri"/>
        <color theme="1"/>
        <sz val="11.0"/>
      </rPr>
      <t xml:space="preserve"> Cost of equity</t>
    </r>
  </si>
  <si>
    <r>
      <rPr>
        <rFont val="Calibri"/>
        <color theme="1"/>
      </rPr>
      <t>Solve for K</t>
    </r>
    <r>
      <rPr>
        <rFont val="Calibri"/>
        <color theme="1"/>
        <sz val="11.0"/>
        <vertAlign val="subscript"/>
      </rPr>
      <t>e</t>
    </r>
  </si>
  <si>
    <t>Using goal seek, set 'E6' to Rs.55, be changing 'C8'</t>
  </si>
  <si>
    <t>Using capital asset pricing model (CAPM) for Cost of Equity</t>
  </si>
  <si>
    <t>Cost of equity = Risk free rate of return + risk premium</t>
  </si>
  <si>
    <t>Risk premium = Beta of the stock * (market return - risk free rate of return)</t>
  </si>
  <si>
    <r>
      <rPr>
        <rFont val="Calibri"/>
        <color theme="1"/>
      </rPr>
      <t>R</t>
    </r>
    <r>
      <rPr>
        <rFont val="Calibri"/>
        <color theme="1"/>
        <sz val="11.0"/>
        <vertAlign val="subscript"/>
      </rPr>
      <t>f</t>
    </r>
  </si>
  <si>
    <r>
      <rPr>
        <rFont val="Calibri"/>
        <color theme="1"/>
      </rPr>
      <t>K</t>
    </r>
    <r>
      <rPr>
        <rFont val="Calibri"/>
        <color theme="1"/>
        <sz val="11.0"/>
        <vertAlign val="subscript"/>
      </rPr>
      <t>e</t>
    </r>
  </si>
  <si>
    <r>
      <rPr>
        <rFont val="Calibri"/>
        <color theme="1"/>
      </rPr>
      <t>R</t>
    </r>
    <r>
      <rPr>
        <rFont val="Calibri"/>
        <color theme="1"/>
        <sz val="11.0"/>
        <vertAlign val="subscript"/>
      </rPr>
      <t>m</t>
    </r>
  </si>
  <si>
    <t xml:space="preserve">Risk premium </t>
  </si>
  <si>
    <t xml:space="preserve">beta </t>
  </si>
  <si>
    <t>Cost of equity</t>
  </si>
  <si>
    <t>Cost of equity using DDM</t>
  </si>
  <si>
    <t>P0 = D0*(1+g)/(ke-g)</t>
  </si>
  <si>
    <t>Ke = (D1/P0) + g</t>
  </si>
  <si>
    <t>when, g = 0</t>
  </si>
  <si>
    <t>Ke = D0/P0</t>
  </si>
  <si>
    <t>Iredeemable Prference Share Capital</t>
  </si>
  <si>
    <t>Copupon</t>
  </si>
  <si>
    <r>
      <rPr>
        <rFont val="Calibri"/>
        <color theme="1"/>
      </rPr>
      <t>Net proceeds, adjusted for floatation cost (P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>)</t>
    </r>
  </si>
  <si>
    <t>Annual dividend per preference share (Pref. Div.)</t>
  </si>
  <si>
    <r>
      <rPr>
        <rFont val="Calibri"/>
        <color theme="1"/>
      </rPr>
      <t>Cost of PSC (Pref. Div. / P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>) [K</t>
    </r>
    <r>
      <rPr>
        <rFont val="Calibri"/>
        <color theme="1"/>
        <sz val="11.0"/>
        <vertAlign val="subscript"/>
      </rPr>
      <t>p</t>
    </r>
    <r>
      <rPr>
        <rFont val="Calibri"/>
        <color theme="1"/>
        <sz val="11.0"/>
      </rPr>
      <t>]</t>
    </r>
  </si>
  <si>
    <r>
      <rPr>
        <rFont val="Calibri"/>
        <color theme="1"/>
      </rPr>
      <t>Alternately: Coupon / (1-fl. Cost%) [K</t>
    </r>
    <r>
      <rPr>
        <rFont val="Calibri"/>
        <color theme="1"/>
        <sz val="11.0"/>
        <vertAlign val="subscript"/>
      </rPr>
      <t>p</t>
    </r>
    <r>
      <rPr>
        <rFont val="Calibri"/>
        <color theme="1"/>
        <sz val="11.0"/>
      </rPr>
      <t>]</t>
    </r>
  </si>
  <si>
    <t>2nd situation - redeemable PS</t>
  </si>
  <si>
    <t>Premium at the time of redemption</t>
  </si>
  <si>
    <t>Number of years to maturity</t>
  </si>
  <si>
    <t>Redemption value</t>
  </si>
  <si>
    <r>
      <rPr>
        <rFont val="Calibri"/>
        <color theme="1"/>
      </rPr>
      <t>K</t>
    </r>
    <r>
      <rPr>
        <rFont val="Calibri"/>
        <color theme="1"/>
        <sz val="11.0"/>
        <vertAlign val="subscript"/>
      </rPr>
      <t xml:space="preserve">p </t>
    </r>
    <r>
      <rPr>
        <rFont val="Calibri"/>
        <color theme="1"/>
        <sz val="11.0"/>
      </rPr>
      <t>(using shortcut approach)</t>
    </r>
  </si>
  <si>
    <r>
      <rPr>
        <rFont val="Calibri"/>
        <color theme="1"/>
      </rPr>
      <t>K</t>
    </r>
    <r>
      <rPr>
        <rFont val="Calibri"/>
        <color theme="1"/>
        <sz val="11.0"/>
        <vertAlign val="subscript"/>
      </rPr>
      <t xml:space="preserve">p </t>
    </r>
    <r>
      <rPr>
        <rFont val="Calibri"/>
        <color theme="1"/>
        <sz val="11.0"/>
      </rPr>
      <t>(using IRR approach)</t>
    </r>
  </si>
  <si>
    <t>Equity:</t>
  </si>
  <si>
    <t>Book value</t>
  </si>
  <si>
    <r>
      <rPr>
        <rFont val="Calibri"/>
        <color theme="1"/>
        <sz val="14.0"/>
      </rPr>
      <t>Book value weight (W</t>
    </r>
    <r>
      <rPr>
        <rFont val="Calibri"/>
        <color theme="1"/>
        <sz val="14.0"/>
        <vertAlign val="subscript"/>
      </rPr>
      <t>i</t>
    </r>
    <r>
      <rPr>
        <rFont val="Calibri"/>
        <color theme="1"/>
        <sz val="14.0"/>
      </rPr>
      <t>)</t>
    </r>
  </si>
  <si>
    <r>
      <rPr>
        <rFont val="Calibri"/>
        <color theme="1"/>
        <sz val="14.0"/>
      </rPr>
      <t>K</t>
    </r>
    <r>
      <rPr>
        <rFont val="Calibri"/>
        <color theme="1"/>
        <sz val="14.0"/>
        <vertAlign val="subscript"/>
      </rPr>
      <t>i</t>
    </r>
  </si>
  <si>
    <r>
      <rPr>
        <rFont val="Calibri"/>
        <color theme="1"/>
        <sz val="14.0"/>
      </rPr>
      <t>W</t>
    </r>
    <r>
      <rPr>
        <rFont val="Calibri"/>
        <color theme="1"/>
        <sz val="14.0"/>
        <vertAlign val="subscript"/>
      </rPr>
      <t>i</t>
    </r>
    <r>
      <rPr>
        <rFont val="Calibri"/>
        <color theme="1"/>
        <sz val="14.0"/>
      </rPr>
      <t xml:space="preserve"> * K</t>
    </r>
    <r>
      <rPr>
        <rFont val="Calibri"/>
        <color theme="1"/>
        <sz val="14.0"/>
        <vertAlign val="subscript"/>
      </rPr>
      <t>i</t>
    </r>
  </si>
  <si>
    <t>Market price per unit</t>
  </si>
  <si>
    <t>Number</t>
  </si>
  <si>
    <t>Market value</t>
  </si>
  <si>
    <t>Market value weight</t>
  </si>
  <si>
    <r>
      <rPr>
        <rFont val="Calibri"/>
        <color theme="1"/>
        <sz val="14.0"/>
      </rPr>
      <t>W</t>
    </r>
    <r>
      <rPr>
        <rFont val="Calibri"/>
        <color theme="1"/>
        <sz val="14.0"/>
        <vertAlign val="subscript"/>
      </rPr>
      <t>i</t>
    </r>
    <r>
      <rPr>
        <rFont val="Calibri"/>
        <color theme="1"/>
        <sz val="14.0"/>
      </rPr>
      <t xml:space="preserve"> * K</t>
    </r>
    <r>
      <rPr>
        <rFont val="Calibri"/>
        <color theme="1"/>
        <sz val="14.0"/>
        <vertAlign val="subscript"/>
      </rPr>
      <t>i</t>
    </r>
  </si>
  <si>
    <t>Paid up capital (1,00,000 shares of face value Rs.10/- each)</t>
  </si>
  <si>
    <t>Reserves and surplus</t>
  </si>
  <si>
    <t>N.A.</t>
  </si>
  <si>
    <t>12% Preference share capital</t>
  </si>
  <si>
    <t>14% Debentures</t>
  </si>
  <si>
    <t>Preference shares are iredeemable</t>
  </si>
  <si>
    <t>Beta (equity)</t>
  </si>
  <si>
    <t>Risk free rate of return</t>
  </si>
  <si>
    <r>
      <rPr>
        <rFont val="Calibri"/>
        <color theme="1"/>
        <sz val="14.0"/>
      </rPr>
      <t>Risk premium (R</t>
    </r>
    <r>
      <rPr>
        <rFont val="Calibri"/>
        <color theme="1"/>
        <sz val="14.0"/>
        <vertAlign val="subscript"/>
      </rPr>
      <t>m</t>
    </r>
    <r>
      <rPr>
        <rFont val="Calibri"/>
        <color theme="1"/>
        <sz val="14.0"/>
      </rPr>
      <t xml:space="preserve"> - R</t>
    </r>
    <r>
      <rPr>
        <rFont val="Calibri"/>
        <color theme="1"/>
        <sz val="14.0"/>
        <vertAlign val="subscript"/>
      </rPr>
      <t>f</t>
    </r>
    <r>
      <rPr>
        <rFont val="Calibri"/>
        <color theme="1"/>
        <sz val="14.0"/>
      </rPr>
      <t>)</t>
    </r>
  </si>
  <si>
    <t>Coupon on preference shares</t>
  </si>
  <si>
    <t>Coupon on debentures</t>
  </si>
  <si>
    <t>Corporate tax rate</t>
  </si>
  <si>
    <t>Number of years to maturity for debentures</t>
  </si>
  <si>
    <t>Company</t>
  </si>
  <si>
    <t>Beta - equity (also known as levered beta</t>
  </si>
  <si>
    <t>D/E ratio</t>
  </si>
  <si>
    <t>Tax rate</t>
  </si>
  <si>
    <t>Unlevered beta</t>
  </si>
  <si>
    <t>Target stock or division</t>
  </si>
  <si>
    <t>Comparable Firms</t>
  </si>
  <si>
    <t>Sales</t>
  </si>
  <si>
    <t>Assets </t>
  </si>
  <si>
    <t>Debt </t>
  </si>
  <si>
    <t>Equity</t>
  </si>
  <si>
    <t>Fixed/Variable Cost</t>
  </si>
  <si>
    <t>Equity Beta as per CAPM</t>
  </si>
  <si>
    <t>Asset Beta (without adjusting for tax)</t>
  </si>
  <si>
    <t>Weight based on Assets</t>
  </si>
  <si>
    <t>Business Beta</t>
  </si>
  <si>
    <t>ABC </t>
  </si>
  <si>
    <t>KLM</t>
  </si>
  <si>
    <t>PQR</t>
  </si>
  <si>
    <t>Beta of division related to the comparable firms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</si>
</sst>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 [$₹-4009]\ * #,##0_ ;_ [$₹-4009]\ * \-#,##0_ ;_ [$₹-4009]\ * &quot;-&quot;??_ ;_ @_ "/>
    <numFmt numFmtId="165" formatCode="_ * #,##0.00_ ;_ * \-#,##0.00_ ;_ * &quot;-&quot;??_ ;_ @_ "/>
    <numFmt numFmtId="166" formatCode="_ [$₹-4009]\ * #,##0.00_ ;_ [$₹-4009]\ * \-#,##0.00_ ;_ [$₹-4009]\ * &quot;-&quot;??_ ;_ @_ "/>
    <numFmt numFmtId="167" formatCode="&quot;₹&quot;\ #,##0.00;[Red]&quot;₹&quot;\ \-#,##0.00"/>
    <numFmt numFmtId="168" formatCode="_ * #,##0_ ;_ * \-#,##0_ ;_ * &quot;-&quot;??_ ;_ @_ "/>
    <numFmt numFmtId="169" formatCode="0.0000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4.0"/>
      <color theme="1"/>
      <name val="Calibri"/>
      <scheme val="minor"/>
    </font>
    <font>
      <u/>
      <sz val="14.0"/>
      <color theme="1"/>
      <name val="Calibri"/>
      <scheme val="minor"/>
    </font>
    <font>
      <sz val="18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BDD6EE"/>
        <bgColor rgb="FFBDD6EE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9" xfId="0" applyFont="1" applyNumberFormat="1"/>
    <xf borderId="0" fillId="0" fontId="0" numFmtId="164" xfId="0" applyFont="1" applyNumberFormat="1"/>
    <xf borderId="0" fillId="0" fontId="0" numFmtId="165" xfId="0" applyFont="1" applyNumberFormat="1"/>
    <xf borderId="1" fillId="2" fontId="0" numFmtId="0" xfId="0" applyBorder="1" applyFill="1" applyFont="1"/>
    <xf borderId="1" fillId="2" fontId="0" numFmtId="10" xfId="0" applyBorder="1" applyFont="1" applyNumberFormat="1"/>
    <xf borderId="0" fillId="0" fontId="0" numFmtId="0" xfId="0" applyFont="1"/>
    <xf borderId="0" fillId="0" fontId="0" numFmtId="10" xfId="0" applyFont="1" applyNumberFormat="1"/>
    <xf borderId="0" fillId="0" fontId="0" numFmtId="15" xfId="0" applyFont="1" applyNumberFormat="1"/>
    <xf borderId="0" fillId="0" fontId="1" numFmtId="10" xfId="0" applyFont="1" applyNumberFormat="1"/>
    <xf borderId="0" fillId="0" fontId="0" numFmtId="0" xfId="0" applyAlignment="1" applyFont="1">
      <alignment horizontal="center"/>
    </xf>
    <xf borderId="0" fillId="0" fontId="0" numFmtId="166" xfId="0" applyFont="1" applyNumberFormat="1"/>
    <xf borderId="2" fillId="3" fontId="0" numFmtId="0" xfId="0" applyAlignment="1" applyBorder="1" applyFill="1" applyFont="1">
      <alignment horizontal="right"/>
    </xf>
    <xf borderId="2" fillId="3" fontId="0" numFmtId="0" xfId="0" applyBorder="1" applyFont="1"/>
    <xf borderId="2" fillId="3" fontId="0" numFmtId="167" xfId="0" applyBorder="1" applyFont="1" applyNumberFormat="1"/>
    <xf borderId="1" fillId="3" fontId="0" numFmtId="0" xfId="0" applyAlignment="1" applyBorder="1" applyFont="1">
      <alignment horizontal="left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166" xfId="0" applyAlignment="1" applyFont="1" applyNumberFormat="1">
      <alignment shrinkToFit="0" wrapText="1"/>
    </xf>
    <xf borderId="0" fillId="0" fontId="2" numFmtId="164" xfId="0" applyFont="1" applyNumberFormat="1"/>
    <xf borderId="0" fillId="0" fontId="2" numFmtId="0" xfId="0" applyAlignment="1" applyFont="1">
      <alignment horizontal="center" shrinkToFit="0" wrapText="1"/>
    </xf>
    <xf borderId="0" fillId="0" fontId="3" numFmtId="164" xfId="0" applyFont="1" applyNumberFormat="1"/>
    <xf borderId="0" fillId="0" fontId="2" numFmtId="10" xfId="0" applyFont="1" applyNumberFormat="1"/>
    <xf borderId="0" fillId="0" fontId="2" numFmtId="166" xfId="0" applyFont="1" applyNumberFormat="1"/>
    <xf borderId="0" fillId="0" fontId="2" numFmtId="168" xfId="0" applyFont="1" applyNumberFormat="1"/>
    <xf borderId="0" fillId="0" fontId="2" numFmtId="9" xfId="0" applyFont="1" applyNumberFormat="1"/>
    <xf borderId="0" fillId="0" fontId="0" numFmtId="0" xfId="0" applyAlignment="1" applyFont="1">
      <alignment shrinkToFit="0" wrapText="1"/>
    </xf>
    <xf borderId="0" fillId="0" fontId="0" numFmtId="2" xfId="0" applyFont="1" applyNumberFormat="1"/>
    <xf borderId="0" fillId="0" fontId="0" numFmtId="169" xfId="0" applyFont="1" applyNumberFormat="1"/>
    <xf borderId="0" fillId="0" fontId="4" numFmtId="0" xfId="0" applyAlignment="1" applyFont="1">
      <alignment horizontal="left" shrinkToFit="0" wrapText="1"/>
    </xf>
    <xf borderId="0" fillId="0" fontId="4" numFmtId="0" xfId="0" applyFont="1"/>
    <xf borderId="0" fillId="0" fontId="4" numFmtId="168" xfId="0" applyFont="1" applyNumberFormat="1"/>
    <xf borderId="0" fillId="0" fontId="4" numFmtId="2" xfId="0" applyFont="1" applyNumberFormat="1"/>
    <xf borderId="0" fillId="0" fontId="4" numFmtId="10" xfId="0" applyFont="1" applyNumberFormat="1"/>
    <xf borderId="0" fillId="0" fontId="4" numFmtId="16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5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6</xdr:row>
      <xdr:rowOff>0</xdr:rowOff>
    </xdr:from>
    <xdr:ext cx="4076700" cy="6477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13</xdr:row>
      <xdr:rowOff>180975</xdr:rowOff>
    </xdr:from>
    <xdr:ext cx="5172075" cy="7620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</xdr:row>
      <xdr:rowOff>0</xdr:rowOff>
    </xdr:from>
    <xdr:ext cx="5172075" cy="752475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13</xdr:row>
      <xdr:rowOff>0</xdr:rowOff>
    </xdr:from>
    <xdr:ext cx="2562225" cy="5429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904875</xdr:colOff>
      <xdr:row>8</xdr:row>
      <xdr:rowOff>219075</xdr:rowOff>
    </xdr:from>
    <xdr:ext cx="4076700" cy="65722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14"/>
    <col customWidth="1" min="3" max="3" width="9.57"/>
    <col customWidth="1" min="4" max="4" width="6.43"/>
    <col customWidth="1" min="5" max="5" width="6.0"/>
    <col customWidth="1" min="6" max="6" width="7.43"/>
    <col customWidth="1" min="7" max="7" width="6.0"/>
    <col customWidth="1" min="8" max="8" width="8.57"/>
    <col customWidth="1" min="9" max="24" width="8.71"/>
  </cols>
  <sheetData>
    <row r="1" ht="14.25" customHeight="1"/>
    <row r="2" ht="14.25" customHeight="1">
      <c r="B2" s="1" t="s">
        <v>0</v>
      </c>
      <c r="C2" s="2">
        <v>0.1</v>
      </c>
    </row>
    <row r="3" ht="14.25" customHeight="1">
      <c r="B3" s="1" t="s">
        <v>1</v>
      </c>
      <c r="C3" s="3">
        <v>1000.0</v>
      </c>
    </row>
    <row r="4" ht="14.25" customHeight="1">
      <c r="B4" s="1" t="s">
        <v>2</v>
      </c>
      <c r="C4" s="2">
        <v>0.07</v>
      </c>
    </row>
    <row r="5" ht="14.25" customHeight="1">
      <c r="B5" s="1" t="s">
        <v>3</v>
      </c>
      <c r="C5" s="2">
        <v>0.05</v>
      </c>
    </row>
    <row r="6" ht="14.25" customHeight="1">
      <c r="B6" s="1" t="s">
        <v>4</v>
      </c>
      <c r="C6" s="4">
        <v>5.0</v>
      </c>
    </row>
    <row r="7" ht="14.25" customHeight="1">
      <c r="B7" s="1" t="s">
        <v>5</v>
      </c>
      <c r="C7" s="2">
        <v>0.33</v>
      </c>
    </row>
    <row r="8" ht="14.25" customHeight="1">
      <c r="B8" s="1" t="s">
        <v>6</v>
      </c>
      <c r="C8" s="3">
        <f>C3*(1+C4)</f>
        <v>1070</v>
      </c>
    </row>
    <row r="9" ht="14.25" customHeight="1">
      <c r="B9" s="1" t="s">
        <v>7</v>
      </c>
      <c r="C9" s="3">
        <f>C3*(1-C5)</f>
        <v>950</v>
      </c>
    </row>
    <row r="10" ht="14.25" customHeight="1">
      <c r="B10" s="1" t="s">
        <v>8</v>
      </c>
      <c r="C10" s="3">
        <f>C2*C3*(1-C7)</f>
        <v>67</v>
      </c>
    </row>
    <row r="11" ht="14.25" customHeight="1">
      <c r="C11" s="3"/>
    </row>
    <row r="12" ht="14.25" customHeight="1">
      <c r="B12" s="5" t="s">
        <v>9</v>
      </c>
      <c r="C12" s="6">
        <f>(C2*C3*(1-C7)+(C8-C9)/C6)/(0.6*C9+0.4*C8)</f>
        <v>0.09118236473</v>
      </c>
    </row>
    <row r="13" ht="14.25" customHeight="1">
      <c r="B13" s="7"/>
      <c r="C13" s="8"/>
    </row>
    <row r="14" ht="14.25" customHeight="1">
      <c r="B14" s="7"/>
      <c r="C14" s="8"/>
    </row>
    <row r="15" ht="14.25" customHeight="1">
      <c r="B15" s="1" t="s">
        <v>10</v>
      </c>
      <c r="C15" s="9">
        <v>43922.0</v>
      </c>
    </row>
    <row r="16" ht="14.25" customHeight="1">
      <c r="B16" s="1" t="s">
        <v>11</v>
      </c>
      <c r="C16" s="9">
        <v>45747.0</v>
      </c>
    </row>
    <row r="17" ht="14.25" customHeight="1">
      <c r="B17" s="5" t="s">
        <v>12</v>
      </c>
      <c r="C17" s="6">
        <f>YIELD(C15,C16,C2*(1-C7),95,107,1)</f>
        <v>0.0915787142</v>
      </c>
    </row>
    <row r="18" ht="14.25" customHeight="1">
      <c r="F18" s="10"/>
    </row>
    <row r="19" ht="14.25" customHeight="1">
      <c r="B19" s="1" t="s">
        <v>13</v>
      </c>
      <c r="D19" s="11">
        <v>0.0</v>
      </c>
      <c r="E19" s="11">
        <v>1.0</v>
      </c>
      <c r="F19" s="11">
        <v>2.0</v>
      </c>
      <c r="G19" s="11">
        <v>3.0</v>
      </c>
      <c r="H19" s="11">
        <v>4.0</v>
      </c>
      <c r="I19" s="11">
        <v>5.0</v>
      </c>
    </row>
    <row r="20" ht="14.25" customHeight="1">
      <c r="B20" s="1" t="s">
        <v>14</v>
      </c>
      <c r="D20" s="3">
        <f>C9</f>
        <v>950</v>
      </c>
      <c r="E20" s="3">
        <f t="shared" ref="E20:H20" si="1">-$C$2*$C$3*(1-$C$7)</f>
        <v>-67</v>
      </c>
      <c r="F20" s="3">
        <f t="shared" si="1"/>
        <v>-67</v>
      </c>
      <c r="G20" s="3">
        <f t="shared" si="1"/>
        <v>-67</v>
      </c>
      <c r="H20" s="3">
        <f t="shared" si="1"/>
        <v>-67</v>
      </c>
      <c r="I20" s="3">
        <f>-($C$2*$C$3*(1-$C$7)+C8)</f>
        <v>-1137</v>
      </c>
    </row>
    <row r="21" ht="14.25" customHeight="1">
      <c r="B21" s="5" t="s">
        <v>15</v>
      </c>
      <c r="C21" s="6">
        <f>irr(D20:I20)</f>
        <v>0.09156694199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7.43"/>
    <col customWidth="1" min="3" max="3" width="9.86"/>
    <col customWidth="1" min="4" max="4" width="35.14"/>
    <col customWidth="1" min="5" max="26" width="8.71"/>
  </cols>
  <sheetData>
    <row r="1" ht="14.25" customHeight="1"/>
    <row r="2" ht="14.25" customHeight="1">
      <c r="B2" s="1" t="s">
        <v>16</v>
      </c>
    </row>
    <row r="3" ht="14.25" customHeight="1">
      <c r="B3" s="1" t="s">
        <v>17</v>
      </c>
      <c r="C3" s="12">
        <v>1.5</v>
      </c>
      <c r="D3" s="13" t="s">
        <v>18</v>
      </c>
      <c r="E3" s="14">
        <v>0.0</v>
      </c>
      <c r="F3" s="14">
        <v>1.0</v>
      </c>
      <c r="G3" s="14">
        <v>2.0</v>
      </c>
      <c r="H3" s="14">
        <v>3.0</v>
      </c>
      <c r="I3" s="14">
        <v>4.0</v>
      </c>
      <c r="J3" s="14">
        <v>5.0</v>
      </c>
    </row>
    <row r="4" ht="14.25" customHeight="1">
      <c r="B4" s="1" t="s">
        <v>19</v>
      </c>
      <c r="C4" s="12">
        <v>55.0</v>
      </c>
      <c r="D4" s="13" t="s">
        <v>20</v>
      </c>
      <c r="E4" s="15">
        <v>1.5</v>
      </c>
      <c r="F4" s="15">
        <f t="shared" ref="F4:G4" si="1">E4*(1+$C$5)</f>
        <v>1.68</v>
      </c>
      <c r="G4" s="15">
        <f t="shared" si="1"/>
        <v>1.8816</v>
      </c>
      <c r="H4" s="15">
        <f t="shared" ref="H4:I4" si="2">G4*(1+$C$6)</f>
        <v>2.06976</v>
      </c>
      <c r="I4" s="15">
        <f t="shared" si="2"/>
        <v>2.276736</v>
      </c>
      <c r="J4" s="15">
        <f>I4*(1+$C$7)</f>
        <v>2.45887488</v>
      </c>
    </row>
    <row r="5" ht="14.25" customHeight="1">
      <c r="B5" s="1" t="s">
        <v>21</v>
      </c>
      <c r="C5" s="2">
        <v>0.12</v>
      </c>
      <c r="D5" s="13" t="s">
        <v>22</v>
      </c>
      <c r="E5" s="15"/>
      <c r="F5" s="15"/>
      <c r="G5" s="15"/>
      <c r="H5" s="15"/>
      <c r="I5" s="15">
        <f>J4/(C9-C7)</f>
        <v>75.09790435</v>
      </c>
      <c r="J5" s="15"/>
    </row>
    <row r="6" ht="14.25" customHeight="1">
      <c r="B6" s="1" t="s">
        <v>23</v>
      </c>
      <c r="C6" s="2">
        <v>0.1</v>
      </c>
      <c r="D6" s="13" t="s">
        <v>24</v>
      </c>
      <c r="E6" s="15"/>
      <c r="F6" s="15">
        <f t="shared" ref="F6:I6" si="3">F4+F5</f>
        <v>1.68</v>
      </c>
      <c r="G6" s="15">
        <f t="shared" si="3"/>
        <v>1.8816</v>
      </c>
      <c r="H6" s="15">
        <f t="shared" si="3"/>
        <v>2.06976</v>
      </c>
      <c r="I6" s="15">
        <f t="shared" si="3"/>
        <v>77.37464035</v>
      </c>
      <c r="J6" s="15"/>
    </row>
    <row r="7" ht="14.25" customHeight="1">
      <c r="B7" s="1" t="s">
        <v>25</v>
      </c>
      <c r="C7" s="2">
        <v>0.08</v>
      </c>
      <c r="D7" s="13" t="s">
        <v>26</v>
      </c>
      <c r="E7" s="15">
        <f t="array" ref="E7">NPV(C9,F6:I6)</f>
        <v>55.00013496</v>
      </c>
      <c r="F7" s="14"/>
      <c r="G7" s="14"/>
      <c r="H7" s="14"/>
      <c r="I7" s="14"/>
      <c r="J7" s="14"/>
    </row>
    <row r="8" ht="14.25" customHeight="1"/>
    <row r="9" ht="14.25" customHeight="1">
      <c r="B9" s="1" t="s">
        <v>27</v>
      </c>
      <c r="C9" s="8">
        <v>0.11274225694023016</v>
      </c>
    </row>
    <row r="10" ht="14.25" customHeight="1">
      <c r="B10" s="1" t="s">
        <v>28</v>
      </c>
    </row>
    <row r="11" ht="14.25" customHeight="1">
      <c r="B11" s="16" t="s">
        <v>29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>
      <c r="B18" s="1" t="s">
        <v>30</v>
      </c>
    </row>
    <row r="19" ht="14.25" customHeight="1">
      <c r="B19" s="1" t="s">
        <v>31</v>
      </c>
    </row>
    <row r="20" ht="14.25" customHeight="1">
      <c r="B20" s="1" t="s">
        <v>32</v>
      </c>
    </row>
    <row r="21" ht="14.25" customHeight="1"/>
    <row r="22" ht="14.25" customHeight="1">
      <c r="B22" s="1" t="s">
        <v>33</v>
      </c>
      <c r="C22" s="2">
        <v>0.07</v>
      </c>
      <c r="D22" s="1" t="s">
        <v>34</v>
      </c>
      <c r="E22" s="8"/>
    </row>
    <row r="23" ht="14.25" customHeight="1">
      <c r="B23" s="1" t="s">
        <v>35</v>
      </c>
      <c r="C23" s="2">
        <v>0.15</v>
      </c>
    </row>
    <row r="24" ht="14.25" customHeight="1">
      <c r="B24" s="1" t="s">
        <v>36</v>
      </c>
      <c r="C24" s="2">
        <f>C23-C22</f>
        <v>0.08</v>
      </c>
    </row>
    <row r="25" ht="14.25" customHeight="1">
      <c r="B25" s="1" t="s">
        <v>37</v>
      </c>
      <c r="C25" s="1">
        <v>0.9</v>
      </c>
    </row>
    <row r="26" ht="14.25" customHeight="1"/>
    <row r="27" ht="14.25" customHeight="1">
      <c r="B27" s="17" t="s">
        <v>38</v>
      </c>
      <c r="C27" s="10">
        <f>C22+C25*C24</f>
        <v>0.142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3">
      <c r="B3" s="17" t="s">
        <v>39</v>
      </c>
    </row>
    <row r="5">
      <c r="B5" s="17" t="s">
        <v>40</v>
      </c>
    </row>
    <row r="7">
      <c r="B7" s="17" t="s">
        <v>41</v>
      </c>
    </row>
    <row r="9">
      <c r="B9" s="17" t="s">
        <v>42</v>
      </c>
    </row>
    <row r="10">
      <c r="B10" s="17" t="s">
        <v>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42.29"/>
    <col customWidth="1" min="5" max="5" width="9.86"/>
    <col customWidth="1" min="6" max="9" width="8.29"/>
    <col customWidth="1" min="10" max="10" width="9.29"/>
    <col customWidth="1" min="11" max="26" width="8.71"/>
  </cols>
  <sheetData>
    <row r="1" ht="14.25" customHeight="1"/>
    <row r="2" ht="14.25" customHeight="1"/>
    <row r="3" ht="14.25" customHeight="1">
      <c r="D3" s="1" t="s">
        <v>44</v>
      </c>
    </row>
    <row r="4" ht="14.25" customHeight="1">
      <c r="D4" s="1" t="s">
        <v>1</v>
      </c>
      <c r="E4" s="3">
        <v>10000.0</v>
      </c>
    </row>
    <row r="5" ht="14.25" customHeight="1">
      <c r="D5" s="1" t="s">
        <v>45</v>
      </c>
      <c r="E5" s="2">
        <v>0.12</v>
      </c>
    </row>
    <row r="6" ht="14.25" customHeight="1">
      <c r="D6" s="1" t="s">
        <v>3</v>
      </c>
      <c r="E6" s="2">
        <v>0.03</v>
      </c>
      <c r="G6" s="8"/>
    </row>
    <row r="7" ht="14.25" customHeight="1"/>
    <row r="8" ht="14.25" customHeight="1">
      <c r="D8" s="1" t="s">
        <v>46</v>
      </c>
      <c r="E8" s="3">
        <f>E4*(1-E6)</f>
        <v>9700</v>
      </c>
      <c r="G8" s="8"/>
    </row>
    <row r="9" ht="14.25" customHeight="1">
      <c r="D9" s="1" t="s">
        <v>47</v>
      </c>
      <c r="E9" s="3">
        <f>E5*E4</f>
        <v>1200</v>
      </c>
    </row>
    <row r="10" ht="14.25" customHeight="1">
      <c r="D10" s="1" t="s">
        <v>48</v>
      </c>
      <c r="E10" s="8">
        <f>E9/E8</f>
        <v>0.1237113402</v>
      </c>
    </row>
    <row r="11" ht="14.25" customHeight="1">
      <c r="D11" s="1" t="s">
        <v>49</v>
      </c>
      <c r="E11" s="8">
        <f>E5/(1-E6)</f>
        <v>0.1237113402</v>
      </c>
    </row>
    <row r="12" ht="14.25" customHeight="1"/>
    <row r="13" ht="14.25" customHeight="1">
      <c r="D13" s="1" t="s">
        <v>50</v>
      </c>
    </row>
    <row r="14" ht="14.25" customHeight="1">
      <c r="D14" s="1" t="s">
        <v>51</v>
      </c>
      <c r="E14" s="2">
        <v>0.05</v>
      </c>
    </row>
    <row r="15" ht="14.25" customHeight="1">
      <c r="D15" s="1" t="s">
        <v>52</v>
      </c>
      <c r="E15" s="1">
        <v>5.0</v>
      </c>
    </row>
    <row r="16" ht="14.25" customHeight="1">
      <c r="D16" s="1" t="s">
        <v>53</v>
      </c>
      <c r="E16" s="3">
        <f>E4*(1+E14)</f>
        <v>10500</v>
      </c>
    </row>
    <row r="17" ht="14.25" customHeight="1">
      <c r="D17" s="1" t="str">
        <f t="shared" ref="D17:E17" si="1">D9</f>
        <v>Annual dividend per preference share (Pref. Div.)</v>
      </c>
      <c r="E17" s="3">
        <f t="shared" si="1"/>
        <v>1200</v>
      </c>
    </row>
    <row r="18" ht="14.25" customHeight="1">
      <c r="D18" s="1" t="s">
        <v>54</v>
      </c>
      <c r="E18" s="8">
        <f>(E17+(E16-E8)/E15)/(0.6*E8+0.4*E16)</f>
        <v>0.1357285429</v>
      </c>
    </row>
    <row r="19" ht="14.25" customHeight="1"/>
    <row r="20" ht="14.25" customHeight="1"/>
    <row r="21" ht="14.25" customHeight="1">
      <c r="D21" s="1" t="s">
        <v>13</v>
      </c>
      <c r="E21" s="11">
        <v>0.0</v>
      </c>
      <c r="F21" s="11">
        <v>1.0</v>
      </c>
      <c r="G21" s="11">
        <v>2.0</v>
      </c>
      <c r="H21" s="11">
        <v>3.0</v>
      </c>
      <c r="I21" s="11">
        <v>4.0</v>
      </c>
      <c r="J21" s="11">
        <v>5.0</v>
      </c>
    </row>
    <row r="22" ht="14.25" customHeight="1">
      <c r="D22" s="1" t="s">
        <v>14</v>
      </c>
      <c r="E22" s="3">
        <f>E8</f>
        <v>9700</v>
      </c>
      <c r="F22" s="3">
        <f t="shared" ref="F22:I22" si="2">-$E$9</f>
        <v>-1200</v>
      </c>
      <c r="G22" s="3">
        <f t="shared" si="2"/>
        <v>-1200</v>
      </c>
      <c r="H22" s="3">
        <f t="shared" si="2"/>
        <v>-1200</v>
      </c>
      <c r="I22" s="3">
        <f t="shared" si="2"/>
        <v>-1200</v>
      </c>
      <c r="J22" s="3">
        <f>-$E$9-E16</f>
        <v>-11700</v>
      </c>
    </row>
    <row r="23" ht="14.25" customHeight="1"/>
    <row r="24" ht="14.25" customHeight="1">
      <c r="D24" s="1" t="s">
        <v>55</v>
      </c>
      <c r="E24" s="8">
        <f>IRR(E22:J22)</f>
        <v>0.1362806964</v>
      </c>
    </row>
    <row r="25" ht="14.25" customHeight="1"/>
    <row r="26" ht="14.25" customHeight="1">
      <c r="E26" s="8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4.29"/>
    <col customWidth="1" min="2" max="2" width="47.43"/>
    <col customWidth="1" min="3" max="3" width="12.86"/>
    <col customWidth="1" min="4" max="4" width="14.14"/>
    <col customWidth="1" min="5" max="5" width="16.14"/>
    <col customWidth="1" min="6" max="8" width="12.86"/>
    <col customWidth="1" min="9" max="9" width="14.86"/>
    <col customWidth="1" min="10" max="10" width="11.0"/>
    <col customWidth="1" min="11" max="11" width="14.14"/>
    <col customWidth="1" min="12" max="12" width="15.57"/>
    <col customWidth="1" min="13" max="13" width="10.86"/>
    <col customWidth="1" min="14" max="26" width="8.71"/>
  </cols>
  <sheetData>
    <row r="1" ht="18.0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8.0" customHeight="1">
      <c r="A2" s="18"/>
      <c r="B2" s="19" t="s">
        <v>56</v>
      </c>
      <c r="C2" s="19" t="s">
        <v>1</v>
      </c>
      <c r="D2" s="18"/>
      <c r="E2" s="18" t="s">
        <v>57</v>
      </c>
      <c r="F2" s="19" t="s">
        <v>58</v>
      </c>
      <c r="G2" s="19" t="s">
        <v>59</v>
      </c>
      <c r="H2" s="19" t="s">
        <v>60</v>
      </c>
      <c r="I2" s="19" t="s">
        <v>61</v>
      </c>
      <c r="J2" s="19" t="s">
        <v>62</v>
      </c>
      <c r="K2" s="19" t="s">
        <v>63</v>
      </c>
      <c r="L2" s="19" t="s">
        <v>64</v>
      </c>
      <c r="M2" s="19" t="s">
        <v>65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8.0" customHeight="1">
      <c r="A3" s="18"/>
      <c r="B3" s="19" t="s">
        <v>66</v>
      </c>
      <c r="C3" s="20">
        <v>10.0</v>
      </c>
      <c r="D3" s="21">
        <v>1000000.0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8.0" customHeight="1">
      <c r="A4" s="18"/>
      <c r="B4" s="19" t="s">
        <v>67</v>
      </c>
      <c r="C4" s="22" t="s">
        <v>68</v>
      </c>
      <c r="D4" s="23">
        <v>1500000.0</v>
      </c>
      <c r="E4" s="21">
        <f>D3+D4</f>
        <v>2500000</v>
      </c>
      <c r="F4" s="24">
        <f t="shared" ref="F4:F7" si="1">E4/$E$7</f>
        <v>0.5555555556</v>
      </c>
      <c r="G4" s="24">
        <f>C10+C9*C11</f>
        <v>0.164</v>
      </c>
      <c r="H4" s="24">
        <f t="shared" ref="H4:H6" si="2">F4*G4</f>
        <v>0.09111111111</v>
      </c>
      <c r="I4" s="25">
        <v>60.0</v>
      </c>
      <c r="J4" s="26">
        <f>D3/C3</f>
        <v>100000</v>
      </c>
      <c r="K4" s="21">
        <f t="shared" ref="K4:K6" si="3">I4*J4</f>
        <v>6000000</v>
      </c>
      <c r="L4" s="24">
        <f t="shared" ref="L4:L7" si="4">K4/$K$7</f>
        <v>0.7425742574</v>
      </c>
      <c r="M4" s="24">
        <f t="shared" ref="M4:M6" si="5">G4*L4</f>
        <v>0.1217821782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8.0" customHeight="1">
      <c r="A5" s="18"/>
      <c r="B5" s="19" t="s">
        <v>69</v>
      </c>
      <c r="C5" s="20">
        <v>100.0</v>
      </c>
      <c r="D5" s="18"/>
      <c r="E5" s="21">
        <v>800000.0</v>
      </c>
      <c r="F5" s="24">
        <f t="shared" si="1"/>
        <v>0.1777777778</v>
      </c>
      <c r="G5" s="24">
        <f>12/I5</f>
        <v>0.1263157895</v>
      </c>
      <c r="H5" s="24">
        <f t="shared" si="2"/>
        <v>0.02245614035</v>
      </c>
      <c r="I5" s="25">
        <v>95.0</v>
      </c>
      <c r="J5" s="26">
        <f t="shared" ref="J5:J6" si="6">E5/C5</f>
        <v>8000</v>
      </c>
      <c r="K5" s="21">
        <f t="shared" si="3"/>
        <v>760000</v>
      </c>
      <c r="L5" s="24">
        <f t="shared" si="4"/>
        <v>0.09405940594</v>
      </c>
      <c r="M5" s="24">
        <f t="shared" si="5"/>
        <v>0.01188118812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8.0" customHeight="1">
      <c r="A6" s="18"/>
      <c r="B6" s="19" t="s">
        <v>70</v>
      </c>
      <c r="C6" s="20">
        <v>1000.0</v>
      </c>
      <c r="D6" s="18"/>
      <c r="E6" s="21">
        <v>1200000.0</v>
      </c>
      <c r="F6" s="24">
        <f t="shared" si="1"/>
        <v>0.2666666667</v>
      </c>
      <c r="G6" s="24">
        <f>(C13*C6*(1-C14)+(C6-I6)/C15)/(0.6*I6+0.4*C6)</f>
        <v>0.08066037736</v>
      </c>
      <c r="H6" s="24">
        <f t="shared" si="2"/>
        <v>0.02150943396</v>
      </c>
      <c r="I6" s="25">
        <v>1100.0</v>
      </c>
      <c r="J6" s="26">
        <f t="shared" si="6"/>
        <v>1200</v>
      </c>
      <c r="K6" s="21">
        <f t="shared" si="3"/>
        <v>1320000</v>
      </c>
      <c r="L6" s="24">
        <f t="shared" si="4"/>
        <v>0.1633663366</v>
      </c>
      <c r="M6" s="24">
        <f t="shared" si="5"/>
        <v>0.01317719036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8.0" customHeight="1">
      <c r="A7" s="18"/>
      <c r="B7" s="19"/>
      <c r="C7" s="19"/>
      <c r="D7" s="18"/>
      <c r="E7" s="21">
        <f>SUM(E4:E6)</f>
        <v>4500000</v>
      </c>
      <c r="F7" s="24">
        <f t="shared" si="1"/>
        <v>1</v>
      </c>
      <c r="G7" s="18"/>
      <c r="H7" s="24">
        <f>SUM(H4:H6)</f>
        <v>0.1350766854</v>
      </c>
      <c r="I7" s="18"/>
      <c r="J7" s="26"/>
      <c r="K7" s="21">
        <f>SUM(K4:K6)</f>
        <v>8080000</v>
      </c>
      <c r="L7" s="24">
        <f t="shared" si="4"/>
        <v>1</v>
      </c>
      <c r="M7" s="24">
        <f>SUM(M4:M6)</f>
        <v>0.1468405567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8.0" customHeight="1">
      <c r="A8" s="18"/>
      <c r="B8" s="19" t="s">
        <v>71</v>
      </c>
      <c r="C8" s="19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8.0" customHeight="1">
      <c r="A9" s="18"/>
      <c r="B9" s="18" t="s">
        <v>72</v>
      </c>
      <c r="C9" s="18">
        <v>1.2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8.0" customHeight="1">
      <c r="A10" s="18"/>
      <c r="B10" s="18" t="s">
        <v>73</v>
      </c>
      <c r="C10" s="27">
        <v>0.08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8.0" customHeight="1">
      <c r="A11" s="18"/>
      <c r="B11" s="18" t="s">
        <v>74</v>
      </c>
      <c r="C11" s="27">
        <v>0.07</v>
      </c>
      <c r="D11" s="24">
        <f>C10+C9*C11</f>
        <v>0.164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8.0" customHeight="1">
      <c r="A12" s="18"/>
      <c r="B12" s="18" t="s">
        <v>75</v>
      </c>
      <c r="C12" s="27">
        <v>0.12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8.0" customHeight="1">
      <c r="A13" s="18"/>
      <c r="B13" s="18" t="s">
        <v>76</v>
      </c>
      <c r="C13" s="27">
        <v>0.14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8.0" customHeight="1">
      <c r="A14" s="18"/>
      <c r="B14" s="18" t="s">
        <v>77</v>
      </c>
      <c r="C14" s="27">
        <v>0.3</v>
      </c>
      <c r="D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8.0" customHeight="1">
      <c r="A15" s="18"/>
      <c r="B15" s="18" t="s">
        <v>78</v>
      </c>
      <c r="C15" s="18">
        <v>8.0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8.0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8.0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8.0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8.0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8.0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8.0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8.0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8.0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8.0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8.0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8.0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8.0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8.0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8.0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8.0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8.0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8.0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8.0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8.0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8.0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8.0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8.0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8.0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8.0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8.0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8.0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8.0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8.0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8.0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8.0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8.0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8.0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8.0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8.0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8.0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8.0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8.0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8.0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8.0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8.0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8.0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8.0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8.0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8.0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8.0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8.0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8.0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8.0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8.0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8.0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8.0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8.0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8.0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8.0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8.0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8.0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8.0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8.0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8.0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8.0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8.0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8.0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8.0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8.0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8.0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8.0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8.0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8.0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8.0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8.0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8.0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8.0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8.0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8.0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8.0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8.0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8.0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8.0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8.0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8.0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8.0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8.0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8.0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8.0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8.0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8.0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8.0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8.0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8.0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8.0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8.0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8.0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8.0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8.0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8.0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8.0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8.0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8.0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8.0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8.0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8.0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8.0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8.0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8.0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8.0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8.0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8.0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8.0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8.0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8.0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8.0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8.0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8.0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8.0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8.0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8.0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8.0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8.0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8.0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8.0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8.0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8.0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8.0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8.0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8.0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8.0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8.0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8.0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8.0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8.0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8.0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8.0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8.0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8.0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8.0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8.0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8.0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8.0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8.0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8.0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8.0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8.0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8.0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8.0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8.0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8.0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8.0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8.0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8.0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8.0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8.0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8.0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8.0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8.0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8.0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8.0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8.0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8.0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8.0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8.0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8.0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8.0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8.0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8.0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8.0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8.0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8.0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8.0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8.0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8.0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8.0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8.0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8.0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8.0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8.0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8.0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8.0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8.0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8.0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8.0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8.0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8.0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8.0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8.0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8.0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8.0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8.0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8.0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8.0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8.0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8.0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8.0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8.0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8.0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8.0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8.0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8.0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8.0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8.0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8.0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8.0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8.0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8.0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8.0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8.0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8.0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8.0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8.0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8.0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8.0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8.0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8.0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8.0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8.0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8.0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8.0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8.0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8.0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8.0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8.0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8.0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8.0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8.0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8.0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8.0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8.0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8.0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8.0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8.0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8.0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8.0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8.0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8.0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8.0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8.0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8.0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8.0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8.0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8.0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8.0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8.0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8.0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8.0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8.0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8.0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8.0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8.0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8.0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8.0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8.0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8.0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8.0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8.0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8.0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8.0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8.0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8.0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8.0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8.0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8.0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8.0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8.0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8.0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8.0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8.0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8.0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8.0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8.0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8.0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8.0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8.0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8.0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8.0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8.0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8.0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8.0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8.0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8.0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8.0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8.0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8.0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8.0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8.0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8.0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8.0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8.0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8.0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8.0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8.0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8.0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8.0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8.0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8.0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8.0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8.0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8.0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8.0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8.0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8.0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8.0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8.0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8.0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8.0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8.0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8.0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8.0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8.0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8.0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8.0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8.0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8.0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8.0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8.0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8.0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8.0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8.0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8.0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8.0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8.0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8.0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8.0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8.0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8.0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8.0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8.0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8.0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8.0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8.0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8.0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8.0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8.0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8.0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8.0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8.0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8.0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8.0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8.0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8.0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8.0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8.0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8.0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8.0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8.0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8.0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8.0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8.0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8.0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8.0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8.0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8.0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8.0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8.0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8.0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8.0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8.0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8.0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8.0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8.0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8.0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8.0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8.0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8.0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8.0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8.0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8.0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8.0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8.0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8.0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8.0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8.0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8.0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8.0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8.0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8.0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8.0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8.0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8.0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8.0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8.0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8.0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8.0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8.0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8.0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8.0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8.0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8.0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8.0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8.0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8.0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8.0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8.0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8.0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8.0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8.0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8.0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8.0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8.0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8.0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8.0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8.0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8.0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8.0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8.0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8.0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8.0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8.0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8.0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8.0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8.0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8.0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8.0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8.0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8.0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8.0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8.0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8.0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8.0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8.0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8.0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8.0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8.0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8.0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8.0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8.0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8.0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8.0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8.0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8.0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8.0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8.0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8.0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8.0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8.0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8.0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8.0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8.0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8.0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8.0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8.0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8.0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8.0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8.0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8.0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8.0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8.0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8.0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8.0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8.0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8.0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8.0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8.0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8.0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8.0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8.0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8.0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8.0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8.0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8.0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8.0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8.0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8.0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8.0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8.0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8.0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8.0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8.0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8.0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8.0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8.0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8.0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8.0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8.0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8.0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8.0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8.0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8.0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8.0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8.0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8.0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8.0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8.0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8.0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8.0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8.0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8.0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8.0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8.0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8.0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8.0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8.0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8.0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8.0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8.0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8.0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8.0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8.0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8.0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8.0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8.0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8.0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8.0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8.0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8.0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8.0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8.0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8.0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8.0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8.0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8.0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8.0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8.0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8.0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8.0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8.0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8.0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8.0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8.0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8.0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8.0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8.0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8.0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8.0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8.0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8.0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8.0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8.0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8.0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8.0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8.0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8.0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8.0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8.0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8.0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8.0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8.0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8.0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8.0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8.0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8.0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8.0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8.0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8.0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8.0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8.0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8.0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8.0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8.0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8.0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8.0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8.0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8.0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8.0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8.0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8.0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8.0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8.0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8.0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8.0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8.0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8.0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8.0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8.0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8.0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8.0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8.0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8.0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8.0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8.0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8.0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8.0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8.0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8.0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8.0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8.0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8.0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8.0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8.0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8.0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8.0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8.0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8.0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8.0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8.0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8.0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8.0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8.0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8.0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8.0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8.0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8.0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8.0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8.0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8.0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8.0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8.0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8.0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8.0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8.0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8.0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8.0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8.0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8.0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8.0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8.0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8.0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8.0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8.0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8.0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8.0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8.0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8.0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8.0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8.0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8.0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8.0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8.0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8.0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8.0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8.0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8.0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8.0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8.0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8.0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8.0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8.0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8.0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8.0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8.0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8.0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8.0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8.0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8.0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8.0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8.0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8.0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8.0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8.0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8.0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8.0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8.0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8.0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8.0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8.0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8.0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8.0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8.0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8.0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8.0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8.0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8.0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8.0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8.0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8.0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8.0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8.0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8.0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8.0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8.0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8.0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8.0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8.0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8.0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8.0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8.0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8.0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8.0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8.0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8.0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8.0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8.0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8.0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8.0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8.0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8.0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8.0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8.0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8.0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8.0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8.0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8.0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8.0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8.0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8.0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8.0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8.0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8.0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8.0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8.0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8.0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8.0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8.0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8.0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8.0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8.0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8.0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8.0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8.0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8.0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8.0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8.0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8.0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8.0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8.0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8.0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8.0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8.0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8.0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8.0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8.0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8.0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8.0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8.0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8.0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8.0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8.0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8.0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8.0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8.0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8.0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8.0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8.0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8.0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8.0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8.0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8.0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8.0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8.0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8.0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8.0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8.0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8.0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8.0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8.0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8.0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8.0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8.0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8.0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8.0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8.0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8.0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8.0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8.0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8.0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8.0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8.0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8.0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8.0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8.0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8.0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8.0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8.0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8.0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8.0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8.0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8.0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8.0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8.0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8.0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8.0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8.0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8.0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8.0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8.0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8.0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8.0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8.0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8.0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8.0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8.0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8.0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8.0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8.0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8.0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8.0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8.0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8.0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8.0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8.0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8.0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8.0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8.0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8.0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8.0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8.0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8.0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8.0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8.0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8.0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8.0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8.0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8.0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8.0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8.0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8.0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8.0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8.0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8.0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8.0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8.0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8.0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8.0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8.0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8.0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8.0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8.0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8.0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8.0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8.0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8.0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8.0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8.0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8.0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8.0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8.0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8.0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8.0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8.0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8.0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8.0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8.0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8.0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8.0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8.0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8.0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8.0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8.0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8.0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8.0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8.0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8.0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8.0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8.0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8.0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8.0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8.0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8.0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8.0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8.0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8.0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8.0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8.0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8.0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8.0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8.0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8.0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8.0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8.0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8.0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8.0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8.0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8.0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8.0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8.0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8.0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8.0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8.0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8.0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8.0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8.0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8.0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8.0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8.0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8.0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8.0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8.0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8.0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8.0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8.0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8.0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8.0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8.0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8.0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8.0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8.0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8.0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8.0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8.0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8.0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8.0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8.0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8.0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8.0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8.0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8.0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8.0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8.0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8.0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8.0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8.0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8.0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8.0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8.0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8.0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8.0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8.0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8.0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8.0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8.0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8.0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8.0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8.0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8.0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8.0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8.0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8.0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8.0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8.0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8.0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8.0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8.0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8.0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8.0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8.0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8.0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8.0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8.0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8.0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8.0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8.0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8.0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8.0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8.0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8.0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8.0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8.0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8.0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8.0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8.0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8.0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8.0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8.0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8.0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8.0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8.0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8.0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8.0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8.0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8.0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8.0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8.0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8.0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8.0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8.0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8.0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8.0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8.0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8.0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8.0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8.0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8.0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8.0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8.0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8.0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8.0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8.0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8.0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8.0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8.0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8.0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8.0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8.0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8.0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8.0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8.0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8.0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8.0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8.0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8.0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8.0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8.0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8.0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8.0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8.0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8.0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8.0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8.0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8.0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8.0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8.0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8.0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8.0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8.0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8.0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8.0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8.0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8.71"/>
    <col customWidth="1" min="2" max="2" width="20.14"/>
    <col customWidth="1" min="3" max="3" width="17.86"/>
    <col customWidth="1" min="4" max="26" width="8.71"/>
  </cols>
  <sheetData>
    <row r="1" ht="14.25" customHeight="1"/>
    <row r="2" ht="14.25" customHeight="1"/>
    <row r="3" ht="14.25" customHeight="1">
      <c r="B3" s="1" t="s">
        <v>79</v>
      </c>
      <c r="C3" s="28" t="s">
        <v>80</v>
      </c>
      <c r="D3" s="1" t="s">
        <v>81</v>
      </c>
      <c r="E3" s="1" t="s">
        <v>82</v>
      </c>
      <c r="F3" s="1" t="s">
        <v>83</v>
      </c>
    </row>
    <row r="4" ht="14.25" customHeight="1">
      <c r="B4" s="1">
        <v>1.0</v>
      </c>
      <c r="C4" s="29">
        <v>0.7</v>
      </c>
      <c r="D4" s="29">
        <v>0.45</v>
      </c>
      <c r="E4" s="2">
        <v>0.3</v>
      </c>
      <c r="F4" s="30">
        <f t="shared" ref="F4:F8" si="1">C4/(1+D4*(1-E4))</f>
        <v>0.5323193916</v>
      </c>
    </row>
    <row r="5" ht="14.25" customHeight="1">
      <c r="B5" s="1">
        <v>2.0</v>
      </c>
      <c r="C5" s="29">
        <v>0.8</v>
      </c>
      <c r="D5" s="29">
        <v>0.6</v>
      </c>
      <c r="E5" s="2">
        <v>0.3</v>
      </c>
      <c r="F5" s="30">
        <f t="shared" si="1"/>
        <v>0.5633802817</v>
      </c>
    </row>
    <row r="6" ht="14.25" customHeight="1">
      <c r="B6" s="1">
        <v>3.0</v>
      </c>
      <c r="C6" s="29">
        <v>1.2</v>
      </c>
      <c r="D6" s="29">
        <v>0.72</v>
      </c>
      <c r="E6" s="2">
        <v>0.3</v>
      </c>
      <c r="F6" s="30">
        <f t="shared" si="1"/>
        <v>0.7978723404</v>
      </c>
    </row>
    <row r="7" ht="14.25" customHeight="1">
      <c r="B7" s="1">
        <v>4.0</v>
      </c>
      <c r="C7" s="29">
        <v>0.9</v>
      </c>
      <c r="D7" s="29">
        <v>0.3</v>
      </c>
      <c r="E7" s="2">
        <v>0.3</v>
      </c>
      <c r="F7" s="30">
        <f t="shared" si="1"/>
        <v>0.7438016529</v>
      </c>
    </row>
    <row r="8" ht="14.25" customHeight="1">
      <c r="B8" s="1">
        <v>5.0</v>
      </c>
      <c r="C8" s="29">
        <v>1.1</v>
      </c>
      <c r="D8" s="29">
        <v>0.58</v>
      </c>
      <c r="E8" s="2">
        <v>0.3</v>
      </c>
      <c r="F8" s="30">
        <f t="shared" si="1"/>
        <v>0.7823613087</v>
      </c>
    </row>
    <row r="9" ht="14.25" customHeight="1">
      <c r="F9" s="30">
        <f>AVERAGE(F4:F8)</f>
        <v>0.6839469951</v>
      </c>
    </row>
    <row r="10" ht="14.25" customHeight="1">
      <c r="B10" s="1" t="s">
        <v>84</v>
      </c>
      <c r="C10" s="30">
        <f>F9*(1+D10*(1-E10))</f>
        <v>0.9951428778</v>
      </c>
      <c r="D10" s="29">
        <v>0.7</v>
      </c>
      <c r="E10" s="2">
        <v>0.35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3" width="14.14"/>
    <col customWidth="1" min="4" max="4" width="10.71"/>
    <col customWidth="1" min="5" max="5" width="11.57"/>
    <col customWidth="1" min="6" max="6" width="9.71"/>
    <col customWidth="1" min="7" max="7" width="15.86"/>
    <col customWidth="1" min="8" max="8" width="20.14"/>
    <col customWidth="1" min="9" max="9" width="26.14"/>
    <col customWidth="1" min="10" max="10" width="22.0"/>
    <col customWidth="1" min="11" max="11" width="13.71"/>
    <col customWidth="1" min="12" max="26" width="8.71"/>
  </cols>
  <sheetData>
    <row r="1" ht="14.25" customHeight="1"/>
    <row r="2" ht="14.25" customHeight="1">
      <c r="B2" s="31" t="s">
        <v>85</v>
      </c>
      <c r="C2" s="31" t="s">
        <v>86</v>
      </c>
      <c r="D2" s="31" t="s">
        <v>87</v>
      </c>
      <c r="E2" s="31" t="s">
        <v>88</v>
      </c>
      <c r="F2" s="31" t="s">
        <v>89</v>
      </c>
      <c r="G2" s="31" t="s">
        <v>90</v>
      </c>
      <c r="H2" s="31" t="s">
        <v>91</v>
      </c>
      <c r="I2" s="31" t="s">
        <v>92</v>
      </c>
      <c r="J2" s="31" t="s">
        <v>93</v>
      </c>
      <c r="K2" s="31" t="s">
        <v>94</v>
      </c>
    </row>
    <row r="3" ht="14.25" customHeight="1">
      <c r="B3" s="32" t="s">
        <v>95</v>
      </c>
      <c r="C3" s="33">
        <v>1000.0</v>
      </c>
      <c r="D3" s="33">
        <v>650.0</v>
      </c>
      <c r="E3" s="33">
        <v>325.0</v>
      </c>
      <c r="F3" s="33">
        <v>645.0</v>
      </c>
      <c r="G3" s="32">
        <v>0.28</v>
      </c>
      <c r="H3" s="32">
        <v>1.24</v>
      </c>
      <c r="I3" s="34">
        <f t="shared" ref="I3:I5" si="1">H3/(1+E3/F3)</f>
        <v>0.8245360825</v>
      </c>
      <c r="J3" s="35">
        <f t="shared" ref="J3:J5" si="2">D3/$D$6</f>
        <v>0.25</v>
      </c>
      <c r="K3" s="36">
        <f t="shared" ref="K3:K5" si="3">I3/(1+G3)</f>
        <v>0.6441688144</v>
      </c>
    </row>
    <row r="4" ht="14.25" customHeight="1">
      <c r="B4" s="32" t="s">
        <v>96</v>
      </c>
      <c r="C4" s="33">
        <v>800.0</v>
      </c>
      <c r="D4" s="33">
        <v>700.0</v>
      </c>
      <c r="E4" s="33">
        <v>180.0</v>
      </c>
      <c r="F4" s="33">
        <v>700.0</v>
      </c>
      <c r="G4" s="32">
        <v>0.14</v>
      </c>
      <c r="H4" s="32">
        <v>0.94</v>
      </c>
      <c r="I4" s="34">
        <f t="shared" si="1"/>
        <v>0.7477272727</v>
      </c>
      <c r="J4" s="35">
        <f t="shared" si="2"/>
        <v>0.2692307692</v>
      </c>
      <c r="K4" s="36">
        <f t="shared" si="3"/>
        <v>0.6559011164</v>
      </c>
    </row>
    <row r="5" ht="14.25" customHeight="1">
      <c r="B5" s="32" t="s">
        <v>97</v>
      </c>
      <c r="C5" s="33">
        <v>1400.0</v>
      </c>
      <c r="D5" s="33">
        <v>1250.0</v>
      </c>
      <c r="E5" s="33">
        <v>625.0</v>
      </c>
      <c r="F5" s="33">
        <v>750.0</v>
      </c>
      <c r="G5" s="34">
        <v>0.3</v>
      </c>
      <c r="H5" s="32">
        <v>1.05</v>
      </c>
      <c r="I5" s="34">
        <f t="shared" si="1"/>
        <v>0.5727272727</v>
      </c>
      <c r="J5" s="35">
        <f t="shared" si="2"/>
        <v>0.4807692308</v>
      </c>
      <c r="K5" s="36">
        <f t="shared" si="3"/>
        <v>0.4405594406</v>
      </c>
    </row>
    <row r="6" ht="14.25" customHeight="1">
      <c r="D6" s="33">
        <f>SUM(D3:D5)</f>
        <v>2600</v>
      </c>
    </row>
    <row r="7" ht="14.25" customHeight="1">
      <c r="B7" s="32" t="s">
        <v>98</v>
      </c>
      <c r="K7" s="36">
        <f>SUMPRODUCT(J3:J5,K3:K5)</f>
        <v>0.5494383891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