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1" sheetId="1" r:id="rId4"/>
    <sheet state="visible" name="Sheet1" sheetId="2" r:id="rId5"/>
    <sheet state="visible" name="CS-2" sheetId="3" r:id="rId6"/>
    <sheet state="visible" name="16-8" sheetId="4" r:id="rId7"/>
    <sheet state="visible" name="16-9" sheetId="5" r:id="rId8"/>
    <sheet state="visible" name="16-16" sheetId="6" r:id="rId9"/>
    <sheet state="visible" name="17-10 &amp; 11" sheetId="7" r:id="rId10"/>
    <sheet state="visible" name="17-12" sheetId="8" r:id="rId11"/>
    <sheet state="visible" name="Buyback" sheetId="9" r:id="rId12"/>
    <sheet state="visible" name="DPS Examples" sheetId="10" r:id="rId13"/>
    <sheet state="visible" name="DPS Chart" sheetId="11" r:id="rId14"/>
    <sheet state="visible" name="Bonus Issue" sheetId="12" r:id="rId15"/>
    <sheet state="visible" name="Stock Split" sheetId="13" r:id="rId16"/>
  </sheets>
  <definedNames/>
  <calcPr/>
  <extLst>
    <ext uri="GoogleSheetsCustomDataVersion1">
      <go:sheetsCustomData xmlns:go="http://customooxmlschemas.google.com/" r:id="rId17" roundtripDataSignature="AMtx7mjs3rurG7P6p1I48MydDazh3NacDQ=="/>
    </ext>
  </extLst>
</workbook>
</file>

<file path=xl/sharedStrings.xml><?xml version="1.0" encoding="utf-8"?>
<sst xmlns="http://schemas.openxmlformats.org/spreadsheetml/2006/main" count="151" uniqueCount="112">
  <si>
    <t>Company 1</t>
  </si>
  <si>
    <t>Company 2</t>
  </si>
  <si>
    <t>Fixed cost is variable in nature and variable cost is fixed in nature.</t>
  </si>
  <si>
    <t>Sales price p.u.</t>
  </si>
  <si>
    <t>V.C. p.u.</t>
  </si>
  <si>
    <t xml:space="preserve">Fixed cost </t>
  </si>
  <si>
    <t>Contribution margin p.u.</t>
  </si>
  <si>
    <t>Breakeven sales (in units) (Operating)</t>
  </si>
  <si>
    <t>% cghange in revenue</t>
  </si>
  <si>
    <t>Actual sales (in units)</t>
  </si>
  <si>
    <t>PBIT or operating profit</t>
  </si>
  <si>
    <t>Degree of operating leverage</t>
  </si>
  <si>
    <t>% change in profit</t>
  </si>
  <si>
    <t>Change in operating profit to change in sales</t>
  </si>
  <si>
    <t>DOL</t>
  </si>
  <si>
    <t>Contribution margin</t>
  </si>
  <si>
    <t>% change in operating profit to % change in sales</t>
  </si>
  <si>
    <t>Contribution /EBIT</t>
  </si>
  <si>
    <t>Contribution / EBIT</t>
  </si>
  <si>
    <t>Interest</t>
  </si>
  <si>
    <t>PBT</t>
  </si>
  <si>
    <t>Tax @ 25%</t>
  </si>
  <si>
    <t>Profit after tax</t>
  </si>
  <si>
    <t>% change in EBIT</t>
  </si>
  <si>
    <t>Equity</t>
  </si>
  <si>
    <t>Debt</t>
  </si>
  <si>
    <t>% change in PAT</t>
  </si>
  <si>
    <t>DFL</t>
  </si>
  <si>
    <t>% change in PAT to % Change in PBIT</t>
  </si>
  <si>
    <t>PBIT/PBT</t>
  </si>
  <si>
    <t>Degree of total leverage (DOL x DFL)</t>
  </si>
  <si>
    <t>% change in PAT to % change in Sales</t>
  </si>
  <si>
    <t>Contribution / PBT</t>
  </si>
  <si>
    <t>10% up</t>
  </si>
  <si>
    <t>Sales</t>
  </si>
  <si>
    <t>Variable cost</t>
  </si>
  <si>
    <t>Tax @ 30%</t>
  </si>
  <si>
    <t>Fixed cost</t>
  </si>
  <si>
    <t>PAT</t>
  </si>
  <si>
    <t>Operarting profit or EBIT</t>
  </si>
  <si>
    <t>Change in PAT</t>
  </si>
  <si>
    <t>Contribution</t>
  </si>
  <si>
    <t>Change in EBIT</t>
  </si>
  <si>
    <t>If Sales go up by 10%, what will be the operating profit?</t>
  </si>
  <si>
    <t>EBIT / EBT</t>
  </si>
  <si>
    <t>DTL</t>
  </si>
  <si>
    <t>ABC Limited is comparing two different capital structures. Plan I would result in 13,000 shares of stock and Rs.130,500 in debt. Plan II would result in 10,400 shares of stock and Rs.243,600 in debt. The interest rate on the debt is 10 percent. Find the break-even EBIT.</t>
  </si>
  <si>
    <t>Plan A</t>
  </si>
  <si>
    <t>Plan B</t>
  </si>
  <si>
    <t>Interest rate</t>
  </si>
  <si>
    <t>Number of equity shares</t>
  </si>
  <si>
    <t>Tax rate</t>
  </si>
  <si>
    <t>EBIT</t>
  </si>
  <si>
    <t>EBT</t>
  </si>
  <si>
    <t>Tax</t>
  </si>
  <si>
    <t>EPS</t>
  </si>
  <si>
    <t>EPS = ((EBIT - Interest)*(1-tax rate))/Number of equity shares</t>
  </si>
  <si>
    <t>Price per share</t>
  </si>
  <si>
    <t>Number of shares</t>
  </si>
  <si>
    <t>Value of the firm</t>
  </si>
  <si>
    <t>Value of equity</t>
  </si>
  <si>
    <t>Shares repurchased</t>
  </si>
  <si>
    <t>Number of shares left</t>
  </si>
  <si>
    <t>Net income for XYZ</t>
  </si>
  <si>
    <t>Sells and gets cash</t>
  </si>
  <si>
    <t>Borrows</t>
  </si>
  <si>
    <t>Total amount</t>
  </si>
  <si>
    <t>Value of unlevered firm</t>
  </si>
  <si>
    <t>Value of debt</t>
  </si>
  <si>
    <t>Value of levered firm</t>
  </si>
  <si>
    <t>Cost of equity</t>
  </si>
  <si>
    <t>Cost of debt-pre tax</t>
  </si>
  <si>
    <t>Cost of equity-levered</t>
  </si>
  <si>
    <t>WACC</t>
  </si>
  <si>
    <t>Expected EBIT in perpetuity</t>
  </si>
  <si>
    <t>RE = RU + (RU – RD)(D/E)(1 – TC)</t>
  </si>
  <si>
    <t>As long as there is no bankruptcy cost, the company should continue to increase its leverage.</t>
  </si>
  <si>
    <t>Solving for D as above, D= 25.88410</t>
  </si>
  <si>
    <t>P1 = 53/1/15 = 46.09</t>
  </si>
  <si>
    <t>Cash flow in year 1:</t>
  </si>
  <si>
    <t>You want 1,000 X 25.88 = 25,881.40</t>
  </si>
  <si>
    <t>You will only get 1,000 X 2.30, i.e. 2,300</t>
  </si>
  <si>
    <t>You need to sell shares as below</t>
  </si>
  <si>
    <t>(25,881.40 - 2,300)/46.09 = 511.67 shares</t>
  </si>
  <si>
    <t>Year 2 Cash flow: 53 * (1,000-511.67)=25,881.40</t>
  </si>
  <si>
    <t>Only Rs.750 in year 1</t>
  </si>
  <si>
    <t>Buy sahres with balance amount (2,300 - 750)</t>
  </si>
  <si>
    <t>Shares to buy:</t>
  </si>
  <si>
    <t>Year 2 dividend</t>
  </si>
  <si>
    <t>NPV</t>
  </si>
  <si>
    <t>Equity and Liabilities</t>
  </si>
  <si>
    <t>Assets</t>
  </si>
  <si>
    <t>Equity share capital (100 shares of Rs.10 face value)</t>
  </si>
  <si>
    <t>Plant, property and equipment (Net)</t>
  </si>
  <si>
    <t>Retained earnings</t>
  </si>
  <si>
    <t>Inventory</t>
  </si>
  <si>
    <t>Long term debt</t>
  </si>
  <si>
    <t>Trade receivables</t>
  </si>
  <si>
    <t>Current liabilities</t>
  </si>
  <si>
    <t>Cash and cash equivalents</t>
  </si>
  <si>
    <t>Companies go for buyback and 10 shares are tendered in response. Buyback offer price= Rs.40</t>
  </si>
  <si>
    <t>Equity share capital (90 shares of Rs.10 face value)</t>
  </si>
  <si>
    <t>Year</t>
  </si>
  <si>
    <t>DPR</t>
  </si>
  <si>
    <t>Dividends</t>
  </si>
  <si>
    <t>DPS (constant DPR)</t>
  </si>
  <si>
    <t>DPS (Calibrated)</t>
  </si>
  <si>
    <t>Plant, property and equipment (net)</t>
  </si>
  <si>
    <t>Company goes for 1:1 bonus issue (stock dividend)</t>
  </si>
  <si>
    <t>Equity share capital (200 shares of Rs.10 face value)</t>
  </si>
  <si>
    <t>Company goes for splitting the face value to Rs.5.00 each (from Rs.10.00)</t>
  </si>
  <si>
    <t>Equity share capital (200 shares of Rs.5 face value)</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</si>
</sst>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_ * #,##0.00_ ;_ * \-#,##0.00_ ;_ * &quot;-&quot;??_ ;_ @_ "/>
    <numFmt numFmtId="165" formatCode="_ [$₹-4009]\ * #,##0_ ;_ [$₹-4009]\ * \-#,##0_ ;_ [$₹-4009]\ * &quot;-&quot;??_ ;_ @_ "/>
    <numFmt numFmtId="166" formatCode="_ [$₹-4009]\ * #,##0.0000_ ;_ [$₹-4009]\ * \-#,##0.0000_ ;_ [$₹-4009]\ * &quot;-&quot;??_ ;_ @_ "/>
    <numFmt numFmtId="167" formatCode="_ * #,##0_ ;_ * \-#,##0_ ;_ * &quot;-&quot;??_ ;_ @_ "/>
    <numFmt numFmtId="168" formatCode="_ [$₹-4009]\ * #,##0.00_ ;_ [$₹-4009]\ * \-#,##0.00_ ;_ [$₹-4009]\ * &quot;-&quot;??_ ;_ @_ "/>
    <numFmt numFmtId="169" formatCode="_ * #,##0.000_ ;_ * \-#,##0.000_ ;_ * &quot;-&quot;??_ ;_ @_ "/>
    <numFmt numFmtId="170" formatCode="_ * #,##0.000_ ;_ * \-#,##0.000_ ;_ * &quot;-&quot;???_ ;_ @_ "/>
    <numFmt numFmtId="171" formatCode="_ [$₹-4009]\ * #,##0.0_ ;_ [$₹-4009]\ * \-#,##0.0_ ;_ [$₹-4009]\ * &quot;-&quot;?_ ;_ @_ "/>
    <numFmt numFmtId="172" formatCode="_ [$₹-4009]\ * #,##0_ ;_ [$₹-4009]\ * \-#,##0_ ;_ [$₹-4009]\ * &quot;-&quot;?_ ;_ @_ "/>
    <numFmt numFmtId="173" formatCode="_ &quot;₹&quot;\ * #,##0_ ;_ &quot;₹&quot;\ * \-#,##0_ ;_ &quot;₹&quot;\ * &quot;-&quot;??_ ;_ @_ "/>
    <numFmt numFmtId="174" formatCode="_ &quot;₹&quot;\ * #,##0.00_ ;_ &quot;₹&quot;\ * \-#,##0.00_ ;_ &quot;₹&quot;\ * &quot;-&quot;??_ ;_ @_ "/>
  </numFmts>
  <fonts count="10">
    <font>
      <sz val="11.0"/>
      <color theme="1"/>
      <name val="Arial"/>
    </font>
    <font>
      <color theme="1"/>
      <name val="Calibri"/>
    </font>
    <font/>
    <font>
      <sz val="11.0"/>
      <color theme="1"/>
      <name val="Calibri"/>
    </font>
    <font>
      <sz val="11.0"/>
      <color theme="1"/>
    </font>
    <font>
      <sz val="14.0"/>
      <color theme="1"/>
      <name val="Calibri"/>
    </font>
    <font>
      <sz val="11.0"/>
      <color theme="1"/>
      <name val="&quot;Times New Roman&quot;"/>
    </font>
    <font>
      <b/>
      <sz val="11.0"/>
      <color theme="1"/>
      <name val="Calibri"/>
    </font>
    <font>
      <u/>
      <sz val="11.0"/>
      <color theme="1"/>
      <name val="Calibri"/>
    </font>
    <font>
      <b/>
      <u/>
      <sz val="11.0"/>
      <color theme="1"/>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3" xfId="0" applyFont="1" applyNumberFormat="1"/>
    <xf borderId="0" fillId="0" fontId="3" numFmtId="3" xfId="0" applyFont="1" applyNumberFormat="1"/>
    <xf borderId="0" fillId="0" fontId="3" numFmtId="9" xfId="0" applyFont="1" applyNumberFormat="1"/>
    <xf borderId="0" fillId="0" fontId="1" numFmtId="0" xfId="0" applyAlignment="1" applyFont="1">
      <alignment readingOrder="0"/>
    </xf>
    <xf borderId="0" fillId="0" fontId="2" numFmtId="9" xfId="0" applyAlignment="1" applyFont="1" applyNumberFormat="1">
      <alignment readingOrder="0"/>
    </xf>
    <xf borderId="0" fillId="0" fontId="1" numFmtId="9" xfId="0" applyAlignment="1" applyFont="1" applyNumberFormat="1">
      <alignment readingOrder="0"/>
    </xf>
    <xf borderId="0" fillId="0" fontId="3" numFmtId="164" xfId="0" applyFont="1" applyNumberFormat="1"/>
    <xf borderId="0" fillId="0" fontId="1" numFmtId="2" xfId="0" applyFont="1" applyNumberFormat="1"/>
    <xf borderId="0" fillId="0" fontId="3" numFmtId="2" xfId="0" applyFont="1" applyNumberFormat="1"/>
    <xf borderId="1" fillId="2" fontId="3" numFmtId="0" xfId="0" applyBorder="1" applyFill="1" applyFont="1"/>
    <xf borderId="1" fillId="2" fontId="3" numFmtId="164" xfId="0" applyBorder="1" applyFont="1" applyNumberFormat="1"/>
    <xf borderId="0" fillId="0" fontId="1" numFmtId="10" xfId="0" applyFont="1" applyNumberFormat="1"/>
    <xf borderId="0" fillId="0" fontId="1" numFmtId="4" xfId="0" applyFont="1" applyNumberFormat="1"/>
    <xf borderId="0" fillId="0" fontId="3" numFmtId="0" xfId="0" applyAlignment="1" applyFont="1">
      <alignment shrinkToFit="0" wrapText="1"/>
    </xf>
    <xf borderId="0" fillId="0" fontId="3" numFmtId="165" xfId="0" applyFont="1" applyNumberFormat="1"/>
    <xf borderId="0" fillId="0" fontId="4" numFmtId="165" xfId="0" applyFont="1" applyNumberFormat="1"/>
    <xf borderId="0" fillId="0" fontId="4" numFmtId="9" xfId="0" applyAlignment="1" applyFont="1" applyNumberFormat="1">
      <alignment readingOrder="0"/>
    </xf>
    <xf borderId="0" fillId="0" fontId="4" numFmtId="165" xfId="0" applyAlignment="1" applyFont="1" applyNumberFormat="1">
      <alignment readingOrder="0"/>
    </xf>
    <xf borderId="0" fillId="0" fontId="3" numFmtId="165" xfId="0" applyAlignment="1" applyFont="1" applyNumberFormat="1">
      <alignment readingOrder="0"/>
    </xf>
    <xf borderId="0" fillId="0" fontId="3" numFmtId="166" xfId="0" applyFont="1" applyNumberFormat="1"/>
    <xf borderId="0" fillId="0" fontId="3" numFmtId="167" xfId="0" applyFont="1" applyNumberFormat="1"/>
    <xf borderId="0" fillId="0" fontId="3" numFmtId="168" xfId="0" applyFont="1" applyNumberFormat="1"/>
    <xf borderId="0" fillId="0" fontId="3" numFmtId="169" xfId="0" applyFont="1" applyNumberFormat="1"/>
    <xf borderId="0" fillId="0" fontId="3" numFmtId="170" xfId="0" applyFont="1" applyNumberFormat="1"/>
    <xf borderId="0" fillId="0" fontId="5" numFmtId="0" xfId="0" applyFont="1"/>
    <xf borderId="0" fillId="0" fontId="5" numFmtId="165" xfId="0" applyFont="1" applyNumberFormat="1"/>
    <xf borderId="0" fillId="0" fontId="5" numFmtId="171" xfId="0" applyFont="1" applyNumberFormat="1"/>
    <xf borderId="0" fillId="0" fontId="5" numFmtId="10" xfId="0" applyFont="1" applyNumberFormat="1"/>
    <xf borderId="1" fillId="2" fontId="5" numFmtId="10" xfId="0" applyBorder="1" applyFont="1" applyNumberFormat="1"/>
    <xf borderId="0" fillId="0" fontId="5" numFmtId="168" xfId="0" applyFont="1" applyNumberFormat="1"/>
    <xf borderId="0" fillId="0" fontId="1" numFmtId="3" xfId="0" applyAlignment="1" applyFont="1" applyNumberFormat="1">
      <alignment readingOrder="0"/>
    </xf>
    <xf borderId="0" fillId="0" fontId="1" numFmtId="10" xfId="0" applyAlignment="1" applyFont="1" applyNumberFormat="1">
      <alignment readingOrder="0"/>
    </xf>
    <xf borderId="0" fillId="0" fontId="6" numFmtId="0" xfId="0" applyAlignment="1" applyFont="1">
      <alignment readingOrder="0"/>
    </xf>
    <xf borderId="0" fillId="2" fontId="5" numFmtId="0" xfId="0" applyAlignment="1" applyFont="1">
      <alignment shrinkToFit="0" wrapText="1"/>
    </xf>
    <xf borderId="0" fillId="0" fontId="7" numFmtId="0" xfId="0" applyFont="1"/>
    <xf borderId="0" fillId="0" fontId="8" numFmtId="165" xfId="0" applyFont="1" applyNumberFormat="1"/>
    <xf borderId="0" fillId="0" fontId="9" numFmtId="165" xfId="0" applyFont="1" applyNumberFormat="1"/>
    <xf borderId="1" fillId="2" fontId="3" numFmtId="0" xfId="0" applyAlignment="1" applyBorder="1" applyFont="1">
      <alignment shrinkToFit="0" wrapText="1"/>
    </xf>
    <xf borderId="0" fillId="0" fontId="3" numFmtId="172" xfId="0" applyFont="1" applyNumberFormat="1"/>
    <xf borderId="0" fillId="0" fontId="3" numFmtId="173" xfId="0" applyFont="1" applyNumberFormat="1"/>
    <xf borderId="0" fillId="0" fontId="3" numFmtId="17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1.xml"/><Relationship Id="rId14" Type="http://schemas.openxmlformats.org/officeDocument/2006/relationships/chartsheet" Target="chartsheets/sheet1.xml"/><Relationship Id="rId17" Type="http://customschemas.google.com/relationships/workbookmetadata" Target="metadata"/><Relationship Id="rId16" Type="http://schemas.openxmlformats.org/officeDocument/2006/relationships/worksheet" Target="worksheets/sheet1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800">
                <a:solidFill>
                  <a:srgbClr val="757575"/>
                </a:solidFill>
                <a:latin typeface="+mn-lt"/>
              </a:defRPr>
            </a:pPr>
            <a:r>
              <a:rPr b="1" i="0" sz="2800">
                <a:solidFill>
                  <a:srgbClr val="757575"/>
                </a:solidFill>
                <a:latin typeface="+mn-lt"/>
              </a:rPr>
              <a:t>Dividend per Share (DPS)</a:t>
            </a:r>
          </a:p>
        </c:rich>
      </c:tx>
      <c:overlay val="0"/>
    </c:title>
    <c:plotArea>
      <c:layout/>
      <c:lineChart>
        <c:ser>
          <c:idx val="0"/>
          <c:order val="0"/>
          <c:tx>
            <c:strRef>
              <c:f>'DPS Examples'!$C$8</c:f>
            </c:strRef>
          </c:tx>
          <c:spPr>
            <a:ln cmpd="sng" w="28575">
              <a:solidFill>
                <a:srgbClr val="5B9BD5"/>
              </a:solidFill>
            </a:ln>
          </c:spPr>
          <c:marker>
            <c:symbol val="none"/>
          </c:marker>
          <c:dLbls>
            <c:numFmt formatCode="General" sourceLinked="1"/>
            <c:txPr>
              <a:bodyPr/>
              <a:lstStyle/>
              <a:p>
                <a:pPr lvl="0">
                  <a:defRPr b="1" i="0" sz="1200">
                    <a:latin typeface="+mn-lt"/>
                  </a:defRPr>
                </a:pPr>
              </a:p>
            </c:txPr>
            <c:showLegendKey val="0"/>
            <c:showVal val="1"/>
            <c:showCatName val="0"/>
            <c:showSerName val="0"/>
            <c:showPercent val="0"/>
            <c:showBubbleSize val="0"/>
          </c:dLbls>
          <c:val>
            <c:numRef>
              <c:f>'DPS Examples'!$D$8:$G$8</c:f>
              <c:numCache/>
            </c:numRef>
          </c:val>
          <c:smooth val="0"/>
        </c:ser>
        <c:ser>
          <c:idx val="1"/>
          <c:order val="1"/>
          <c:tx>
            <c:strRef>
              <c:f>'DPS Examples'!$C$9</c:f>
            </c:strRef>
          </c:tx>
          <c:spPr>
            <a:ln cmpd="sng" w="28575">
              <a:solidFill>
                <a:srgbClr val="ED7D31"/>
              </a:solidFill>
            </a:ln>
          </c:spPr>
          <c:marker>
            <c:symbol val="none"/>
          </c:marker>
          <c:dLbls>
            <c:numFmt formatCode="General" sourceLinked="1"/>
            <c:txPr>
              <a:bodyPr/>
              <a:lstStyle/>
              <a:p>
                <a:pPr lvl="0">
                  <a:defRPr b="1" i="0" sz="1200">
                    <a:latin typeface="+mn-lt"/>
                  </a:defRPr>
                </a:pPr>
              </a:p>
            </c:txPr>
            <c:showLegendKey val="0"/>
            <c:showVal val="1"/>
            <c:showCatName val="0"/>
            <c:showSerName val="0"/>
            <c:showPercent val="0"/>
            <c:showBubbleSize val="0"/>
          </c:dLbls>
          <c:val>
            <c:numRef>
              <c:f>'DPS Examples'!$D$9:$G$9</c:f>
              <c:numCache/>
            </c:numRef>
          </c:val>
          <c:smooth val="0"/>
        </c:ser>
        <c:axId val="1024811145"/>
        <c:axId val="980752678"/>
      </c:lineChart>
      <c:catAx>
        <c:axId val="10248111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80752678"/>
      </c:catAx>
      <c:valAx>
        <c:axId val="9807526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600">
                <a:solidFill>
                  <a:srgbClr val="000000"/>
                </a:solidFill>
                <a:latin typeface="+mn-lt"/>
              </a:defRPr>
            </a:pPr>
          </a:p>
        </c:txPr>
        <c:crossAx val="1024811145"/>
      </c:valAx>
    </c:plotArea>
    <c:legend>
      <c:legendPos val="b"/>
      <c:overlay val="0"/>
      <c:txPr>
        <a:bodyPr/>
        <a:lstStyle/>
        <a:p>
          <a:pPr lvl="0">
            <a:defRPr b="1" i="0" sz="180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076297293"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457200</xdr:colOff>
      <xdr:row>1</xdr:row>
      <xdr:rowOff>0</xdr:rowOff>
    </xdr:from>
    <xdr:ext cx="4371975" cy="3648075"/>
    <xdr:sp>
      <xdr:nvSpPr>
        <xdr:cNvPr id="3" name="Shape 3"/>
        <xdr:cNvSpPr txBox="1"/>
      </xdr:nvSpPr>
      <xdr:spPr>
        <a:xfrm>
          <a:off x="3164775" y="1960725"/>
          <a:ext cx="4362450" cy="363855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Clr>
              <a:schemeClr val="dk1"/>
            </a:buClr>
            <a:buSzPts val="1400"/>
            <a:buFont typeface="Arial"/>
            <a:buNone/>
          </a:pPr>
          <a:r>
            <a:rPr lang="en-US" sz="1400">
              <a:solidFill>
                <a:schemeClr val="dk1"/>
              </a:solidFill>
            </a:rPr>
            <a:t>ABC Co., a prominent consumer products firm, is debating whether to convert its all-equity capital structure to one that is 35 percent debt. Currently, there are 8,000 shares outstanding, and the price per share is Rs.55. EBIT is expected to remain at Rs.32,000 per year forever. The interest rate on new debt is 8 percent, and there are no taxes.</a:t>
          </a:r>
          <a:endParaRPr sz="1400">
            <a:solidFill>
              <a:schemeClr val="dk1"/>
            </a:solidFill>
          </a:endParaRPr>
        </a:p>
        <a:p>
          <a:pPr indent="-317500" lvl="0" marL="457200" rtl="0" algn="l">
            <a:lnSpc>
              <a:spcPct val="150000"/>
            </a:lnSpc>
            <a:spcBef>
              <a:spcPts val="1600"/>
            </a:spcBef>
            <a:spcAft>
              <a:spcPts val="0"/>
            </a:spcAft>
            <a:buClr>
              <a:schemeClr val="dk1"/>
            </a:buClr>
            <a:buSzPts val="1400"/>
            <a:buFont typeface="Arial"/>
            <a:buAutoNum type="alphaLcPeriod"/>
          </a:pPr>
          <a:r>
            <a:rPr lang="en-US" sz="1400">
              <a:solidFill>
                <a:schemeClr val="dk1"/>
              </a:solidFill>
            </a:rPr>
            <a:t>Amit, a shareholder of the firm, owns 100 shares of stock, what is his cash flow under the current capital structure,. Assuming the firm has a dividend payout of 100 percent?</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What will Amit’s cash flow be under the proposed capital structure of the firm? Assume he keeps all 100 of his shares.</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Suppose the company does convert, by amit prefers the current all-equity capital structure,. Show how he could unlever his share of stock to recreate the original capital structure.</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Using your answer to part (c), explain why the company’s choice of capital structure is irrelevant.</a:t>
          </a:r>
          <a:endParaRPr sz="1400">
            <a:solidFill>
              <a:schemeClr val="dk1"/>
            </a:solidFill>
          </a:endParaRPr>
        </a:p>
        <a:p>
          <a:pPr indent="0" lvl="0" marL="0" rtl="0" algn="l">
            <a:spcBef>
              <a:spcPts val="1600"/>
            </a:spcBef>
            <a:spcAft>
              <a:spcPts val="1600"/>
            </a:spcAft>
            <a:buSzPts val="1100"/>
            <a:buFont typeface="Arial"/>
            <a:buNone/>
          </a:pPr>
          <a:r>
            <a:t/>
          </a: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514350</xdr:colOff>
      <xdr:row>1</xdr:row>
      <xdr:rowOff>0</xdr:rowOff>
    </xdr:from>
    <xdr:ext cx="5114925" cy="3362325"/>
    <xdr:sp>
      <xdr:nvSpPr>
        <xdr:cNvPr id="4" name="Shape 4"/>
        <xdr:cNvSpPr txBox="1"/>
      </xdr:nvSpPr>
      <xdr:spPr>
        <a:xfrm>
          <a:off x="2793300" y="2103600"/>
          <a:ext cx="5105400" cy="33528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Clr>
              <a:schemeClr val="dk1"/>
            </a:buClr>
            <a:buSzPts val="1100"/>
            <a:buFont typeface="Arial"/>
            <a:buNone/>
          </a:pPr>
          <a:r>
            <a:rPr lang="en-US" sz="1400">
              <a:solidFill>
                <a:schemeClr val="dk1"/>
              </a:solidFill>
            </a:rPr>
            <a:t>ABC Co. and XYZ Co. are identical firms in all respects except for their capital structure. ABC is all equity financed with Rs.600,000 in stock. XYZ uses both stock and perpetual debt; its stock is worth Rs.300,000 and the interest rate on its debt is 8 percent. Both firms expect EBIT to be Rs.80,000. Ignore taxes.</a:t>
          </a:r>
          <a:endParaRPr sz="1400">
            <a:solidFill>
              <a:schemeClr val="dk1"/>
            </a:solidFill>
          </a:endParaRPr>
        </a:p>
        <a:p>
          <a:pPr indent="-317500" lvl="0" marL="457200" rtl="0" algn="l">
            <a:lnSpc>
              <a:spcPct val="150000"/>
            </a:lnSpc>
            <a:spcBef>
              <a:spcPts val="1600"/>
            </a:spcBef>
            <a:spcAft>
              <a:spcPts val="0"/>
            </a:spcAft>
            <a:buClr>
              <a:schemeClr val="dk1"/>
            </a:buClr>
            <a:buSzPts val="1400"/>
            <a:buFont typeface="Arial"/>
            <a:buAutoNum type="alphaLcPeriod"/>
          </a:pPr>
          <a:r>
            <a:rPr lang="en-US" sz="1400">
              <a:solidFill>
                <a:schemeClr val="dk1"/>
              </a:solidFill>
            </a:rPr>
            <a:t>Rita owns Rs.30,000 worth of XYZ’s stock. What rate of return is she expecting?</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Show how Rita could generate exactly the same cash flows and rate of return by investing in ABC and using homemade leverage.</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What is the cost of equity for ABC? What is it for XYZ?</a:t>
          </a:r>
          <a:endParaRPr sz="1400">
            <a:solidFill>
              <a:schemeClr val="dk1"/>
            </a:solidFill>
          </a:endParaRPr>
        </a:p>
        <a:p>
          <a:pPr indent="-317500" lvl="0" marL="457200" rtl="0" algn="l">
            <a:lnSpc>
              <a:spcPct val="150000"/>
            </a:lnSpc>
            <a:spcBef>
              <a:spcPts val="0"/>
            </a:spcBef>
            <a:spcAft>
              <a:spcPts val="0"/>
            </a:spcAft>
            <a:buClr>
              <a:schemeClr val="dk1"/>
            </a:buClr>
            <a:buSzPts val="1400"/>
            <a:buFont typeface="Arial"/>
            <a:buAutoNum type="alphaLcPeriod"/>
          </a:pPr>
          <a:r>
            <a:rPr lang="en-US" sz="1400">
              <a:solidFill>
                <a:schemeClr val="dk1"/>
              </a:solidFill>
            </a:rPr>
            <a:t>What is the WACC for ABC? For XYZ? What principle does one notice?</a:t>
          </a:r>
          <a:endParaRPr sz="1400">
            <a:solidFill>
              <a:schemeClr val="dk1"/>
            </a:solidFill>
          </a:endParaRPr>
        </a:p>
        <a:p>
          <a:pPr indent="0" lvl="0" marL="0" rtl="0" algn="l">
            <a:spcBef>
              <a:spcPts val="0"/>
            </a:spcBef>
            <a:spcAft>
              <a:spcPts val="1600"/>
            </a:spcAft>
            <a:buSzPts val="1400"/>
            <a:buFont typeface="Arial"/>
            <a:buNone/>
          </a:pPr>
          <a:r>
            <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0</xdr:row>
      <xdr:rowOff>133350</xdr:rowOff>
    </xdr:from>
    <xdr:ext cx="4191000" cy="1800225"/>
    <xdr:sp>
      <xdr:nvSpPr>
        <xdr:cNvPr id="5" name="Shape 5"/>
        <xdr:cNvSpPr txBox="1"/>
      </xdr:nvSpPr>
      <xdr:spPr>
        <a:xfrm>
          <a:off x="3255263" y="2860838"/>
          <a:ext cx="4181475" cy="1838325"/>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Clr>
              <a:schemeClr val="dk1"/>
            </a:buClr>
            <a:buSzPts val="1100"/>
            <a:buFont typeface="Arial"/>
            <a:buNone/>
          </a:pPr>
          <a:r>
            <a:rPr lang="en-US" sz="1100">
              <a:solidFill>
                <a:srgbClr val="000000"/>
              </a:solidFill>
            </a:rPr>
            <a:t>Tarun &amp; Co. has an expected EBIT of Rs.64,000 in perpetuity and a tax rate of 35 percent. The firm has Rs.95,000 in outstanding debt at an interest rate of 8.5 percent, and its unlevered cost of capital is 15 percent. What is the value of the firm according to M&amp;M Proposition I with taxes/ should the company change its debt-equity ratio if the goal is to maximize the value of the firm? Explain.</a:t>
          </a:r>
          <a:endParaRPr sz="1100">
            <a:solidFill>
              <a:srgbClr val="000000"/>
            </a:solidFill>
          </a:endParaRPr>
        </a:p>
        <a:p>
          <a:pPr indent="0" lvl="0" marL="0" rtl="0" algn="l">
            <a:spcBef>
              <a:spcPts val="1600"/>
            </a:spcBef>
            <a:spcAft>
              <a:spcPts val="1600"/>
            </a:spcAft>
            <a:buSzPts val="1100"/>
            <a:buFont typeface="Arial"/>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304800</xdr:colOff>
      <xdr:row>0</xdr:row>
      <xdr:rowOff>57150</xdr:rowOff>
    </xdr:from>
    <xdr:ext cx="5867400" cy="2847975"/>
    <xdr:sp>
      <xdr:nvSpPr>
        <xdr:cNvPr id="6" name="Shape 6"/>
        <xdr:cNvSpPr txBox="1"/>
      </xdr:nvSpPr>
      <xdr:spPr>
        <a:xfrm>
          <a:off x="2417063" y="2360775"/>
          <a:ext cx="5857875" cy="283845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Clr>
              <a:schemeClr val="dk1"/>
            </a:buClr>
            <a:buSzPts val="1100"/>
            <a:buFont typeface="Arial"/>
            <a:buNone/>
          </a:pPr>
          <a:r>
            <a:rPr lang="en-US" sz="1600">
              <a:solidFill>
                <a:schemeClr val="dk1"/>
              </a:solidFill>
            </a:rPr>
            <a:t>You own 1,000 shares of stock in PQR Co. You will receive Rs.2.30 per share dividend in one year. In two years, PQR will pay a liquidating dividend of Rs.53 per share. The required return on PQR stock is 15 percent. </a:t>
          </a:r>
          <a:endParaRPr sz="1400"/>
        </a:p>
        <a:p>
          <a:pPr indent="0" lvl="0" marL="0" rtl="0" algn="l">
            <a:spcBef>
              <a:spcPts val="0"/>
            </a:spcBef>
            <a:spcAft>
              <a:spcPts val="0"/>
            </a:spcAft>
            <a:buClr>
              <a:schemeClr val="dk1"/>
            </a:buClr>
            <a:buSzPts val="1100"/>
            <a:buFont typeface="Arial"/>
            <a:buNone/>
          </a:pPr>
          <a:r>
            <a:rPr lang="en-US" sz="1600">
              <a:solidFill>
                <a:schemeClr val="dk1"/>
              </a:solidFill>
            </a:rPr>
            <a:t>a. What is the current share price of your stock (ignoring taxes)? </a:t>
          </a:r>
          <a:endParaRPr sz="1400"/>
        </a:p>
        <a:p>
          <a:pPr indent="0" lvl="0" marL="0" rtl="0" algn="l">
            <a:spcBef>
              <a:spcPts val="0"/>
            </a:spcBef>
            <a:spcAft>
              <a:spcPts val="0"/>
            </a:spcAft>
            <a:buClr>
              <a:schemeClr val="dk1"/>
            </a:buClr>
            <a:buSzPts val="1100"/>
            <a:buFont typeface="Arial"/>
            <a:buNone/>
          </a:pPr>
          <a:r>
            <a:rPr lang="en-US" sz="1600">
              <a:solidFill>
                <a:schemeClr val="dk1"/>
              </a:solidFill>
            </a:rPr>
            <a:t>b. If you would rather have equal dividends in each of the next two years, show how you can accomplish this by creating homemade dividends.</a:t>
          </a:r>
          <a:endParaRPr sz="1400"/>
        </a:p>
        <a:p>
          <a:pPr indent="0" lvl="0" marL="0" rtl="0" algn="l">
            <a:spcBef>
              <a:spcPts val="0"/>
            </a:spcBef>
            <a:spcAft>
              <a:spcPts val="0"/>
            </a:spcAft>
            <a:buClr>
              <a:schemeClr val="dk1"/>
            </a:buClr>
            <a:buSzPts val="1100"/>
            <a:buFont typeface="Arial"/>
            <a:buNone/>
          </a:pPr>
          <a:r>
            <a:rPr lang="en-US" sz="1600">
              <a:solidFill>
                <a:schemeClr val="dk1"/>
              </a:solidFill>
            </a:rPr>
            <a:t>c.</a:t>
          </a:r>
          <a:r>
            <a:rPr lang="en-US" sz="1600">
              <a:solidFill>
                <a:schemeClr val="dk1"/>
              </a:solidFill>
            </a:rPr>
            <a:t> </a:t>
          </a:r>
          <a:r>
            <a:rPr lang="en-US" sz="1600">
              <a:solidFill>
                <a:schemeClr val="dk1"/>
              </a:solidFill>
            </a:rPr>
            <a:t>Suppose you want only Rs.750 in dividends the first year. What will your homemade dividend be in two years?</a:t>
          </a:r>
          <a:endParaRPr sz="1600">
            <a:solidFill>
              <a:schemeClr val="dk1"/>
            </a:solidFill>
          </a:endParaRPr>
        </a:p>
        <a:p>
          <a:pPr indent="0" lvl="0" marL="0" rtl="0" algn="l">
            <a:spcBef>
              <a:spcPts val="1600"/>
            </a:spcBef>
            <a:spcAft>
              <a:spcPts val="1600"/>
            </a:spcAft>
            <a:buSzPts val="1600"/>
            <a:buFont typeface="Arial"/>
            <a:buNone/>
          </a:pPr>
          <a:r>
            <a:t/>
          </a:r>
          <a:endParaRPr sz="1600">
            <a:solidFill>
              <a:schemeClr val="dk1"/>
            </a:solidFill>
          </a:endParaRPr>
        </a:p>
      </xdr:txBody>
    </xdr:sp>
    <xdr:clientData fLocksWithSheet="0"/>
  </xdr:oneCellAnchor>
  <xdr:oneCellAnchor>
    <xdr:from>
      <xdr:col>11</xdr:col>
      <xdr:colOff>9525</xdr:colOff>
      <xdr:row>2</xdr:row>
      <xdr:rowOff>123825</xdr:rowOff>
    </xdr:from>
    <xdr:ext cx="2514600" cy="447675"/>
    <xdr:sp>
      <xdr:nvSpPr>
        <xdr:cNvPr id="7" name="Shape 7"/>
        <xdr:cNvSpPr txBox="1"/>
      </xdr:nvSpPr>
      <xdr:spPr>
        <a:xfrm>
          <a:off x="4091586" y="3559202"/>
          <a:ext cx="2508828" cy="441596"/>
        </a:xfrm>
        <a:prstGeom prst="rect">
          <a:avLst/>
        </a:prstGeom>
        <a:noFill/>
        <a:ln>
          <a:noFill/>
        </a:ln>
      </xdr:spPr>
      <xdr:txBody>
        <a:bodyPr anchorCtr="0" anchor="t" bIns="0" lIns="0" spcFirstLastPara="1" rIns="0" wrap="square" tIns="0">
          <a:noAutofit/>
        </a:bodyPr>
        <a:lstStyle/>
        <a:p>
          <a:pPr indent="0" lvl="0" marL="0" rtl="0" algn="l">
            <a:spcBef>
              <a:spcPts val="0"/>
            </a:spcBef>
            <a:spcAft>
              <a:spcPts val="0"/>
            </a:spcAft>
            <a:buNone/>
          </a:pPr>
          <a:r>
            <a:rPr lang="en-US" sz="2000">
              <a:solidFill>
                <a:schemeClr val="dk1"/>
              </a:solidFill>
              <a:latin typeface="Calibri"/>
              <a:ea typeface="Calibri"/>
              <a:cs typeface="Calibri"/>
              <a:sym typeface="Calibri"/>
            </a:rPr>
            <a:t>=42.08</a:t>
          </a:r>
          <a:endParaRPr sz="1400"/>
        </a:p>
      </xdr:txBody>
    </xdr:sp>
    <xdr:clientData fLocksWithSheet="0"/>
  </xdr:oneCellAnchor>
  <xdr:oneCellAnchor>
    <xdr:from>
      <xdr:col>11</xdr:col>
      <xdr:colOff>0</xdr:colOff>
      <xdr:row>9</xdr:row>
      <xdr:rowOff>0</xdr:rowOff>
    </xdr:from>
    <xdr:ext cx="2009775" cy="438150"/>
    <xdr:sp>
      <xdr:nvSpPr>
        <xdr:cNvPr id="8" name="Shape 8"/>
        <xdr:cNvSpPr txBox="1"/>
      </xdr:nvSpPr>
      <xdr:spPr>
        <a:xfrm>
          <a:off x="4341590" y="3561318"/>
          <a:ext cx="2008820" cy="437364"/>
        </a:xfrm>
        <a:prstGeom prst="rect">
          <a:avLst/>
        </a:prstGeom>
        <a:noFill/>
        <a:ln>
          <a:noFill/>
        </a:ln>
      </xdr:spPr>
      <xdr:txBody>
        <a:bodyPr anchorCtr="0" anchor="t" bIns="0" lIns="0" spcFirstLastPara="1" rIns="0" wrap="square" tIns="0">
          <a:noAutofit/>
        </a:bodyPr>
        <a:lstStyle/>
        <a:p>
          <a:pPr indent="0" lvl="0" marL="0" rtl="0" algn="l">
            <a:spcBef>
              <a:spcPts val="0"/>
            </a:spcBef>
            <a:spcAft>
              <a:spcPts val="0"/>
            </a:spcAft>
            <a:buNone/>
          </a:pPr>
          <a:r>
            <a:rPr b="0" lang="en-US" sz="2000">
              <a:solidFill>
                <a:schemeClr val="dk1"/>
              </a:solidFill>
              <a:latin typeface="Calibri"/>
              <a:ea typeface="Calibri"/>
              <a:cs typeface="Calibri"/>
              <a:sym typeface="Calibri"/>
            </a:rPr>
            <a:t>42.08</a:t>
          </a:r>
          <a:endParaRPr sz="20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66675</xdr:rowOff>
    </xdr:from>
    <xdr:ext cx="6219825" cy="2333625"/>
    <xdr:sp>
      <xdr:nvSpPr>
        <xdr:cNvPr id="9" name="Shape 9"/>
        <xdr:cNvSpPr txBox="1"/>
      </xdr:nvSpPr>
      <xdr:spPr>
        <a:xfrm>
          <a:off x="2240850" y="2617950"/>
          <a:ext cx="6210300" cy="2324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Clr>
              <a:schemeClr val="dk1"/>
            </a:buClr>
            <a:buSzPts val="1600"/>
            <a:buFont typeface="Arial"/>
            <a:buNone/>
          </a:pPr>
          <a:r>
            <a:rPr lang="en-US" sz="1600">
              <a:solidFill>
                <a:schemeClr val="dk1"/>
              </a:solidFill>
            </a:rPr>
            <a:t>Flynight Co. Is evaluating an extra dividend versus a share repurchase (buyback). In either case, Rs.9,000 would  be spent. Current earnings are Rs.1.30 per share, and the stock currently sells for Rs.64 per share. There are 1,000 shares outstanding. Ignore taxes and other imperfections in answering (a) and (b) below.</a:t>
          </a:r>
          <a:endParaRPr sz="1600">
            <a:solidFill>
              <a:schemeClr val="dk1"/>
            </a:solidFill>
          </a:endParaRPr>
        </a:p>
        <a:p>
          <a:pPr indent="-317500" lvl="0" marL="457200" rtl="0" algn="l">
            <a:lnSpc>
              <a:spcPct val="150000"/>
            </a:lnSpc>
            <a:spcBef>
              <a:spcPts val="200"/>
            </a:spcBef>
            <a:spcAft>
              <a:spcPts val="0"/>
            </a:spcAft>
            <a:buClr>
              <a:schemeClr val="dk1"/>
            </a:buClr>
            <a:buSzPts val="1400"/>
            <a:buFont typeface="Arial"/>
            <a:buAutoNum type="alphaLcPeriod"/>
          </a:pPr>
          <a:r>
            <a:rPr lang="en-US" sz="1600">
              <a:solidFill>
                <a:schemeClr val="dk1"/>
              </a:solidFill>
            </a:rPr>
            <a:t>Evaluate the two alternatives in terms of the effect on the price per share of the stock and shareholder wealth.</a:t>
          </a:r>
          <a:endParaRPr sz="1600">
            <a:solidFill>
              <a:schemeClr val="dk1"/>
            </a:solidFill>
          </a:endParaRPr>
        </a:p>
        <a:p>
          <a:pPr indent="-317500" lvl="0" marL="457200" rtl="0" algn="l">
            <a:lnSpc>
              <a:spcPct val="150000"/>
            </a:lnSpc>
            <a:spcBef>
              <a:spcPts val="400"/>
            </a:spcBef>
            <a:spcAft>
              <a:spcPts val="0"/>
            </a:spcAft>
            <a:buClr>
              <a:schemeClr val="dk1"/>
            </a:buClr>
            <a:buSzPts val="1400"/>
            <a:buFont typeface="Arial"/>
            <a:buAutoNum type="alphaLcPeriod"/>
          </a:pPr>
          <a:r>
            <a:rPr lang="en-US" sz="1600">
              <a:solidFill>
                <a:schemeClr val="dk1"/>
              </a:solidFill>
            </a:rPr>
            <a:t>What will be the effect on Flynight’s EPS and PE ratio under the two different scenarios?</a:t>
          </a:r>
          <a:endParaRPr sz="1600">
            <a:solidFill>
              <a:schemeClr val="dk1"/>
            </a:solidFill>
          </a:endParaRPr>
        </a:p>
        <a:p>
          <a:pPr indent="-317500" lvl="0" marL="457200" rtl="0" algn="l">
            <a:lnSpc>
              <a:spcPct val="150000"/>
            </a:lnSpc>
            <a:spcBef>
              <a:spcPts val="400"/>
            </a:spcBef>
            <a:spcAft>
              <a:spcPts val="0"/>
            </a:spcAft>
            <a:buClr>
              <a:schemeClr val="dk1"/>
            </a:buClr>
            <a:buSzPts val="1400"/>
            <a:buFont typeface="Arial"/>
            <a:buAutoNum type="alphaLcPeriod"/>
          </a:pPr>
          <a:r>
            <a:rPr lang="en-US" sz="1600">
              <a:solidFill>
                <a:schemeClr val="dk1"/>
              </a:solidFill>
            </a:rPr>
            <a:t>In the real world, which of these actions would you recommend? Why?</a:t>
          </a:r>
          <a:endParaRPr sz="1600">
            <a:solidFill>
              <a:schemeClr val="dk1"/>
            </a:solidFill>
          </a:endParaRPr>
        </a:p>
        <a:p>
          <a:pPr indent="0" lvl="0" marL="0" rtl="0" algn="l">
            <a:spcBef>
              <a:spcPts val="1800"/>
            </a:spcBef>
            <a:spcAft>
              <a:spcPts val="1600"/>
            </a:spcAft>
            <a:buSzPts val="1600"/>
            <a:buFont typeface="Arial"/>
            <a:buNone/>
          </a:pPr>
          <a:r>
            <a:t/>
          </a:r>
          <a:endParaRPr sz="16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3.5"/>
    <col customWidth="1" min="3" max="3" width="10.75"/>
    <col customWidth="1" min="4" max="4" width="9.38"/>
    <col customWidth="1" hidden="1" min="5" max="10" width="6.13"/>
    <col customWidth="1" hidden="1" min="11" max="11" width="4.5"/>
    <col customWidth="1" hidden="1" min="12" max="12" width="5.13"/>
    <col customWidth="1" hidden="1" min="13" max="13" width="7.63"/>
    <col customWidth="1" hidden="1" min="14" max="14" width="3.0"/>
    <col customWidth="1" hidden="1" min="15" max="16" width="7.63"/>
    <col customWidth="1" min="17" max="17" width="37.25"/>
    <col customWidth="1" min="18" max="26" width="7.63"/>
  </cols>
  <sheetData>
    <row r="1" ht="14.25" customHeight="1"/>
    <row r="2" ht="14.25" customHeight="1">
      <c r="C2" s="1" t="s">
        <v>0</v>
      </c>
      <c r="D2" s="1" t="s">
        <v>1</v>
      </c>
    </row>
    <row r="3" ht="14.25" customHeight="1">
      <c r="N3" s="2" t="s">
        <v>2</v>
      </c>
    </row>
    <row r="4" ht="14.25" customHeight="1">
      <c r="B4" s="1" t="s">
        <v>3</v>
      </c>
      <c r="C4" s="1">
        <v>100.0</v>
      </c>
      <c r="D4" s="1">
        <v>100.0</v>
      </c>
    </row>
    <row r="5" ht="14.25" customHeight="1">
      <c r="B5" s="1" t="s">
        <v>4</v>
      </c>
      <c r="C5" s="1">
        <v>70.0</v>
      </c>
      <c r="D5" s="1">
        <v>50.0</v>
      </c>
    </row>
    <row r="6" ht="14.25" customHeight="1">
      <c r="L6" s="3">
        <f t="shared" ref="L6:M6" si="1">L12*C9-C7</f>
        <v>8000</v>
      </c>
      <c r="M6" s="3">
        <f t="shared" si="1"/>
        <v>10000</v>
      </c>
      <c r="O6" s="3">
        <f t="shared" ref="O6:P6" si="2">O12*C9-C7</f>
        <v>2000</v>
      </c>
      <c r="P6" s="3">
        <f t="shared" si="2"/>
        <v>0</v>
      </c>
    </row>
    <row r="7" ht="14.25" customHeight="1">
      <c r="B7" s="1" t="s">
        <v>5</v>
      </c>
      <c r="C7" s="4">
        <v>10000.0</v>
      </c>
      <c r="D7" s="4">
        <v>20000.0</v>
      </c>
      <c r="L7" s="5">
        <f t="shared" ref="L7:M7" si="3">(L12/C12)-1</f>
        <v>0.2</v>
      </c>
      <c r="M7" s="5">
        <f t="shared" si="3"/>
        <v>0.2</v>
      </c>
      <c r="O7" s="5">
        <f t="shared" ref="O7:P7" si="4">O12/C12-1</f>
        <v>-0.2</v>
      </c>
      <c r="P7" s="5">
        <f t="shared" si="4"/>
        <v>-0.2</v>
      </c>
    </row>
    <row r="8" ht="14.25" customHeight="1"/>
    <row r="9" ht="14.25" customHeight="1">
      <c r="B9" s="1" t="s">
        <v>6</v>
      </c>
      <c r="C9" s="1">
        <f t="shared" ref="C9:D9" si="5">C4-C5</f>
        <v>30</v>
      </c>
      <c r="D9" s="1">
        <f t="shared" si="5"/>
        <v>50</v>
      </c>
      <c r="L9" s="5">
        <f t="shared" ref="L9:M9" si="6">L6/C14-1</f>
        <v>0.6</v>
      </c>
      <c r="M9" s="5">
        <f t="shared" si="6"/>
        <v>1</v>
      </c>
      <c r="O9" s="5">
        <f t="shared" ref="O9:P9" si="7">O6/C14-1</f>
        <v>-0.6</v>
      </c>
      <c r="P9" s="5">
        <f t="shared" si="7"/>
        <v>-1</v>
      </c>
    </row>
    <row r="10" ht="14.25" customHeight="1">
      <c r="B10" s="2" t="s">
        <v>7</v>
      </c>
      <c r="C10" s="1">
        <f t="shared" ref="C10:D10" si="8">C7/C9</f>
        <v>333.3333333</v>
      </c>
      <c r="D10" s="1">
        <f t="shared" si="8"/>
        <v>400</v>
      </c>
    </row>
    <row r="11" ht="14.25" customHeight="1">
      <c r="Q11" s="6" t="s">
        <v>8</v>
      </c>
      <c r="R11" s="7">
        <v>0.1</v>
      </c>
      <c r="S11" s="8">
        <v>0.1</v>
      </c>
    </row>
    <row r="12" ht="14.25" customHeight="1">
      <c r="B12" s="1" t="s">
        <v>9</v>
      </c>
      <c r="C12" s="1">
        <v>500.0</v>
      </c>
      <c r="D12" s="1">
        <v>500.0</v>
      </c>
      <c r="F12" s="1">
        <v>400.0</v>
      </c>
      <c r="G12" s="1">
        <v>400.0</v>
      </c>
      <c r="I12" s="1">
        <v>320.0</v>
      </c>
      <c r="J12" s="1">
        <v>320.0</v>
      </c>
      <c r="L12" s="1">
        <v>600.0</v>
      </c>
      <c r="M12" s="1">
        <v>600.0</v>
      </c>
      <c r="O12" s="1">
        <v>400.0</v>
      </c>
      <c r="P12" s="1">
        <v>400.0</v>
      </c>
      <c r="R12" s="1">
        <f t="shared" ref="R12:S12" si="9">C12*0.9</f>
        <v>450</v>
      </c>
      <c r="S12" s="1">
        <f t="shared" si="9"/>
        <v>450</v>
      </c>
    </row>
    <row r="13" ht="14.25" customHeight="1"/>
    <row r="14" ht="14.25" customHeight="1">
      <c r="B14" s="1" t="s">
        <v>10</v>
      </c>
      <c r="C14" s="3">
        <f t="shared" ref="C14:D14" si="10">C12*C9-C7</f>
        <v>5000</v>
      </c>
      <c r="D14" s="3">
        <f t="shared" si="10"/>
        <v>5000</v>
      </c>
      <c r="F14" s="3">
        <f t="shared" ref="F14:G14" si="11">F12*C9-C7</f>
        <v>2000</v>
      </c>
      <c r="G14" s="3">
        <f t="shared" si="11"/>
        <v>0</v>
      </c>
      <c r="I14" s="3">
        <f t="shared" ref="I14:J14" si="12">I12*C9-C7</f>
        <v>-400</v>
      </c>
      <c r="J14" s="3">
        <f t="shared" si="12"/>
        <v>-4000</v>
      </c>
      <c r="L14" s="4">
        <f t="shared" ref="L14:M14" si="13">L18-C7</f>
        <v>8000</v>
      </c>
      <c r="M14" s="4">
        <f t="shared" si="13"/>
        <v>10000</v>
      </c>
      <c r="R14" s="3">
        <f t="shared" ref="R14:S14" si="14">R12*(C4-C5)-C7</f>
        <v>3500</v>
      </c>
      <c r="S14" s="3">
        <f t="shared" si="14"/>
        <v>2500</v>
      </c>
    </row>
    <row r="15" ht="14.25" customHeight="1"/>
    <row r="16" ht="14.25" customHeight="1">
      <c r="B16" s="1" t="s">
        <v>11</v>
      </c>
      <c r="L16" s="9">
        <f t="shared" ref="L16:M16" si="15">L9/L7</f>
        <v>3</v>
      </c>
      <c r="M16" s="9">
        <f t="shared" si="15"/>
        <v>5</v>
      </c>
      <c r="Q16" s="6" t="s">
        <v>12</v>
      </c>
      <c r="R16" s="1">
        <f t="shared" ref="R16:S16" si="16">(C14-R14)/C14</f>
        <v>0.3</v>
      </c>
      <c r="S16" s="1">
        <f t="shared" si="16"/>
        <v>0.5</v>
      </c>
    </row>
    <row r="17" ht="14.25" customHeight="1">
      <c r="B17" s="1" t="s">
        <v>13</v>
      </c>
      <c r="Q17" s="6" t="s">
        <v>14</v>
      </c>
    </row>
    <row r="18" ht="14.25" customHeight="1">
      <c r="B18" s="1" t="s">
        <v>15</v>
      </c>
      <c r="C18" s="1">
        <f t="shared" ref="C18:D18" si="17">C12*C9</f>
        <v>15000</v>
      </c>
      <c r="D18" s="1">
        <f t="shared" si="17"/>
        <v>25000</v>
      </c>
      <c r="L18" s="1">
        <f t="shared" ref="L18:M18" si="18">L12*C9</f>
        <v>18000</v>
      </c>
      <c r="M18" s="1">
        <f t="shared" si="18"/>
        <v>30000</v>
      </c>
      <c r="Q18" s="6" t="s">
        <v>16</v>
      </c>
      <c r="R18" s="10">
        <f t="shared" ref="R18:S18" si="19">R16/R11</f>
        <v>3</v>
      </c>
      <c r="S18" s="10">
        <f t="shared" si="19"/>
        <v>5</v>
      </c>
    </row>
    <row r="19" ht="14.25" customHeight="1">
      <c r="B19" s="1" t="s">
        <v>17</v>
      </c>
      <c r="C19" s="11">
        <f t="shared" ref="C19:D19" si="20">C18/C14</f>
        <v>3</v>
      </c>
      <c r="D19" s="11">
        <f t="shared" si="20"/>
        <v>5</v>
      </c>
      <c r="L19" s="1">
        <f t="shared" ref="L19:M19" si="21">L18/L14</f>
        <v>2.25</v>
      </c>
      <c r="M19" s="11">
        <f t="shared" si="21"/>
        <v>3</v>
      </c>
    </row>
    <row r="20" ht="14.25" customHeight="1">
      <c r="Q20" s="6" t="s">
        <v>18</v>
      </c>
    </row>
    <row r="21" ht="14.25" customHeight="1">
      <c r="B21" s="1" t="s">
        <v>19</v>
      </c>
      <c r="C21" s="1">
        <v>2000.0</v>
      </c>
      <c r="D21" s="1">
        <v>4000.0</v>
      </c>
      <c r="L21" s="1">
        <v>606.0</v>
      </c>
      <c r="M21" s="1">
        <v>606.0</v>
      </c>
    </row>
    <row r="22" ht="14.25" customHeight="1">
      <c r="L22" s="1">
        <f t="shared" ref="L22:M22" si="22">L14*(1+L19/100)</f>
        <v>8180</v>
      </c>
      <c r="M22" s="1">
        <f t="shared" si="22"/>
        <v>10300</v>
      </c>
    </row>
    <row r="23" ht="14.25" customHeight="1"/>
    <row r="24" ht="14.25" customHeight="1">
      <c r="B24" s="1" t="s">
        <v>20</v>
      </c>
      <c r="C24" s="3">
        <f t="shared" ref="C24:D24" si="23">C14-C21</f>
        <v>3000</v>
      </c>
      <c r="D24" s="3">
        <f t="shared" si="23"/>
        <v>1000</v>
      </c>
      <c r="L24" s="4">
        <f t="shared" ref="L24:M24" si="24">L14-C21</f>
        <v>6000</v>
      </c>
      <c r="M24" s="4">
        <f t="shared" si="24"/>
        <v>6000</v>
      </c>
    </row>
    <row r="25" ht="14.25" customHeight="1">
      <c r="B25" s="1" t="s">
        <v>21</v>
      </c>
      <c r="C25" s="1">
        <f t="shared" ref="C25:D25" si="25">0.25*C24</f>
        <v>750</v>
      </c>
      <c r="D25" s="1">
        <f t="shared" si="25"/>
        <v>250</v>
      </c>
      <c r="F25" s="1">
        <f t="shared" ref="F25:M25" si="26">0.25*F24</f>
        <v>0</v>
      </c>
      <c r="G25" s="1">
        <f t="shared" si="26"/>
        <v>0</v>
      </c>
      <c r="H25" s="1">
        <f t="shared" si="26"/>
        <v>0</v>
      </c>
      <c r="I25" s="1">
        <f t="shared" si="26"/>
        <v>0</v>
      </c>
      <c r="J25" s="1">
        <f t="shared" si="26"/>
        <v>0</v>
      </c>
      <c r="K25" s="1">
        <f t="shared" si="26"/>
        <v>0</v>
      </c>
      <c r="L25" s="1">
        <f t="shared" si="26"/>
        <v>1500</v>
      </c>
      <c r="M25" s="1">
        <f t="shared" si="26"/>
        <v>1500</v>
      </c>
    </row>
    <row r="26" ht="14.25" customHeight="1">
      <c r="B26" s="1" t="s">
        <v>22</v>
      </c>
      <c r="C26" s="3">
        <f t="shared" ref="C26:D26" si="27">C24-C25</f>
        <v>2250</v>
      </c>
      <c r="D26" s="3">
        <f t="shared" si="27"/>
        <v>750</v>
      </c>
      <c r="F26" s="1">
        <f t="shared" ref="F26:M26" si="28">F24-F25</f>
        <v>0</v>
      </c>
      <c r="G26" s="1">
        <f t="shared" si="28"/>
        <v>0</v>
      </c>
      <c r="H26" s="1">
        <f t="shared" si="28"/>
        <v>0</v>
      </c>
      <c r="I26" s="1">
        <f t="shared" si="28"/>
        <v>0</v>
      </c>
      <c r="J26" s="1">
        <f t="shared" si="28"/>
        <v>0</v>
      </c>
      <c r="K26" s="1">
        <f t="shared" si="28"/>
        <v>0</v>
      </c>
      <c r="L26" s="3">
        <f t="shared" si="28"/>
        <v>4500</v>
      </c>
      <c r="M26" s="3">
        <f t="shared" si="28"/>
        <v>4500</v>
      </c>
    </row>
    <row r="27" ht="14.25" customHeight="1"/>
    <row r="28" ht="14.25" customHeight="1">
      <c r="B28" s="1" t="s">
        <v>23</v>
      </c>
      <c r="L28" s="5">
        <f t="shared" ref="L28:M28" si="29">L14/C14-1</f>
        <v>0.6</v>
      </c>
      <c r="M28" s="5">
        <f t="shared" si="29"/>
        <v>1</v>
      </c>
      <c r="Q28" s="6" t="s">
        <v>24</v>
      </c>
      <c r="R28" s="6">
        <v>70.0</v>
      </c>
      <c r="S28" s="6">
        <v>40.0</v>
      </c>
    </row>
    <row r="29" ht="14.25" customHeight="1">
      <c r="Q29" s="6" t="s">
        <v>25</v>
      </c>
      <c r="R29" s="6">
        <v>30.0</v>
      </c>
      <c r="S29" s="6">
        <v>60.0</v>
      </c>
    </row>
    <row r="30" ht="14.25" customHeight="1">
      <c r="B30" s="1" t="s">
        <v>26</v>
      </c>
      <c r="L30" s="5">
        <f t="shared" ref="L30:M30" si="30">L26/C26-1</f>
        <v>1</v>
      </c>
      <c r="M30" s="5">
        <f t="shared" si="30"/>
        <v>5</v>
      </c>
    </row>
    <row r="31" ht="14.25" customHeight="1">
      <c r="B31" s="1" t="s">
        <v>27</v>
      </c>
    </row>
    <row r="32" ht="14.25" customHeight="1">
      <c r="B32" s="1" t="s">
        <v>28</v>
      </c>
      <c r="C32" s="9">
        <f t="shared" ref="C32:D32" si="31">L30/L28</f>
        <v>1.666666667</v>
      </c>
      <c r="D32" s="9">
        <f t="shared" si="31"/>
        <v>5</v>
      </c>
    </row>
    <row r="33" ht="14.25" customHeight="1"/>
    <row r="34" ht="14.25" customHeight="1">
      <c r="B34" s="1" t="s">
        <v>29</v>
      </c>
      <c r="C34" s="11">
        <f t="shared" ref="C34:D34" si="32">C14/C24</f>
        <v>1.666666667</v>
      </c>
      <c r="D34" s="11">
        <f t="shared" si="32"/>
        <v>5</v>
      </c>
    </row>
    <row r="35" ht="14.25" customHeight="1"/>
    <row r="36" ht="14.25" customHeight="1">
      <c r="B36" s="12" t="s">
        <v>30</v>
      </c>
      <c r="C36" s="13">
        <f t="shared" ref="C36:D36" si="33">C19*C32</f>
        <v>5</v>
      </c>
      <c r="D36" s="13">
        <f t="shared" si="33"/>
        <v>25</v>
      </c>
    </row>
    <row r="37" ht="14.25" customHeight="1"/>
    <row r="38" ht="14.25" customHeight="1"/>
    <row r="39" ht="14.25" customHeight="1">
      <c r="B39" s="1" t="s">
        <v>31</v>
      </c>
    </row>
    <row r="40" ht="14.25" customHeight="1"/>
    <row r="41" ht="14.25" customHeight="1">
      <c r="B41" s="1" t="s">
        <v>32</v>
      </c>
      <c r="C41" s="11">
        <f t="shared" ref="C41:D41" si="34">C18/C24</f>
        <v>5</v>
      </c>
      <c r="D41" s="11">
        <f t="shared" si="34"/>
        <v>25</v>
      </c>
    </row>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8.88"/>
    <col customWidth="1" min="4" max="4" width="8.88"/>
    <col customWidth="1" min="5" max="6" width="7.63"/>
    <col customWidth="1" min="7" max="7" width="8.88"/>
    <col customWidth="1" min="8" max="26" width="7.63"/>
  </cols>
  <sheetData>
    <row r="1" ht="14.25" customHeight="1"/>
    <row r="2" ht="14.25" customHeight="1"/>
    <row r="3" ht="14.25" customHeight="1">
      <c r="C3" s="1" t="s">
        <v>102</v>
      </c>
      <c r="D3" s="1">
        <v>1.0</v>
      </c>
      <c r="E3" s="1">
        <v>2.0</v>
      </c>
      <c r="F3" s="1">
        <v>3.0</v>
      </c>
      <c r="G3" s="1">
        <v>4.0</v>
      </c>
    </row>
    <row r="4" ht="14.25" customHeight="1">
      <c r="C4" s="1" t="s">
        <v>38</v>
      </c>
      <c r="D4" s="42">
        <v>1000.0</v>
      </c>
      <c r="E4" s="42">
        <v>1500.0</v>
      </c>
      <c r="F4" s="42">
        <v>1800.0</v>
      </c>
      <c r="G4" s="42">
        <v>1600.0</v>
      </c>
    </row>
    <row r="5" ht="14.25" customHeight="1">
      <c r="C5" s="1" t="s">
        <v>103</v>
      </c>
      <c r="D5" s="5">
        <f t="shared" ref="D5:G5" si="1">20%</f>
        <v>0.2</v>
      </c>
      <c r="E5" s="5">
        <f t="shared" si="1"/>
        <v>0.2</v>
      </c>
      <c r="F5" s="5">
        <f t="shared" si="1"/>
        <v>0.2</v>
      </c>
      <c r="G5" s="5">
        <f t="shared" si="1"/>
        <v>0.2</v>
      </c>
    </row>
    <row r="6" ht="14.25" customHeight="1">
      <c r="C6" s="1" t="s">
        <v>50</v>
      </c>
      <c r="D6" s="1">
        <v>100.0</v>
      </c>
      <c r="E6" s="1">
        <v>100.0</v>
      </c>
      <c r="F6" s="1">
        <v>100.0</v>
      </c>
      <c r="G6" s="1">
        <v>100.0</v>
      </c>
    </row>
    <row r="7" ht="14.25" customHeight="1">
      <c r="C7" s="1" t="s">
        <v>104</v>
      </c>
      <c r="D7" s="42">
        <f t="shared" ref="D7:G7" si="2">D5*D4</f>
        <v>200</v>
      </c>
      <c r="E7" s="42">
        <f t="shared" si="2"/>
        <v>300</v>
      </c>
      <c r="F7" s="42">
        <f t="shared" si="2"/>
        <v>360</v>
      </c>
      <c r="G7" s="42">
        <f t="shared" si="2"/>
        <v>320</v>
      </c>
    </row>
    <row r="8" ht="14.25" customHeight="1">
      <c r="C8" s="1" t="s">
        <v>105</v>
      </c>
      <c r="D8" s="43">
        <f t="shared" ref="D8:G8" si="3">D7/D6</f>
        <v>2</v>
      </c>
      <c r="E8" s="43">
        <f t="shared" si="3"/>
        <v>3</v>
      </c>
      <c r="F8" s="43">
        <f t="shared" si="3"/>
        <v>3.6</v>
      </c>
      <c r="G8" s="43">
        <f t="shared" si="3"/>
        <v>3.2</v>
      </c>
    </row>
    <row r="9" ht="14.25" customHeight="1">
      <c r="C9" s="1" t="s">
        <v>106</v>
      </c>
      <c r="D9" s="43">
        <v>2.0</v>
      </c>
      <c r="E9" s="43">
        <v>2.0</v>
      </c>
      <c r="F9" s="43">
        <v>2.5</v>
      </c>
      <c r="G9" s="43">
        <v>2.5</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13"/>
    <col customWidth="1" min="3" max="3" width="23.0"/>
    <col customWidth="1" min="4" max="5" width="7.63"/>
    <col customWidth="1" min="6" max="6" width="23.38"/>
    <col customWidth="1" min="7" max="26" width="7.63"/>
  </cols>
  <sheetData>
    <row r="1" ht="14.25" customHeight="1"/>
    <row r="2" ht="27.0" customHeight="1">
      <c r="B2" s="16" t="s">
        <v>50</v>
      </c>
      <c r="C2" s="37" t="s">
        <v>90</v>
      </c>
      <c r="D2" s="37"/>
      <c r="E2" s="37"/>
      <c r="F2" s="37" t="s">
        <v>91</v>
      </c>
    </row>
    <row r="3" ht="14.25" customHeight="1">
      <c r="B3" s="1">
        <v>100.0</v>
      </c>
      <c r="C3" s="16" t="s">
        <v>92</v>
      </c>
      <c r="D3" s="17">
        <f>100*10</f>
        <v>1000</v>
      </c>
      <c r="E3" s="17"/>
      <c r="F3" s="16" t="s">
        <v>107</v>
      </c>
      <c r="G3" s="17">
        <v>3000.0</v>
      </c>
    </row>
    <row r="4" ht="14.25" customHeight="1">
      <c r="B4" s="23"/>
      <c r="C4" s="1" t="s">
        <v>94</v>
      </c>
      <c r="D4" s="17">
        <v>3000.0</v>
      </c>
      <c r="E4" s="17">
        <f>D3+D4</f>
        <v>4000</v>
      </c>
      <c r="F4" s="1" t="s">
        <v>95</v>
      </c>
      <c r="G4" s="17">
        <v>2000.0</v>
      </c>
    </row>
    <row r="5" ht="14.25" customHeight="1">
      <c r="C5" s="1" t="s">
        <v>96</v>
      </c>
      <c r="D5" s="17"/>
      <c r="E5" s="17">
        <v>3000.0</v>
      </c>
      <c r="F5" s="1" t="s">
        <v>97</v>
      </c>
      <c r="G5" s="17">
        <v>1000.0</v>
      </c>
    </row>
    <row r="6" ht="14.25" customHeight="1">
      <c r="C6" s="1" t="s">
        <v>98</v>
      </c>
      <c r="D6" s="17"/>
      <c r="E6" s="38">
        <v>2000.0</v>
      </c>
      <c r="F6" s="1" t="s">
        <v>99</v>
      </c>
      <c r="G6" s="38">
        <v>3000.0</v>
      </c>
    </row>
    <row r="7" ht="14.25" customHeight="1">
      <c r="D7" s="17"/>
      <c r="E7" s="39">
        <f>SUM(E4:E6)</f>
        <v>9000</v>
      </c>
      <c r="G7" s="39">
        <f>SUM(G3:G6)</f>
        <v>9000</v>
      </c>
    </row>
    <row r="8" ht="14.25" customHeight="1"/>
    <row r="9" ht="14.25" customHeight="1">
      <c r="C9" s="1" t="s">
        <v>108</v>
      </c>
    </row>
    <row r="10" ht="14.25" customHeight="1">
      <c r="B10" s="1">
        <f>B3*2</f>
        <v>200</v>
      </c>
      <c r="C10" s="16" t="s">
        <v>109</v>
      </c>
      <c r="D10" s="17">
        <f>D3*2</f>
        <v>2000</v>
      </c>
      <c r="F10" s="16" t="str">
        <f t="shared" ref="F10:G10" si="1">F3</f>
        <v>Plant, property and equipment (net)</v>
      </c>
      <c r="G10" s="17">
        <f t="shared" si="1"/>
        <v>3000</v>
      </c>
    </row>
    <row r="11" ht="14.25" customHeight="1">
      <c r="C11" s="1" t="str">
        <f t="shared" ref="C11:C13" si="2">C4</f>
        <v>Retained earnings</v>
      </c>
      <c r="D11" s="17">
        <f>D4-1000</f>
        <v>2000</v>
      </c>
      <c r="E11" s="17">
        <f>D10+D11</f>
        <v>4000</v>
      </c>
      <c r="G11" s="17">
        <f>G4</f>
        <v>2000</v>
      </c>
    </row>
    <row r="12" ht="14.25" customHeight="1">
      <c r="C12" s="1" t="str">
        <f t="shared" si="2"/>
        <v>Long term debt</v>
      </c>
      <c r="E12" s="17">
        <f t="shared" ref="E12:G12" si="3">E5</f>
        <v>3000</v>
      </c>
      <c r="F12" s="1" t="str">
        <f t="shared" si="3"/>
        <v>Trade receivables</v>
      </c>
      <c r="G12" s="17">
        <f t="shared" si="3"/>
        <v>1000</v>
      </c>
    </row>
    <row r="13" ht="14.25" customHeight="1">
      <c r="C13" s="1" t="str">
        <f t="shared" si="2"/>
        <v>Current liabilities</v>
      </c>
      <c r="E13" s="38">
        <f t="shared" ref="E13:G13" si="4">E6</f>
        <v>2000</v>
      </c>
      <c r="F13" s="1" t="str">
        <f t="shared" si="4"/>
        <v>Cash and cash equivalents</v>
      </c>
      <c r="G13" s="38">
        <f t="shared" si="4"/>
        <v>3000</v>
      </c>
    </row>
    <row r="14" ht="14.25" customHeight="1">
      <c r="E14" s="39">
        <f>SUM(E11:E13)</f>
        <v>9000</v>
      </c>
      <c r="G14" s="39">
        <f>SUM(G10:G13)</f>
        <v>9000</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13"/>
    <col customWidth="1" min="3" max="3" width="23.0"/>
    <col customWidth="1" min="4" max="5" width="7.63"/>
    <col customWidth="1" min="6" max="6" width="23.38"/>
    <col customWidth="1" min="7" max="26" width="7.63"/>
  </cols>
  <sheetData>
    <row r="1" ht="14.25" customHeight="1"/>
    <row r="2" ht="28.5" customHeight="1">
      <c r="B2" s="16" t="s">
        <v>50</v>
      </c>
      <c r="C2" s="37" t="s">
        <v>90</v>
      </c>
      <c r="D2" s="37"/>
      <c r="E2" s="37"/>
      <c r="F2" s="37" t="s">
        <v>91</v>
      </c>
    </row>
    <row r="3" ht="14.25" customHeight="1">
      <c r="B3" s="1">
        <v>100.0</v>
      </c>
      <c r="C3" s="16" t="s">
        <v>92</v>
      </c>
      <c r="D3" s="17">
        <f>100*10</f>
        <v>1000</v>
      </c>
      <c r="E3" s="17"/>
      <c r="F3" s="16" t="s">
        <v>107</v>
      </c>
      <c r="G3" s="17">
        <v>3000.0</v>
      </c>
    </row>
    <row r="4" ht="14.25" customHeight="1">
      <c r="B4" s="23"/>
      <c r="C4" s="1" t="s">
        <v>94</v>
      </c>
      <c r="D4" s="17">
        <v>3000.0</v>
      </c>
      <c r="E4" s="17">
        <f>D3+D4</f>
        <v>4000</v>
      </c>
      <c r="F4" s="1" t="s">
        <v>95</v>
      </c>
      <c r="G4" s="17">
        <v>2000.0</v>
      </c>
    </row>
    <row r="5" ht="14.25" customHeight="1">
      <c r="C5" s="1" t="s">
        <v>96</v>
      </c>
      <c r="D5" s="17"/>
      <c r="E5" s="17">
        <v>3000.0</v>
      </c>
      <c r="F5" s="1" t="s">
        <v>97</v>
      </c>
      <c r="G5" s="17">
        <v>1000.0</v>
      </c>
    </row>
    <row r="6" ht="14.25" customHeight="1">
      <c r="C6" s="1" t="s">
        <v>98</v>
      </c>
      <c r="D6" s="17"/>
      <c r="E6" s="38">
        <v>2000.0</v>
      </c>
      <c r="F6" s="1" t="s">
        <v>99</v>
      </c>
      <c r="G6" s="38">
        <v>3000.0</v>
      </c>
    </row>
    <row r="7" ht="14.25" customHeight="1">
      <c r="D7" s="17"/>
      <c r="E7" s="39">
        <f>SUM(E4:E6)</f>
        <v>9000</v>
      </c>
      <c r="G7" s="39">
        <f>SUM(G3:G6)</f>
        <v>9000</v>
      </c>
    </row>
    <row r="8" ht="14.25" customHeight="1"/>
    <row r="9" ht="14.25" customHeight="1">
      <c r="C9" s="40" t="s">
        <v>110</v>
      </c>
    </row>
    <row r="10" ht="14.25" customHeight="1">
      <c r="B10" s="1">
        <f>B3*2</f>
        <v>200</v>
      </c>
      <c r="C10" s="16" t="s">
        <v>111</v>
      </c>
      <c r="D10" s="17">
        <f>200*5</f>
        <v>1000</v>
      </c>
      <c r="F10" s="16" t="str">
        <f t="shared" ref="F10:G10" si="1">F3</f>
        <v>Plant, property and equipment (net)</v>
      </c>
      <c r="G10" s="17">
        <f t="shared" si="1"/>
        <v>3000</v>
      </c>
    </row>
    <row r="11" ht="14.25" customHeight="1">
      <c r="C11" s="1" t="str">
        <f t="shared" ref="C11:D11" si="2">C4</f>
        <v>Retained earnings</v>
      </c>
      <c r="D11" s="17">
        <f t="shared" si="2"/>
        <v>3000</v>
      </c>
      <c r="E11" s="17">
        <f>D10+D11</f>
        <v>4000</v>
      </c>
      <c r="G11" s="17">
        <f>G4</f>
        <v>2000</v>
      </c>
    </row>
    <row r="12" ht="14.25" customHeight="1">
      <c r="C12" s="1" t="str">
        <f t="shared" ref="C12:C13" si="4">C5</f>
        <v>Long term debt</v>
      </c>
      <c r="E12" s="17">
        <f t="shared" ref="E12:G12" si="3">E5</f>
        <v>3000</v>
      </c>
      <c r="F12" s="1" t="str">
        <f t="shared" si="3"/>
        <v>Trade receivables</v>
      </c>
      <c r="G12" s="17">
        <f t="shared" si="3"/>
        <v>1000</v>
      </c>
    </row>
    <row r="13" ht="14.25" customHeight="1">
      <c r="C13" s="1" t="str">
        <f t="shared" si="4"/>
        <v>Current liabilities</v>
      </c>
      <c r="E13" s="38">
        <f t="shared" ref="E13:G13" si="5">E6</f>
        <v>2000</v>
      </c>
      <c r="F13" s="1" t="str">
        <f t="shared" si="5"/>
        <v>Cash and cash equivalents</v>
      </c>
      <c r="G13" s="38">
        <f t="shared" si="5"/>
        <v>3000</v>
      </c>
    </row>
    <row r="14" ht="14.25" customHeight="1">
      <c r="E14" s="39">
        <f>SUM(E11:E13)</f>
        <v>9000</v>
      </c>
      <c r="G14" s="39">
        <f>SUM(G10:G13)</f>
        <v>9000</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5.88"/>
  </cols>
  <sheetData>
    <row r="3">
      <c r="D3" s="6" t="s">
        <v>33</v>
      </c>
      <c r="F3" s="6" t="s">
        <v>19</v>
      </c>
      <c r="G3" s="6">
        <v>10000.0</v>
      </c>
      <c r="H3" s="6">
        <v>10000.0</v>
      </c>
    </row>
    <row r="4">
      <c r="B4" s="2" t="s">
        <v>34</v>
      </c>
      <c r="C4" s="6">
        <v>100000.0</v>
      </c>
      <c r="D4" s="1">
        <f t="shared" ref="D4:D5" si="2">C4*(1+0.1)</f>
        <v>110000</v>
      </c>
      <c r="F4" s="6" t="s">
        <v>20</v>
      </c>
      <c r="G4" s="1">
        <f t="shared" ref="G4:H4" si="1">C7-G3</f>
        <v>40000</v>
      </c>
      <c r="H4" s="1">
        <f t="shared" si="1"/>
        <v>47000</v>
      </c>
    </row>
    <row r="5">
      <c r="B5" s="6" t="s">
        <v>35</v>
      </c>
      <c r="C5" s="6">
        <v>30000.0</v>
      </c>
      <c r="D5" s="1">
        <f t="shared" si="2"/>
        <v>33000</v>
      </c>
      <c r="F5" s="6" t="s">
        <v>36</v>
      </c>
      <c r="G5" s="1">
        <f t="shared" ref="G5:H5" si="3">G4*0.3</f>
        <v>12000</v>
      </c>
      <c r="H5" s="1">
        <f t="shared" si="3"/>
        <v>14100</v>
      </c>
    </row>
    <row r="6">
      <c r="B6" s="6" t="s">
        <v>37</v>
      </c>
      <c r="C6" s="6">
        <v>20000.0</v>
      </c>
      <c r="D6" s="1">
        <f>C6</f>
        <v>20000</v>
      </c>
      <c r="F6" s="6" t="s">
        <v>38</v>
      </c>
      <c r="G6" s="1">
        <f t="shared" ref="G6:H6" si="4">G4-G5</f>
        <v>28000</v>
      </c>
      <c r="H6" s="1">
        <f t="shared" si="4"/>
        <v>32900</v>
      </c>
    </row>
    <row r="7">
      <c r="B7" s="2" t="s">
        <v>39</v>
      </c>
      <c r="C7" s="1">
        <f t="shared" ref="C7:D7" si="5">C4-C5-C6</f>
        <v>50000</v>
      </c>
      <c r="D7" s="1">
        <f t="shared" si="5"/>
        <v>57000</v>
      </c>
      <c r="F7" s="6" t="s">
        <v>40</v>
      </c>
      <c r="H7" s="14">
        <f>H6/G6-1</f>
        <v>0.175</v>
      </c>
    </row>
    <row r="8">
      <c r="B8" s="6" t="s">
        <v>41</v>
      </c>
      <c r="C8" s="1">
        <f t="shared" ref="C8:D8" si="6">C4-C5</f>
        <v>70000</v>
      </c>
      <c r="D8" s="1">
        <f t="shared" si="6"/>
        <v>77000</v>
      </c>
      <c r="F8" s="6" t="s">
        <v>42</v>
      </c>
      <c r="H8" s="14">
        <f>D7/C7-1</f>
        <v>0.14</v>
      </c>
    </row>
    <row r="9">
      <c r="B9" s="6" t="s">
        <v>14</v>
      </c>
      <c r="C9" s="1">
        <f t="shared" ref="C9:D9" si="7">C8/C7</f>
        <v>1.4</v>
      </c>
      <c r="D9" s="10">
        <f t="shared" si="7"/>
        <v>1.350877193</v>
      </c>
      <c r="F9" s="6" t="s">
        <v>27</v>
      </c>
    </row>
    <row r="10">
      <c r="B10" s="6" t="s">
        <v>43</v>
      </c>
      <c r="F10" s="6" t="s">
        <v>44</v>
      </c>
      <c r="G10" s="1">
        <f>C7/G4</f>
        <v>1.25</v>
      </c>
    </row>
    <row r="11">
      <c r="G11" s="15">
        <f>H7/H8</f>
        <v>1.25</v>
      </c>
    </row>
    <row r="14">
      <c r="F14" s="6" t="s">
        <v>45</v>
      </c>
      <c r="G14" s="1">
        <f>C9*G10</f>
        <v>1.75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50.25"/>
    <col customWidth="1" min="4" max="5" width="11.5"/>
    <col customWidth="1" min="6" max="26" width="7.63"/>
  </cols>
  <sheetData>
    <row r="1" ht="14.25" customHeight="1"/>
    <row r="2" ht="14.25" customHeight="1"/>
    <row r="3" ht="14.25" customHeight="1">
      <c r="C3" s="16" t="s">
        <v>46</v>
      </c>
    </row>
    <row r="4" ht="14.25" customHeight="1">
      <c r="D4" s="1" t="s">
        <v>47</v>
      </c>
      <c r="E4" s="1" t="s">
        <v>48</v>
      </c>
    </row>
    <row r="5" ht="14.25" customHeight="1">
      <c r="C5" s="1" t="s">
        <v>25</v>
      </c>
      <c r="D5" s="17">
        <v>130500.0</v>
      </c>
      <c r="E5" s="17">
        <v>243600.0</v>
      </c>
    </row>
    <row r="6" ht="14.25" customHeight="1">
      <c r="C6" s="1" t="s">
        <v>49</v>
      </c>
      <c r="D6" s="5">
        <v>0.1</v>
      </c>
      <c r="E6" s="5">
        <v>0.1</v>
      </c>
    </row>
    <row r="7" ht="14.25" customHeight="1">
      <c r="C7" s="1" t="s">
        <v>50</v>
      </c>
      <c r="D7" s="18">
        <v>13000.0</v>
      </c>
      <c r="E7" s="18">
        <v>10400.0</v>
      </c>
    </row>
    <row r="8" ht="14.25" customHeight="1">
      <c r="C8" s="1" t="s">
        <v>51</v>
      </c>
      <c r="D8" s="19">
        <v>0.2</v>
      </c>
      <c r="E8" s="19">
        <v>0.2</v>
      </c>
    </row>
    <row r="9" ht="14.25" customHeight="1"/>
    <row r="10" ht="14.25" customHeight="1"/>
    <row r="11" ht="14.25" customHeight="1">
      <c r="C11" s="1" t="s">
        <v>52</v>
      </c>
      <c r="D11" s="20">
        <v>50000.0</v>
      </c>
      <c r="E11" s="21">
        <f>D11</f>
        <v>50000</v>
      </c>
    </row>
    <row r="12" ht="14.25" customHeight="1">
      <c r="C12" s="1" t="s">
        <v>19</v>
      </c>
      <c r="D12" s="17">
        <f t="shared" ref="D12:E12" si="1">D5*D6</f>
        <v>13050</v>
      </c>
      <c r="E12" s="17">
        <f t="shared" si="1"/>
        <v>24360</v>
      </c>
    </row>
    <row r="13" ht="14.25" customHeight="1">
      <c r="C13" s="1" t="s">
        <v>53</v>
      </c>
      <c r="D13" s="17">
        <f t="shared" ref="D13:E13" si="2">D11-D12</f>
        <v>36950</v>
      </c>
      <c r="E13" s="17">
        <f t="shared" si="2"/>
        <v>25640</v>
      </c>
    </row>
    <row r="14" ht="14.25" customHeight="1">
      <c r="C14" s="1" t="s">
        <v>54</v>
      </c>
      <c r="D14" s="17">
        <f t="shared" ref="D14:E14" si="3">D8*D13</f>
        <v>7390</v>
      </c>
      <c r="E14" s="17">
        <f t="shared" si="3"/>
        <v>5128</v>
      </c>
    </row>
    <row r="15" ht="14.25" customHeight="1">
      <c r="C15" s="1" t="s">
        <v>22</v>
      </c>
      <c r="D15" s="17">
        <f t="shared" ref="D15:E15" si="4">D13-D14</f>
        <v>29560</v>
      </c>
      <c r="E15" s="17">
        <f t="shared" si="4"/>
        <v>20512</v>
      </c>
    </row>
    <row r="16" ht="14.25" customHeight="1">
      <c r="C16" s="1" t="s">
        <v>55</v>
      </c>
      <c r="D16" s="22">
        <f t="shared" ref="D16:E16" si="5">D15/D7</f>
        <v>2.273846154</v>
      </c>
      <c r="E16" s="22">
        <f t="shared" si="5"/>
        <v>1.972307692</v>
      </c>
    </row>
    <row r="17" ht="14.25" customHeight="1"/>
    <row r="18" ht="14.25" customHeight="1"/>
    <row r="19" ht="14.25" customHeight="1">
      <c r="C19" s="6" t="s">
        <v>56</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9" width="7.63"/>
    <col customWidth="1" min="10" max="10" width="13.88"/>
    <col customWidth="1" min="11" max="11" width="10.0"/>
    <col customWidth="1" min="12" max="12" width="7.63"/>
    <col customWidth="1" min="13" max="13" width="10.0"/>
    <col customWidth="1" min="14" max="26" width="7.63"/>
  </cols>
  <sheetData>
    <row r="1" ht="14.25" customHeight="1">
      <c r="J1" s="1" t="s">
        <v>57</v>
      </c>
      <c r="K1" s="1">
        <v>55.0</v>
      </c>
    </row>
    <row r="2" ht="14.25" customHeight="1">
      <c r="J2" s="1" t="s">
        <v>58</v>
      </c>
      <c r="K2" s="1">
        <v>8000.0</v>
      </c>
      <c r="M2" s="23">
        <f>K2-M6</f>
        <v>5200</v>
      </c>
    </row>
    <row r="3" ht="14.25" customHeight="1">
      <c r="J3" s="1" t="s">
        <v>59</v>
      </c>
      <c r="K3" s="17">
        <f>K1*K2</f>
        <v>440000</v>
      </c>
      <c r="M3" s="17">
        <f>K3</f>
        <v>440000</v>
      </c>
    </row>
    <row r="4" ht="14.25" customHeight="1">
      <c r="J4" s="1" t="s">
        <v>25</v>
      </c>
      <c r="K4" s="1">
        <v>0.0</v>
      </c>
      <c r="L4" s="5">
        <v>0.35</v>
      </c>
      <c r="M4" s="17">
        <f>L4*K3</f>
        <v>154000</v>
      </c>
    </row>
    <row r="5" ht="14.25" customHeight="1">
      <c r="J5" s="1" t="s">
        <v>60</v>
      </c>
      <c r="M5" s="17">
        <f>M3-M4</f>
        <v>286000</v>
      </c>
    </row>
    <row r="6" ht="14.25" customHeight="1">
      <c r="J6" s="1" t="s">
        <v>61</v>
      </c>
      <c r="M6" s="23">
        <f>M4/K1</f>
        <v>2800</v>
      </c>
    </row>
    <row r="7" ht="14.25" customHeight="1"/>
    <row r="8" ht="14.25" customHeight="1"/>
    <row r="9" ht="14.25" customHeight="1"/>
    <row r="10" ht="14.25" customHeight="1">
      <c r="J10" s="1" t="s">
        <v>52</v>
      </c>
      <c r="K10" s="17">
        <v>32000.0</v>
      </c>
      <c r="M10" s="17">
        <f>K10</f>
        <v>32000</v>
      </c>
    </row>
    <row r="11" ht="14.25" customHeight="1">
      <c r="J11" s="1" t="s">
        <v>19</v>
      </c>
      <c r="M11" s="17">
        <f>0.08*M4</f>
        <v>12320</v>
      </c>
    </row>
    <row r="12" ht="14.25" customHeight="1">
      <c r="J12" s="1" t="s">
        <v>55</v>
      </c>
      <c r="K12" s="24">
        <f>K10/K2</f>
        <v>4</v>
      </c>
      <c r="M12" s="25">
        <f>(M10-M11)/M2</f>
        <v>3.784615385</v>
      </c>
    </row>
    <row r="13" ht="14.25" customHeight="1"/>
    <row r="14" ht="14.25" customHeight="1">
      <c r="K14" s="24">
        <f>K12*100</f>
        <v>400</v>
      </c>
      <c r="M14" s="24">
        <f>100*M12</f>
        <v>378.4615385</v>
      </c>
    </row>
    <row r="15" ht="14.25" customHeight="1"/>
    <row r="16" ht="14.25" customHeight="1">
      <c r="J16" s="1" t="s">
        <v>19</v>
      </c>
      <c r="K16" s="24">
        <f>0.08*35*55</f>
        <v>154</v>
      </c>
    </row>
    <row r="17" ht="14.25" customHeight="1">
      <c r="K17" s="24">
        <f>K1*100</f>
        <v>5500</v>
      </c>
    </row>
    <row r="18" ht="14.25" customHeight="1">
      <c r="K18" s="24">
        <f>0.35*K17</f>
        <v>1925</v>
      </c>
    </row>
    <row r="19" ht="14.25" customHeight="1">
      <c r="K19" s="24">
        <f>K18*0.08</f>
        <v>154</v>
      </c>
    </row>
    <row r="20" ht="14.25" customHeight="1"/>
    <row r="21" ht="14.25" customHeight="1">
      <c r="J21" s="1" t="s">
        <v>62</v>
      </c>
      <c r="M21" s="1">
        <v>65.0</v>
      </c>
    </row>
    <row r="22" ht="14.25" customHeight="1"/>
    <row r="23" ht="14.25" customHeight="1">
      <c r="M23" s="26">
        <f>M21*M12</f>
        <v>246</v>
      </c>
    </row>
    <row r="24" ht="14.25" customHeight="1">
      <c r="M24" s="24">
        <f>K19</f>
        <v>154</v>
      </c>
    </row>
    <row r="25" ht="14.25" customHeight="1">
      <c r="M25" s="26">
        <f>M23+M24</f>
        <v>400</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2" width="7.63"/>
    <col customWidth="1" min="13" max="13" width="18.5"/>
    <col customWidth="1" min="14" max="14" width="12.38"/>
    <col customWidth="1" min="15" max="26" width="7.63"/>
  </cols>
  <sheetData>
    <row r="1" ht="14.25" customHeight="1"/>
    <row r="2" ht="14.25" customHeight="1">
      <c r="M2" s="27"/>
      <c r="N2" s="27"/>
      <c r="O2" s="27"/>
      <c r="P2" s="27"/>
      <c r="Q2" s="27"/>
      <c r="R2" s="27"/>
      <c r="S2" s="27"/>
      <c r="T2" s="27"/>
    </row>
    <row r="3" ht="14.25" customHeight="1">
      <c r="M3" s="27"/>
      <c r="N3" s="28">
        <v>30000.0</v>
      </c>
      <c r="O3" s="27"/>
      <c r="P3" s="27">
        <v>600000.0</v>
      </c>
      <c r="Q3" s="27"/>
      <c r="R3" s="27"/>
      <c r="S3" s="27"/>
      <c r="T3" s="27"/>
    </row>
    <row r="4" ht="14.25" customHeight="1">
      <c r="M4" s="27"/>
      <c r="N4" s="27"/>
      <c r="O4" s="27"/>
      <c r="P4" s="27"/>
      <c r="Q4" s="27"/>
      <c r="R4" s="27"/>
      <c r="S4" s="27"/>
      <c r="T4" s="27"/>
    </row>
    <row r="5" ht="14.25" customHeight="1">
      <c r="M5" s="27" t="s">
        <v>63</v>
      </c>
      <c r="N5" s="28">
        <f>80000-0.08*300000</f>
        <v>56000</v>
      </c>
      <c r="O5" s="27"/>
      <c r="P5" s="27"/>
      <c r="Q5" s="27"/>
      <c r="R5" s="27"/>
      <c r="S5" s="27"/>
      <c r="T5" s="27"/>
    </row>
    <row r="6" ht="14.25" customHeight="1">
      <c r="M6" s="27"/>
      <c r="N6" s="29">
        <f>N5*0.1</f>
        <v>5600</v>
      </c>
      <c r="O6" s="27"/>
      <c r="P6" s="27"/>
      <c r="Q6" s="27"/>
      <c r="R6" s="27"/>
      <c r="S6" s="27"/>
      <c r="T6" s="27"/>
    </row>
    <row r="7" ht="14.25" customHeight="1">
      <c r="M7" s="27"/>
      <c r="N7" s="27"/>
      <c r="O7" s="27"/>
      <c r="P7" s="27"/>
      <c r="Q7" s="27"/>
      <c r="R7" s="27"/>
      <c r="S7" s="27"/>
      <c r="T7" s="27"/>
    </row>
    <row r="8" ht="14.25" customHeight="1">
      <c r="M8" s="27"/>
      <c r="N8" s="30">
        <f>N6/30000</f>
        <v>0.1866666667</v>
      </c>
      <c r="O8" s="27"/>
      <c r="P8" s="27"/>
      <c r="Q8" s="27"/>
      <c r="R8" s="27"/>
      <c r="S8" s="27"/>
      <c r="T8" s="27"/>
    </row>
    <row r="9" ht="14.25" customHeight="1">
      <c r="M9" s="27"/>
      <c r="N9" s="27"/>
      <c r="O9" s="27"/>
      <c r="P9" s="27"/>
      <c r="Q9" s="27"/>
      <c r="R9" s="27"/>
      <c r="S9" s="27"/>
      <c r="T9" s="27"/>
    </row>
    <row r="10" ht="14.25" customHeight="1">
      <c r="M10" s="27" t="s">
        <v>64</v>
      </c>
      <c r="N10" s="28">
        <f>N3</f>
        <v>30000</v>
      </c>
      <c r="O10" s="27"/>
      <c r="P10" s="27"/>
      <c r="Q10" s="27"/>
      <c r="R10" s="27"/>
      <c r="S10" s="27"/>
      <c r="T10" s="27"/>
    </row>
    <row r="11" ht="14.25" customHeight="1">
      <c r="M11" s="27" t="s">
        <v>65</v>
      </c>
      <c r="N11" s="28">
        <f>N10</f>
        <v>30000</v>
      </c>
      <c r="O11" s="27"/>
      <c r="P11" s="27"/>
      <c r="Q11" s="27"/>
      <c r="R11" s="27"/>
      <c r="S11" s="27"/>
      <c r="T11" s="27"/>
    </row>
    <row r="12" ht="14.25" customHeight="1">
      <c r="M12" s="27" t="s">
        <v>66</v>
      </c>
      <c r="N12" s="28">
        <f>SUM(N10:N11)</f>
        <v>60000</v>
      </c>
      <c r="O12" s="27"/>
      <c r="P12" s="27"/>
      <c r="Q12" s="27"/>
      <c r="R12" s="27"/>
      <c r="S12" s="27"/>
      <c r="T12" s="27"/>
    </row>
    <row r="13" ht="14.25" customHeight="1">
      <c r="M13" s="27"/>
      <c r="N13" s="27"/>
      <c r="O13" s="27"/>
      <c r="P13" s="27"/>
      <c r="Q13" s="27"/>
      <c r="R13" s="27"/>
      <c r="S13" s="27"/>
      <c r="T13" s="27"/>
    </row>
    <row r="14" ht="14.25" customHeight="1">
      <c r="M14" s="27"/>
      <c r="N14" s="31">
        <f>N12/P3</f>
        <v>0.1</v>
      </c>
      <c r="O14" s="27"/>
      <c r="P14" s="27"/>
      <c r="Q14" s="27"/>
      <c r="R14" s="27"/>
      <c r="S14" s="27"/>
      <c r="T14" s="27"/>
    </row>
    <row r="15" ht="14.25" customHeight="1">
      <c r="M15" s="27"/>
      <c r="N15" s="27"/>
      <c r="O15" s="27"/>
      <c r="P15" s="27"/>
      <c r="Q15" s="27"/>
      <c r="R15" s="27"/>
      <c r="S15" s="27"/>
      <c r="T15" s="27"/>
    </row>
    <row r="16" ht="14.25" customHeight="1">
      <c r="M16" s="27"/>
      <c r="N16" s="28">
        <f>80000*N14</f>
        <v>8000</v>
      </c>
      <c r="O16" s="27"/>
      <c r="P16" s="27"/>
      <c r="Q16" s="27"/>
      <c r="R16" s="27"/>
      <c r="S16" s="27"/>
      <c r="T16" s="27"/>
    </row>
    <row r="17" ht="14.25" customHeight="1">
      <c r="M17" s="27"/>
      <c r="N17" s="32">
        <f>0.08*N11</f>
        <v>2400</v>
      </c>
      <c r="O17" s="27"/>
      <c r="P17" s="27"/>
      <c r="Q17" s="27"/>
      <c r="R17" s="27"/>
      <c r="S17" s="27"/>
      <c r="T17" s="27"/>
    </row>
    <row r="18" ht="14.25" customHeight="1">
      <c r="M18" s="27"/>
      <c r="N18" s="32">
        <f>N16-N17</f>
        <v>5600</v>
      </c>
      <c r="O18" s="27"/>
      <c r="P18" s="27"/>
      <c r="Q18" s="27"/>
      <c r="R18" s="27"/>
      <c r="S18" s="27"/>
      <c r="T18" s="27"/>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1.5"/>
    <col customWidth="1" min="3" max="3" width="9.38"/>
    <col customWidth="1" min="4" max="7" width="7.63"/>
    <col customWidth="1" min="8" max="8" width="28.38"/>
    <col customWidth="1" min="9" max="9" width="4.5"/>
    <col customWidth="1" min="10" max="26" width="7.63"/>
  </cols>
  <sheetData>
    <row r="1" ht="14.25" customHeight="1"/>
    <row r="2" ht="14.25" customHeight="1">
      <c r="H2" s="6" t="s">
        <v>67</v>
      </c>
      <c r="I2" s="3">
        <f>I11*(1-I8)/I6</f>
        <v>277333.3333</v>
      </c>
    </row>
    <row r="3" ht="14.25" customHeight="1">
      <c r="H3" s="6" t="s">
        <v>68</v>
      </c>
      <c r="I3" s="33">
        <v>95000.0</v>
      </c>
    </row>
    <row r="4" ht="14.25" customHeight="1">
      <c r="H4" s="6" t="s">
        <v>69</v>
      </c>
      <c r="I4" s="3">
        <f>I2+95000*0.35</f>
        <v>310583.3333</v>
      </c>
    </row>
    <row r="5" ht="14.25" customHeight="1">
      <c r="H5" s="6" t="s">
        <v>60</v>
      </c>
      <c r="I5" s="3">
        <f>I4-I3</f>
        <v>215583.3333</v>
      </c>
    </row>
    <row r="6" ht="14.25" customHeight="1">
      <c r="H6" s="6" t="s">
        <v>70</v>
      </c>
      <c r="I6" s="34">
        <v>0.15</v>
      </c>
    </row>
    <row r="7" ht="14.25" customHeight="1">
      <c r="H7" s="6" t="s">
        <v>71</v>
      </c>
      <c r="I7" s="34">
        <v>0.085</v>
      </c>
    </row>
    <row r="8" ht="14.25" customHeight="1">
      <c r="H8" s="6" t="s">
        <v>51</v>
      </c>
      <c r="I8" s="34">
        <v>0.35</v>
      </c>
    </row>
    <row r="9" ht="14.25" customHeight="1">
      <c r="H9" s="6" t="s">
        <v>72</v>
      </c>
      <c r="I9" s="14">
        <f>I6+(I6-I7)*(I3/I5)*(1-I8)</f>
        <v>0.1686180905</v>
      </c>
    </row>
    <row r="10" ht="14.25" customHeight="1">
      <c r="H10" s="6" t="s">
        <v>73</v>
      </c>
      <c r="I10" s="14">
        <f>I9*I5/I4+I7*(1-I8)*I3/I4</f>
        <v>0.1339415079</v>
      </c>
    </row>
    <row r="11" ht="14.25" customHeight="1">
      <c r="H11" s="6" t="s">
        <v>74</v>
      </c>
      <c r="I11" s="3">
        <v>64000.0</v>
      </c>
    </row>
    <row r="12" ht="14.25" customHeight="1">
      <c r="H12" s="6" t="s">
        <v>59</v>
      </c>
      <c r="I12" s="3">
        <f>I11*(1-I8)/I10</f>
        <v>310583.3333</v>
      </c>
    </row>
    <row r="13" ht="14.25" customHeight="1"/>
    <row r="14" ht="14.25" customHeight="1">
      <c r="H14" s="35" t="s">
        <v>75</v>
      </c>
    </row>
    <row r="15" ht="34.5" customHeight="1">
      <c r="B15" s="36" t="s">
        <v>76</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
    <mergeCell ref="B15:F15"/>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7.63"/>
    <col customWidth="1" min="12" max="12" width="32.5"/>
    <col customWidth="1" min="13" max="13" width="9.75"/>
    <col customWidth="1" min="1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c r="L14" s="1" t="s">
        <v>77</v>
      </c>
    </row>
    <row r="15" ht="14.25" customHeight="1"/>
    <row r="16" ht="14.25" customHeight="1">
      <c r="L16" s="1" t="s">
        <v>78</v>
      </c>
    </row>
    <row r="17" ht="14.25" customHeight="1">
      <c r="L17" s="1" t="s">
        <v>79</v>
      </c>
    </row>
    <row r="18" ht="14.25" customHeight="1">
      <c r="L18" s="1" t="s">
        <v>80</v>
      </c>
    </row>
    <row r="19" ht="14.25" customHeight="1">
      <c r="L19" s="1" t="s">
        <v>81</v>
      </c>
    </row>
    <row r="20" ht="14.25" customHeight="1">
      <c r="L20" s="1" t="s">
        <v>82</v>
      </c>
    </row>
    <row r="21" ht="14.25" customHeight="1">
      <c r="L21" s="1" t="s">
        <v>83</v>
      </c>
    </row>
    <row r="22" ht="14.25" customHeight="1">
      <c r="L22" s="1" t="s">
        <v>84</v>
      </c>
    </row>
    <row r="23" ht="14.25" customHeight="1"/>
    <row r="24" ht="14.25" customHeight="1">
      <c r="L24" s="1" t="s">
        <v>85</v>
      </c>
    </row>
    <row r="25" ht="14.25" customHeight="1">
      <c r="L25" s="1" t="s">
        <v>86</v>
      </c>
    </row>
    <row r="26" ht="14.25" customHeight="1">
      <c r="L26" s="1" t="s">
        <v>87</v>
      </c>
      <c r="M26" s="9">
        <f>(2300-750)/46.09</f>
        <v>33.62985463</v>
      </c>
    </row>
    <row r="27" ht="14.25" customHeight="1">
      <c r="L27" s="1" t="s">
        <v>88</v>
      </c>
      <c r="M27" s="24">
        <f>(1000+M26)*53</f>
        <v>54782.3823</v>
      </c>
    </row>
    <row r="28" ht="14.25" customHeight="1">
      <c r="L28" s="1" t="s">
        <v>89</v>
      </c>
      <c r="M28" s="24">
        <f>750/1.15+M27/(1.15)^2</f>
        <v>42075.52537</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9.38"/>
    <col customWidth="1" min="3" max="4" width="8.88"/>
    <col customWidth="1" min="5" max="5" width="23.38"/>
    <col customWidth="1" min="6" max="26" width="7.63"/>
  </cols>
  <sheetData>
    <row r="1" ht="14.25" customHeight="1"/>
    <row r="2" ht="26.25" customHeight="1">
      <c r="A2" s="16" t="s">
        <v>50</v>
      </c>
      <c r="B2" s="37" t="s">
        <v>90</v>
      </c>
      <c r="C2" s="37"/>
      <c r="D2" s="37"/>
      <c r="E2" s="37" t="s">
        <v>91</v>
      </c>
    </row>
    <row r="3" ht="14.25" customHeight="1">
      <c r="A3" s="1">
        <v>100.0</v>
      </c>
      <c r="B3" s="16" t="s">
        <v>92</v>
      </c>
      <c r="C3" s="17">
        <f>100*10</f>
        <v>1000</v>
      </c>
      <c r="D3" s="17"/>
      <c r="E3" s="16" t="s">
        <v>93</v>
      </c>
      <c r="F3" s="17">
        <v>3000.0</v>
      </c>
    </row>
    <row r="4" ht="14.25" customHeight="1">
      <c r="B4" s="1" t="s">
        <v>94</v>
      </c>
      <c r="C4" s="17">
        <v>3000.0</v>
      </c>
      <c r="D4" s="17">
        <f>C3+C4</f>
        <v>4000</v>
      </c>
      <c r="E4" s="1" t="s">
        <v>95</v>
      </c>
      <c r="F4" s="17">
        <v>2000.0</v>
      </c>
    </row>
    <row r="5" ht="14.25" customHeight="1">
      <c r="B5" s="1" t="s">
        <v>96</v>
      </c>
      <c r="C5" s="17"/>
      <c r="D5" s="17">
        <v>3000.0</v>
      </c>
      <c r="E5" s="1" t="s">
        <v>97</v>
      </c>
      <c r="F5" s="17">
        <v>1000.0</v>
      </c>
    </row>
    <row r="6" ht="14.25" customHeight="1">
      <c r="B6" s="1" t="s">
        <v>98</v>
      </c>
      <c r="C6" s="17"/>
      <c r="D6" s="38">
        <v>2000.0</v>
      </c>
      <c r="E6" s="1" t="s">
        <v>99</v>
      </c>
      <c r="F6" s="38">
        <v>3000.0</v>
      </c>
    </row>
    <row r="7" ht="14.25" customHeight="1">
      <c r="C7" s="17"/>
      <c r="D7" s="39">
        <f>SUM(D4:D6)</f>
        <v>9000</v>
      </c>
      <c r="F7" s="39">
        <f>SUM(F3:F6)</f>
        <v>9000</v>
      </c>
    </row>
    <row r="8" ht="14.25" customHeight="1">
      <c r="G8" s="1">
        <f>10/90</f>
        <v>0.1111111111</v>
      </c>
    </row>
    <row r="9" ht="14.25" customHeight="1">
      <c r="B9" s="40" t="s">
        <v>100</v>
      </c>
    </row>
    <row r="10" ht="14.25" customHeight="1">
      <c r="A10" s="1">
        <f>A3-10</f>
        <v>90</v>
      </c>
      <c r="B10" s="16" t="s">
        <v>101</v>
      </c>
      <c r="C10" s="17">
        <f>90*10</f>
        <v>900</v>
      </c>
      <c r="E10" s="16" t="str">
        <f t="shared" ref="E10:F10" si="1">E3</f>
        <v>Plant, property and equipment (Net)</v>
      </c>
      <c r="F10" s="17">
        <f t="shared" si="1"/>
        <v>3000</v>
      </c>
    </row>
    <row r="11" ht="14.25" customHeight="1">
      <c r="B11" s="1" t="str">
        <f t="shared" ref="B11:B13" si="3">B4</f>
        <v>Retained earnings</v>
      </c>
      <c r="C11" s="41">
        <f>C4*0.9</f>
        <v>2700</v>
      </c>
      <c r="D11" s="17">
        <f>C10+C11</f>
        <v>3600</v>
      </c>
      <c r="E11" s="1" t="str">
        <f t="shared" ref="E11:F11" si="2">E4</f>
        <v>Inventory</v>
      </c>
      <c r="F11" s="17">
        <f t="shared" si="2"/>
        <v>2000</v>
      </c>
    </row>
    <row r="12" ht="14.25" customHeight="1">
      <c r="B12" s="1" t="str">
        <f t="shared" si="3"/>
        <v>Long term debt</v>
      </c>
      <c r="D12" s="17">
        <f t="shared" ref="D12:F12" si="4">D5</f>
        <v>3000</v>
      </c>
      <c r="E12" s="1" t="str">
        <f t="shared" si="4"/>
        <v>Trade receivables</v>
      </c>
      <c r="F12" s="17">
        <f t="shared" si="4"/>
        <v>1000</v>
      </c>
    </row>
    <row r="13" ht="14.25" customHeight="1">
      <c r="B13" s="1" t="str">
        <f t="shared" si="3"/>
        <v>Current liabilities</v>
      </c>
      <c r="D13" s="38">
        <f t="shared" ref="D13:E13" si="5">D6</f>
        <v>2000</v>
      </c>
      <c r="E13" s="1" t="str">
        <f t="shared" si="5"/>
        <v>Cash and cash equivalents</v>
      </c>
      <c r="F13" s="38">
        <f>F6-400</f>
        <v>2600</v>
      </c>
    </row>
    <row r="14" ht="14.25" customHeight="1">
      <c r="D14" s="39">
        <f>SUM(D11:D13)</f>
        <v>8600</v>
      </c>
      <c r="F14" s="39">
        <f>SUM(F10:F13)</f>
        <v>8600</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Chandra Sekhar Mishra</dc:creator>
</cp:coreProperties>
</file>