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c\Downloads\"/>
    </mc:Choice>
  </mc:AlternateContent>
  <xr:revisionPtr revIDLastSave="0" documentId="8_{15F50ECC-0C54-478E-B424-C2AD12B1DE68}" xr6:coauthVersionLast="47" xr6:coauthVersionMax="47" xr10:uidLastSave="{00000000-0000-0000-0000-000000000000}"/>
  <bookViews>
    <workbookView xWindow="-98" yWindow="-98" windowWidth="23236" windowHeight="13875" tabRatio="706" activeTab="7" xr2:uid="{1B20409B-3DBA-41CA-8865-4C4C270B665A}"/>
  </bookViews>
  <sheets>
    <sheet name="HISTORICALS" sheetId="2" r:id="rId1"/>
    <sheet name="FORECASTS" sheetId="3" r:id="rId2"/>
    <sheet name="WACC" sheetId="7" r:id="rId3"/>
    <sheet name="Rm" sheetId="8" r:id="rId4"/>
    <sheet name="Intrinsic Growth" sheetId="9" r:id="rId5"/>
    <sheet name="RAWfs" sheetId="12" r:id="rId6"/>
    <sheet name="DCF" sheetId="10" r:id="rId7"/>
    <sheet name="Data Sheet" sheetId="4" r:id="rId8"/>
    <sheet name="CashFlow Data" sheetId="1" r:id="rId9"/>
  </sheets>
  <externalReferences>
    <externalReference r:id="rId10"/>
  </externalReferences>
  <definedNames>
    <definedName name="_Key1" hidden="1">#REF!</definedName>
    <definedName name="_Order1" hidden="1">255</definedName>
    <definedName name="_Sort" hidden="1">#REF!</definedName>
    <definedName name="a">#REF!</definedName>
    <definedName name="AB">#REF!</definedName>
    <definedName name="CON">#REF!</definedName>
    <definedName name="CONS">#REF!</definedName>
    <definedName name="consumption">[1]Consolidated!#REF!</definedName>
    <definedName name="INVSTMNT">#REF!</definedName>
    <definedName name="pbt">[1]Consolidated!$AS$1528</definedName>
    <definedName name="UPDATE">'Data Sheet'!$E$1</definedName>
    <definedName name="ytm_pb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10" l="1"/>
  <c r="E24" i="10"/>
  <c r="E35" i="10"/>
  <c r="E33" i="10"/>
  <c r="E32" i="10"/>
  <c r="D16" i="10"/>
  <c r="D14" i="10"/>
  <c r="F8" i="10"/>
  <c r="H42" i="9"/>
  <c r="I42" i="9"/>
  <c r="J42" i="9"/>
  <c r="K42" i="9"/>
  <c r="G42" i="9"/>
  <c r="J49" i="9"/>
  <c r="F2" i="10"/>
  <c r="G2" i="10" s="1"/>
  <c r="H2" i="10" s="1"/>
  <c r="I2" i="10" s="1"/>
  <c r="J2" i="10" s="1"/>
  <c r="K2" i="10" s="1"/>
  <c r="F4" i="10"/>
  <c r="F6" i="10" s="1"/>
  <c r="H59" i="9"/>
  <c r="H43" i="9"/>
  <c r="G2" i="9"/>
  <c r="H34" i="9"/>
  <c r="H45" i="9" s="1"/>
  <c r="I34" i="9"/>
  <c r="I45" i="9" s="1"/>
  <c r="J34" i="9"/>
  <c r="K34" i="9"/>
  <c r="G34" i="9"/>
  <c r="G45" i="9"/>
  <c r="G47" i="9" s="1"/>
  <c r="H33" i="9"/>
  <c r="I33" i="9"/>
  <c r="J33" i="9"/>
  <c r="K33" i="9"/>
  <c r="G33" i="9"/>
  <c r="G31" i="9"/>
  <c r="H30" i="9"/>
  <c r="I30" i="9"/>
  <c r="J30" i="9"/>
  <c r="K30" i="9"/>
  <c r="G30" i="9"/>
  <c r="H29" i="9"/>
  <c r="I29" i="9"/>
  <c r="J29" i="9"/>
  <c r="K29" i="9"/>
  <c r="G29" i="9"/>
  <c r="G22" i="9"/>
  <c r="H22" i="9"/>
  <c r="I22" i="9"/>
  <c r="J22" i="9"/>
  <c r="K22" i="9"/>
  <c r="G23" i="9"/>
  <c r="H23" i="9"/>
  <c r="I23" i="9"/>
  <c r="J23" i="9"/>
  <c r="K23" i="9"/>
  <c r="G24" i="9"/>
  <c r="H24" i="9"/>
  <c r="I24" i="9"/>
  <c r="J24" i="9"/>
  <c r="K24" i="9"/>
  <c r="G25" i="9"/>
  <c r="H25" i="9"/>
  <c r="I25" i="9"/>
  <c r="J25" i="9"/>
  <c r="K25" i="9"/>
  <c r="G26" i="9"/>
  <c r="H26" i="9"/>
  <c r="I26" i="9"/>
  <c r="J26" i="9"/>
  <c r="K26" i="9"/>
  <c r="G27" i="9"/>
  <c r="H27" i="9"/>
  <c r="I27" i="9"/>
  <c r="J27" i="9"/>
  <c r="K27" i="9"/>
  <c r="G28" i="9"/>
  <c r="H28" i="9"/>
  <c r="I28" i="9"/>
  <c r="J28" i="9"/>
  <c r="K28" i="9"/>
  <c r="H21" i="9"/>
  <c r="I21" i="9"/>
  <c r="J21" i="9"/>
  <c r="K21" i="9"/>
  <c r="G21" i="9"/>
  <c r="B22" i="9"/>
  <c r="B23" i="9"/>
  <c r="B24" i="9"/>
  <c r="B25" i="9"/>
  <c r="B26" i="9"/>
  <c r="B27" i="9"/>
  <c r="B28" i="9"/>
  <c r="B21" i="9"/>
  <c r="H13" i="9"/>
  <c r="I13" i="9"/>
  <c r="J13" i="9"/>
  <c r="K13" i="9"/>
  <c r="H14" i="9"/>
  <c r="I14" i="9"/>
  <c r="J14" i="9"/>
  <c r="K14" i="9"/>
  <c r="H15" i="9"/>
  <c r="I15" i="9"/>
  <c r="J15" i="9"/>
  <c r="K15" i="9"/>
  <c r="G14" i="9"/>
  <c r="G15" i="9"/>
  <c r="G13" i="9"/>
  <c r="B14" i="9"/>
  <c r="B15" i="9"/>
  <c r="B13" i="9"/>
  <c r="G9" i="9"/>
  <c r="H9" i="9"/>
  <c r="I9" i="9"/>
  <c r="J9" i="9"/>
  <c r="K9" i="9"/>
  <c r="H8" i="9"/>
  <c r="I8" i="9"/>
  <c r="J8" i="9"/>
  <c r="K8" i="9"/>
  <c r="G8" i="9"/>
  <c r="H7" i="9"/>
  <c r="I7" i="9"/>
  <c r="J7" i="9"/>
  <c r="K7" i="9"/>
  <c r="G7" i="9"/>
  <c r="G6" i="9"/>
  <c r="H6" i="9"/>
  <c r="I6" i="9"/>
  <c r="J6" i="9"/>
  <c r="K6" i="9"/>
  <c r="H5" i="9"/>
  <c r="I5" i="9"/>
  <c r="J5" i="9"/>
  <c r="K5" i="9"/>
  <c r="G5" i="9"/>
  <c r="B9" i="9"/>
  <c r="B8" i="9"/>
  <c r="B7" i="9"/>
  <c r="B6" i="9"/>
  <c r="B5" i="9"/>
  <c r="G40" i="9"/>
  <c r="G56" i="9" s="1"/>
  <c r="H2" i="9"/>
  <c r="H40" i="9" s="1"/>
  <c r="H56" i="9" s="1"/>
  <c r="I2" i="9"/>
  <c r="I40" i="9" s="1"/>
  <c r="I56" i="9" s="1"/>
  <c r="J2" i="9"/>
  <c r="J40" i="9" s="1"/>
  <c r="J56" i="9" s="1"/>
  <c r="K2" i="9"/>
  <c r="K40" i="9" s="1"/>
  <c r="K56" i="9" s="1"/>
  <c r="K20" i="7"/>
  <c r="E19" i="7"/>
  <c r="C27" i="7"/>
  <c r="E22" i="10"/>
  <c r="E21" i="10"/>
  <c r="G10" i="10"/>
  <c r="H9" i="10"/>
  <c r="H10" i="10" s="1"/>
  <c r="G5" i="10"/>
  <c r="H5" i="10" s="1"/>
  <c r="I5" i="10" s="1"/>
  <c r="J5" i="10" s="1"/>
  <c r="K5" i="10" s="1"/>
  <c r="G58" i="9"/>
  <c r="B58" i="9"/>
  <c r="H46" i="9"/>
  <c r="I46" i="9" s="1"/>
  <c r="J46" i="9" s="1"/>
  <c r="K46" i="9" s="1"/>
  <c r="K45" i="9"/>
  <c r="J45" i="9"/>
  <c r="F9" i="8"/>
  <c r="F12" i="8" s="1"/>
  <c r="K28" i="7"/>
  <c r="E21" i="7"/>
  <c r="K36" i="7" s="1"/>
  <c r="J15" i="7"/>
  <c r="I15" i="7"/>
  <c r="H15" i="7"/>
  <c r="G15" i="7"/>
  <c r="J14" i="7"/>
  <c r="G14" i="7"/>
  <c r="I12" i="7"/>
  <c r="H12" i="7"/>
  <c r="K12" i="7" s="1"/>
  <c r="I11" i="7"/>
  <c r="H11" i="7"/>
  <c r="I10" i="7"/>
  <c r="H10" i="7"/>
  <c r="K10" i="7" s="1"/>
  <c r="I9" i="7"/>
  <c r="I14" i="7" s="1"/>
  <c r="E27" i="7" s="1"/>
  <c r="H9" i="7"/>
  <c r="H14" i="7" s="1"/>
  <c r="H8" i="7"/>
  <c r="B24" i="3"/>
  <c r="B2" i="3"/>
  <c r="G16" i="9" l="1"/>
  <c r="I31" i="9"/>
  <c r="K16" i="9"/>
  <c r="I10" i="9"/>
  <c r="J31" i="9"/>
  <c r="K31" i="9"/>
  <c r="H47" i="9"/>
  <c r="J47" i="9"/>
  <c r="K47" i="9"/>
  <c r="J10" i="9"/>
  <c r="H10" i="9"/>
  <c r="H31" i="9"/>
  <c r="J16" i="9"/>
  <c r="G10" i="9"/>
  <c r="G18" i="9" s="1"/>
  <c r="K10" i="9"/>
  <c r="K18" i="9" s="1"/>
  <c r="I47" i="9"/>
  <c r="G36" i="9"/>
  <c r="G59" i="9" s="1"/>
  <c r="G61" i="9" s="1"/>
  <c r="H16" i="9"/>
  <c r="I16" i="9"/>
  <c r="K11" i="7"/>
  <c r="K15" i="7" s="1"/>
  <c r="K26" i="7" s="1"/>
  <c r="K8" i="7"/>
  <c r="K9" i="7"/>
  <c r="G4" i="10"/>
  <c r="I9" i="10"/>
  <c r="K37" i="7"/>
  <c r="E28" i="7"/>
  <c r="K34" i="7" s="1"/>
  <c r="I8" i="7"/>
  <c r="C28" i="7"/>
  <c r="K36" i="9" l="1"/>
  <c r="K59" i="9" s="1"/>
  <c r="H18" i="9"/>
  <c r="H36" i="9" s="1"/>
  <c r="J18" i="9"/>
  <c r="J36" i="9" s="1"/>
  <c r="J59" i="9" s="1"/>
  <c r="I18" i="9"/>
  <c r="I36" i="9" s="1"/>
  <c r="I59" i="9" s="1"/>
  <c r="H49" i="9"/>
  <c r="K14" i="7"/>
  <c r="I10" i="10"/>
  <c r="J9" i="10"/>
  <c r="G6" i="10"/>
  <c r="H4" i="10"/>
  <c r="C29" i="7"/>
  <c r="D27" i="7" s="1"/>
  <c r="E31" i="7"/>
  <c r="K27" i="7" s="1"/>
  <c r="K29" i="7" s="1"/>
  <c r="K21" i="7" s="1"/>
  <c r="K22" i="7" s="1"/>
  <c r="K33" i="7" s="1"/>
  <c r="K39" i="7" s="1"/>
  <c r="G8" i="10" l="1"/>
  <c r="G12" i="10" s="1"/>
  <c r="H50" i="9"/>
  <c r="I43" i="9"/>
  <c r="I49" i="9" s="1"/>
  <c r="I50" i="9" s="1"/>
  <c r="I58" i="9" s="1"/>
  <c r="I61" i="9" s="1"/>
  <c r="J43" i="9"/>
  <c r="J50" i="9" s="1"/>
  <c r="J58" i="9" s="1"/>
  <c r="J61" i="9" s="1"/>
  <c r="K43" i="9"/>
  <c r="K49" i="9" s="1"/>
  <c r="K50" i="9" s="1"/>
  <c r="H6" i="10"/>
  <c r="I4" i="10"/>
  <c r="K9" i="10"/>
  <c r="K10" i="10" s="1"/>
  <c r="J10" i="10"/>
  <c r="D28" i="7"/>
  <c r="D29" i="7" s="1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27" i="3"/>
  <c r="D37" i="3"/>
  <c r="D38" i="3"/>
  <c r="D39" i="3"/>
  <c r="D40" i="3"/>
  <c r="D36" i="3"/>
  <c r="D26" i="3" a="1"/>
  <c r="D26" i="3" s="1"/>
  <c r="C26" i="3"/>
  <c r="C27" i="3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B27" i="3"/>
  <c r="B28" i="3" s="1"/>
  <c r="B29" i="3" s="1"/>
  <c r="B30" i="3" s="1"/>
  <c r="B31" i="3" s="1"/>
  <c r="B32" i="3" s="1"/>
  <c r="B33" i="3" s="1"/>
  <c r="B34" i="3" s="1"/>
  <c r="B35" i="3" s="1"/>
  <c r="B36" i="3" s="1"/>
  <c r="D4" i="3" a="1"/>
  <c r="D4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D102" i="2"/>
  <c r="D99" i="2"/>
  <c r="E99" i="2"/>
  <c r="F99" i="2"/>
  <c r="G99" i="2"/>
  <c r="H99" i="2"/>
  <c r="I99" i="2"/>
  <c r="J99" i="2"/>
  <c r="K99" i="2"/>
  <c r="L99" i="2"/>
  <c r="C99" i="2"/>
  <c r="C93" i="2"/>
  <c r="D93" i="2"/>
  <c r="E93" i="2"/>
  <c r="F93" i="2"/>
  <c r="G93" i="2"/>
  <c r="H93" i="2"/>
  <c r="I93" i="2"/>
  <c r="J93" i="2"/>
  <c r="K93" i="2"/>
  <c r="L93" i="2"/>
  <c r="C94" i="2"/>
  <c r="D94" i="2"/>
  <c r="E94" i="2"/>
  <c r="F94" i="2"/>
  <c r="G94" i="2"/>
  <c r="H94" i="2"/>
  <c r="I94" i="2"/>
  <c r="J94" i="2"/>
  <c r="K94" i="2"/>
  <c r="L94" i="2"/>
  <c r="C95" i="2"/>
  <c r="D95" i="2"/>
  <c r="E95" i="2"/>
  <c r="F95" i="2"/>
  <c r="G95" i="2"/>
  <c r="H95" i="2"/>
  <c r="I95" i="2"/>
  <c r="J95" i="2"/>
  <c r="K95" i="2"/>
  <c r="L95" i="2"/>
  <c r="C96" i="2"/>
  <c r="D96" i="2"/>
  <c r="E96" i="2"/>
  <c r="F96" i="2"/>
  <c r="G96" i="2"/>
  <c r="H96" i="2"/>
  <c r="I96" i="2"/>
  <c r="J96" i="2"/>
  <c r="K96" i="2"/>
  <c r="L96" i="2"/>
  <c r="C97" i="2"/>
  <c r="D97" i="2"/>
  <c r="E97" i="2"/>
  <c r="F97" i="2"/>
  <c r="G97" i="2"/>
  <c r="H97" i="2"/>
  <c r="I97" i="2"/>
  <c r="J97" i="2"/>
  <c r="K97" i="2"/>
  <c r="L97" i="2"/>
  <c r="C98" i="2"/>
  <c r="D98" i="2"/>
  <c r="E98" i="2"/>
  <c r="F98" i="2"/>
  <c r="G98" i="2"/>
  <c r="H98" i="2"/>
  <c r="I98" i="2"/>
  <c r="J98" i="2"/>
  <c r="K98" i="2"/>
  <c r="L98" i="2"/>
  <c r="D92" i="2"/>
  <c r="E92" i="2"/>
  <c r="F92" i="2"/>
  <c r="G92" i="2"/>
  <c r="H92" i="2"/>
  <c r="I92" i="2"/>
  <c r="J92" i="2"/>
  <c r="K92" i="2"/>
  <c r="L92" i="2"/>
  <c r="C92" i="2"/>
  <c r="D89" i="2"/>
  <c r="E89" i="2"/>
  <c r="F89" i="2"/>
  <c r="G89" i="2"/>
  <c r="H89" i="2"/>
  <c r="I89" i="2"/>
  <c r="J89" i="2"/>
  <c r="J102" i="2" s="1"/>
  <c r="K89" i="2"/>
  <c r="L89" i="2"/>
  <c r="L102" i="2" s="1"/>
  <c r="C89" i="2"/>
  <c r="C79" i="2"/>
  <c r="D79" i="2"/>
  <c r="E79" i="2"/>
  <c r="F79" i="2"/>
  <c r="G79" i="2"/>
  <c r="H79" i="2"/>
  <c r="I79" i="2"/>
  <c r="J79" i="2"/>
  <c r="K79" i="2"/>
  <c r="L79" i="2"/>
  <c r="D80" i="2"/>
  <c r="E80" i="2"/>
  <c r="F80" i="2"/>
  <c r="G80" i="2"/>
  <c r="H80" i="2"/>
  <c r="I80" i="2"/>
  <c r="J80" i="2"/>
  <c r="K80" i="2"/>
  <c r="L80" i="2"/>
  <c r="D81" i="2"/>
  <c r="E81" i="2"/>
  <c r="F81" i="2"/>
  <c r="G81" i="2"/>
  <c r="H81" i="2"/>
  <c r="I81" i="2"/>
  <c r="J81" i="2"/>
  <c r="K81" i="2"/>
  <c r="L81" i="2"/>
  <c r="D82" i="2"/>
  <c r="E82" i="2"/>
  <c r="F82" i="2"/>
  <c r="G82" i="2"/>
  <c r="H82" i="2"/>
  <c r="I82" i="2"/>
  <c r="J82" i="2"/>
  <c r="K82" i="2"/>
  <c r="L82" i="2"/>
  <c r="D83" i="2"/>
  <c r="E83" i="2"/>
  <c r="F83" i="2"/>
  <c r="G83" i="2"/>
  <c r="H83" i="2"/>
  <c r="I83" i="2"/>
  <c r="J83" i="2"/>
  <c r="K83" i="2"/>
  <c r="L83" i="2"/>
  <c r="D84" i="2"/>
  <c r="E84" i="2"/>
  <c r="F84" i="2"/>
  <c r="G84" i="2"/>
  <c r="H84" i="2"/>
  <c r="I84" i="2"/>
  <c r="J84" i="2"/>
  <c r="K84" i="2"/>
  <c r="L84" i="2"/>
  <c r="D85" i="2"/>
  <c r="E85" i="2"/>
  <c r="F85" i="2"/>
  <c r="G85" i="2"/>
  <c r="H85" i="2"/>
  <c r="I85" i="2"/>
  <c r="J85" i="2"/>
  <c r="K85" i="2"/>
  <c r="L85" i="2"/>
  <c r="D86" i="2"/>
  <c r="E86" i="2"/>
  <c r="F86" i="2"/>
  <c r="G86" i="2"/>
  <c r="H86" i="2"/>
  <c r="I86" i="2"/>
  <c r="J86" i="2"/>
  <c r="K86" i="2"/>
  <c r="L86" i="2"/>
  <c r="D87" i="2"/>
  <c r="E87" i="2"/>
  <c r="F87" i="2"/>
  <c r="G87" i="2"/>
  <c r="H87" i="2"/>
  <c r="I87" i="2"/>
  <c r="J87" i="2"/>
  <c r="K87" i="2"/>
  <c r="L87" i="2"/>
  <c r="D88" i="2"/>
  <c r="E88" i="2"/>
  <c r="F88" i="2"/>
  <c r="G88" i="2"/>
  <c r="H88" i="2"/>
  <c r="I88" i="2"/>
  <c r="J88" i="2"/>
  <c r="K88" i="2"/>
  <c r="L88" i="2"/>
  <c r="C80" i="2"/>
  <c r="C81" i="2"/>
  <c r="C82" i="2"/>
  <c r="C83" i="2"/>
  <c r="C84" i="2"/>
  <c r="C85" i="2"/>
  <c r="C86" i="2"/>
  <c r="C87" i="2"/>
  <c r="C88" i="2"/>
  <c r="D76" i="2"/>
  <c r="E76" i="2"/>
  <c r="F76" i="2"/>
  <c r="G76" i="2"/>
  <c r="H76" i="2"/>
  <c r="I76" i="2"/>
  <c r="J76" i="2"/>
  <c r="K76" i="2"/>
  <c r="L76" i="2"/>
  <c r="C76" i="2"/>
  <c r="C70" i="2"/>
  <c r="D70" i="2"/>
  <c r="E70" i="2"/>
  <c r="F70" i="2"/>
  <c r="G70" i="2"/>
  <c r="H70" i="2"/>
  <c r="I70" i="2"/>
  <c r="J70" i="2"/>
  <c r="K70" i="2"/>
  <c r="L70" i="2"/>
  <c r="C71" i="2"/>
  <c r="D71" i="2"/>
  <c r="E71" i="2"/>
  <c r="F71" i="2"/>
  <c r="G71" i="2"/>
  <c r="H71" i="2"/>
  <c r="I71" i="2"/>
  <c r="J71" i="2"/>
  <c r="K71" i="2"/>
  <c r="L71" i="2"/>
  <c r="C72" i="2"/>
  <c r="D72" i="2"/>
  <c r="E72" i="2"/>
  <c r="F72" i="2"/>
  <c r="G72" i="2"/>
  <c r="H72" i="2"/>
  <c r="I72" i="2"/>
  <c r="J72" i="2"/>
  <c r="K72" i="2"/>
  <c r="L72" i="2"/>
  <c r="C73" i="2"/>
  <c r="D73" i="2"/>
  <c r="E73" i="2"/>
  <c r="F73" i="2"/>
  <c r="G73" i="2"/>
  <c r="H73" i="2"/>
  <c r="I73" i="2"/>
  <c r="J73" i="2"/>
  <c r="K73" i="2"/>
  <c r="L73" i="2"/>
  <c r="C74" i="2"/>
  <c r="D74" i="2"/>
  <c r="E74" i="2"/>
  <c r="F74" i="2"/>
  <c r="G74" i="2"/>
  <c r="H74" i="2"/>
  <c r="I74" i="2"/>
  <c r="J74" i="2"/>
  <c r="K74" i="2"/>
  <c r="L74" i="2"/>
  <c r="C75" i="2"/>
  <c r="D75" i="2"/>
  <c r="E75" i="2"/>
  <c r="F75" i="2"/>
  <c r="G75" i="2"/>
  <c r="H75" i="2"/>
  <c r="I75" i="2"/>
  <c r="J75" i="2"/>
  <c r="K75" i="2"/>
  <c r="L75" i="2"/>
  <c r="D69" i="2"/>
  <c r="E69" i="2"/>
  <c r="F69" i="2"/>
  <c r="G69" i="2"/>
  <c r="H69" i="2"/>
  <c r="I69" i="2"/>
  <c r="J69" i="2"/>
  <c r="K69" i="2"/>
  <c r="L69" i="2"/>
  <c r="C69" i="2"/>
  <c r="D65" i="2"/>
  <c r="E65" i="2"/>
  <c r="F65" i="2"/>
  <c r="G65" i="2"/>
  <c r="H65" i="2"/>
  <c r="I65" i="2"/>
  <c r="J65" i="2"/>
  <c r="K65" i="2"/>
  <c r="L65" i="2"/>
  <c r="C65" i="2"/>
  <c r="D56" i="2"/>
  <c r="E56" i="2"/>
  <c r="F56" i="2"/>
  <c r="G56" i="2"/>
  <c r="G63" i="2" s="1"/>
  <c r="H56" i="2"/>
  <c r="H63" i="2" s="1"/>
  <c r="I56" i="2"/>
  <c r="I63" i="2" s="1"/>
  <c r="J56" i="2"/>
  <c r="J63" i="2" s="1"/>
  <c r="K56" i="2"/>
  <c r="K63" i="2" s="1"/>
  <c r="L56" i="2"/>
  <c r="C56" i="2"/>
  <c r="D55" i="2"/>
  <c r="E55" i="2"/>
  <c r="F55" i="2"/>
  <c r="G55" i="2"/>
  <c r="H55" i="2"/>
  <c r="I55" i="2"/>
  <c r="J55" i="2"/>
  <c r="K55" i="2"/>
  <c r="L55" i="2"/>
  <c r="C55" i="2"/>
  <c r="D63" i="2"/>
  <c r="E63" i="2"/>
  <c r="F63" i="2"/>
  <c r="L63" i="2"/>
  <c r="C63" i="2"/>
  <c r="D61" i="2"/>
  <c r="E61" i="2"/>
  <c r="F61" i="2"/>
  <c r="G61" i="2"/>
  <c r="H61" i="2"/>
  <c r="I61" i="2"/>
  <c r="J61" i="2"/>
  <c r="K61" i="2"/>
  <c r="L61" i="2"/>
  <c r="C61" i="2"/>
  <c r="C59" i="2"/>
  <c r="D59" i="2"/>
  <c r="E59" i="2"/>
  <c r="F59" i="2"/>
  <c r="G59" i="2"/>
  <c r="H59" i="2"/>
  <c r="I59" i="2"/>
  <c r="J59" i="2"/>
  <c r="K59" i="2"/>
  <c r="L59" i="2"/>
  <c r="C60" i="2"/>
  <c r="D60" i="2"/>
  <c r="E60" i="2"/>
  <c r="F60" i="2"/>
  <c r="G60" i="2"/>
  <c r="H60" i="2"/>
  <c r="I60" i="2"/>
  <c r="J60" i="2"/>
  <c r="K60" i="2"/>
  <c r="L60" i="2"/>
  <c r="D58" i="2"/>
  <c r="E58" i="2"/>
  <c r="F58" i="2"/>
  <c r="G58" i="2"/>
  <c r="H58" i="2"/>
  <c r="I58" i="2"/>
  <c r="J58" i="2"/>
  <c r="K58" i="2"/>
  <c r="L58" i="2"/>
  <c r="C58" i="2"/>
  <c r="D52" i="2"/>
  <c r="E52" i="2"/>
  <c r="F52" i="2"/>
  <c r="G52" i="2"/>
  <c r="H52" i="2"/>
  <c r="I52" i="2"/>
  <c r="J52" i="2"/>
  <c r="K52" i="2"/>
  <c r="L52" i="2"/>
  <c r="D53" i="2"/>
  <c r="E53" i="2"/>
  <c r="F53" i="2"/>
  <c r="G53" i="2"/>
  <c r="H53" i="2"/>
  <c r="I53" i="2"/>
  <c r="J53" i="2"/>
  <c r="K53" i="2"/>
  <c r="L53" i="2"/>
  <c r="D54" i="2"/>
  <c r="E54" i="2"/>
  <c r="F54" i="2"/>
  <c r="G54" i="2"/>
  <c r="H54" i="2"/>
  <c r="I54" i="2"/>
  <c r="J54" i="2"/>
  <c r="K54" i="2"/>
  <c r="L54" i="2"/>
  <c r="C53" i="2"/>
  <c r="C54" i="2"/>
  <c r="C52" i="2"/>
  <c r="D46" i="2"/>
  <c r="E46" i="2"/>
  <c r="F46" i="2"/>
  <c r="G46" i="2"/>
  <c r="H46" i="2"/>
  <c r="I46" i="2"/>
  <c r="J46" i="2"/>
  <c r="K46" i="2"/>
  <c r="L46" i="2"/>
  <c r="D47" i="2"/>
  <c r="E47" i="2"/>
  <c r="F47" i="2"/>
  <c r="G47" i="2"/>
  <c r="H47" i="2"/>
  <c r="I47" i="2"/>
  <c r="J47" i="2"/>
  <c r="K47" i="2"/>
  <c r="L47" i="2"/>
  <c r="D48" i="2"/>
  <c r="E48" i="2"/>
  <c r="F48" i="2"/>
  <c r="G48" i="2"/>
  <c r="H48" i="2"/>
  <c r="I48" i="2"/>
  <c r="J48" i="2"/>
  <c r="K48" i="2"/>
  <c r="L48" i="2"/>
  <c r="D49" i="2"/>
  <c r="E49" i="2"/>
  <c r="F49" i="2"/>
  <c r="G49" i="2"/>
  <c r="H49" i="2"/>
  <c r="I49" i="2"/>
  <c r="J49" i="2"/>
  <c r="K49" i="2"/>
  <c r="L49" i="2"/>
  <c r="D50" i="2"/>
  <c r="E50" i="2"/>
  <c r="F50" i="2"/>
  <c r="G50" i="2"/>
  <c r="H50" i="2"/>
  <c r="I50" i="2"/>
  <c r="J50" i="2"/>
  <c r="K50" i="2"/>
  <c r="L50" i="2"/>
  <c r="C47" i="2"/>
  <c r="C48" i="2"/>
  <c r="C49" i="2"/>
  <c r="C50" i="2"/>
  <c r="C46" i="2"/>
  <c r="D42" i="2"/>
  <c r="E42" i="2"/>
  <c r="F42" i="2"/>
  <c r="G42" i="2"/>
  <c r="H42" i="2"/>
  <c r="I42" i="2"/>
  <c r="J42" i="2"/>
  <c r="K42" i="2"/>
  <c r="L42" i="2"/>
  <c r="C42" i="2"/>
  <c r="D40" i="2"/>
  <c r="E40" i="2"/>
  <c r="F40" i="2"/>
  <c r="G40" i="2"/>
  <c r="H40" i="2"/>
  <c r="I40" i="2"/>
  <c r="J40" i="2"/>
  <c r="K40" i="2"/>
  <c r="L40" i="2"/>
  <c r="C40" i="2"/>
  <c r="E37" i="2"/>
  <c r="F37" i="2"/>
  <c r="G37" i="2"/>
  <c r="H37" i="2"/>
  <c r="I37" i="2"/>
  <c r="J37" i="2"/>
  <c r="K37" i="2"/>
  <c r="L37" i="2"/>
  <c r="D37" i="2"/>
  <c r="G39" i="2"/>
  <c r="D34" i="2"/>
  <c r="D39" i="2" s="1"/>
  <c r="E34" i="2"/>
  <c r="E39" i="2" s="1"/>
  <c r="F34" i="2"/>
  <c r="F39" i="2" s="1"/>
  <c r="G34" i="2"/>
  <c r="H34" i="2"/>
  <c r="H39" i="2" s="1"/>
  <c r="I34" i="2"/>
  <c r="I39" i="2" s="1"/>
  <c r="J34" i="2"/>
  <c r="J39" i="2" s="1"/>
  <c r="K34" i="2"/>
  <c r="K39" i="2" s="1"/>
  <c r="L34" i="2"/>
  <c r="L39" i="2" s="1"/>
  <c r="C34" i="2"/>
  <c r="C39" i="2" s="1"/>
  <c r="D29" i="2"/>
  <c r="E29" i="2"/>
  <c r="F29" i="2"/>
  <c r="G29" i="2"/>
  <c r="H29" i="2"/>
  <c r="I29" i="2"/>
  <c r="J29" i="2"/>
  <c r="K29" i="2"/>
  <c r="L29" i="2"/>
  <c r="C29" i="2"/>
  <c r="E24" i="2"/>
  <c r="L24" i="2"/>
  <c r="D23" i="2"/>
  <c r="D24" i="2" s="1"/>
  <c r="E23" i="2"/>
  <c r="F23" i="2"/>
  <c r="F24" i="2" s="1"/>
  <c r="G23" i="2"/>
  <c r="H23" i="2"/>
  <c r="I23" i="2"/>
  <c r="J23" i="2"/>
  <c r="K23" i="2"/>
  <c r="L23" i="2"/>
  <c r="C23" i="2"/>
  <c r="D21" i="2"/>
  <c r="E21" i="2"/>
  <c r="F21" i="2"/>
  <c r="G21" i="2"/>
  <c r="H21" i="2"/>
  <c r="I21" i="2"/>
  <c r="J21" i="2"/>
  <c r="K21" i="2"/>
  <c r="L21" i="2"/>
  <c r="C21" i="2"/>
  <c r="D16" i="2"/>
  <c r="E16" i="2"/>
  <c r="F16" i="2"/>
  <c r="G16" i="2"/>
  <c r="D15" i="2"/>
  <c r="E15" i="2"/>
  <c r="F15" i="2"/>
  <c r="G15" i="2"/>
  <c r="H15" i="2"/>
  <c r="H16" i="2" s="1"/>
  <c r="I15" i="2"/>
  <c r="I16" i="2" s="1"/>
  <c r="J15" i="2"/>
  <c r="J16" i="2" s="1"/>
  <c r="K15" i="2"/>
  <c r="K16" i="2" s="1"/>
  <c r="L15" i="2"/>
  <c r="L16" i="2" s="1"/>
  <c r="C15" i="2"/>
  <c r="D13" i="2"/>
  <c r="D18" i="2" s="1"/>
  <c r="E13" i="2"/>
  <c r="E18" i="2" s="1"/>
  <c r="F13" i="2"/>
  <c r="F18" i="2" s="1"/>
  <c r="G13" i="2"/>
  <c r="G18" i="2" s="1"/>
  <c r="H13" i="2"/>
  <c r="H18" i="2" s="1"/>
  <c r="L11" i="2"/>
  <c r="E8" i="2"/>
  <c r="F8" i="2"/>
  <c r="G8" i="2"/>
  <c r="H8" i="2"/>
  <c r="I8" i="2"/>
  <c r="J8" i="2"/>
  <c r="D10" i="2"/>
  <c r="E10" i="2"/>
  <c r="F10" i="2"/>
  <c r="G10" i="2"/>
  <c r="H10" i="2"/>
  <c r="I10" i="2"/>
  <c r="J10" i="2"/>
  <c r="K10" i="2"/>
  <c r="L10" i="2"/>
  <c r="L13" i="2" s="1"/>
  <c r="L18" i="2" s="1"/>
  <c r="C10" i="2"/>
  <c r="C13" i="2" s="1"/>
  <c r="C18" i="2" s="1"/>
  <c r="C26" i="2" s="1"/>
  <c r="D7" i="2"/>
  <c r="D11" i="2" s="1"/>
  <c r="E7" i="2"/>
  <c r="E11" i="2" s="1"/>
  <c r="F7" i="2"/>
  <c r="F11" i="2" s="1"/>
  <c r="G7" i="2"/>
  <c r="G24" i="2" s="1"/>
  <c r="H7" i="2"/>
  <c r="H24" i="2" s="1"/>
  <c r="I7" i="2"/>
  <c r="I13" i="2" s="1"/>
  <c r="I18" i="2" s="1"/>
  <c r="J7" i="2"/>
  <c r="J13" i="2" s="1"/>
  <c r="J18" i="2" s="1"/>
  <c r="K7" i="2"/>
  <c r="K8" i="2" s="1"/>
  <c r="L7" i="2"/>
  <c r="C7" i="2"/>
  <c r="L3" i="2"/>
  <c r="D3" i="2"/>
  <c r="E3" i="2"/>
  <c r="F3" i="2"/>
  <c r="G3" i="2"/>
  <c r="H3" i="2"/>
  <c r="I3" i="2"/>
  <c r="J3" i="2"/>
  <c r="K3" i="2"/>
  <c r="C3" i="2"/>
  <c r="B2" i="2"/>
  <c r="E1" i="4"/>
  <c r="B6" i="4"/>
  <c r="B5" i="3"/>
  <c r="B6" i="3" s="1"/>
  <c r="B7" i="3" s="1"/>
  <c r="B8" i="3" s="1"/>
  <c r="B9" i="3" s="1"/>
  <c r="B10" i="3" s="1"/>
  <c r="H8" i="10" l="1"/>
  <c r="H12" i="10" s="1"/>
  <c r="H61" i="9"/>
  <c r="H58" i="9"/>
  <c r="K54" i="9"/>
  <c r="K58" i="9"/>
  <c r="K53" i="9"/>
  <c r="K52" i="9"/>
  <c r="C102" i="2"/>
  <c r="I102" i="2"/>
  <c r="H102" i="2"/>
  <c r="G102" i="2"/>
  <c r="F102" i="2"/>
  <c r="E102" i="2"/>
  <c r="K102" i="2"/>
  <c r="I6" i="10"/>
  <c r="J4" i="10"/>
  <c r="D31" i="7"/>
  <c r="B37" i="3"/>
  <c r="E5" i="3"/>
  <c r="E13" i="3"/>
  <c r="E12" i="3"/>
  <c r="E11" i="3"/>
  <c r="E10" i="3"/>
  <c r="E9" i="3"/>
  <c r="E8" i="3"/>
  <c r="E7" i="3"/>
  <c r="E6" i="3"/>
  <c r="H19" i="2"/>
  <c r="H26" i="2"/>
  <c r="J26" i="2"/>
  <c r="J19" i="2"/>
  <c r="E19" i="2"/>
  <c r="E26" i="2"/>
  <c r="I19" i="2"/>
  <c r="I26" i="2"/>
  <c r="F19" i="2"/>
  <c r="F26" i="2"/>
  <c r="L26" i="2"/>
  <c r="L19" i="2"/>
  <c r="D19" i="2"/>
  <c r="D26" i="2"/>
  <c r="D30" i="2" s="1"/>
  <c r="G19" i="2"/>
  <c r="G26" i="2"/>
  <c r="K11" i="2"/>
  <c r="J11" i="2"/>
  <c r="I11" i="2"/>
  <c r="H11" i="2"/>
  <c r="G11" i="2"/>
  <c r="K24" i="2"/>
  <c r="J24" i="2"/>
  <c r="I24" i="2"/>
  <c r="K13" i="2"/>
  <c r="K18" i="2" s="1"/>
  <c r="D8" i="2"/>
  <c r="L8" i="2"/>
  <c r="C11" i="2"/>
  <c r="C24" i="2"/>
  <c r="C16" i="2"/>
  <c r="B11" i="3"/>
  <c r="I8" i="10" l="1"/>
  <c r="I12" i="10" s="1"/>
  <c r="K61" i="9"/>
  <c r="K63" i="9" s="1"/>
  <c r="F7" i="10"/>
  <c r="G7" i="10" s="1"/>
  <c r="H7" i="10" s="1"/>
  <c r="I7" i="10" s="1"/>
  <c r="J7" i="10" s="1"/>
  <c r="K7" i="10" s="1"/>
  <c r="K64" i="9"/>
  <c r="J6" i="10"/>
  <c r="K4" i="10"/>
  <c r="K6" i="10" s="1"/>
  <c r="K8" i="10" s="1"/>
  <c r="B38" i="3"/>
  <c r="E30" i="2"/>
  <c r="E27" i="2"/>
  <c r="E32" i="2"/>
  <c r="E36" i="2" s="1"/>
  <c r="G30" i="2"/>
  <c r="G32" i="2"/>
  <c r="G36" i="2" s="1"/>
  <c r="G27" i="2"/>
  <c r="K26" i="2"/>
  <c r="K19" i="2"/>
  <c r="H27" i="2"/>
  <c r="H32" i="2"/>
  <c r="H36" i="2" s="1"/>
  <c r="H30" i="2"/>
  <c r="F30" i="2"/>
  <c r="F27" i="2"/>
  <c r="F32" i="2"/>
  <c r="F36" i="2" s="1"/>
  <c r="J27" i="2"/>
  <c r="J32" i="2"/>
  <c r="J36" i="2" s="1"/>
  <c r="J30" i="2"/>
  <c r="D27" i="2"/>
  <c r="D32" i="2"/>
  <c r="D36" i="2" s="1"/>
  <c r="L27" i="2"/>
  <c r="L32" i="2"/>
  <c r="L36" i="2" s="1"/>
  <c r="L30" i="2"/>
  <c r="I27" i="2"/>
  <c r="I32" i="2"/>
  <c r="I36" i="2" s="1"/>
  <c r="I30" i="2"/>
  <c r="B12" i="3"/>
  <c r="C19" i="2"/>
  <c r="J8" i="10" l="1"/>
  <c r="J12" i="10" s="1"/>
  <c r="E20" i="10"/>
  <c r="E29" i="10" s="1"/>
  <c r="K12" i="10"/>
  <c r="B39" i="3"/>
  <c r="K27" i="2"/>
  <c r="K30" i="2"/>
  <c r="K32" i="2"/>
  <c r="K36" i="2" s="1"/>
  <c r="B13" i="3"/>
  <c r="C32" i="2"/>
  <c r="C36" i="2" s="1"/>
  <c r="C27" i="2"/>
  <c r="C30" i="2"/>
  <c r="E28" i="10" l="1"/>
  <c r="E30" i="10" s="1"/>
  <c r="E34" i="10" s="1"/>
  <c r="E37" i="10" s="1"/>
  <c r="B40" i="3"/>
  <c r="B14" i="3"/>
  <c r="D14" i="3" s="1"/>
  <c r="E14" i="3" s="1"/>
  <c r="B15" i="3" l="1"/>
  <c r="B16" i="3" l="1"/>
  <c r="D15" i="3"/>
  <c r="E15" i="3" s="1"/>
  <c r="B17" i="3" l="1"/>
  <c r="D16" i="3"/>
  <c r="E16" i="3" s="1"/>
  <c r="B18" i="3" l="1"/>
  <c r="D18" i="3" s="1"/>
  <c r="E18" i="3" s="1"/>
  <c r="D17" i="3"/>
  <c r="E1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<sst xmlns="http://schemas.openxmlformats.org/spreadsheetml/2006/main" count="394" uniqueCount="277">
  <si>
    <t>Net Profit</t>
  </si>
  <si>
    <t>Effective Tax Rate</t>
  </si>
  <si>
    <t>TAX</t>
  </si>
  <si>
    <t>EBT % Sales</t>
  </si>
  <si>
    <t xml:space="preserve">EBT </t>
  </si>
  <si>
    <t>Depreciation % Sales</t>
  </si>
  <si>
    <t xml:space="preserve">Depreciation </t>
  </si>
  <si>
    <t xml:space="preserve">Interest </t>
  </si>
  <si>
    <t>EBIDTA Margin</t>
  </si>
  <si>
    <t xml:space="preserve">EBIDTA </t>
  </si>
  <si>
    <t>S&amp;GA % Sales</t>
  </si>
  <si>
    <t>Selling &amp; General Expenses</t>
  </si>
  <si>
    <t xml:space="preserve">Gross Profit </t>
  </si>
  <si>
    <t>COGS % Sales</t>
  </si>
  <si>
    <t xml:space="preserve">COGS </t>
  </si>
  <si>
    <t xml:space="preserve">Sales Growth </t>
  </si>
  <si>
    <t xml:space="preserve">Sales </t>
  </si>
  <si>
    <t>#</t>
  </si>
  <si>
    <t>Years</t>
  </si>
  <si>
    <t>SUMMARY OUTPUT</t>
  </si>
  <si>
    <t xml:space="preserve">Year Weight </t>
  </si>
  <si>
    <t xml:space="preserve">Year </t>
  </si>
  <si>
    <t xml:space="preserve">Growth 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</si>
  <si>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</si>
  <si>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</si>
  <si>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</si>
  <si>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</si>
  <si>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</si>
  <si>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</si>
  <si>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</si>
  <si>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</si>
  <si>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</si>
  <si>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</si>
  <si>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</si>
  <si>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</si>
  <si>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</si>
  <si>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</si>
  <si>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</si>
  <si>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</si>
  <si>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</si>
  <si>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</si>
  <si>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</si>
  <si>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</si>
  <si>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</si>
  <si>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</si>
  <si>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</si>
  <si>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</si>
  <si>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EBIDTA</t>
  </si>
  <si>
    <t>Adjusted Equity Shares in Cr</t>
  </si>
  <si>
    <t>DERIVED:</t>
  </si>
  <si>
    <t>PRICE:</t>
  </si>
  <si>
    <t>Net Cash Flow</t>
  </si>
  <si>
    <t>Cash from Financing Activity</t>
  </si>
  <si>
    <t>Cash from Investing Activity</t>
  </si>
  <si>
    <t>Cash from Operating Activity</t>
  </si>
  <si>
    <t>Report Date</t>
  </si>
  <si>
    <t>CASH FLOW:</t>
  </si>
  <si>
    <t>Face value</t>
  </si>
  <si>
    <t>New Bonus Shares</t>
  </si>
  <si>
    <t>No. of Equity Shares</t>
  </si>
  <si>
    <t>Cash &amp; Bank</t>
  </si>
  <si>
    <t>Inventory</t>
  </si>
  <si>
    <t>Receivables</t>
  </si>
  <si>
    <t>Other Assets</t>
  </si>
  <si>
    <t>Investments</t>
  </si>
  <si>
    <t>Capital Work in Progress</t>
  </si>
  <si>
    <t>Net Block</t>
  </si>
  <si>
    <t>Other Liabilities</t>
  </si>
  <si>
    <t>Borrowings</t>
  </si>
  <si>
    <t>Reserves</t>
  </si>
  <si>
    <t>Equity Share Capital</t>
  </si>
  <si>
    <t>BALANCE SHEET</t>
  </si>
  <si>
    <t>Operating Profit</t>
  </si>
  <si>
    <t>Net profit</t>
  </si>
  <si>
    <t>Tax</t>
  </si>
  <si>
    <t>Profit before tax</t>
  </si>
  <si>
    <t>Interest</t>
  </si>
  <si>
    <t>Depreciation</t>
  </si>
  <si>
    <t>Other Income</t>
  </si>
  <si>
    <t>Expenses</t>
  </si>
  <si>
    <t>Sales</t>
  </si>
  <si>
    <t>Quarters</t>
  </si>
  <si>
    <t>Dividend Amount</t>
  </si>
  <si>
    <t>Other Expenses</t>
  </si>
  <si>
    <t>Selling and admin</t>
  </si>
  <si>
    <t>Employee Cost</t>
  </si>
  <si>
    <t>Other Mfr. Exp</t>
  </si>
  <si>
    <t>Power and Fuel</t>
  </si>
  <si>
    <t>Change in Inventory</t>
  </si>
  <si>
    <t>Raw Material Cost</t>
  </si>
  <si>
    <t>PROFIT &amp; LOSS</t>
  </si>
  <si>
    <t>Market Capitalization</t>
  </si>
  <si>
    <t>Current Price</t>
  </si>
  <si>
    <t>Face Value</t>
  </si>
  <si>
    <t>Number of shares</t>
  </si>
  <si>
    <t>META</t>
  </si>
  <si>
    <t>CURRENT VERSION</t>
  </si>
  <si>
    <t>PLEASE DO NOT MAKE ANY CHANGES TO THIS SHEET</t>
  </si>
  <si>
    <t>LATEST VERSION</t>
  </si>
  <si>
    <t>ASIAN PAINTS LTD</t>
  </si>
  <si>
    <t>COMPANY NAME</t>
  </si>
  <si>
    <t>Number of Equity Shares Outstanding</t>
  </si>
  <si>
    <t>Dividend Per Share</t>
  </si>
  <si>
    <t>Earnings Per Share</t>
  </si>
  <si>
    <t>EPS Growth</t>
  </si>
  <si>
    <t>Dividend Payout Ratio</t>
  </si>
  <si>
    <t xml:space="preserve">Reatined Earnings </t>
  </si>
  <si>
    <t>Balance Sheet</t>
  </si>
  <si>
    <t>Income Statement</t>
  </si>
  <si>
    <t>Total Libilities</t>
  </si>
  <si>
    <t>Fixed Assets Net Block</t>
  </si>
  <si>
    <t>Total Non Current Assets</t>
  </si>
  <si>
    <t xml:space="preserve">Total Current Assets </t>
  </si>
  <si>
    <t>Total Assets</t>
  </si>
  <si>
    <t xml:space="preserve">Check </t>
  </si>
  <si>
    <r>
      <t>Cash from Operating Activity </t>
    </r>
    <r>
      <rPr>
        <sz val="11"/>
        <color rgb="FF665EFD"/>
        <rFont val="Arial"/>
        <family val="2"/>
      </rPr>
      <t>-</t>
    </r>
  </si>
  <si>
    <t>Profit from operations</t>
  </si>
  <si>
    <t>Payables</t>
  </si>
  <si>
    <t>Other WC items</t>
  </si>
  <si>
    <t>Working capital changes</t>
  </si>
  <si>
    <t>Direct taxes</t>
  </si>
  <si>
    <r>
      <t>Cash from Investing Activity </t>
    </r>
    <r>
      <rPr>
        <sz val="11"/>
        <color rgb="FF665EFD"/>
        <rFont val="Arial"/>
        <family val="2"/>
      </rPr>
      <t>-</t>
    </r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</si>
  <si>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</si>
  <si>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</si>
  <si>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</si>
  <si>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</si>
  <si>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</si>
  <si>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</si>
  <si>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</si>
  <si>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</si>
  <si>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</si>
  <si>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Other investing items</t>
  </si>
  <si>
    <r>
      <t>Cash from Financing Activity </t>
    </r>
    <r>
      <rPr>
        <sz val="11"/>
        <color rgb="FF665EFD"/>
        <rFont val="Arial"/>
        <family val="2"/>
      </rPr>
      <t>-</t>
    </r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</si>
  <si>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</si>
  <si>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</si>
  <si>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</si>
  <si>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</si>
  <si>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</si>
  <si>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</si>
  <si>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</si>
  <si>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Cashflow Statement</t>
  </si>
  <si>
    <t>Cash from Operating Activities</t>
  </si>
  <si>
    <t>Operating Activities</t>
  </si>
  <si>
    <t>Financing Activities</t>
  </si>
  <si>
    <t>Cash from Financing Activites</t>
  </si>
  <si>
    <t>Investing Activities</t>
  </si>
  <si>
    <t>Cash from Investing Activites</t>
  </si>
  <si>
    <t xml:space="preserve">Net Cash Flow </t>
  </si>
  <si>
    <t xml:space="preserve">Weighted Average Cost Of Capital </t>
  </si>
  <si>
    <t>Peer Comps (in Cr.)</t>
  </si>
  <si>
    <t>Debt/</t>
  </si>
  <si>
    <t>Levered</t>
  </si>
  <si>
    <t>Unlevered</t>
  </si>
  <si>
    <t xml:space="preserve">Name of the Comp </t>
  </si>
  <si>
    <t xml:space="preserve">Country </t>
  </si>
  <si>
    <t xml:space="preserve">Total Debt </t>
  </si>
  <si>
    <t xml:space="preserve">Total Equity </t>
  </si>
  <si>
    <t>Tax Rate</t>
  </si>
  <si>
    <t xml:space="preserve">Equity </t>
  </si>
  <si>
    <t xml:space="preserve">Capital </t>
  </si>
  <si>
    <t>Beta</t>
  </si>
  <si>
    <t xml:space="preserve">India </t>
  </si>
  <si>
    <t>Average</t>
  </si>
  <si>
    <t>Median</t>
  </si>
  <si>
    <t xml:space="preserve">Cost of Debt </t>
  </si>
  <si>
    <t>Cost of Equity</t>
  </si>
  <si>
    <t xml:space="preserve">Pre Tax Cost of Debt </t>
  </si>
  <si>
    <t xml:space="preserve">Risk Free Rate </t>
  </si>
  <si>
    <t>Equity Risk Premium</t>
  </si>
  <si>
    <t xml:space="preserve">Post Tax Cost of Debt </t>
  </si>
  <si>
    <t xml:space="preserve">Levered Beta </t>
  </si>
  <si>
    <t xml:space="preserve">Cost of Equity </t>
  </si>
  <si>
    <t>Capital Structure</t>
  </si>
  <si>
    <t xml:space="preserve">Current </t>
  </si>
  <si>
    <t>Target</t>
  </si>
  <si>
    <t>Comps Median Unlevered Beta</t>
  </si>
  <si>
    <t>Target Debt/Equity</t>
  </si>
  <si>
    <t xml:space="preserve">Market Capitalisation </t>
  </si>
  <si>
    <t xml:space="preserve">Tax Rate </t>
  </si>
  <si>
    <t>Total Capital</t>
  </si>
  <si>
    <t>Levered Beta</t>
  </si>
  <si>
    <t xml:space="preserve">Debt/Equity </t>
  </si>
  <si>
    <t xml:space="preserve">Weighted Average Cost of Capital </t>
  </si>
  <si>
    <t xml:space="preserve">Equity Weight </t>
  </si>
  <si>
    <t xml:space="preserve">Debt Weight </t>
  </si>
  <si>
    <t>WACC</t>
  </si>
  <si>
    <t>Equity Return Premium Calculation</t>
  </si>
  <si>
    <t xml:space="preserve">Return on Markets </t>
  </si>
  <si>
    <t>Year</t>
  </si>
  <si>
    <t xml:space="preserve">Annual Return Rate </t>
  </si>
  <si>
    <t xml:space="preserve">Average </t>
  </si>
  <si>
    <t xml:space="preserve">Dividend Yield </t>
  </si>
  <si>
    <r>
      <t xml:space="preserve">1.29% </t>
    </r>
    <r>
      <rPr>
        <vertAlign val="superscript"/>
        <sz val="11"/>
        <color theme="1"/>
        <rFont val="Calibri"/>
        <family val="2"/>
        <scheme val="minor"/>
      </rPr>
      <t>1</t>
    </r>
  </si>
  <si>
    <t>Total Market Return</t>
  </si>
  <si>
    <t xml:space="preserve">Calculation of ROIC </t>
  </si>
  <si>
    <t xml:space="preserve">Current Assets </t>
  </si>
  <si>
    <t>Total Current Assets</t>
  </si>
  <si>
    <t>Current Liabilities</t>
  </si>
  <si>
    <t>Total Current Libalities</t>
  </si>
  <si>
    <t xml:space="preserve">Net Working Capital </t>
  </si>
  <si>
    <t xml:space="preserve">Non Current Assets </t>
  </si>
  <si>
    <t>Gross Block</t>
  </si>
  <si>
    <t>Accumlated Depriciation</t>
  </si>
  <si>
    <t xml:space="preserve">Net Non Current Assets </t>
  </si>
  <si>
    <t>Invested Capital</t>
  </si>
  <si>
    <t xml:space="preserve">EBIT </t>
  </si>
  <si>
    <t>ROIC</t>
  </si>
  <si>
    <t>Calculation of Reinestment Rate</t>
  </si>
  <si>
    <t>Net Capex</t>
  </si>
  <si>
    <t>Change in Working Capital</t>
  </si>
  <si>
    <t xml:space="preserve">Marginal Tax Rate </t>
  </si>
  <si>
    <t>EBIT(1-Tc)</t>
  </si>
  <si>
    <t>Reinvestment</t>
  </si>
  <si>
    <t xml:space="preserve">Reinvestment Rate </t>
  </si>
  <si>
    <t>4 Year Average</t>
  </si>
  <si>
    <t>4 Year Median</t>
  </si>
  <si>
    <t>Calculation of Intrinsic Growth</t>
  </si>
  <si>
    <t>Intrinsic Growth</t>
  </si>
  <si>
    <t>Calcualtion of PV of FCFF</t>
  </si>
  <si>
    <t>EBIT(1-T)</t>
  </si>
  <si>
    <t>Less: Reinvestment Rate</t>
  </si>
  <si>
    <t>Free Cash Flow to Firm (FCFF)</t>
  </si>
  <si>
    <t xml:space="preserve">Mid Year Convention </t>
  </si>
  <si>
    <t xml:space="preserve">Discounting Factor </t>
  </si>
  <si>
    <t>PV of FCFF</t>
  </si>
  <si>
    <t>Expected Growth</t>
  </si>
  <si>
    <t>Terminal Growth Rate</t>
  </si>
  <si>
    <t>Calcualtion of Terminal Value</t>
  </si>
  <si>
    <t>FCFF(n+1)</t>
  </si>
  <si>
    <t xml:space="preserve">Terminal Growth Rate </t>
  </si>
  <si>
    <t xml:space="preserve">Terminal Value </t>
  </si>
  <si>
    <t xml:space="preserve">Calcualtion of Equity Value </t>
  </si>
  <si>
    <t>PV of Terminal Value</t>
  </si>
  <si>
    <t xml:space="preserve">Value of Operating Assets </t>
  </si>
  <si>
    <t xml:space="preserve">Add: Cash </t>
  </si>
  <si>
    <t xml:space="preserve">Less: Debt </t>
  </si>
  <si>
    <t xml:space="preserve">Value of Equity </t>
  </si>
  <si>
    <t xml:space="preserve">Number of Shares </t>
  </si>
  <si>
    <t>Equity Value per Share</t>
  </si>
  <si>
    <t>Asian Paints</t>
  </si>
  <si>
    <t>Berger Paints</t>
  </si>
  <si>
    <t>Kansai Nerolac</t>
  </si>
  <si>
    <t>Akzo Nobel</t>
  </si>
  <si>
    <t>Indigo Paints</t>
  </si>
  <si>
    <t>Equity Capital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</si>
  <si>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</si>
  <si>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</si>
  <si>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</si>
  <si>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</si>
  <si>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</si>
  <si>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</si>
  <si>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Advance from Customers</t>
  </si>
  <si>
    <t>Other liability items</t>
  </si>
  <si>
    <t>Total Liabilities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</si>
  <si>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</si>
  <si>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</si>
  <si>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</si>
  <si>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</si>
  <si>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</si>
  <si>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</si>
  <si>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</si>
  <si>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</si>
  <si>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Accumulated Depreciation</t>
  </si>
  <si>
    <t>CWIP</t>
  </si>
  <si>
    <t>Inventories</t>
  </si>
  <si>
    <t>Trade receivables -</t>
  </si>
  <si>
    <t>Receivables over 6m</t>
  </si>
  <si>
    <t>Receivables under 6m</t>
  </si>
  <si>
    <t>Prov for Doubtful</t>
  </si>
  <si>
    <t>Cash Equivalents</t>
  </si>
  <si>
    <t>Loans n Advances</t>
  </si>
  <si>
    <t>Other asset items</t>
  </si>
  <si>
    <t>Particulars</t>
  </si>
  <si>
    <t>Fixed Assets</t>
  </si>
  <si>
    <t xml:space="preserve">Other Assets </t>
  </si>
  <si>
    <t>Share Price</t>
  </si>
  <si>
    <t>Discount/Premium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</si>
</sst>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&quot;₹&quot;\ #,##0.0;\(&quot;₹&quot;\ #,##0.0\);\-"/>
    <numFmt numFmtId="165" formatCode="0.00%;\(0.00%\)"/>
    <numFmt numFmtId="166" formatCode="&quot;₹&quot;\ #,##0.0000000000"/>
    <numFmt numFmtId="167" formatCode="mmm/yy&quot;A&quot;"/>
    <numFmt numFmtId="168" formatCode="&quot;₹&quot;\ #,##0;\(&quot;₹&quot;\ #,##0\);\-"/>
    <numFmt numFmtId="169" formatCode="mmm/yy&quot;F&quot;"/>
    <numFmt numFmtId="170" formatCode="_(* #,##0.00_);_(* \(#,##0.00\);_(* &quot;-&quot;??_);_(@_)"/>
    <numFmt numFmtId="171" formatCode="[$-409]mmm\-yy;@"/>
    <numFmt numFmtId="172" formatCode="&quot;₹&quot;\ #,##0.0"/>
    <numFmt numFmtId="173" formatCode="0.000"/>
    <numFmt numFmtId="180" formatCode="0.00\x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i/>
      <sz val="11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F"/>
      <name val="Arial"/>
      <family val="2"/>
    </font>
    <font>
      <sz val="11"/>
      <color rgb="FF665EFD"/>
      <name val="Arial"/>
      <family val="2"/>
    </font>
    <font>
      <sz val="11"/>
      <color rgb="FF22222F"/>
      <name val="Arial"/>
      <family val="2"/>
    </font>
    <font>
      <sz val="11"/>
      <color rgb="FF3333FF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rgb="FF3333FF"/>
      <name val="Calibri"/>
      <family val="2"/>
      <scheme val="minor"/>
    </font>
    <font>
      <sz val="11"/>
      <color theme="10"/>
      <name val="Calibri"/>
      <family val="2"/>
    </font>
    <font>
      <b/>
      <sz val="11"/>
      <color rgb="FF606F7B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C5D9F1"/>
        <bgColor indexed="64"/>
      </patternFill>
    </fill>
    <fill>
      <patternFill patternType="solid">
        <fgColor rgb="FF1B4B7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275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DBE4F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8000"/>
      </bottom>
      <diagonal/>
    </border>
    <border>
      <left/>
      <right/>
      <top style="double">
        <color rgb="FF008000"/>
      </top>
      <bottom/>
      <diagonal/>
    </border>
    <border>
      <left/>
      <right/>
      <top/>
      <bottom style="double">
        <color rgb="FF008000"/>
      </bottom>
      <diagonal/>
    </border>
    <border>
      <left/>
      <right/>
      <top/>
      <bottom style="thin">
        <color rgb="FF008000"/>
      </bottom>
      <diagonal/>
    </border>
    <border>
      <left/>
      <right/>
      <top style="hair">
        <color theme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ck">
        <color rgb="FF008000"/>
      </bottom>
      <diagonal/>
    </border>
    <border>
      <left/>
      <right/>
      <top style="thin">
        <color auto="1"/>
      </top>
      <bottom style="double">
        <color rgb="FF008000"/>
      </bottom>
      <diagonal/>
    </border>
    <border>
      <left/>
      <right/>
      <top style="thin">
        <color rgb="FF008000"/>
      </top>
      <bottom style="double">
        <color rgb="FF008000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rgb="FF1B4B7C"/>
      </top>
      <bottom style="thin">
        <color rgb="FF1B4B7C"/>
      </bottom>
      <diagonal/>
    </border>
    <border>
      <left/>
      <right/>
      <top/>
      <bottom style="thin">
        <color rgb="FF1B4B7C"/>
      </bottom>
      <diagonal/>
    </border>
    <border>
      <left/>
      <right/>
      <top style="thin">
        <color rgb="FF1B4B7C"/>
      </top>
      <bottom style="thick">
        <color rgb="FF1B4B7C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auto="1"/>
      </top>
      <bottom style="thick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75">
    <xf numFmtId="0" fontId="0" fillId="0" borderId="0" xfId="0"/>
    <xf numFmtId="0" fontId="5" fillId="0" borderId="0" xfId="4"/>
    <xf numFmtId="164" fontId="5" fillId="0" borderId="0" xfId="4" applyNumberFormat="1"/>
    <xf numFmtId="0" fontId="1" fillId="0" borderId="0" xfId="4" applyFont="1"/>
    <xf numFmtId="165" fontId="6" fillId="0" borderId="0" xfId="2" applyNumberFormat="1" applyFont="1"/>
    <xf numFmtId="0" fontId="6" fillId="0" borderId="0" xfId="4" applyFont="1"/>
    <xf numFmtId="10" fontId="6" fillId="0" borderId="0" xfId="2" applyNumberFormat="1" applyFont="1"/>
    <xf numFmtId="166" fontId="5" fillId="0" borderId="0" xfId="4" applyNumberFormat="1"/>
    <xf numFmtId="0" fontId="5" fillId="3" borderId="0" xfId="4" applyFill="1"/>
    <xf numFmtId="0" fontId="1" fillId="3" borderId="0" xfId="4" applyFont="1" applyFill="1"/>
    <xf numFmtId="0" fontId="3" fillId="3" borderId="0" xfId="4" applyFont="1" applyFill="1"/>
    <xf numFmtId="17" fontId="2" fillId="4" borderId="0" xfId="4" applyNumberFormat="1" applyFont="1" applyFill="1"/>
    <xf numFmtId="0" fontId="2" fillId="4" borderId="0" xfId="4" applyFont="1" applyFill="1"/>
    <xf numFmtId="0" fontId="2" fillId="4" borderId="0" xfId="4" applyFont="1" applyFill="1" applyAlignment="1">
      <alignment horizontal="right"/>
    </xf>
    <xf numFmtId="0" fontId="5" fillId="0" borderId="0" xfId="4" applyAlignment="1">
      <alignment horizontal="left"/>
    </xf>
    <xf numFmtId="167" fontId="5" fillId="5" borderId="0" xfId="4" applyNumberFormat="1" applyFill="1" applyAlignment="1">
      <alignment horizontal="right"/>
    </xf>
    <xf numFmtId="168" fontId="5" fillId="5" borderId="0" xfId="4" applyNumberFormat="1" applyFill="1" applyAlignment="1">
      <alignment horizontal="right"/>
    </xf>
    <xf numFmtId="0" fontId="5" fillId="5" borderId="0" xfId="4" applyFill="1" applyAlignment="1">
      <alignment horizontal="right"/>
    </xf>
    <xf numFmtId="169" fontId="5" fillId="3" borderId="0" xfId="4" applyNumberFormat="1" applyFill="1" applyAlignment="1">
      <alignment horizontal="right"/>
    </xf>
    <xf numFmtId="168" fontId="5" fillId="3" borderId="0" xfId="4" applyNumberFormat="1" applyFill="1" applyAlignment="1">
      <alignment horizontal="right"/>
    </xf>
    <xf numFmtId="10" fontId="0" fillId="0" borderId="0" xfId="2" applyNumberFormat="1" applyFont="1"/>
    <xf numFmtId="10" fontId="0" fillId="3" borderId="0" xfId="2" applyNumberFormat="1" applyFont="1" applyFill="1"/>
    <xf numFmtId="43" fontId="0" fillId="0" borderId="0" xfId="1" applyFont="1" applyBorder="1"/>
    <xf numFmtId="170" fontId="0" fillId="0" borderId="0" xfId="1" applyNumberFormat="1" applyFont="1" applyBorder="1"/>
    <xf numFmtId="43" fontId="3" fillId="0" borderId="0" xfId="1" applyFont="1" applyBorder="1"/>
    <xf numFmtId="43" fontId="1" fillId="0" borderId="0" xfId="1" applyFont="1" applyBorder="1"/>
    <xf numFmtId="171" fontId="9" fillId="0" borderId="0" xfId="1" applyNumberFormat="1" applyFont="1" applyFill="1" applyBorder="1"/>
    <xf numFmtId="171" fontId="2" fillId="7" borderId="0" xfId="0" applyNumberFormat="1" applyFont="1" applyFill="1" applyAlignment="1">
      <alignment horizontal="center"/>
    </xf>
    <xf numFmtId="171" fontId="2" fillId="7" borderId="0" xfId="1" applyNumberFormat="1" applyFont="1" applyFill="1" applyBorder="1"/>
    <xf numFmtId="10" fontId="5" fillId="0" borderId="0" xfId="2" applyNumberFormat="1" applyFont="1"/>
    <xf numFmtId="0" fontId="3" fillId="0" borderId="0" xfId="4" applyFont="1"/>
    <xf numFmtId="0" fontId="0" fillId="0" borderId="0" xfId="4" applyFont="1"/>
    <xf numFmtId="0" fontId="11" fillId="9" borderId="3" xfId="0" applyFont="1" applyFill="1" applyBorder="1" applyAlignment="1">
      <alignment horizontal="left" vertical="center" indent="1"/>
    </xf>
    <xf numFmtId="3" fontId="11" fillId="9" borderId="3" xfId="0" applyNumberFormat="1" applyFont="1" applyFill="1" applyBorder="1" applyAlignment="1">
      <alignment horizontal="right" vertical="center" wrapText="1"/>
    </xf>
    <xf numFmtId="0" fontId="11" fillId="9" borderId="3" xfId="0" applyFont="1" applyFill="1" applyBorder="1" applyAlignment="1">
      <alignment horizontal="right" vertical="center" wrapText="1"/>
    </xf>
    <xf numFmtId="0" fontId="11" fillId="9" borderId="3" xfId="0" applyFont="1" applyFill="1" applyBorder="1" applyAlignment="1">
      <alignment horizontal="left" vertical="center"/>
    </xf>
    <xf numFmtId="0" fontId="13" fillId="9" borderId="0" xfId="0" applyFont="1" applyFill="1" applyAlignment="1">
      <alignment horizontal="left" vertical="center"/>
    </xf>
    <xf numFmtId="0" fontId="13" fillId="9" borderId="0" xfId="0" applyFont="1" applyFill="1" applyAlignment="1">
      <alignment horizontal="right" vertical="center" wrapText="1"/>
    </xf>
    <xf numFmtId="3" fontId="13" fillId="9" borderId="0" xfId="0" applyNumberFormat="1" applyFont="1" applyFill="1" applyAlignment="1">
      <alignment horizontal="right" vertical="center" wrapText="1"/>
    </xf>
    <xf numFmtId="0" fontId="11" fillId="8" borderId="3" xfId="0" applyFont="1" applyFill="1" applyBorder="1" applyAlignment="1">
      <alignment horizontal="left" vertical="center" indent="1"/>
    </xf>
    <xf numFmtId="0" fontId="11" fillId="8" borderId="3" xfId="0" applyFont="1" applyFill="1" applyBorder="1" applyAlignment="1">
      <alignment horizontal="right" vertical="center" wrapText="1"/>
    </xf>
    <xf numFmtId="3" fontId="11" fillId="8" borderId="3" xfId="0" applyNumberFormat="1" applyFont="1" applyFill="1" applyBorder="1" applyAlignment="1">
      <alignment horizontal="right" vertical="center" wrapText="1"/>
    </xf>
    <xf numFmtId="0" fontId="13" fillId="8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right" vertical="center" wrapText="1"/>
    </xf>
    <xf numFmtId="3" fontId="13" fillId="8" borderId="0" xfId="0" applyNumberFormat="1" applyFont="1" applyFill="1" applyAlignment="1">
      <alignment horizontal="right" vertical="center" wrapText="1"/>
    </xf>
    <xf numFmtId="0" fontId="7" fillId="4" borderId="0" xfId="4" applyFont="1" applyFill="1" applyAlignment="1">
      <alignment horizontal="center"/>
    </xf>
    <xf numFmtId="43" fontId="10" fillId="0" borderId="0" xfId="5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Continuous"/>
    </xf>
    <xf numFmtId="0" fontId="0" fillId="6" borderId="0" xfId="0" applyFill="1" applyBorder="1" applyAlignment="1"/>
    <xf numFmtId="0" fontId="0" fillId="6" borderId="2" xfId="0" applyFill="1" applyBorder="1" applyAlignment="1"/>
    <xf numFmtId="0" fontId="2" fillId="4" borderId="0" xfId="4" applyFont="1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0" fontId="14" fillId="0" borderId="0" xfId="0" applyFont="1" applyAlignment="1">
      <alignment horizontal="right"/>
    </xf>
    <xf numFmtId="164" fontId="14" fillId="0" borderId="0" xfId="0" applyNumberFormat="1" applyFont="1" applyAlignment="1">
      <alignment horizontal="right"/>
    </xf>
    <xf numFmtId="10" fontId="14" fillId="0" borderId="0" xfId="0" applyNumberFormat="1" applyFont="1" applyAlignment="1">
      <alignment horizontal="right"/>
    </xf>
    <xf numFmtId="10" fontId="0" fillId="10" borderId="0" xfId="2" applyNumberFormat="1" applyFont="1" applyFill="1" applyAlignment="1">
      <alignment horizontal="right"/>
    </xf>
    <xf numFmtId="2" fontId="14" fillId="0" borderId="0" xfId="0" applyNumberFormat="1" applyFont="1" applyAlignment="1">
      <alignment horizontal="right"/>
    </xf>
    <xf numFmtId="2" fontId="0" fillId="10" borderId="0" xfId="0" applyNumberForma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6" xfId="0" applyFont="1" applyBorder="1"/>
    <xf numFmtId="10" fontId="0" fillId="0" borderId="6" xfId="0" applyNumberFormat="1" applyBorder="1"/>
    <xf numFmtId="2" fontId="0" fillId="0" borderId="6" xfId="0" applyNumberFormat="1" applyBorder="1"/>
    <xf numFmtId="0" fontId="3" fillId="0" borderId="7" xfId="0" applyFont="1" applyBorder="1"/>
    <xf numFmtId="10" fontId="0" fillId="0" borderId="7" xfId="0" applyNumberFormat="1" applyBorder="1"/>
    <xf numFmtId="2" fontId="0" fillId="0" borderId="7" xfId="0" applyNumberFormat="1" applyBorder="1"/>
    <xf numFmtId="0" fontId="3" fillId="0" borderId="8" xfId="0" applyFont="1" applyBorder="1"/>
    <xf numFmtId="0" fontId="0" fillId="0" borderId="8" xfId="0" applyBorder="1"/>
    <xf numFmtId="0" fontId="1" fillId="0" borderId="0" xfId="0" applyFont="1"/>
    <xf numFmtId="10" fontId="14" fillId="0" borderId="0" xfId="0" applyNumberFormat="1" applyFont="1"/>
    <xf numFmtId="9" fontId="14" fillId="0" borderId="0" xfId="0" applyNumberFormat="1" applyFont="1"/>
    <xf numFmtId="0" fontId="1" fillId="0" borderId="9" xfId="0" applyFont="1" applyBorder="1"/>
    <xf numFmtId="0" fontId="0" fillId="0" borderId="9" xfId="0" applyBorder="1"/>
    <xf numFmtId="10" fontId="0" fillId="11" borderId="9" xfId="0" applyNumberFormat="1" applyFill="1" applyBorder="1"/>
    <xf numFmtId="2" fontId="0" fillId="0" borderId="0" xfId="0" applyNumberFormat="1"/>
    <xf numFmtId="0" fontId="1" fillId="0" borderId="10" xfId="0" applyFont="1" applyBorder="1"/>
    <xf numFmtId="0" fontId="0" fillId="0" borderId="10" xfId="0" applyBorder="1"/>
    <xf numFmtId="10" fontId="0" fillId="11" borderId="10" xfId="0" applyNumberFormat="1" applyFill="1" applyBorder="1"/>
    <xf numFmtId="4" fontId="1" fillId="0" borderId="11" xfId="0" applyNumberFormat="1" applyFont="1" applyBorder="1" applyAlignment="1">
      <alignment horizontal="right"/>
    </xf>
    <xf numFmtId="10" fontId="1" fillId="0" borderId="0" xfId="2" applyNumberFormat="1" applyFont="1"/>
    <xf numFmtId="0" fontId="3" fillId="0" borderId="0" xfId="0" applyFont="1"/>
    <xf numFmtId="10" fontId="0" fillId="0" borderId="0" xfId="0" applyNumberFormat="1"/>
    <xf numFmtId="10" fontId="0" fillId="0" borderId="10" xfId="0" applyNumberFormat="1" applyBorder="1"/>
    <xf numFmtId="9" fontId="0" fillId="0" borderId="10" xfId="2" applyFont="1" applyBorder="1"/>
    <xf numFmtId="0" fontId="1" fillId="0" borderId="12" xfId="0" applyFont="1" applyBorder="1"/>
    <xf numFmtId="0" fontId="0" fillId="0" borderId="12" xfId="0" applyBorder="1"/>
    <xf numFmtId="10" fontId="0" fillId="0" borderId="12" xfId="0" applyNumberFormat="1" applyBorder="1"/>
    <xf numFmtId="9" fontId="0" fillId="0" borderId="12" xfId="2" applyFont="1" applyBorder="1"/>
    <xf numFmtId="2" fontId="0" fillId="11" borderId="12" xfId="0" applyNumberFormat="1" applyFill="1" applyBorder="1"/>
    <xf numFmtId="10" fontId="0" fillId="11" borderId="0" xfId="0" applyNumberFormat="1" applyFill="1"/>
    <xf numFmtId="0" fontId="3" fillId="6" borderId="0" xfId="0" applyFont="1" applyFill="1"/>
    <xf numFmtId="10" fontId="3" fillId="6" borderId="0" xfId="0" applyNumberFormat="1" applyFont="1" applyFill="1"/>
    <xf numFmtId="0" fontId="3" fillId="5" borderId="8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right"/>
    </xf>
    <xf numFmtId="10" fontId="1" fillId="0" borderId="0" xfId="0" applyNumberFormat="1" applyFont="1" applyAlignment="1">
      <alignment horizontal="right"/>
    </xf>
    <xf numFmtId="17" fontId="2" fillId="4" borderId="0" xfId="0" applyNumberFormat="1" applyFont="1" applyFill="1" applyAlignment="1">
      <alignment horizontal="right"/>
    </xf>
    <xf numFmtId="0" fontId="0" fillId="0" borderId="4" xfId="0" applyBorder="1"/>
    <xf numFmtId="164" fontId="0" fillId="0" borderId="4" xfId="0" applyNumberFormat="1" applyBorder="1"/>
    <xf numFmtId="0" fontId="0" fillId="0" borderId="4" xfId="0" applyBorder="1" applyAlignment="1">
      <alignment wrapText="1"/>
    </xf>
    <xf numFmtId="164" fontId="0" fillId="0" borderId="12" xfId="0" applyNumberFormat="1" applyBorder="1"/>
    <xf numFmtId="164" fontId="0" fillId="0" borderId="0" xfId="0" applyNumberFormat="1"/>
    <xf numFmtId="164" fontId="0" fillId="0" borderId="13" xfId="0" applyNumberFormat="1" applyBorder="1"/>
    <xf numFmtId="0" fontId="3" fillId="0" borderId="14" xfId="0" applyFont="1" applyBorder="1"/>
    <xf numFmtId="0" fontId="3" fillId="0" borderId="4" xfId="0" applyFont="1" applyBorder="1"/>
    <xf numFmtId="0" fontId="3" fillId="0" borderId="15" xfId="0" applyFont="1" applyBorder="1"/>
    <xf numFmtId="10" fontId="3" fillId="0" borderId="15" xfId="2" applyNumberFormat="1" applyFont="1" applyBorder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1" fillId="0" borderId="4" xfId="0" applyFont="1" applyBorder="1"/>
    <xf numFmtId="0" fontId="1" fillId="0" borderId="0" xfId="0" applyFont="1" applyAlignment="1">
      <alignment vertical="center" wrapText="1"/>
    </xf>
    <xf numFmtId="0" fontId="0" fillId="0" borderId="4" xfId="0" applyBorder="1" applyAlignment="1">
      <alignment horizontal="right"/>
    </xf>
    <xf numFmtId="9" fontId="16" fillId="0" borderId="4" xfId="0" applyNumberFormat="1" applyFont="1" applyBorder="1" applyAlignment="1">
      <alignment horizontal="right"/>
    </xf>
    <xf numFmtId="10" fontId="0" fillId="0" borderId="4" xfId="0" applyNumberFormat="1" applyBorder="1"/>
    <xf numFmtId="0" fontId="3" fillId="6" borderId="0" xfId="0" applyFont="1" applyFill="1" applyAlignment="1">
      <alignment horizontal="left"/>
    </xf>
    <xf numFmtId="10" fontId="3" fillId="6" borderId="0" xfId="0" applyNumberFormat="1" applyFont="1" applyFill="1" applyAlignment="1">
      <alignment horizontal="right"/>
    </xf>
    <xf numFmtId="10" fontId="3" fillId="0" borderId="15" xfId="0" applyNumberFormat="1" applyFont="1" applyBorder="1"/>
    <xf numFmtId="0" fontId="1" fillId="0" borderId="0" xfId="0" applyFont="1" applyAlignment="1">
      <alignment wrapText="1"/>
    </xf>
    <xf numFmtId="0" fontId="4" fillId="4" borderId="0" xfId="0" applyFont="1" applyFill="1"/>
    <xf numFmtId="167" fontId="4" fillId="4" borderId="0" xfId="0" applyNumberFormat="1" applyFont="1" applyFill="1"/>
    <xf numFmtId="169" fontId="4" fillId="4" borderId="0" xfId="0" applyNumberFormat="1" applyFont="1" applyFill="1"/>
    <xf numFmtId="164" fontId="0" fillId="10" borderId="4" xfId="0" applyNumberFormat="1" applyFill="1" applyBorder="1"/>
    <xf numFmtId="9" fontId="0" fillId="10" borderId="4" xfId="0" applyNumberFormat="1" applyFill="1" applyBorder="1"/>
    <xf numFmtId="9" fontId="0" fillId="0" borderId="4" xfId="0" applyNumberFormat="1" applyBorder="1"/>
    <xf numFmtId="10" fontId="0" fillId="10" borderId="4" xfId="0" applyNumberFormat="1" applyFill="1" applyBorder="1"/>
    <xf numFmtId="0" fontId="0" fillId="10" borderId="4" xfId="0" applyFill="1" applyBorder="1"/>
    <xf numFmtId="0" fontId="14" fillId="0" borderId="4" xfId="0" applyFont="1" applyBorder="1"/>
    <xf numFmtId="173" fontId="0" fillId="0" borderId="4" xfId="0" applyNumberFormat="1" applyBorder="1"/>
    <xf numFmtId="0" fontId="0" fillId="10" borderId="0" xfId="0" applyFill="1"/>
    <xf numFmtId="0" fontId="3" fillId="10" borderId="15" xfId="0" applyFont="1" applyFill="1" applyBorder="1"/>
    <xf numFmtId="164" fontId="3" fillId="0" borderId="15" xfId="0" applyNumberFormat="1" applyFont="1" applyBorder="1"/>
    <xf numFmtId="0" fontId="1" fillId="6" borderId="0" xfId="0" applyFont="1" applyFill="1"/>
    <xf numFmtId="0" fontId="0" fillId="6" borderId="0" xfId="0" applyFill="1"/>
    <xf numFmtId="10" fontId="0" fillId="6" borderId="0" xfId="0" applyNumberFormat="1" applyFill="1"/>
    <xf numFmtId="0" fontId="3" fillId="0" borderId="16" xfId="0" applyFont="1" applyBorder="1"/>
    <xf numFmtId="164" fontId="3" fillId="0" borderId="16" xfId="0" applyNumberFormat="1" applyFont="1" applyBorder="1"/>
    <xf numFmtId="164" fontId="3" fillId="0" borderId="0" xfId="0" applyNumberFormat="1" applyFont="1"/>
    <xf numFmtId="0" fontId="17" fillId="5" borderId="0" xfId="5" applyFont="1" applyFill="1" applyAlignment="1" applyProtection="1">
      <alignment horizontal="left" vertical="center"/>
    </xf>
    <xf numFmtId="164" fontId="5" fillId="0" borderId="4" xfId="4" applyNumberFormat="1" applyBorder="1"/>
    <xf numFmtId="164" fontId="5" fillId="0" borderId="13" xfId="4" applyNumberFormat="1" applyBorder="1"/>
    <xf numFmtId="164" fontId="5" fillId="0" borderId="17" xfId="4" applyNumberFormat="1" applyBorder="1"/>
    <xf numFmtId="164" fontId="5" fillId="0" borderId="18" xfId="4" applyNumberFormat="1" applyBorder="1"/>
    <xf numFmtId="164" fontId="5" fillId="0" borderId="19" xfId="4" applyNumberFormat="1" applyBorder="1"/>
    <xf numFmtId="43" fontId="3" fillId="0" borderId="20" xfId="1" applyFont="1" applyBorder="1"/>
    <xf numFmtId="164" fontId="5" fillId="0" borderId="20" xfId="4" applyNumberFormat="1" applyBorder="1"/>
    <xf numFmtId="0" fontId="3" fillId="0" borderId="17" xfId="4" applyFont="1" applyBorder="1"/>
    <xf numFmtId="164" fontId="3" fillId="0" borderId="17" xfId="4" applyNumberFormat="1" applyFont="1" applyBorder="1"/>
    <xf numFmtId="172" fontId="3" fillId="0" borderId="17" xfId="4" applyNumberFormat="1" applyFont="1" applyBorder="1"/>
    <xf numFmtId="3" fontId="0" fillId="0" borderId="0" xfId="0" applyNumberFormat="1"/>
    <xf numFmtId="17" fontId="2" fillId="4" borderId="0" xfId="0" applyNumberFormat="1" applyFont="1" applyFill="1"/>
    <xf numFmtId="0" fontId="2" fillId="5" borderId="0" xfId="0" applyFont="1" applyFill="1"/>
    <xf numFmtId="17" fontId="2" fillId="5" borderId="0" xfId="0" applyNumberFormat="1" applyFont="1" applyFill="1"/>
    <xf numFmtId="43" fontId="3" fillId="0" borderId="21" xfId="1" applyFont="1" applyBorder="1"/>
    <xf numFmtId="164" fontId="5" fillId="0" borderId="12" xfId="4" applyNumberFormat="1" applyBorder="1"/>
    <xf numFmtId="0" fontId="3" fillId="0" borderId="22" xfId="0" applyFont="1" applyBorder="1"/>
    <xf numFmtId="164" fontId="5" fillId="0" borderId="22" xfId="4" applyNumberFormat="1" applyBorder="1"/>
    <xf numFmtId="164" fontId="5" fillId="0" borderId="0" xfId="4" applyNumberFormat="1" applyBorder="1"/>
    <xf numFmtId="0" fontId="3" fillId="0" borderId="17" xfId="0" applyFont="1" applyBorder="1"/>
    <xf numFmtId="0" fontId="0" fillId="0" borderId="17" xfId="0" applyBorder="1"/>
    <xf numFmtId="164" fontId="0" fillId="0" borderId="17" xfId="0" applyNumberFormat="1" applyBorder="1"/>
    <xf numFmtId="17" fontId="18" fillId="8" borderId="0" xfId="0" applyNumberFormat="1" applyFont="1" applyFill="1" applyAlignment="1">
      <alignment horizontal="right" vertical="center" wrapText="1"/>
    </xf>
    <xf numFmtId="180" fontId="0" fillId="0" borderId="0" xfId="0" applyNumberFormat="1"/>
  </cellXfs>
  <cellStyles count="6">
    <cellStyle name="Accent6" xfId="3" builtinId="49"/>
    <cellStyle name="Comma" xfId="1" builtinId="3"/>
    <cellStyle name="Hyperlink" xfId="5" builtinId="8"/>
    <cellStyle name="Normal" xfId="0" builtinId="0"/>
    <cellStyle name="Normal 2" xfId="4" xr:uid="{6283C6E5-288A-4033-9C42-C3CD983C7C98}"/>
    <cellStyle name="Percent" xfId="2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1B4B7C"/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3\Accounts\BACK%20UP\March%202003%20Wiring%20Harness%20Di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yalty"/>
      <sheetName val="Cash Flow (2)"/>
      <sheetName val="Cash Flow"/>
      <sheetName val="Cash Flow Working"/>
      <sheetName val="Inter Unit"/>
      <sheetName val="FCF"/>
      <sheetName val="Consolidated"/>
      <sheetName val="C.O."/>
      <sheetName val="NBD"/>
      <sheetName val="SBU 1"/>
      <sheetName val="SBU 2"/>
      <sheetName val="SBU 3"/>
      <sheetName val="SBU 4"/>
      <sheetName val="SBU 5"/>
      <sheetName val="HTC"/>
      <sheetName val="SBU 6"/>
      <sheetName val="SBU 7"/>
      <sheetName val="SBU7EOU"/>
      <sheetName val="SBU 9"/>
      <sheetName val="PED"/>
      <sheetName val="EOU"/>
      <sheetName val="SPUB 2"/>
      <sheetName val="ELASTOMER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528">
          <cell r="AS1528">
            <v>292687602.32478976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er.in/company/KANSAINER/consolidated/" TargetMode="External"/><Relationship Id="rId2" Type="http://schemas.openxmlformats.org/officeDocument/2006/relationships/hyperlink" Target="https://www.screener.in/company/BERGEPAINT/consolidated/" TargetMode="External"/><Relationship Id="rId1" Type="http://schemas.openxmlformats.org/officeDocument/2006/relationships/hyperlink" Target="https://www.screener.in/company/ASIANPAINT/consolidated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screener.in/company/INDIGOPNTS/" TargetMode="External"/><Relationship Id="rId4" Type="http://schemas.openxmlformats.org/officeDocument/2006/relationships/hyperlink" Target="https://www.screener.in/company/AKZOINDI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C2D9-09EB-4215-B480-3A1E6836EC94}">
  <sheetPr>
    <tabColor rgb="FF1B4B7C"/>
  </sheetPr>
  <dimension ref="A2:L103"/>
  <sheetViews>
    <sheetView showGridLines="0" zoomScale="75" zoomScaleNormal="400" workbookViewId="0">
      <pane ySplit="3" topLeftCell="A4" activePane="bottomLeft" state="frozen"/>
      <selection pane="bottomLeft" activeCell="C46" sqref="C46:L49"/>
    </sheetView>
  </sheetViews>
  <sheetFormatPr defaultRowHeight="14.25"/>
  <cols>
    <col min="1" max="1" width="1.73046875" style="1" customWidth="1"/>
    <col min="2" max="2" width="31.59765625" style="1" customWidth="1"/>
    <col min="3" max="4" width="9.1328125" style="1" bestFit="1" customWidth="1"/>
    <col min="5" max="7" width="9.3984375" style="1" bestFit="1" customWidth="1"/>
    <col min="8" max="8" width="9.33203125" style="1" bestFit="1" customWidth="1"/>
    <col min="9" max="12" width="9.3984375" style="1" bestFit="1" customWidth="1"/>
    <col min="13" max="16384" width="9.06640625" style="1"/>
  </cols>
  <sheetData>
    <row r="2" spans="1:12" ht="15.75">
      <c r="B2" s="45" t="str">
        <f xml:space="preserve"> "Historical Financial Statement - " &amp; 'Data Sheet'!B1</f>
        <v>Historical Financial Statement - ASIAN PAINTS LTD</v>
      </c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>
      <c r="B3" s="12" t="s">
        <v>18</v>
      </c>
      <c r="C3" s="11">
        <f>'Data Sheet'!B16</f>
        <v>42460</v>
      </c>
      <c r="D3" s="11">
        <f>'Data Sheet'!C16</f>
        <v>42825</v>
      </c>
      <c r="E3" s="11">
        <f>'Data Sheet'!D16</f>
        <v>43190</v>
      </c>
      <c r="F3" s="11">
        <f>'Data Sheet'!E16</f>
        <v>43555</v>
      </c>
      <c r="G3" s="11">
        <f>'Data Sheet'!F16</f>
        <v>43921</v>
      </c>
      <c r="H3" s="11">
        <f>'Data Sheet'!G16</f>
        <v>44286</v>
      </c>
      <c r="I3" s="11">
        <f>'Data Sheet'!H16</f>
        <v>44651</v>
      </c>
      <c r="J3" s="11">
        <f>'Data Sheet'!I16</f>
        <v>45016</v>
      </c>
      <c r="K3" s="11">
        <f>'Data Sheet'!J16</f>
        <v>45382</v>
      </c>
      <c r="L3" s="11">
        <f>'Data Sheet'!K16</f>
        <v>45747</v>
      </c>
    </row>
    <row r="5" spans="1:12">
      <c r="A5" s="3" t="s">
        <v>17</v>
      </c>
      <c r="B5" s="10" t="s">
        <v>108</v>
      </c>
      <c r="C5" s="9"/>
      <c r="D5" s="8"/>
      <c r="E5" s="8"/>
      <c r="F5" s="8"/>
      <c r="G5" s="8"/>
      <c r="H5" s="8"/>
      <c r="I5" s="8"/>
      <c r="J5" s="8"/>
      <c r="K5" s="8"/>
      <c r="L5" s="8"/>
    </row>
    <row r="7" spans="1:12">
      <c r="B7" s="3" t="s">
        <v>16</v>
      </c>
      <c r="C7" s="2">
        <f>IFERROR('Data Sheet'!B17,0)</f>
        <v>14271.49</v>
      </c>
      <c r="D7" s="2">
        <f>IFERROR('Data Sheet'!C17,0)</f>
        <v>15061.99</v>
      </c>
      <c r="E7" s="2">
        <f>IFERROR('Data Sheet'!D17,0)</f>
        <v>16824.55</v>
      </c>
      <c r="F7" s="2">
        <f>IFERROR('Data Sheet'!E17,0)</f>
        <v>19240.13</v>
      </c>
      <c r="G7" s="2">
        <f>IFERROR('Data Sheet'!F17,0)</f>
        <v>20211.25</v>
      </c>
      <c r="H7" s="2">
        <f>IFERROR('Data Sheet'!G17,0)</f>
        <v>21712.79</v>
      </c>
      <c r="I7" s="2">
        <f>IFERROR('Data Sheet'!H17,0)</f>
        <v>29101.279999999999</v>
      </c>
      <c r="J7" s="2">
        <f>IFERROR('Data Sheet'!I17,0)</f>
        <v>34488.589999999997</v>
      </c>
      <c r="K7" s="2">
        <f>IFERROR('Data Sheet'!J17,0)</f>
        <v>35494.730000000003</v>
      </c>
      <c r="L7" s="2">
        <f>IFERROR('Data Sheet'!K17,0)</f>
        <v>33905.620000000003</v>
      </c>
    </row>
    <row r="8" spans="1:12">
      <c r="B8" s="5" t="s">
        <v>15</v>
      </c>
      <c r="C8" s="5"/>
      <c r="D8" s="4">
        <f>D7/C7-1</f>
        <v>5.5390151974320734E-2</v>
      </c>
      <c r="E8" s="4">
        <f t="shared" ref="E8:L8" si="0">E7/D7-1</f>
        <v>0.11702039371955486</v>
      </c>
      <c r="F8" s="4">
        <f t="shared" si="0"/>
        <v>0.14357471670861943</v>
      </c>
      <c r="G8" s="4">
        <f t="shared" si="0"/>
        <v>5.0473671435691925E-2</v>
      </c>
      <c r="H8" s="4">
        <f t="shared" si="0"/>
        <v>7.4292287711052118E-2</v>
      </c>
      <c r="I8" s="4">
        <f t="shared" si="0"/>
        <v>0.34028284711453471</v>
      </c>
      <c r="J8" s="4">
        <f t="shared" si="0"/>
        <v>0.18512278497715551</v>
      </c>
      <c r="K8" s="4">
        <f t="shared" si="0"/>
        <v>2.9173126532572313E-2</v>
      </c>
      <c r="L8" s="4">
        <f t="shared" si="0"/>
        <v>-4.4770308155605121E-2</v>
      </c>
    </row>
    <row r="10" spans="1:12">
      <c r="B10" s="3" t="s">
        <v>14</v>
      </c>
      <c r="C10" s="2">
        <f>IFERROR(SUM('Data Sheet'!B18,'Data Sheet'!B20:B22) -1*'Data Sheet'!B19,0)</f>
        <v>9413.8399999999983</v>
      </c>
      <c r="D10" s="2">
        <f>IFERROR(SUM('Data Sheet'!C18,'Data Sheet'!C20:C22) -1*'Data Sheet'!C19,0)</f>
        <v>9732.66</v>
      </c>
      <c r="E10" s="2">
        <f>IFERROR(SUM('Data Sheet'!D18,'Data Sheet'!D20:D22) -1*'Data Sheet'!D19,0)</f>
        <v>11194.169999999998</v>
      </c>
      <c r="F10" s="2">
        <f>IFERROR(SUM('Data Sheet'!E18,'Data Sheet'!E20:E22) -1*'Data Sheet'!E19,0)</f>
        <v>12905.81</v>
      </c>
      <c r="G10" s="2">
        <f>IFERROR(SUM('Data Sheet'!F18,'Data Sheet'!F20:F22) -1*'Data Sheet'!F19,0)</f>
        <v>13158.020000000002</v>
      </c>
      <c r="H10" s="2">
        <f>IFERROR(SUM('Data Sheet'!G18,'Data Sheet'!G20:G22) -1*'Data Sheet'!G19,0)</f>
        <v>14035.069999999998</v>
      </c>
      <c r="I10" s="2">
        <f>IFERROR(SUM('Data Sheet'!H18,'Data Sheet'!H20:H22) -1*'Data Sheet'!H19,0)</f>
        <v>20590.57</v>
      </c>
      <c r="J10" s="2">
        <f>IFERROR(SUM('Data Sheet'!I18,'Data Sheet'!I20:I22) -1*'Data Sheet'!I19,0)</f>
        <v>23766.7</v>
      </c>
      <c r="K10" s="2">
        <f>IFERROR(SUM('Data Sheet'!J18,'Data Sheet'!J20:J22) -1*'Data Sheet'!J19,0)</f>
        <v>23009.99</v>
      </c>
      <c r="L10" s="2">
        <f>IFERROR(SUM('Data Sheet'!K18,'Data Sheet'!K20:K22) -1*'Data Sheet'!K19,0)</f>
        <v>22741.27</v>
      </c>
    </row>
    <row r="11" spans="1:12">
      <c r="B11" s="5" t="s">
        <v>13</v>
      </c>
      <c r="C11" s="6">
        <f>IFERROR(C10/C7,0)</f>
        <v>0.65962558919916547</v>
      </c>
      <c r="D11" s="6">
        <f t="shared" ref="D11:L11" si="1">IFERROR(D10/D7,0)</f>
        <v>0.64617357998511482</v>
      </c>
      <c r="E11" s="6">
        <f t="shared" si="1"/>
        <v>0.66534736441687881</v>
      </c>
      <c r="F11" s="6">
        <f t="shared" si="1"/>
        <v>0.67077561326248825</v>
      </c>
      <c r="G11" s="6">
        <f t="shared" si="1"/>
        <v>0.65102455315727636</v>
      </c>
      <c r="H11" s="6">
        <f t="shared" si="1"/>
        <v>0.64639643270164715</v>
      </c>
      <c r="I11" s="6">
        <f t="shared" si="1"/>
        <v>0.70754860267314701</v>
      </c>
      <c r="J11" s="6">
        <f t="shared" si="1"/>
        <v>0.68911776329504926</v>
      </c>
      <c r="K11" s="6">
        <f t="shared" si="1"/>
        <v>0.64826496778535858</v>
      </c>
      <c r="L11" s="6">
        <f t="shared" si="1"/>
        <v>0.67072272974214886</v>
      </c>
    </row>
    <row r="13" spans="1:12">
      <c r="B13" s="3" t="s">
        <v>12</v>
      </c>
      <c r="C13" s="2">
        <f>IFERROR(C7-C10,0)</f>
        <v>4857.6500000000015</v>
      </c>
      <c r="D13" s="2">
        <f t="shared" ref="D13:L13" si="2">IFERROR(D7-D10,0)</f>
        <v>5329.33</v>
      </c>
      <c r="E13" s="2">
        <f t="shared" si="2"/>
        <v>5630.380000000001</v>
      </c>
      <c r="F13" s="2">
        <f t="shared" si="2"/>
        <v>6334.3200000000015</v>
      </c>
      <c r="G13" s="2">
        <f t="shared" si="2"/>
        <v>7053.2299999999977</v>
      </c>
      <c r="H13" s="2">
        <f t="shared" si="2"/>
        <v>7677.720000000003</v>
      </c>
      <c r="I13" s="2">
        <f t="shared" si="2"/>
        <v>8510.7099999999991</v>
      </c>
      <c r="J13" s="2">
        <f t="shared" si="2"/>
        <v>10721.889999999996</v>
      </c>
      <c r="K13" s="2">
        <f t="shared" si="2"/>
        <v>12484.740000000002</v>
      </c>
      <c r="L13" s="2">
        <f t="shared" si="2"/>
        <v>11164.350000000002</v>
      </c>
    </row>
    <row r="15" spans="1:12">
      <c r="B15" s="3" t="s">
        <v>11</v>
      </c>
      <c r="C15" s="2">
        <f>IFERROR(SUM('Data Sheet'!B23:B24),0)</f>
        <v>2132.61</v>
      </c>
      <c r="D15" s="2">
        <f>IFERROR(SUM('Data Sheet'!C23:C24),0)</f>
        <v>2335.5699999999997</v>
      </c>
      <c r="E15" s="2">
        <f>IFERROR(SUM('Data Sheet'!D23:D24),0)</f>
        <v>2426.37</v>
      </c>
      <c r="F15" s="2">
        <f>IFERROR(SUM('Data Sheet'!E23:E24),0)</f>
        <v>2569.38</v>
      </c>
      <c r="G15" s="2">
        <f>IFERROR(SUM('Data Sheet'!F23:F24),0)</f>
        <v>2896.4100000000003</v>
      </c>
      <c r="H15" s="2">
        <f>IFERROR(SUM('Data Sheet'!G23:G24),0)</f>
        <v>2822.12</v>
      </c>
      <c r="I15" s="2">
        <f>IFERROR(SUM('Data Sheet'!H23:H24),0)</f>
        <v>3707.1</v>
      </c>
      <c r="J15" s="2">
        <f>IFERROR(SUM('Data Sheet'!I23:I24),0)</f>
        <v>4462.05</v>
      </c>
      <c r="K15" s="2">
        <f>IFERROR(SUM('Data Sheet'!J23:J24),0)</f>
        <v>4899.76</v>
      </c>
      <c r="L15" s="2">
        <f>IFERROR(SUM('Data Sheet'!K23:K24),0)</f>
        <v>5158.1400000000003</v>
      </c>
    </row>
    <row r="16" spans="1:12">
      <c r="B16" s="5" t="s">
        <v>10</v>
      </c>
      <c r="C16" s="6">
        <f>IFERROR(C15/C7,0)</f>
        <v>0.14943148893353111</v>
      </c>
      <c r="D16" s="6">
        <f t="shared" ref="D16:L16" si="3">IFERROR(D15/D7,0)</f>
        <v>0.15506383950593511</v>
      </c>
      <c r="E16" s="6">
        <f t="shared" si="3"/>
        <v>0.14421604143944414</v>
      </c>
      <c r="F16" s="6">
        <f t="shared" si="3"/>
        <v>0.13354275672773522</v>
      </c>
      <c r="G16" s="6">
        <f t="shared" si="3"/>
        <v>0.14330682169583772</v>
      </c>
      <c r="H16" s="6">
        <f t="shared" si="3"/>
        <v>0.12997500551518251</v>
      </c>
      <c r="I16" s="6">
        <f t="shared" si="3"/>
        <v>0.1273861493377611</v>
      </c>
      <c r="J16" s="6">
        <f t="shared" si="3"/>
        <v>0.12937757095897515</v>
      </c>
      <c r="K16" s="6">
        <f t="shared" si="3"/>
        <v>0.1380419008681007</v>
      </c>
      <c r="L16" s="6">
        <f t="shared" si="3"/>
        <v>0.15213230137068723</v>
      </c>
    </row>
    <row r="18" spans="2:12">
      <c r="B18" s="3" t="s">
        <v>9</v>
      </c>
      <c r="C18" s="2">
        <f>IFERROR(C13-C15,0)</f>
        <v>2725.0400000000013</v>
      </c>
      <c r="D18" s="2">
        <f t="shared" ref="D18:L18" si="4">IFERROR(D13-D15,0)</f>
        <v>2993.76</v>
      </c>
      <c r="E18" s="2">
        <f t="shared" si="4"/>
        <v>3204.0100000000011</v>
      </c>
      <c r="F18" s="2">
        <f t="shared" si="4"/>
        <v>3764.9400000000014</v>
      </c>
      <c r="G18" s="2">
        <f t="shared" si="4"/>
        <v>4156.8199999999979</v>
      </c>
      <c r="H18" s="2">
        <f t="shared" si="4"/>
        <v>4855.6000000000031</v>
      </c>
      <c r="I18" s="2">
        <f t="shared" si="4"/>
        <v>4803.6099999999988</v>
      </c>
      <c r="J18" s="2">
        <f t="shared" si="4"/>
        <v>6259.8399999999956</v>
      </c>
      <c r="K18" s="2">
        <f t="shared" si="4"/>
        <v>7584.9800000000014</v>
      </c>
      <c r="L18" s="2">
        <f t="shared" si="4"/>
        <v>6006.2100000000019</v>
      </c>
    </row>
    <row r="19" spans="2:12">
      <c r="B19" s="5" t="s">
        <v>8</v>
      </c>
      <c r="C19" s="6">
        <f>IFERROR(C18/C7,0)</f>
        <v>0.19094292186730338</v>
      </c>
      <c r="D19" s="6">
        <f t="shared" ref="D19:L19" si="5">IFERROR(D18/D7,0)</f>
        <v>0.19876258050895004</v>
      </c>
      <c r="E19" s="6">
        <f t="shared" si="5"/>
        <v>0.19043659414367703</v>
      </c>
      <c r="F19" s="6">
        <f t="shared" si="5"/>
        <v>0.19568163000977651</v>
      </c>
      <c r="G19" s="6">
        <f t="shared" si="5"/>
        <v>0.20566862514688591</v>
      </c>
      <c r="H19" s="6">
        <f t="shared" si="5"/>
        <v>0.22362856178317034</v>
      </c>
      <c r="I19" s="6">
        <f t="shared" si="5"/>
        <v>0.16506524798909186</v>
      </c>
      <c r="J19" s="6">
        <f t="shared" si="5"/>
        <v>0.1815046657459756</v>
      </c>
      <c r="K19" s="6">
        <f t="shared" si="5"/>
        <v>0.21369313134654075</v>
      </c>
      <c r="L19" s="6">
        <f t="shared" si="5"/>
        <v>0.17714496888716388</v>
      </c>
    </row>
    <row r="21" spans="2:12">
      <c r="B21" s="3" t="s">
        <v>7</v>
      </c>
      <c r="C21" s="2">
        <f>IFERROR('Data Sheet'!B27,0)</f>
        <v>49</v>
      </c>
      <c r="D21" s="2">
        <f>IFERROR('Data Sheet'!C27,0)</f>
        <v>37.33</v>
      </c>
      <c r="E21" s="2">
        <f>IFERROR('Data Sheet'!D27,0)</f>
        <v>41.47</v>
      </c>
      <c r="F21" s="2">
        <f>IFERROR('Data Sheet'!E27,0)</f>
        <v>110.47</v>
      </c>
      <c r="G21" s="2">
        <f>IFERROR('Data Sheet'!F27,0)</f>
        <v>102.33</v>
      </c>
      <c r="H21" s="2">
        <f>IFERROR('Data Sheet'!G27,0)</f>
        <v>91.63</v>
      </c>
      <c r="I21" s="2">
        <f>IFERROR('Data Sheet'!H27,0)</f>
        <v>95.41</v>
      </c>
      <c r="J21" s="2">
        <f>IFERROR('Data Sheet'!I27,0)</f>
        <v>144.44999999999999</v>
      </c>
      <c r="K21" s="2">
        <f>IFERROR('Data Sheet'!J27,0)</f>
        <v>205.17</v>
      </c>
      <c r="L21" s="2">
        <f>IFERROR('Data Sheet'!K27,0)</f>
        <v>227.02</v>
      </c>
    </row>
    <row r="22" spans="2:12">
      <c r="L22" s="7"/>
    </row>
    <row r="23" spans="2:12">
      <c r="B23" s="3" t="s">
        <v>6</v>
      </c>
      <c r="C23" s="2">
        <f>IFERROR('Data Sheet'!B26,0)</f>
        <v>275.58</v>
      </c>
      <c r="D23" s="2">
        <f>IFERROR('Data Sheet'!C26,0)</f>
        <v>334.79</v>
      </c>
      <c r="E23" s="2">
        <f>IFERROR('Data Sheet'!D26,0)</f>
        <v>360.47</v>
      </c>
      <c r="F23" s="2">
        <f>IFERROR('Data Sheet'!E26,0)</f>
        <v>622.14</v>
      </c>
      <c r="G23" s="2">
        <f>IFERROR('Data Sheet'!F26,0)</f>
        <v>780.5</v>
      </c>
      <c r="H23" s="2">
        <f>IFERROR('Data Sheet'!G26,0)</f>
        <v>791.27</v>
      </c>
      <c r="I23" s="2">
        <f>IFERROR('Data Sheet'!H26,0)</f>
        <v>816.36</v>
      </c>
      <c r="J23" s="2">
        <f>IFERROR('Data Sheet'!I26,0)</f>
        <v>858.02</v>
      </c>
      <c r="K23" s="2">
        <f>IFERROR('Data Sheet'!J26,0)</f>
        <v>853</v>
      </c>
      <c r="L23" s="2">
        <f>IFERROR('Data Sheet'!K26,0)</f>
        <v>1026.3399999999999</v>
      </c>
    </row>
    <row r="24" spans="2:12">
      <c r="B24" s="5" t="s">
        <v>5</v>
      </c>
      <c r="C24" s="6">
        <f>IFERROR(C23/C7,0)</f>
        <v>1.9309826794539322E-2</v>
      </c>
      <c r="D24" s="6">
        <f t="shared" ref="D24:L24" si="6">IFERROR(D23/D7,0)</f>
        <v>2.2227474590011016E-2</v>
      </c>
      <c r="E24" s="6">
        <f t="shared" si="6"/>
        <v>2.1425238713665449E-2</v>
      </c>
      <c r="F24" s="6">
        <f t="shared" si="6"/>
        <v>3.2335540352378074E-2</v>
      </c>
      <c r="G24" s="6">
        <f t="shared" si="6"/>
        <v>3.8617106809326486E-2</v>
      </c>
      <c r="H24" s="6">
        <f t="shared" si="6"/>
        <v>3.6442576011650275E-2</v>
      </c>
      <c r="I24" s="6">
        <f t="shared" si="6"/>
        <v>2.8052374328551871E-2</v>
      </c>
      <c r="J24" s="6">
        <f t="shared" si="6"/>
        <v>2.4878372818372688E-2</v>
      </c>
      <c r="K24" s="6">
        <f t="shared" si="6"/>
        <v>2.4031736542297968E-2</v>
      </c>
      <c r="L24" s="6">
        <f t="shared" si="6"/>
        <v>3.0270497929251843E-2</v>
      </c>
    </row>
    <row r="26" spans="2:12">
      <c r="B26" s="3" t="s">
        <v>4</v>
      </c>
      <c r="C26" s="2">
        <f>IFERROR(C18+C21-C23,0)</f>
        <v>2498.4600000000014</v>
      </c>
      <c r="D26" s="2">
        <f t="shared" ref="D26:L26" si="7">IFERROR(D18+D21-D23,0)</f>
        <v>2696.3</v>
      </c>
      <c r="E26" s="2">
        <f t="shared" si="7"/>
        <v>2885.0100000000011</v>
      </c>
      <c r="F26" s="2">
        <f t="shared" si="7"/>
        <v>3253.2700000000013</v>
      </c>
      <c r="G26" s="2">
        <f t="shared" si="7"/>
        <v>3478.6499999999978</v>
      </c>
      <c r="H26" s="2">
        <f t="shared" si="7"/>
        <v>4155.9600000000028</v>
      </c>
      <c r="I26" s="2">
        <f t="shared" si="7"/>
        <v>4082.6599999999985</v>
      </c>
      <c r="J26" s="2">
        <f t="shared" si="7"/>
        <v>5546.269999999995</v>
      </c>
      <c r="K26" s="2">
        <f t="shared" si="7"/>
        <v>6937.1500000000015</v>
      </c>
      <c r="L26" s="2">
        <f t="shared" si="7"/>
        <v>5206.8900000000021</v>
      </c>
    </row>
    <row r="27" spans="2:12">
      <c r="B27" s="5" t="s">
        <v>3</v>
      </c>
      <c r="C27" s="4">
        <f>C26/C7</f>
        <v>0.17506651372771878</v>
      </c>
      <c r="D27" s="4">
        <f t="shared" ref="D27:L27" si="8">D26/D7</f>
        <v>0.17901353008467011</v>
      </c>
      <c r="E27" s="4">
        <f t="shared" si="8"/>
        <v>0.1714762059014952</v>
      </c>
      <c r="F27" s="4">
        <f t="shared" si="8"/>
        <v>0.16908773485418244</v>
      </c>
      <c r="G27" s="4">
        <f t="shared" si="8"/>
        <v>0.17211454016945996</v>
      </c>
      <c r="H27" s="4">
        <f t="shared" si="8"/>
        <v>0.19140607908979004</v>
      </c>
      <c r="I27" s="4">
        <f t="shared" si="8"/>
        <v>0.14029142360748389</v>
      </c>
      <c r="J27" s="4">
        <f t="shared" si="8"/>
        <v>0.16081463463713638</v>
      </c>
      <c r="K27" s="4">
        <f t="shared" si="8"/>
        <v>0.19544168951278121</v>
      </c>
      <c r="L27" s="4">
        <f t="shared" si="8"/>
        <v>0.15357011610464583</v>
      </c>
    </row>
    <row r="29" spans="2:12">
      <c r="B29" s="3" t="s">
        <v>2</v>
      </c>
      <c r="C29" s="2">
        <f>IFERROR('Data Sheet'!B29,0)</f>
        <v>844.49</v>
      </c>
      <c r="D29" s="2">
        <f>IFERROR('Data Sheet'!C29,0)</f>
        <v>943.29</v>
      </c>
      <c r="E29" s="2">
        <f>IFERROR('Data Sheet'!D29,0)</f>
        <v>1040.96</v>
      </c>
      <c r="F29" s="2">
        <f>IFERROR('Data Sheet'!E29,0)</f>
        <v>1098.06</v>
      </c>
      <c r="G29" s="2">
        <f>IFERROR('Data Sheet'!F29,0)</f>
        <v>854.85</v>
      </c>
      <c r="H29" s="2">
        <f>IFERROR('Data Sheet'!G29,0)</f>
        <v>1097.5999999999999</v>
      </c>
      <c r="I29" s="2">
        <f>IFERROR('Data Sheet'!H29,0)</f>
        <v>1102.9100000000001</v>
      </c>
      <c r="J29" s="2">
        <f>IFERROR('Data Sheet'!I29,0)</f>
        <v>1493.5</v>
      </c>
      <c r="K29" s="2">
        <f>IFERROR('Data Sheet'!J29,0)</f>
        <v>1790.08</v>
      </c>
      <c r="L29" s="2">
        <f>IFERROR('Data Sheet'!K29,0)</f>
        <v>1393.36</v>
      </c>
    </row>
    <row r="30" spans="2:12">
      <c r="B30" s="5" t="s">
        <v>1</v>
      </c>
      <c r="C30" s="4">
        <f>IFERROR(C29/C26,0)</f>
        <v>0.33800421059372554</v>
      </c>
      <c r="D30" s="4">
        <f t="shared" ref="D30:L30" si="9">IFERROR(D29/D26,0)</f>
        <v>0.34984608537625633</v>
      </c>
      <c r="E30" s="4">
        <f t="shared" si="9"/>
        <v>0.3608167735987049</v>
      </c>
      <c r="F30" s="4">
        <f t="shared" si="9"/>
        <v>0.337525013294316</v>
      </c>
      <c r="G30" s="4">
        <f t="shared" si="9"/>
        <v>0.24574188262688129</v>
      </c>
      <c r="H30" s="4">
        <f t="shared" si="9"/>
        <v>0.26410263813896168</v>
      </c>
      <c r="I30" s="4">
        <f t="shared" si="9"/>
        <v>0.27014495451494869</v>
      </c>
      <c r="J30" s="4">
        <f t="shared" si="9"/>
        <v>0.26928007471688203</v>
      </c>
      <c r="K30" s="4">
        <f t="shared" si="9"/>
        <v>0.25804256791333613</v>
      </c>
      <c r="L30" s="4">
        <f t="shared" si="9"/>
        <v>0.26759927711167308</v>
      </c>
    </row>
    <row r="32" spans="2:12">
      <c r="B32" s="3" t="s">
        <v>0</v>
      </c>
      <c r="C32" s="2">
        <f>IFERROR(C26-C29,0)</f>
        <v>1653.9700000000014</v>
      </c>
      <c r="D32" s="2">
        <f t="shared" ref="D32:L32" si="10">IFERROR(D26-D29,0)</f>
        <v>1753.0100000000002</v>
      </c>
      <c r="E32" s="2">
        <f t="shared" si="10"/>
        <v>1844.0500000000011</v>
      </c>
      <c r="F32" s="2">
        <f t="shared" si="10"/>
        <v>2155.2100000000014</v>
      </c>
      <c r="G32" s="2">
        <f t="shared" si="10"/>
        <v>2623.7999999999979</v>
      </c>
      <c r="H32" s="2">
        <f t="shared" si="10"/>
        <v>3058.3600000000029</v>
      </c>
      <c r="I32" s="2">
        <f t="shared" si="10"/>
        <v>2979.7499999999982</v>
      </c>
      <c r="J32" s="2">
        <f t="shared" si="10"/>
        <v>4052.769999999995</v>
      </c>
      <c r="K32" s="2">
        <f t="shared" si="10"/>
        <v>5147.0700000000015</v>
      </c>
      <c r="L32" s="2">
        <f t="shared" si="10"/>
        <v>3813.5300000000025</v>
      </c>
    </row>
    <row r="34" spans="1:12">
      <c r="B34" s="1" t="s">
        <v>101</v>
      </c>
      <c r="C34" s="2">
        <f>IFERROR('Data Sheet'!B93,0)</f>
        <v>95.92</v>
      </c>
      <c r="D34" s="2">
        <f>IFERROR('Data Sheet'!C93,0)</f>
        <v>95.92</v>
      </c>
      <c r="E34" s="2">
        <f>IFERROR('Data Sheet'!D93,0)</f>
        <v>95.92</v>
      </c>
      <c r="F34" s="2">
        <f>IFERROR('Data Sheet'!E93,0)</f>
        <v>95.92</v>
      </c>
      <c r="G34" s="2">
        <f>IFERROR('Data Sheet'!F93,0)</f>
        <v>95.92</v>
      </c>
      <c r="H34" s="2">
        <f>IFERROR('Data Sheet'!G93,0)</f>
        <v>95.92</v>
      </c>
      <c r="I34" s="2">
        <f>IFERROR('Data Sheet'!H93,0)</f>
        <v>95.92</v>
      </c>
      <c r="J34" s="2">
        <f>IFERROR('Data Sheet'!I93,0)</f>
        <v>95.92</v>
      </c>
      <c r="K34" s="2">
        <f>IFERROR('Data Sheet'!J93,0)</f>
        <v>95.92</v>
      </c>
      <c r="L34" s="2">
        <f>IFERROR('Data Sheet'!K93,0)</f>
        <v>95.92</v>
      </c>
    </row>
    <row r="36" spans="1:12">
      <c r="B36" s="1" t="s">
        <v>103</v>
      </c>
      <c r="C36" s="2">
        <f>IFERROR(C32/C34,0)</f>
        <v>17.243223519599681</v>
      </c>
      <c r="D36" s="2">
        <f t="shared" ref="D36:L36" si="11">IFERROR(D32/D34,0)</f>
        <v>18.275750625521269</v>
      </c>
      <c r="E36" s="2">
        <f t="shared" si="11"/>
        <v>19.224874895746467</v>
      </c>
      <c r="F36" s="2">
        <f t="shared" si="11"/>
        <v>22.468828190158479</v>
      </c>
      <c r="G36" s="2">
        <f t="shared" si="11"/>
        <v>27.354045037531254</v>
      </c>
      <c r="H36" s="2">
        <f t="shared" si="11"/>
        <v>31.884487072560496</v>
      </c>
      <c r="I36" s="2">
        <f t="shared" si="11"/>
        <v>31.064949958298563</v>
      </c>
      <c r="J36" s="2">
        <f t="shared" si="11"/>
        <v>42.251563803169255</v>
      </c>
      <c r="K36" s="2">
        <f t="shared" si="11"/>
        <v>53.66002919099251</v>
      </c>
      <c r="L36" s="2">
        <f t="shared" si="11"/>
        <v>39.757402001668083</v>
      </c>
    </row>
    <row r="37" spans="1:12">
      <c r="B37" s="5" t="s">
        <v>104</v>
      </c>
      <c r="C37" s="4"/>
      <c r="D37" s="4">
        <f>IFERROR(D36/C36-1,0)</f>
        <v>5.9880167113066429E-2</v>
      </c>
      <c r="E37" s="4">
        <f t="shared" ref="E37:L37" si="12">IFERROR(E36/D36-1,0)</f>
        <v>5.1933531468731475E-2</v>
      </c>
      <c r="F37" s="4">
        <f t="shared" si="12"/>
        <v>0.16873729020362793</v>
      </c>
      <c r="G37" s="4">
        <f t="shared" si="12"/>
        <v>0.21742196816087356</v>
      </c>
      <c r="H37" s="4">
        <f t="shared" si="12"/>
        <v>0.1656223797545564</v>
      </c>
      <c r="I37" s="4">
        <f t="shared" si="12"/>
        <v>-2.5703318118208696E-2</v>
      </c>
      <c r="J37" s="4">
        <f t="shared" si="12"/>
        <v>0.36010403557345327</v>
      </c>
      <c r="K37" s="4">
        <f t="shared" si="12"/>
        <v>0.2700128554050707</v>
      </c>
      <c r="L37" s="4">
        <f t="shared" si="12"/>
        <v>-0.25908720883920344</v>
      </c>
    </row>
    <row r="39" spans="1:12">
      <c r="B39" s="1" t="s">
        <v>102</v>
      </c>
      <c r="C39" s="2">
        <f>IFERROR('Data Sheet'!B31/HISTORICALS!C34,0)</f>
        <v>7.5</v>
      </c>
      <c r="D39" s="2">
        <f>IFERROR('Data Sheet'!C31/HISTORICALS!D34,0)</f>
        <v>10.300041701417848</v>
      </c>
      <c r="E39" s="2">
        <f>IFERROR('Data Sheet'!D31/HISTORICALS!E34,0)</f>
        <v>8.6999582985821515</v>
      </c>
      <c r="F39" s="2">
        <f>IFERROR('Data Sheet'!E31/HISTORICALS!F34,0)</f>
        <v>10.5</v>
      </c>
      <c r="G39" s="2">
        <f>IFERROR('Data Sheet'!F31/HISTORICALS!G34,0)</f>
        <v>12</v>
      </c>
      <c r="H39" s="2">
        <f>IFERROR('Data Sheet'!G31/HISTORICALS!H34,0)</f>
        <v>17.849979149291077</v>
      </c>
      <c r="I39" s="2">
        <f>IFERROR('Data Sheet'!H31/HISTORICALS!I34,0)</f>
        <v>19.150020850708923</v>
      </c>
      <c r="J39" s="2">
        <f>IFERROR('Data Sheet'!I31/HISTORICALS!J34,0)</f>
        <v>25.650020850708923</v>
      </c>
      <c r="K39" s="2">
        <f>IFERROR('Data Sheet'!J31/HISTORICALS!K34,0)</f>
        <v>33.300041701417847</v>
      </c>
      <c r="L39" s="2">
        <f>IFERROR('Data Sheet'!K31/HISTORICALS!L34,0)</f>
        <v>24.80004170141785</v>
      </c>
    </row>
    <row r="40" spans="1:12">
      <c r="B40" s="5" t="s">
        <v>105</v>
      </c>
      <c r="C40" s="4">
        <f>IFERROR(C39/C36,0)</f>
        <v>0.4349534755769448</v>
      </c>
      <c r="D40" s="4">
        <f t="shared" ref="D40:L40" si="13">IFERROR(D39/D36,0)</f>
        <v>0.5635906241265024</v>
      </c>
      <c r="E40" s="4">
        <f t="shared" si="13"/>
        <v>0.45253653642797076</v>
      </c>
      <c r="F40" s="4">
        <f t="shared" si="13"/>
        <v>0.46731409004226937</v>
      </c>
      <c r="G40" s="4">
        <f t="shared" si="13"/>
        <v>0.43869197347358829</v>
      </c>
      <c r="H40" s="4">
        <f t="shared" si="13"/>
        <v>0.55983272080461377</v>
      </c>
      <c r="I40" s="4">
        <f t="shared" si="13"/>
        <v>0.61645104455071775</v>
      </c>
      <c r="J40" s="4">
        <f t="shared" si="13"/>
        <v>0.60707861536677454</v>
      </c>
      <c r="K40" s="4">
        <f t="shared" si="13"/>
        <v>0.62057442389553641</v>
      </c>
      <c r="L40" s="4">
        <f t="shared" si="13"/>
        <v>0.62378426287455413</v>
      </c>
    </row>
    <row r="42" spans="1:12">
      <c r="B42" s="1" t="s">
        <v>106</v>
      </c>
      <c r="C42" s="29">
        <f>IFERROR(IF(C36&lt;C39,0,1-C40),0)</f>
        <v>0.56504652442305514</v>
      </c>
      <c r="D42" s="29">
        <f t="shared" ref="D42:L42" si="14">IFERROR(IF(D36&lt;D39,0,1-D40),0)</f>
        <v>0.4364093758734976</v>
      </c>
      <c r="E42" s="29">
        <f t="shared" si="14"/>
        <v>0.54746346357202924</v>
      </c>
      <c r="F42" s="29">
        <f t="shared" si="14"/>
        <v>0.53268590995773057</v>
      </c>
      <c r="G42" s="29">
        <f t="shared" si="14"/>
        <v>0.56130802652641165</v>
      </c>
      <c r="H42" s="29">
        <f t="shared" si="14"/>
        <v>0.44016727919538623</v>
      </c>
      <c r="I42" s="29">
        <f t="shared" si="14"/>
        <v>0.38354895544928225</v>
      </c>
      <c r="J42" s="29">
        <f t="shared" si="14"/>
        <v>0.39292138463322546</v>
      </c>
      <c r="K42" s="29">
        <f t="shared" si="14"/>
        <v>0.37942557610446359</v>
      </c>
      <c r="L42" s="29">
        <f t="shared" si="14"/>
        <v>0.37621573712544587</v>
      </c>
    </row>
    <row r="44" spans="1:12">
      <c r="A44" s="3" t="s">
        <v>17</v>
      </c>
      <c r="B44" s="10" t="s">
        <v>107</v>
      </c>
      <c r="C44" s="9"/>
      <c r="D44" s="8"/>
      <c r="E44" s="8"/>
      <c r="F44" s="8"/>
      <c r="G44" s="8"/>
      <c r="H44" s="8"/>
      <c r="I44" s="8"/>
      <c r="J44" s="8"/>
      <c r="K44" s="8"/>
      <c r="L44" s="8"/>
    </row>
    <row r="46" spans="1:12">
      <c r="B46" s="25" t="s">
        <v>70</v>
      </c>
      <c r="C46" s="152">
        <f>IFERROR('Data Sheet'!B57,0)</f>
        <v>95.92</v>
      </c>
      <c r="D46" s="152">
        <f>IFERROR('Data Sheet'!C57,0)</f>
        <v>95.92</v>
      </c>
      <c r="E46" s="152">
        <f>IFERROR('Data Sheet'!D57,0)</f>
        <v>95.92</v>
      </c>
      <c r="F46" s="152">
        <f>IFERROR('Data Sheet'!E57,0)</f>
        <v>95.92</v>
      </c>
      <c r="G46" s="152">
        <f>IFERROR('Data Sheet'!F57,0)</f>
        <v>95.92</v>
      </c>
      <c r="H46" s="152">
        <f>IFERROR('Data Sheet'!G57,0)</f>
        <v>95.92</v>
      </c>
      <c r="I46" s="152">
        <f>IFERROR('Data Sheet'!H57,0)</f>
        <v>95.92</v>
      </c>
      <c r="J46" s="152">
        <f>IFERROR('Data Sheet'!I57,0)</f>
        <v>95.92</v>
      </c>
      <c r="K46" s="152">
        <f>IFERROR('Data Sheet'!J57,0)</f>
        <v>95.92</v>
      </c>
      <c r="L46" s="152">
        <f>IFERROR('Data Sheet'!K57,0)</f>
        <v>95.92</v>
      </c>
    </row>
    <row r="47" spans="1:12">
      <c r="B47" s="25" t="s">
        <v>69</v>
      </c>
      <c r="C47" s="151">
        <f>IFERROR('Data Sheet'!B58,0)</f>
        <v>6428.9</v>
      </c>
      <c r="D47" s="151">
        <f>IFERROR('Data Sheet'!C58,0)</f>
        <v>7507.97</v>
      </c>
      <c r="E47" s="151">
        <f>IFERROR('Data Sheet'!D58,0)</f>
        <v>8314.31</v>
      </c>
      <c r="F47" s="151">
        <f>IFERROR('Data Sheet'!E58,0)</f>
        <v>9374.6299999999992</v>
      </c>
      <c r="G47" s="151">
        <f>IFERROR('Data Sheet'!F58,0)</f>
        <v>10034.24</v>
      </c>
      <c r="H47" s="151">
        <f>IFERROR('Data Sheet'!G58,0)</f>
        <v>12710.37</v>
      </c>
      <c r="I47" s="151">
        <f>IFERROR('Data Sheet'!H58,0)</f>
        <v>13715.64</v>
      </c>
      <c r="J47" s="151">
        <f>IFERROR('Data Sheet'!I58,0)</f>
        <v>15896.31</v>
      </c>
      <c r="K47" s="151">
        <f>IFERROR('Data Sheet'!J58,0)</f>
        <v>18632.38</v>
      </c>
      <c r="L47" s="151">
        <f>IFERROR('Data Sheet'!K58,0)</f>
        <v>19303.89</v>
      </c>
    </row>
    <row r="48" spans="1:12">
      <c r="B48" s="25" t="s">
        <v>68</v>
      </c>
      <c r="C48" s="151">
        <f>IFERROR('Data Sheet'!B59,0)</f>
        <v>323.29000000000002</v>
      </c>
      <c r="D48" s="151">
        <f>IFERROR('Data Sheet'!C59,0)</f>
        <v>560.34</v>
      </c>
      <c r="E48" s="151">
        <f>IFERROR('Data Sheet'!D59,0)</f>
        <v>533.42999999999995</v>
      </c>
      <c r="F48" s="151">
        <f>IFERROR('Data Sheet'!E59,0)</f>
        <v>1319.6</v>
      </c>
      <c r="G48" s="151">
        <f>IFERROR('Data Sheet'!F59,0)</f>
        <v>1118.5</v>
      </c>
      <c r="H48" s="151">
        <f>IFERROR('Data Sheet'!G59,0)</f>
        <v>1093.1199999999999</v>
      </c>
      <c r="I48" s="151">
        <f>IFERROR('Data Sheet'!H59,0)</f>
        <v>1586.88</v>
      </c>
      <c r="J48" s="151">
        <f>IFERROR('Data Sheet'!I59,0)</f>
        <v>1932.62</v>
      </c>
      <c r="K48" s="151">
        <f>IFERROR('Data Sheet'!J59,0)</f>
        <v>2474.38</v>
      </c>
      <c r="L48" s="151">
        <f>IFERROR('Data Sheet'!K59,0)</f>
        <v>2290.29</v>
      </c>
    </row>
    <row r="49" spans="2:12">
      <c r="B49" s="25" t="s">
        <v>67</v>
      </c>
      <c r="C49" s="151">
        <f>IFERROR('Data Sheet'!B60,0)</f>
        <v>3710.92</v>
      </c>
      <c r="D49" s="151">
        <f>IFERROR('Data Sheet'!C60,0)</f>
        <v>4240.96</v>
      </c>
      <c r="E49" s="151">
        <f>IFERROR('Data Sheet'!D60,0)</f>
        <v>4819.82</v>
      </c>
      <c r="F49" s="151">
        <f>IFERROR('Data Sheet'!E60,0)</f>
        <v>5458.69</v>
      </c>
      <c r="G49" s="151">
        <f>IFERROR('Data Sheet'!F60,0)</f>
        <v>4889.3100000000004</v>
      </c>
      <c r="H49" s="151">
        <f>IFERROR('Data Sheet'!G60,0)</f>
        <v>6455.93</v>
      </c>
      <c r="I49" s="151">
        <f>IFERROR('Data Sheet'!H60,0)</f>
        <v>7559.99</v>
      </c>
      <c r="J49" s="151">
        <f>IFERROR('Data Sheet'!I60,0)</f>
        <v>7854.48</v>
      </c>
      <c r="K49" s="151">
        <f>IFERROR('Data Sheet'!J60,0)</f>
        <v>8698.09</v>
      </c>
      <c r="L49" s="151">
        <f>IFERROR('Data Sheet'!K60,0)</f>
        <v>8665.15</v>
      </c>
    </row>
    <row r="50" spans="2:12" ht="14.65" thickBot="1">
      <c r="B50" s="165" t="s">
        <v>109</v>
      </c>
      <c r="C50" s="153">
        <f>IFERROR('Data Sheet'!B61,0)</f>
        <v>10559.03</v>
      </c>
      <c r="D50" s="153">
        <f>IFERROR('Data Sheet'!C61,0)</f>
        <v>12405.19</v>
      </c>
      <c r="E50" s="153">
        <f>IFERROR('Data Sheet'!D61,0)</f>
        <v>13763.48</v>
      </c>
      <c r="F50" s="153">
        <f>IFERROR('Data Sheet'!E61,0)</f>
        <v>16248.84</v>
      </c>
      <c r="G50" s="153">
        <f>IFERROR('Data Sheet'!F61,0)</f>
        <v>16137.97</v>
      </c>
      <c r="H50" s="153">
        <f>IFERROR('Data Sheet'!G61,0)</f>
        <v>20355.34</v>
      </c>
      <c r="I50" s="153">
        <f>IFERROR('Data Sheet'!H61,0)</f>
        <v>22958.43</v>
      </c>
      <c r="J50" s="153">
        <f>IFERROR('Data Sheet'!I61,0)</f>
        <v>25779.33</v>
      </c>
      <c r="K50" s="153">
        <f>IFERROR('Data Sheet'!J61,0)</f>
        <v>29900.77</v>
      </c>
      <c r="L50" s="153">
        <f>IFERROR('Data Sheet'!K61,0)</f>
        <v>30355.25</v>
      </c>
    </row>
    <row r="51" spans="2:12" ht="14.65" thickTop="1"/>
    <row r="52" spans="2:12">
      <c r="B52" s="25" t="s">
        <v>110</v>
      </c>
      <c r="C52" s="155">
        <f>IFERROR('Data Sheet'!B62,0)</f>
        <v>3416.35</v>
      </c>
      <c r="D52" s="155">
        <f>IFERROR('Data Sheet'!C62,0)</f>
        <v>3303.74</v>
      </c>
      <c r="E52" s="155">
        <f>IFERROR('Data Sheet'!D62,0)</f>
        <v>3732.24</v>
      </c>
      <c r="F52" s="155">
        <f>IFERROR('Data Sheet'!E62,0)</f>
        <v>6496.56</v>
      </c>
      <c r="G52" s="155">
        <f>IFERROR('Data Sheet'!F62,0)</f>
        <v>6272.31</v>
      </c>
      <c r="H52" s="155">
        <f>IFERROR('Data Sheet'!G62,0)</f>
        <v>5858.52</v>
      </c>
      <c r="I52" s="155">
        <f>IFERROR('Data Sheet'!H62,0)</f>
        <v>5519.06</v>
      </c>
      <c r="J52" s="155">
        <f>IFERROR('Data Sheet'!I62,0)</f>
        <v>5770.46</v>
      </c>
      <c r="K52" s="155">
        <f>IFERROR('Data Sheet'!J62,0)</f>
        <v>7146.62</v>
      </c>
      <c r="L52" s="155">
        <f>IFERROR('Data Sheet'!K62,0)</f>
        <v>9220.1</v>
      </c>
    </row>
    <row r="53" spans="2:12">
      <c r="B53" s="25" t="s">
        <v>65</v>
      </c>
      <c r="C53" s="154">
        <f>IFERROR('Data Sheet'!B63,0)</f>
        <v>106.59</v>
      </c>
      <c r="D53" s="154">
        <f>IFERROR('Data Sheet'!C63,0)</f>
        <v>257.54000000000002</v>
      </c>
      <c r="E53" s="154">
        <f>IFERROR('Data Sheet'!D63,0)</f>
        <v>1405.11</v>
      </c>
      <c r="F53" s="154">
        <f>IFERROR('Data Sheet'!E63,0)</f>
        <v>209.67</v>
      </c>
      <c r="G53" s="154">
        <f>IFERROR('Data Sheet'!F63,0)</f>
        <v>140.24</v>
      </c>
      <c r="H53" s="154">
        <f>IFERROR('Data Sheet'!G63,0)</f>
        <v>182.98</v>
      </c>
      <c r="I53" s="154">
        <f>IFERROR('Data Sheet'!H63,0)</f>
        <v>426.43</v>
      </c>
      <c r="J53" s="154">
        <f>IFERROR('Data Sheet'!I63,0)</f>
        <v>1019.59</v>
      </c>
      <c r="K53" s="154">
        <f>IFERROR('Data Sheet'!J63,0)</f>
        <v>2698.37</v>
      </c>
      <c r="L53" s="154">
        <f>IFERROR('Data Sheet'!K63,0)</f>
        <v>1254.49</v>
      </c>
    </row>
    <row r="54" spans="2:12">
      <c r="B54" s="25" t="s">
        <v>64</v>
      </c>
      <c r="C54" s="154">
        <f>IFERROR('Data Sheet'!B64,0)</f>
        <v>2712.13</v>
      </c>
      <c r="D54" s="154">
        <f>IFERROR('Data Sheet'!C64,0)</f>
        <v>2651.99</v>
      </c>
      <c r="E54" s="154">
        <f>IFERROR('Data Sheet'!D64,0)</f>
        <v>2140.6999999999998</v>
      </c>
      <c r="F54" s="154">
        <f>IFERROR('Data Sheet'!E64,0)</f>
        <v>2568.58</v>
      </c>
      <c r="G54" s="154">
        <f>IFERROR('Data Sheet'!F64,0)</f>
        <v>2018.85</v>
      </c>
      <c r="H54" s="154">
        <f>IFERROR('Data Sheet'!G64,0)</f>
        <v>4736.8</v>
      </c>
      <c r="I54" s="154">
        <f>IFERROR('Data Sheet'!H64,0)</f>
        <v>3247.53</v>
      </c>
      <c r="J54" s="154">
        <f>IFERROR('Data Sheet'!I64,0)</f>
        <v>4261.71</v>
      </c>
      <c r="K54" s="154">
        <f>IFERROR('Data Sheet'!J64,0)</f>
        <v>4587.92</v>
      </c>
      <c r="L54" s="154">
        <f>IFERROR('Data Sheet'!K64,0)</f>
        <v>4724.75</v>
      </c>
    </row>
    <row r="55" spans="2:12">
      <c r="B55" s="25" t="s">
        <v>63</v>
      </c>
      <c r="C55" s="154">
        <f>IFERROR('Data Sheet'!B65-SUM('Data Sheet'!B67:B69),0)</f>
        <v>714.68000000000029</v>
      </c>
      <c r="D55" s="154">
        <f>IFERROR('Data Sheet'!C65-SUM('Data Sheet'!C67:C69),0)</f>
        <v>1317.17</v>
      </c>
      <c r="E55" s="154">
        <f>IFERROR('Data Sheet'!D65-SUM('Data Sheet'!D67:D69),0)</f>
        <v>1691.8400000000001</v>
      </c>
      <c r="F55" s="154">
        <f>IFERROR('Data Sheet'!E65-SUM('Data Sheet'!E67:E69),0)</f>
        <v>1471.9599999999991</v>
      </c>
      <c r="G55" s="154">
        <f>IFERROR('Data Sheet'!F65-SUM('Data Sheet'!F67:F69),0)</f>
        <v>1738.71</v>
      </c>
      <c r="H55" s="154">
        <f>IFERROR('Data Sheet'!G65-SUM('Data Sheet'!G67:G69),0)</f>
        <v>2565.5200000000004</v>
      </c>
      <c r="I55" s="154">
        <f>IFERROR('Data Sheet'!H65-SUM('Data Sheet'!H67:H69),0)</f>
        <v>2876.66</v>
      </c>
      <c r="J55" s="154">
        <f>IFERROR('Data Sheet'!I65-SUM('Data Sheet'!I67:I69),0)</f>
        <v>3036.17</v>
      </c>
      <c r="K55" s="154">
        <f>IFERROR('Data Sheet'!J65-SUM('Data Sheet'!J67:J69),0)</f>
        <v>3571.3900000000012</v>
      </c>
      <c r="L55" s="154">
        <f>IFERROR('Data Sheet'!K65-SUM('Data Sheet'!K67:K69),0)</f>
        <v>3341.01</v>
      </c>
    </row>
    <row r="56" spans="2:12" ht="14.65" thickBot="1">
      <c r="B56" s="156" t="s">
        <v>111</v>
      </c>
      <c r="C56" s="157">
        <f>SUM(C52:C55)</f>
        <v>6949.75</v>
      </c>
      <c r="D56" s="157">
        <f t="shared" ref="D56:L56" si="15">SUM(D52:D55)</f>
        <v>7530.44</v>
      </c>
      <c r="E56" s="157">
        <f t="shared" si="15"/>
        <v>8969.89</v>
      </c>
      <c r="F56" s="157">
        <f t="shared" si="15"/>
        <v>10746.77</v>
      </c>
      <c r="G56" s="157">
        <f t="shared" si="15"/>
        <v>10170.11</v>
      </c>
      <c r="H56" s="157">
        <f t="shared" si="15"/>
        <v>13343.82</v>
      </c>
      <c r="I56" s="157">
        <f t="shared" si="15"/>
        <v>12069.68</v>
      </c>
      <c r="J56" s="157">
        <f t="shared" si="15"/>
        <v>14087.93</v>
      </c>
      <c r="K56" s="157">
        <f t="shared" si="15"/>
        <v>18004.300000000003</v>
      </c>
      <c r="L56" s="157">
        <f t="shared" si="15"/>
        <v>18540.349999999999</v>
      </c>
    </row>
    <row r="57" spans="2:12" ht="14.65" thickTop="1"/>
    <row r="58" spans="2:12">
      <c r="B58" s="25" t="s">
        <v>62</v>
      </c>
      <c r="C58" s="152">
        <f>IFERROR('Data Sheet'!B67,0)</f>
        <v>1186.8399999999999</v>
      </c>
      <c r="D58" s="152">
        <f>IFERROR('Data Sheet'!C67,0)</f>
        <v>1446.6</v>
      </c>
      <c r="E58" s="152">
        <f>IFERROR('Data Sheet'!D67,0)</f>
        <v>1730.63</v>
      </c>
      <c r="F58" s="152">
        <f>IFERROR('Data Sheet'!E67,0)</f>
        <v>1907.33</v>
      </c>
      <c r="G58" s="152">
        <f>IFERROR('Data Sheet'!F67,0)</f>
        <v>1795.22</v>
      </c>
      <c r="H58" s="152">
        <f>IFERROR('Data Sheet'!G67,0)</f>
        <v>2602.17</v>
      </c>
      <c r="I58" s="152">
        <f>IFERROR('Data Sheet'!H67,0)</f>
        <v>3871.44</v>
      </c>
      <c r="J58" s="152">
        <f>IFERROR('Data Sheet'!I67,0)</f>
        <v>4636.9399999999996</v>
      </c>
      <c r="K58" s="152">
        <f>IFERROR('Data Sheet'!J67,0)</f>
        <v>4889.05</v>
      </c>
      <c r="L58" s="152">
        <f>IFERROR('Data Sheet'!K67,0)</f>
        <v>4313.6499999999996</v>
      </c>
    </row>
    <row r="59" spans="2:12">
      <c r="B59" s="25" t="s">
        <v>61</v>
      </c>
      <c r="C59" s="151">
        <f>IFERROR('Data Sheet'!B68,0)</f>
        <v>1998.24</v>
      </c>
      <c r="D59" s="151">
        <f>IFERROR('Data Sheet'!C68,0)</f>
        <v>2626.94</v>
      </c>
      <c r="E59" s="151">
        <f>IFERROR('Data Sheet'!D68,0)</f>
        <v>2658.31</v>
      </c>
      <c r="F59" s="151">
        <f>IFERROR('Data Sheet'!E68,0)</f>
        <v>3149.86</v>
      </c>
      <c r="G59" s="151">
        <f>IFERROR('Data Sheet'!F68,0)</f>
        <v>3389.81</v>
      </c>
      <c r="H59" s="151">
        <f>IFERROR('Data Sheet'!G68,0)</f>
        <v>3798.6</v>
      </c>
      <c r="I59" s="151">
        <f>IFERROR('Data Sheet'!H68,0)</f>
        <v>6152.98</v>
      </c>
      <c r="J59" s="151">
        <f>IFERROR('Data Sheet'!I68,0)</f>
        <v>6210.64</v>
      </c>
      <c r="K59" s="151">
        <f>IFERROR('Data Sheet'!J68,0)</f>
        <v>5923.41</v>
      </c>
      <c r="L59" s="151">
        <f>IFERROR('Data Sheet'!K68,0)</f>
        <v>6719.27</v>
      </c>
    </row>
    <row r="60" spans="2:12">
      <c r="B60" s="25" t="s">
        <v>60</v>
      </c>
      <c r="C60" s="151">
        <f>IFERROR('Data Sheet'!B69,0)</f>
        <v>424.2</v>
      </c>
      <c r="D60" s="151">
        <f>IFERROR('Data Sheet'!C69,0)</f>
        <v>801.21</v>
      </c>
      <c r="E60" s="151">
        <f>IFERROR('Data Sheet'!D69,0)</f>
        <v>404.65</v>
      </c>
      <c r="F60" s="151">
        <f>IFERROR('Data Sheet'!E69,0)</f>
        <v>444.88</v>
      </c>
      <c r="G60" s="151">
        <f>IFERROR('Data Sheet'!F69,0)</f>
        <v>782.83</v>
      </c>
      <c r="H60" s="151">
        <f>IFERROR('Data Sheet'!G69,0)</f>
        <v>610.75</v>
      </c>
      <c r="I60" s="151">
        <f>IFERROR('Data Sheet'!H69,0)</f>
        <v>864.33</v>
      </c>
      <c r="J60" s="151">
        <f>IFERROR('Data Sheet'!I69,0)</f>
        <v>843.82</v>
      </c>
      <c r="K60" s="151">
        <f>IFERROR('Data Sheet'!J69,0)</f>
        <v>1084.01</v>
      </c>
      <c r="L60" s="151">
        <f>IFERROR('Data Sheet'!K69,0)</f>
        <v>781.98</v>
      </c>
    </row>
    <row r="61" spans="2:12" ht="14.65" thickBot="1">
      <c r="B61" s="158" t="s">
        <v>112</v>
      </c>
      <c r="C61" s="153">
        <f>SUM(C58:C60)</f>
        <v>3609.2799999999997</v>
      </c>
      <c r="D61" s="153">
        <f t="shared" ref="D61:L61" si="16">SUM(D58:D60)</f>
        <v>4874.75</v>
      </c>
      <c r="E61" s="153">
        <f t="shared" si="16"/>
        <v>4793.59</v>
      </c>
      <c r="F61" s="153">
        <f t="shared" si="16"/>
        <v>5502.0700000000006</v>
      </c>
      <c r="G61" s="153">
        <f t="shared" si="16"/>
        <v>5967.86</v>
      </c>
      <c r="H61" s="153">
        <f t="shared" si="16"/>
        <v>7011.52</v>
      </c>
      <c r="I61" s="153">
        <f t="shared" si="16"/>
        <v>10888.75</v>
      </c>
      <c r="J61" s="153">
        <f t="shared" si="16"/>
        <v>11691.4</v>
      </c>
      <c r="K61" s="153">
        <f t="shared" si="16"/>
        <v>11896.47</v>
      </c>
      <c r="L61" s="153">
        <f t="shared" si="16"/>
        <v>11814.9</v>
      </c>
    </row>
    <row r="62" spans="2:12" ht="14.65" thickTop="1"/>
    <row r="63" spans="2:12" ht="14.65" thickBot="1">
      <c r="B63" s="158" t="s">
        <v>113</v>
      </c>
      <c r="C63" s="153">
        <f>SUM(C61,C56)</f>
        <v>10559.029999999999</v>
      </c>
      <c r="D63" s="153">
        <f t="shared" ref="D63:L63" si="17">SUM(D61,D56)</f>
        <v>12405.189999999999</v>
      </c>
      <c r="E63" s="153">
        <f t="shared" si="17"/>
        <v>13763.48</v>
      </c>
      <c r="F63" s="153">
        <f t="shared" si="17"/>
        <v>16248.84</v>
      </c>
      <c r="G63" s="153">
        <f t="shared" si="17"/>
        <v>16137.970000000001</v>
      </c>
      <c r="H63" s="153">
        <f t="shared" si="17"/>
        <v>20355.34</v>
      </c>
      <c r="I63" s="153">
        <f t="shared" si="17"/>
        <v>22958.43</v>
      </c>
      <c r="J63" s="153">
        <f t="shared" si="17"/>
        <v>25779.33</v>
      </c>
      <c r="K63" s="153">
        <f t="shared" si="17"/>
        <v>29900.770000000004</v>
      </c>
      <c r="L63" s="153">
        <f t="shared" si="17"/>
        <v>30355.25</v>
      </c>
    </row>
    <row r="64" spans="2:12" ht="14.65" thickTop="1"/>
    <row r="65" spans="1:12">
      <c r="B65" s="31" t="s">
        <v>114</v>
      </c>
      <c r="C65" s="1" t="b">
        <f>IF(C63=C50,TRUE,FALSE)</f>
        <v>1</v>
      </c>
      <c r="D65" s="1" t="b">
        <f t="shared" ref="D65:L65" si="18">IF(D63=D50,TRUE,FALSE)</f>
        <v>1</v>
      </c>
      <c r="E65" s="1" t="b">
        <f t="shared" si="18"/>
        <v>1</v>
      </c>
      <c r="F65" s="1" t="b">
        <f t="shared" si="18"/>
        <v>1</v>
      </c>
      <c r="G65" s="1" t="b">
        <f t="shared" si="18"/>
        <v>1</v>
      </c>
      <c r="H65" s="1" t="b">
        <f t="shared" si="18"/>
        <v>1</v>
      </c>
      <c r="I65" s="1" t="b">
        <f t="shared" si="18"/>
        <v>1</v>
      </c>
      <c r="J65" s="1" t="b">
        <f t="shared" si="18"/>
        <v>1</v>
      </c>
      <c r="K65" s="1" t="b">
        <f t="shared" si="18"/>
        <v>1</v>
      </c>
      <c r="L65" s="1" t="b">
        <f t="shared" si="18"/>
        <v>1</v>
      </c>
    </row>
    <row r="67" spans="1:12">
      <c r="A67" s="3" t="s">
        <v>17</v>
      </c>
      <c r="B67" s="10" t="s">
        <v>140</v>
      </c>
      <c r="C67" s="9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B68" s="30" t="s">
        <v>142</v>
      </c>
    </row>
    <row r="69" spans="1:12">
      <c r="B69" s="25" t="s">
        <v>116</v>
      </c>
      <c r="C69" s="155">
        <f>IFERROR('CashFlow Data'!E4,0)</f>
        <v>2848</v>
      </c>
      <c r="D69" s="155">
        <f>IFERROR('CashFlow Data'!F4,0)</f>
        <v>3056</v>
      </c>
      <c r="E69" s="155">
        <f>IFERROR('CashFlow Data'!G4,0)</f>
        <v>3274</v>
      </c>
      <c r="F69" s="155">
        <f>IFERROR('CashFlow Data'!H4,0)</f>
        <v>3861</v>
      </c>
      <c r="G69" s="155">
        <f>IFERROR('CashFlow Data'!I4,0)</f>
        <v>4380</v>
      </c>
      <c r="H69" s="155">
        <f>IFERROR('CashFlow Data'!J4,0)</f>
        <v>4970</v>
      </c>
      <c r="I69" s="155">
        <f>IFERROR('CashFlow Data'!K4,0)</f>
        <v>4957</v>
      </c>
      <c r="J69" s="155">
        <f>IFERROR('CashFlow Data'!L4,0)</f>
        <v>6460</v>
      </c>
      <c r="K69" s="155">
        <f>IFERROR('CashFlow Data'!M4,0)</f>
        <v>7929</v>
      </c>
      <c r="L69" s="155">
        <f>IFERROR('CashFlow Data'!N4,0)</f>
        <v>6390</v>
      </c>
    </row>
    <row r="70" spans="1:12">
      <c r="B70" s="25" t="s">
        <v>62</v>
      </c>
      <c r="C70" s="154">
        <f>IFERROR('CashFlow Data'!E5,0)</f>
        <v>-146</v>
      </c>
      <c r="D70" s="154">
        <f>IFERROR('CashFlow Data'!F5,0)</f>
        <v>-475</v>
      </c>
      <c r="E70" s="154">
        <f>IFERROR('CashFlow Data'!G5,0)</f>
        <v>-483</v>
      </c>
      <c r="F70" s="154">
        <f>IFERROR('CashFlow Data'!H5,0)</f>
        <v>-205</v>
      </c>
      <c r="G70" s="154">
        <f>IFERROR('CashFlow Data'!I5,0)</f>
        <v>160</v>
      </c>
      <c r="H70" s="154">
        <f>IFERROR('CashFlow Data'!J5,0)</f>
        <v>-849</v>
      </c>
      <c r="I70" s="154">
        <f>IFERROR('CashFlow Data'!K5,0)</f>
        <v>-1326</v>
      </c>
      <c r="J70" s="154">
        <f>IFERROR('CashFlow Data'!L5,0)</f>
        <v>-834</v>
      </c>
      <c r="K70" s="154">
        <f>IFERROR('CashFlow Data'!M5,0)</f>
        <v>-362</v>
      </c>
      <c r="L70" s="154">
        <f>IFERROR('CashFlow Data'!N5,0)</f>
        <v>282</v>
      </c>
    </row>
    <row r="71" spans="1:12">
      <c r="B71" s="25" t="s">
        <v>61</v>
      </c>
      <c r="C71" s="154">
        <f>IFERROR('CashFlow Data'!E6,0)</f>
        <v>202</v>
      </c>
      <c r="D71" s="154">
        <f>IFERROR('CashFlow Data'!F6,0)</f>
        <v>-629</v>
      </c>
      <c r="E71" s="154">
        <f>IFERROR('CashFlow Data'!G6,0)</f>
        <v>-39</v>
      </c>
      <c r="F71" s="154">
        <f>IFERROR('CashFlow Data'!H6,0)</f>
        <v>-492</v>
      </c>
      <c r="G71" s="154">
        <f>IFERROR('CashFlow Data'!I6,0)</f>
        <v>-251</v>
      </c>
      <c r="H71" s="154">
        <f>IFERROR('CashFlow Data'!J6,0)</f>
        <v>-409</v>
      </c>
      <c r="I71" s="154">
        <f>IFERROR('CashFlow Data'!K6,0)</f>
        <v>-2354</v>
      </c>
      <c r="J71" s="154">
        <f>IFERROR('CashFlow Data'!L6,0)</f>
        <v>-56</v>
      </c>
      <c r="K71" s="154">
        <f>IFERROR('CashFlow Data'!M6,0)</f>
        <v>315</v>
      </c>
      <c r="L71" s="154">
        <f>IFERROR('CashFlow Data'!N6,0)</f>
        <v>-805</v>
      </c>
    </row>
    <row r="72" spans="1:12">
      <c r="B72" s="25" t="s">
        <v>117</v>
      </c>
      <c r="C72" s="154">
        <f>IFERROR('CashFlow Data'!E7,0)</f>
        <v>142</v>
      </c>
      <c r="D72" s="154">
        <f>IFERROR('CashFlow Data'!F7,0)</f>
        <v>501</v>
      </c>
      <c r="E72" s="154">
        <f>IFERROR('CashFlow Data'!G7,0)</f>
        <v>442</v>
      </c>
      <c r="F72" s="154">
        <f>IFERROR('CashFlow Data'!H7,0)</f>
        <v>287</v>
      </c>
      <c r="G72" s="154">
        <f>IFERROR('CashFlow Data'!I7,0)</f>
        <v>-241</v>
      </c>
      <c r="H72" s="154">
        <f>IFERROR('CashFlow Data'!J7,0)</f>
        <v>1143</v>
      </c>
      <c r="I72" s="154">
        <f>IFERROR('CashFlow Data'!K7,0)</f>
        <v>644</v>
      </c>
      <c r="J72" s="154">
        <f>IFERROR('CashFlow Data'!L7,0)</f>
        <v>-539</v>
      </c>
      <c r="K72" s="154">
        <f>IFERROR('CashFlow Data'!M7,0)</f>
        <v>269</v>
      </c>
      <c r="L72" s="154">
        <f>IFERROR('CashFlow Data'!N7,0)</f>
        <v>-160</v>
      </c>
    </row>
    <row r="73" spans="1:12">
      <c r="B73" s="25" t="s">
        <v>118</v>
      </c>
      <c r="C73" s="155">
        <f>IFERROR('CashFlow Data'!E8,0)</f>
        <v>0</v>
      </c>
      <c r="D73" s="155">
        <f>IFERROR('CashFlow Data'!F8,0)</f>
        <v>0</v>
      </c>
      <c r="E73" s="155">
        <f>IFERROR('CashFlow Data'!G8,0)</f>
        <v>0</v>
      </c>
      <c r="F73" s="155">
        <f>IFERROR('CashFlow Data'!H8,0)</f>
        <v>0</v>
      </c>
      <c r="G73" s="155">
        <f>IFERROR('CashFlow Data'!I8,0)</f>
        <v>0</v>
      </c>
      <c r="H73" s="155">
        <f>IFERROR('CashFlow Data'!J8,0)</f>
        <v>-92</v>
      </c>
      <c r="I73" s="155">
        <f>IFERROR('CashFlow Data'!K8,0)</f>
        <v>242</v>
      </c>
      <c r="J73" s="155">
        <f>IFERROR('CashFlow Data'!L8,0)</f>
        <v>657</v>
      </c>
      <c r="K73" s="155">
        <f>IFERROR('CashFlow Data'!M8,0)</f>
        <v>-212</v>
      </c>
      <c r="L73" s="155">
        <f>IFERROR('CashFlow Data'!N8,0)</f>
        <v>114</v>
      </c>
    </row>
    <row r="74" spans="1:12">
      <c r="B74" s="25" t="s">
        <v>119</v>
      </c>
      <c r="C74" s="154">
        <f>IFERROR('CashFlow Data'!E9,0)</f>
        <v>198</v>
      </c>
      <c r="D74" s="154">
        <f>IFERROR('CashFlow Data'!F9,0)</f>
        <v>-603</v>
      </c>
      <c r="E74" s="154">
        <f>IFERROR('CashFlow Data'!G9,0)</f>
        <v>-80</v>
      </c>
      <c r="F74" s="154">
        <f>IFERROR('CashFlow Data'!H9,0)</f>
        <v>-410</v>
      </c>
      <c r="G74" s="154">
        <f>IFERROR('CashFlow Data'!I9,0)</f>
        <v>-331</v>
      </c>
      <c r="H74" s="154">
        <f>IFERROR('CashFlow Data'!J9,0)</f>
        <v>-206</v>
      </c>
      <c r="I74" s="154">
        <f>IFERROR('CashFlow Data'!K9,0)</f>
        <v>-2795</v>
      </c>
      <c r="J74" s="154">
        <f>IFERROR('CashFlow Data'!L9,0)</f>
        <v>-772</v>
      </c>
      <c r="K74" s="154">
        <f>IFERROR('CashFlow Data'!M9,0)</f>
        <v>10</v>
      </c>
      <c r="L74" s="154">
        <f>IFERROR('CashFlow Data'!N9,0)</f>
        <v>-570</v>
      </c>
    </row>
    <row r="75" spans="1:12">
      <c r="B75" s="25" t="s">
        <v>120</v>
      </c>
      <c r="C75" s="154">
        <f>IFERROR('CashFlow Data'!E10,0)</f>
        <v>-802</v>
      </c>
      <c r="D75" s="154">
        <f>IFERROR('CashFlow Data'!F10,0)</f>
        <v>-925</v>
      </c>
      <c r="E75" s="154">
        <f>IFERROR('CashFlow Data'!G10,0)</f>
        <v>-1081</v>
      </c>
      <c r="F75" s="154">
        <f>IFERROR('CashFlow Data'!H10,0)</f>
        <v>-982</v>
      </c>
      <c r="G75" s="154">
        <f>IFERROR('CashFlow Data'!I10,0)</f>
        <v>-1011</v>
      </c>
      <c r="H75" s="154">
        <f>IFERROR('CashFlow Data'!J10,0)</f>
        <v>-1080</v>
      </c>
      <c r="I75" s="154">
        <f>IFERROR('CashFlow Data'!K10,0)</f>
        <v>-1176</v>
      </c>
      <c r="J75" s="154">
        <f>IFERROR('CashFlow Data'!L10,0)</f>
        <v>-1494</v>
      </c>
      <c r="K75" s="154">
        <f>IFERROR('CashFlow Data'!M10,0)</f>
        <v>-1835</v>
      </c>
      <c r="L75" s="154">
        <f>IFERROR('CashFlow Data'!N10,0)</f>
        <v>-1396</v>
      </c>
    </row>
    <row r="76" spans="1:12" ht="14.65" thickBot="1">
      <c r="B76" s="158" t="s">
        <v>141</v>
      </c>
      <c r="C76" s="159">
        <f>SUM(C69:C75)</f>
        <v>2442</v>
      </c>
      <c r="D76" s="159">
        <f t="shared" ref="D76:L76" si="19">SUM(D69:D75)</f>
        <v>925</v>
      </c>
      <c r="E76" s="159">
        <f t="shared" si="19"/>
        <v>2033</v>
      </c>
      <c r="F76" s="159">
        <f t="shared" si="19"/>
        <v>2059</v>
      </c>
      <c r="G76" s="159">
        <f t="shared" si="19"/>
        <v>2706</v>
      </c>
      <c r="H76" s="159">
        <f t="shared" si="19"/>
        <v>3477</v>
      </c>
      <c r="I76" s="159">
        <f t="shared" si="19"/>
        <v>-1808</v>
      </c>
      <c r="J76" s="159">
        <f t="shared" si="19"/>
        <v>3422</v>
      </c>
      <c r="K76" s="159">
        <f t="shared" si="19"/>
        <v>6114</v>
      </c>
      <c r="L76" s="159">
        <f t="shared" si="19"/>
        <v>3855</v>
      </c>
    </row>
    <row r="77" spans="1:12" ht="14.65" thickTop="1"/>
    <row r="78" spans="1:12">
      <c r="B78" s="30" t="s">
        <v>145</v>
      </c>
    </row>
    <row r="79" spans="1:12">
      <c r="B79" s="25" t="s">
        <v>122</v>
      </c>
      <c r="C79" s="155">
        <f>IFERROR('CashFlow Data'!E12,0)</f>
        <v>-817</v>
      </c>
      <c r="D79" s="155">
        <f>IFERROR('CashFlow Data'!F12,0)</f>
        <v>-684</v>
      </c>
      <c r="E79" s="155">
        <f>IFERROR('CashFlow Data'!G12,0)</f>
        <v>-1426</v>
      </c>
      <c r="F79" s="155">
        <f>IFERROR('CashFlow Data'!H12,0)</f>
        <v>-1151</v>
      </c>
      <c r="G79" s="155">
        <f>IFERROR('CashFlow Data'!I12,0)</f>
        <v>-404</v>
      </c>
      <c r="H79" s="155">
        <f>IFERROR('CashFlow Data'!J12,0)</f>
        <v>-282</v>
      </c>
      <c r="I79" s="155">
        <f>IFERROR('CashFlow Data'!K12,0)</f>
        <v>-551</v>
      </c>
      <c r="J79" s="155">
        <f>IFERROR('CashFlow Data'!L12,0)</f>
        <v>-1446</v>
      </c>
      <c r="K79" s="155">
        <f>IFERROR('CashFlow Data'!M12,0)</f>
        <v>-2496</v>
      </c>
      <c r="L79" s="155">
        <f>IFERROR('CashFlow Data'!N12,0)</f>
        <v>-1830</v>
      </c>
    </row>
    <row r="80" spans="1:12">
      <c r="B80" s="25" t="s">
        <v>123</v>
      </c>
      <c r="C80" s="154">
        <f>IFERROR('CashFlow Data'!E13,0)</f>
        <v>15</v>
      </c>
      <c r="D80" s="154">
        <f>IFERROR('CashFlow Data'!F13,0)</f>
        <v>17</v>
      </c>
      <c r="E80" s="154">
        <f>IFERROR('CashFlow Data'!G13,0)</f>
        <v>17</v>
      </c>
      <c r="F80" s="154">
        <f>IFERROR('CashFlow Data'!H13,0)</f>
        <v>17</v>
      </c>
      <c r="G80" s="154">
        <f>IFERROR('CashFlow Data'!I13,0)</f>
        <v>37</v>
      </c>
      <c r="H80" s="154">
        <f>IFERROR('CashFlow Data'!J13,0)</f>
        <v>28</v>
      </c>
      <c r="I80" s="154">
        <f>IFERROR('CashFlow Data'!K13,0)</f>
        <v>40</v>
      </c>
      <c r="J80" s="154">
        <f>IFERROR('CashFlow Data'!L13,0)</f>
        <v>26</v>
      </c>
      <c r="K80" s="154">
        <f>IFERROR('CashFlow Data'!M13,0)</f>
        <v>5</v>
      </c>
      <c r="L80" s="154">
        <f>IFERROR('CashFlow Data'!N13,0)</f>
        <v>10</v>
      </c>
    </row>
    <row r="81" spans="2:12">
      <c r="B81" s="25" t="s">
        <v>124</v>
      </c>
      <c r="C81" s="154">
        <f>IFERROR('CashFlow Data'!E14,0)</f>
        <v>-282</v>
      </c>
      <c r="D81" s="154">
        <f>IFERROR('CashFlow Data'!F14,0)</f>
        <v>-153</v>
      </c>
      <c r="E81" s="154">
        <f>IFERROR('CashFlow Data'!G14,0)</f>
        <v>-320</v>
      </c>
      <c r="F81" s="154">
        <f>IFERROR('CashFlow Data'!H14,0)</f>
        <v>-573</v>
      </c>
      <c r="G81" s="154">
        <f>IFERROR('CashFlow Data'!I14,0)</f>
        <v>-25</v>
      </c>
      <c r="H81" s="154">
        <f>IFERROR('CashFlow Data'!J14,0)</f>
        <v>-140</v>
      </c>
      <c r="I81" s="154">
        <f>IFERROR('CashFlow Data'!K14,0)</f>
        <v>0</v>
      </c>
      <c r="J81" s="154">
        <f>IFERROR('CashFlow Data'!L14,0)</f>
        <v>-146</v>
      </c>
      <c r="K81" s="154">
        <f>IFERROR('CashFlow Data'!M14,0)</f>
        <v>-212</v>
      </c>
      <c r="L81" s="154">
        <f>IFERROR('CashFlow Data'!N14,0)</f>
        <v>-1</v>
      </c>
    </row>
    <row r="82" spans="2:12">
      <c r="B82" s="25" t="s">
        <v>125</v>
      </c>
      <c r="C82" s="154">
        <f>IFERROR('CashFlow Data'!E15,0)</f>
        <v>205</v>
      </c>
      <c r="D82" s="154">
        <f>IFERROR('CashFlow Data'!F15,0)</f>
        <v>357</v>
      </c>
      <c r="E82" s="154">
        <f>IFERROR('CashFlow Data'!G15,0)</f>
        <v>362</v>
      </c>
      <c r="F82" s="154">
        <f>IFERROR('CashFlow Data'!H15,0)</f>
        <v>733</v>
      </c>
      <c r="G82" s="154">
        <f>IFERROR('CashFlow Data'!I15,0)</f>
        <v>134</v>
      </c>
      <c r="H82" s="154">
        <f>IFERROR('CashFlow Data'!J15,0)</f>
        <v>272</v>
      </c>
      <c r="I82" s="154">
        <f>IFERROR('CashFlow Data'!K15,0)</f>
        <v>207</v>
      </c>
      <c r="J82" s="154">
        <f>IFERROR('CashFlow Data'!L15,0)</f>
        <v>446</v>
      </c>
      <c r="K82" s="154">
        <f>IFERROR('CashFlow Data'!M15,0)</f>
        <v>240</v>
      </c>
      <c r="L82" s="154">
        <f>IFERROR('CashFlow Data'!N15,0)</f>
        <v>421</v>
      </c>
    </row>
    <row r="83" spans="2:12">
      <c r="B83" s="25" t="s">
        <v>126</v>
      </c>
      <c r="C83" s="155">
        <f>IFERROR('CashFlow Data'!E16,0)</f>
        <v>15</v>
      </c>
      <c r="D83" s="155">
        <f>IFERROR('CashFlow Data'!F16,0)</f>
        <v>32</v>
      </c>
      <c r="E83" s="155">
        <f>IFERROR('CashFlow Data'!G16,0)</f>
        <v>39</v>
      </c>
      <c r="F83" s="155">
        <f>IFERROR('CashFlow Data'!H16,0)</f>
        <v>40</v>
      </c>
      <c r="G83" s="155">
        <f>IFERROR('CashFlow Data'!I16,0)</f>
        <v>65</v>
      </c>
      <c r="H83" s="155">
        <f>IFERROR('CashFlow Data'!J16,0)</f>
        <v>73</v>
      </c>
      <c r="I83" s="155">
        <f>IFERROR('CashFlow Data'!K16,0)</f>
        <v>77</v>
      </c>
      <c r="J83" s="155">
        <f>IFERROR('CashFlow Data'!L16,0)</f>
        <v>87</v>
      </c>
      <c r="K83" s="155">
        <f>IFERROR('CashFlow Data'!M16,0)</f>
        <v>135</v>
      </c>
      <c r="L83" s="155">
        <f>IFERROR('CashFlow Data'!N16,0)</f>
        <v>155</v>
      </c>
    </row>
    <row r="84" spans="2:12">
      <c r="B84" s="25" t="s">
        <v>127</v>
      </c>
      <c r="C84" s="154">
        <f>IFERROR('CashFlow Data'!E17,0)</f>
        <v>69</v>
      </c>
      <c r="D84" s="154">
        <f>IFERROR('CashFlow Data'!F17,0)</f>
        <v>74</v>
      </c>
      <c r="E84" s="154">
        <f>IFERROR('CashFlow Data'!G17,0)</f>
        <v>38</v>
      </c>
      <c r="F84" s="154">
        <f>IFERROR('CashFlow Data'!H17,0)</f>
        <v>40</v>
      </c>
      <c r="G84" s="154">
        <f>IFERROR('CashFlow Data'!I17,0)</f>
        <v>27</v>
      </c>
      <c r="H84" s="154">
        <f>IFERROR('CashFlow Data'!J17,0)</f>
        <v>8</v>
      </c>
      <c r="I84" s="154">
        <f>IFERROR('CashFlow Data'!K17,0)</f>
        <v>15</v>
      </c>
      <c r="J84" s="154">
        <f>IFERROR('CashFlow Data'!L17,0)</f>
        <v>56</v>
      </c>
      <c r="K84" s="154">
        <f>IFERROR('CashFlow Data'!M17,0)</f>
        <v>129</v>
      </c>
      <c r="L84" s="154">
        <f>IFERROR('CashFlow Data'!N17,0)</f>
        <v>136</v>
      </c>
    </row>
    <row r="85" spans="2:12">
      <c r="B85" s="25" t="s">
        <v>128</v>
      </c>
      <c r="C85" s="154">
        <f>IFERROR('CashFlow Data'!E18,0)</f>
        <v>0</v>
      </c>
      <c r="D85" s="154">
        <f>IFERROR('CashFlow Data'!F18,0)</f>
        <v>0</v>
      </c>
      <c r="E85" s="154">
        <f>IFERROR('CashFlow Data'!G18,0)</f>
        <v>0</v>
      </c>
      <c r="F85" s="154">
        <f>IFERROR('CashFlow Data'!H18,0)</f>
        <v>0</v>
      </c>
      <c r="G85" s="154">
        <f>IFERROR('CashFlow Data'!I18,0)</f>
        <v>0</v>
      </c>
      <c r="H85" s="154">
        <f>IFERROR('CashFlow Data'!J18,0)</f>
        <v>0</v>
      </c>
      <c r="I85" s="154">
        <f>IFERROR('CashFlow Data'!K18,0)</f>
        <v>0</v>
      </c>
      <c r="J85" s="154">
        <f>IFERROR('CashFlow Data'!L18,0)</f>
        <v>-180</v>
      </c>
      <c r="K85" s="154">
        <f>IFERROR('CashFlow Data'!M18,0)</f>
        <v>0</v>
      </c>
      <c r="L85" s="154">
        <f>IFERROR('CashFlow Data'!N18,0)</f>
        <v>0</v>
      </c>
    </row>
    <row r="86" spans="2:12">
      <c r="B86" s="25" t="s">
        <v>129</v>
      </c>
      <c r="C86" s="154">
        <f>IFERROR('CashFlow Data'!E19,0)</f>
        <v>0</v>
      </c>
      <c r="D86" s="154">
        <f>IFERROR('CashFlow Data'!F19,0)</f>
        <v>0</v>
      </c>
      <c r="E86" s="154">
        <f>IFERROR('CashFlow Data'!G19,0)</f>
        <v>141</v>
      </c>
      <c r="F86" s="154">
        <f>IFERROR('CashFlow Data'!H19,0)</f>
        <v>0</v>
      </c>
      <c r="G86" s="154">
        <f>IFERROR('CashFlow Data'!I19,0)</f>
        <v>0</v>
      </c>
      <c r="H86" s="154">
        <f>IFERROR('CashFlow Data'!J19,0)</f>
        <v>0</v>
      </c>
      <c r="I86" s="154">
        <f>IFERROR('CashFlow Data'!K19,0)</f>
        <v>0</v>
      </c>
      <c r="J86" s="154">
        <f>IFERROR('CashFlow Data'!L19,0)</f>
        <v>0</v>
      </c>
      <c r="K86" s="154">
        <f>IFERROR('CashFlow Data'!M19,0)</f>
        <v>0</v>
      </c>
      <c r="L86" s="154">
        <f>IFERROR('CashFlow Data'!N19,0)</f>
        <v>38</v>
      </c>
    </row>
    <row r="87" spans="2:12">
      <c r="B87" s="25" t="s">
        <v>130</v>
      </c>
      <c r="C87" s="155">
        <f>IFERROR('CashFlow Data'!E20,0)</f>
        <v>0</v>
      </c>
      <c r="D87" s="155">
        <f>IFERROR('CashFlow Data'!F20,0)</f>
        <v>0</v>
      </c>
      <c r="E87" s="155">
        <f>IFERROR('CashFlow Data'!G20,0)</f>
        <v>-525</v>
      </c>
      <c r="F87" s="155">
        <f>IFERROR('CashFlow Data'!H20,0)</f>
        <v>0</v>
      </c>
      <c r="G87" s="155">
        <f>IFERROR('CashFlow Data'!I20,0)</f>
        <v>0</v>
      </c>
      <c r="H87" s="155">
        <f>IFERROR('CashFlow Data'!J20,0)</f>
        <v>0</v>
      </c>
      <c r="I87" s="155">
        <f>IFERROR('CashFlow Data'!K20,0)</f>
        <v>0</v>
      </c>
      <c r="J87" s="155">
        <f>IFERROR('CashFlow Data'!L20,0)</f>
        <v>0</v>
      </c>
      <c r="K87" s="155">
        <f>IFERROR('CashFlow Data'!M20,0)</f>
        <v>0</v>
      </c>
      <c r="L87" s="155">
        <f>IFERROR('CashFlow Data'!N20,0)</f>
        <v>0</v>
      </c>
    </row>
    <row r="88" spans="2:12">
      <c r="B88" s="25" t="s">
        <v>131</v>
      </c>
      <c r="C88" s="154">
        <f>IFERROR('CashFlow Data'!E21,0)</f>
        <v>-70</v>
      </c>
      <c r="D88" s="154">
        <f>IFERROR('CashFlow Data'!F21,0)</f>
        <v>-324</v>
      </c>
      <c r="E88" s="154">
        <f>IFERROR('CashFlow Data'!G21,0)</f>
        <v>118</v>
      </c>
      <c r="F88" s="154">
        <f>IFERROR('CashFlow Data'!H21,0)</f>
        <v>-24</v>
      </c>
      <c r="G88" s="154">
        <f>IFERROR('CashFlow Data'!I21,0)</f>
        <v>-353</v>
      </c>
      <c r="H88" s="154">
        <f>IFERROR('CashFlow Data'!J21,0)</f>
        <v>-500</v>
      </c>
      <c r="I88" s="154">
        <f>IFERROR('CashFlow Data'!K21,0)</f>
        <v>-105</v>
      </c>
      <c r="J88" s="154">
        <f>IFERROR('CashFlow Data'!L21,0)</f>
        <v>-126</v>
      </c>
      <c r="K88" s="154">
        <f>IFERROR('CashFlow Data'!M21,0)</f>
        <v>-350</v>
      </c>
      <c r="L88" s="154">
        <f>IFERROR('CashFlow Data'!N21,0)</f>
        <v>130</v>
      </c>
    </row>
    <row r="89" spans="2:12" s="30" customFormat="1" ht="14.65" thickBot="1">
      <c r="B89" s="158" t="s">
        <v>146</v>
      </c>
      <c r="C89" s="159">
        <f>SUM(C79:C88)</f>
        <v>-865</v>
      </c>
      <c r="D89" s="159">
        <f t="shared" ref="D89:L89" si="20">SUM(D79:D88)</f>
        <v>-681</v>
      </c>
      <c r="E89" s="159">
        <f t="shared" si="20"/>
        <v>-1556</v>
      </c>
      <c r="F89" s="159">
        <f t="shared" si="20"/>
        <v>-918</v>
      </c>
      <c r="G89" s="159">
        <f t="shared" si="20"/>
        <v>-519</v>
      </c>
      <c r="H89" s="159">
        <f t="shared" si="20"/>
        <v>-541</v>
      </c>
      <c r="I89" s="159">
        <f t="shared" si="20"/>
        <v>-317</v>
      </c>
      <c r="J89" s="159">
        <f t="shared" si="20"/>
        <v>-1283</v>
      </c>
      <c r="K89" s="159">
        <f t="shared" si="20"/>
        <v>-2549</v>
      </c>
      <c r="L89" s="159">
        <f t="shared" si="20"/>
        <v>-941</v>
      </c>
    </row>
    <row r="90" spans="2:12" ht="14.65" thickTop="1"/>
    <row r="91" spans="2:12">
      <c r="B91" s="30" t="s">
        <v>143</v>
      </c>
    </row>
    <row r="92" spans="2:12">
      <c r="B92" s="25" t="s">
        <v>133</v>
      </c>
      <c r="C92" s="155">
        <f>IFERROR('CashFlow Data'!E23,0)</f>
        <v>0</v>
      </c>
      <c r="D92" s="155">
        <f>IFERROR('CashFlow Data'!F23,0)</f>
        <v>0</v>
      </c>
      <c r="E92" s="155">
        <f>IFERROR('CashFlow Data'!G23,0)</f>
        <v>0</v>
      </c>
      <c r="F92" s="155">
        <f>IFERROR('CashFlow Data'!H23,0)</f>
        <v>0</v>
      </c>
      <c r="G92" s="155">
        <f>IFERROR('CashFlow Data'!I23,0)</f>
        <v>0</v>
      </c>
      <c r="H92" s="155">
        <f>IFERROR('CashFlow Data'!J23,0)</f>
        <v>0</v>
      </c>
      <c r="I92" s="155">
        <f>IFERROR('CashFlow Data'!K23,0)</f>
        <v>0</v>
      </c>
      <c r="J92" s="155">
        <f>IFERROR('CashFlow Data'!L23,0)</f>
        <v>0</v>
      </c>
      <c r="K92" s="155">
        <f>IFERROR('CashFlow Data'!M23,0)</f>
        <v>1</v>
      </c>
      <c r="L92" s="155">
        <f>IFERROR('CashFlow Data'!N23,0)</f>
        <v>0</v>
      </c>
    </row>
    <row r="93" spans="2:12">
      <c r="B93" s="25" t="s">
        <v>134</v>
      </c>
      <c r="C93" s="154">
        <f>IFERROR('CashFlow Data'!E24,0)</f>
        <v>8</v>
      </c>
      <c r="D93" s="154">
        <f>IFERROR('CashFlow Data'!F24,0)</f>
        <v>271</v>
      </c>
      <c r="E93" s="154">
        <f>IFERROR('CashFlow Data'!G24,0)</f>
        <v>10</v>
      </c>
      <c r="F93" s="154">
        <f>IFERROR('CashFlow Data'!H24,0)</f>
        <v>243</v>
      </c>
      <c r="G93" s="154">
        <f>IFERROR('CashFlow Data'!I24,0)</f>
        <v>18</v>
      </c>
      <c r="H93" s="154">
        <f>IFERROR('CashFlow Data'!J24,0)</f>
        <v>155</v>
      </c>
      <c r="I93" s="154">
        <f>IFERROR('CashFlow Data'!K24,0)</f>
        <v>418</v>
      </c>
      <c r="J93" s="154">
        <f>IFERROR('CashFlow Data'!L24,0)</f>
        <v>254</v>
      </c>
      <c r="K93" s="154">
        <f>IFERROR('CashFlow Data'!M24,0)</f>
        <v>101</v>
      </c>
      <c r="L93" s="154">
        <f>IFERROR('CashFlow Data'!N24,0)</f>
        <v>415</v>
      </c>
    </row>
    <row r="94" spans="2:12">
      <c r="B94" s="25" t="s">
        <v>135</v>
      </c>
      <c r="C94" s="154">
        <f>IFERROR('CashFlow Data'!E25,0)</f>
        <v>-119</v>
      </c>
      <c r="D94" s="154">
        <f>IFERROR('CashFlow Data'!F25,0)</f>
        <v>-58</v>
      </c>
      <c r="E94" s="154">
        <f>IFERROR('CashFlow Data'!G25,0)</f>
        <v>-54</v>
      </c>
      <c r="F94" s="154">
        <f>IFERROR('CashFlow Data'!H25,0)</f>
        <v>-26</v>
      </c>
      <c r="G94" s="154">
        <f>IFERROR('CashFlow Data'!I25,0)</f>
        <v>-279</v>
      </c>
      <c r="H94" s="154">
        <f>IFERROR('CashFlow Data'!J25,0)</f>
        <v>-14</v>
      </c>
      <c r="I94" s="154">
        <f>IFERROR('CashFlow Data'!K25,0)</f>
        <v>-8</v>
      </c>
      <c r="J94" s="154">
        <f>IFERROR('CashFlow Data'!L25,0)</f>
        <v>-25</v>
      </c>
      <c r="K94" s="154">
        <f>IFERROR('CashFlow Data'!M25,0)</f>
        <v>-98</v>
      </c>
      <c r="L94" s="154">
        <f>IFERROR('CashFlow Data'!N25,0)</f>
        <v>-428</v>
      </c>
    </row>
    <row r="95" spans="2:12">
      <c r="B95" s="25" t="s">
        <v>136</v>
      </c>
      <c r="C95" s="154">
        <f>IFERROR('CashFlow Data'!E26,0)</f>
        <v>-40</v>
      </c>
      <c r="D95" s="154">
        <f>IFERROR('CashFlow Data'!F26,0)</f>
        <v>-36</v>
      </c>
      <c r="E95" s="154">
        <f>IFERROR('CashFlow Data'!G26,0)</f>
        <v>-35</v>
      </c>
      <c r="F95" s="154">
        <f>IFERROR('CashFlow Data'!H26,0)</f>
        <v>-106</v>
      </c>
      <c r="G95" s="154">
        <f>IFERROR('CashFlow Data'!I26,0)</f>
        <v>-101</v>
      </c>
      <c r="H95" s="154">
        <f>IFERROR('CashFlow Data'!J26,0)</f>
        <v>-89</v>
      </c>
      <c r="I95" s="154">
        <f>IFERROR('CashFlow Data'!K26,0)</f>
        <v>-94</v>
      </c>
      <c r="J95" s="154">
        <f>IFERROR('CashFlow Data'!L26,0)</f>
        <v>-142</v>
      </c>
      <c r="K95" s="154">
        <f>IFERROR('CashFlow Data'!M26,0)</f>
        <v>-191</v>
      </c>
      <c r="L95" s="154">
        <f>IFERROR('CashFlow Data'!N26,0)</f>
        <v>-203</v>
      </c>
    </row>
    <row r="96" spans="2:12">
      <c r="B96" s="25" t="s">
        <v>137</v>
      </c>
      <c r="C96" s="155">
        <f>IFERROR('CashFlow Data'!E27,0)</f>
        <v>-764</v>
      </c>
      <c r="D96" s="155">
        <f>IFERROR('CashFlow Data'!F27,0)</f>
        <v>-947</v>
      </c>
      <c r="E96" s="155">
        <f>IFERROR('CashFlow Data'!G27,0)</f>
        <v>-1218</v>
      </c>
      <c r="F96" s="155">
        <f>IFERROR('CashFlow Data'!H27,0)</f>
        <v>-1049</v>
      </c>
      <c r="G96" s="155">
        <f>IFERROR('CashFlow Data'!I27,0)</f>
        <v>-2121</v>
      </c>
      <c r="H96" s="155">
        <f>IFERROR('CashFlow Data'!J27,0)</f>
        <v>-499</v>
      </c>
      <c r="I96" s="155">
        <f>IFERROR('CashFlow Data'!K27,0)</f>
        <v>-1763</v>
      </c>
      <c r="J96" s="155">
        <f>IFERROR('CashFlow Data'!L27,0)</f>
        <v>-1936</v>
      </c>
      <c r="K96" s="155">
        <f>IFERROR('CashFlow Data'!M27,0)</f>
        <v>-2551</v>
      </c>
      <c r="L96" s="155">
        <f>IFERROR('CashFlow Data'!N27,0)</f>
        <v>-3140</v>
      </c>
    </row>
    <row r="97" spans="2:12">
      <c r="B97" s="25" t="s">
        <v>138</v>
      </c>
      <c r="C97" s="154">
        <f>IFERROR('CashFlow Data'!E28,0)</f>
        <v>0</v>
      </c>
      <c r="D97" s="154">
        <f>IFERROR('CashFlow Data'!F28,0)</f>
        <v>0</v>
      </c>
      <c r="E97" s="154">
        <f>IFERROR('CashFlow Data'!G28,0)</f>
        <v>0</v>
      </c>
      <c r="F97" s="154">
        <f>IFERROR('CashFlow Data'!H28,0)</f>
        <v>-180</v>
      </c>
      <c r="G97" s="154">
        <f>IFERROR('CashFlow Data'!I28,0)</f>
        <v>-179</v>
      </c>
      <c r="H97" s="154">
        <f>IFERROR('CashFlow Data'!J28,0)</f>
        <v>-203</v>
      </c>
      <c r="I97" s="154">
        <f>IFERROR('CashFlow Data'!K28,0)</f>
        <v>-221</v>
      </c>
      <c r="J97" s="154">
        <f>IFERROR('CashFlow Data'!L28,0)</f>
        <v>-256</v>
      </c>
      <c r="K97" s="154">
        <f>IFERROR('CashFlow Data'!M28,0)</f>
        <v>-286</v>
      </c>
      <c r="L97" s="154">
        <f>IFERROR('CashFlow Data'!N28,0)</f>
        <v>-325</v>
      </c>
    </row>
    <row r="98" spans="2:12">
      <c r="B98" s="25" t="s">
        <v>139</v>
      </c>
      <c r="C98" s="154">
        <f>IFERROR('CashFlow Data'!E29,0)</f>
        <v>66</v>
      </c>
      <c r="D98" s="154">
        <f>IFERROR('CashFlow Data'!F29,0)</f>
        <v>13</v>
      </c>
      <c r="E98" s="154">
        <f>IFERROR('CashFlow Data'!G29,0)</f>
        <v>-82</v>
      </c>
      <c r="F98" s="154">
        <f>IFERROR('CashFlow Data'!H29,0)</f>
        <v>0</v>
      </c>
      <c r="G98" s="154">
        <f>IFERROR('CashFlow Data'!I29,0)</f>
        <v>-209</v>
      </c>
      <c r="H98" s="154">
        <f>IFERROR('CashFlow Data'!J29,0)</f>
        <v>0</v>
      </c>
      <c r="I98" s="154">
        <f>IFERROR('CashFlow Data'!K29,0)</f>
        <v>-140</v>
      </c>
      <c r="J98" s="154">
        <f>IFERROR('CashFlow Data'!L29,0)</f>
        <v>-36</v>
      </c>
      <c r="K98" s="154">
        <f>IFERROR('CashFlow Data'!M29,0)</f>
        <v>41</v>
      </c>
      <c r="L98" s="154">
        <f>IFERROR('CashFlow Data'!N29,0)</f>
        <v>-72</v>
      </c>
    </row>
    <row r="99" spans="2:12" ht="14.65" thickBot="1">
      <c r="B99" s="158" t="s">
        <v>144</v>
      </c>
      <c r="C99" s="159">
        <f>SUM(C92:C98)</f>
        <v>-849</v>
      </c>
      <c r="D99" s="159">
        <f t="shared" ref="D99:L99" si="21">SUM(D92:D98)</f>
        <v>-757</v>
      </c>
      <c r="E99" s="159">
        <f t="shared" si="21"/>
        <v>-1379</v>
      </c>
      <c r="F99" s="159">
        <f t="shared" si="21"/>
        <v>-1118</v>
      </c>
      <c r="G99" s="159">
        <f t="shared" si="21"/>
        <v>-2871</v>
      </c>
      <c r="H99" s="159">
        <f t="shared" si="21"/>
        <v>-650</v>
      </c>
      <c r="I99" s="159">
        <f t="shared" si="21"/>
        <v>-1808</v>
      </c>
      <c r="J99" s="159">
        <f t="shared" si="21"/>
        <v>-2141</v>
      </c>
      <c r="K99" s="159">
        <f t="shared" si="21"/>
        <v>-2983</v>
      </c>
      <c r="L99" s="159">
        <f t="shared" si="21"/>
        <v>-3753</v>
      </c>
    </row>
    <row r="100" spans="2:12" ht="14.65" thickTop="1"/>
    <row r="102" spans="2:12" ht="14.65" thickBot="1">
      <c r="B102" s="158" t="s">
        <v>147</v>
      </c>
      <c r="C102" s="160">
        <f>C99+C89+C76</f>
        <v>728</v>
      </c>
      <c r="D102" s="160">
        <f t="shared" ref="D102:L102" si="22">D99+D89+D76</f>
        <v>-513</v>
      </c>
      <c r="E102" s="160">
        <f t="shared" si="22"/>
        <v>-902</v>
      </c>
      <c r="F102" s="160">
        <f t="shared" si="22"/>
        <v>23</v>
      </c>
      <c r="G102" s="160">
        <f t="shared" si="22"/>
        <v>-684</v>
      </c>
      <c r="H102" s="160">
        <f t="shared" si="22"/>
        <v>2286</v>
      </c>
      <c r="I102" s="160">
        <f t="shared" si="22"/>
        <v>-3933</v>
      </c>
      <c r="J102" s="160">
        <f t="shared" si="22"/>
        <v>-2</v>
      </c>
      <c r="K102" s="160">
        <f t="shared" si="22"/>
        <v>582</v>
      </c>
      <c r="L102" s="160">
        <f t="shared" si="22"/>
        <v>-839</v>
      </c>
    </row>
    <row r="103" spans="2:12" ht="14.65" thickTop="1"/>
  </sheetData>
  <mergeCells count="1">
    <mergeCell ref="B2:L2"/>
  </mergeCells>
  <pageMargins left="0.7" right="0.7" top="0.75" bottom="0.75" header="0.3" footer="0.3"/>
  <pageSetup orientation="portrait" r:id="rId1"/>
  <ignoredErrors>
    <ignoredError sqref="C15:L1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9F57-E2FD-4D34-B3A4-FD451EBC5339}">
  <dimension ref="B2:O45"/>
  <sheetViews>
    <sheetView showGridLines="0" topLeftCell="A18" zoomScale="104" zoomScaleNormal="400" workbookViewId="0">
      <selection activeCell="H24" sqref="H24"/>
    </sheetView>
  </sheetViews>
  <sheetFormatPr defaultRowHeight="14.25"/>
  <cols>
    <col min="1" max="1" width="1.73046875" style="1" customWidth="1"/>
    <col min="2" max="2" width="10.86328125" style="1" bestFit="1" customWidth="1"/>
    <col min="3" max="3" width="9.06640625" style="1"/>
    <col min="4" max="4" width="13.06640625" style="1" customWidth="1"/>
    <col min="5" max="6" width="9.06640625" style="1"/>
    <col min="7" max="7" width="15.9296875" style="1" customWidth="1"/>
    <col min="8" max="8" width="9.06640625" style="1"/>
    <col min="9" max="9" width="13" style="1" customWidth="1"/>
    <col min="10" max="16384" width="9.06640625" style="1"/>
  </cols>
  <sheetData>
    <row r="2" spans="2:15">
      <c r="B2" s="54" t="str">
        <f xml:space="preserve"> 'Data Sheet'!$B$1 &amp;" - SALES"</f>
        <v>ASIAN PAINTS LTD - SALES</v>
      </c>
      <c r="C2" s="54"/>
      <c r="D2" s="54"/>
      <c r="E2" s="54"/>
    </row>
    <row r="3" spans="2:15">
      <c r="B3" s="12" t="s">
        <v>20</v>
      </c>
      <c r="C3" s="13" t="s">
        <v>21</v>
      </c>
      <c r="D3" s="13" t="s">
        <v>16</v>
      </c>
      <c r="E3" s="13" t="s">
        <v>22</v>
      </c>
      <c r="G3" t="s">
        <v>19</v>
      </c>
      <c r="H3"/>
      <c r="I3"/>
      <c r="J3"/>
      <c r="K3"/>
      <c r="L3"/>
      <c r="M3"/>
      <c r="N3"/>
      <c r="O3"/>
    </row>
    <row r="4" spans="2:15" ht="14.65" thickBot="1">
      <c r="B4" s="14">
        <v>1</v>
      </c>
      <c r="C4" s="15">
        <f>HISTORICALS!C3</f>
        <v>42460</v>
      </c>
      <c r="D4" s="16" cm="1">
        <f t="array" ref="D4:D13">TRANSPOSE('Data Sheet'!B17:K17)</f>
        <v>14271.49</v>
      </c>
      <c r="E4" s="17"/>
      <c r="G4"/>
      <c r="H4"/>
      <c r="I4"/>
      <c r="J4"/>
      <c r="K4"/>
      <c r="L4"/>
      <c r="M4"/>
      <c r="N4"/>
      <c r="O4"/>
    </row>
    <row r="5" spans="2:15">
      <c r="B5" s="14">
        <f>B4+1</f>
        <v>2</v>
      </c>
      <c r="C5" s="15">
        <f>C4+365</f>
        <v>42825</v>
      </c>
      <c r="D5" s="16">
        <v>15061.99</v>
      </c>
      <c r="E5" s="20">
        <f>D5/D4-1</f>
        <v>5.5390151974320734E-2</v>
      </c>
      <c r="G5" s="51" t="s">
        <v>23</v>
      </c>
      <c r="H5" s="51"/>
      <c r="I5"/>
      <c r="J5"/>
      <c r="K5"/>
      <c r="L5"/>
      <c r="M5"/>
      <c r="N5"/>
      <c r="O5"/>
    </row>
    <row r="6" spans="2:15">
      <c r="B6" s="14">
        <f t="shared" ref="B6:B18" si="0">B5+1</f>
        <v>3</v>
      </c>
      <c r="C6" s="15">
        <f t="shared" ref="C6:C18" si="1">C5+365</f>
        <v>43190</v>
      </c>
      <c r="D6" s="16">
        <v>16824.55</v>
      </c>
      <c r="E6" s="20">
        <f t="shared" ref="E6:E18" si="2">D6/D5-1</f>
        <v>0.11702039371955486</v>
      </c>
      <c r="G6" s="48" t="s">
        <v>24</v>
      </c>
      <c r="H6" s="48">
        <v>0.95966502225199346</v>
      </c>
      <c r="I6"/>
      <c r="J6"/>
      <c r="K6"/>
      <c r="L6"/>
      <c r="M6"/>
      <c r="N6"/>
      <c r="O6"/>
    </row>
    <row r="7" spans="2:15">
      <c r="B7" s="14">
        <f t="shared" si="0"/>
        <v>4</v>
      </c>
      <c r="C7" s="15">
        <f t="shared" si="1"/>
        <v>43555</v>
      </c>
      <c r="D7" s="16">
        <v>19240.13</v>
      </c>
      <c r="E7" s="20">
        <f t="shared" si="2"/>
        <v>0.14357471670861943</v>
      </c>
      <c r="G7" s="52" t="s">
        <v>25</v>
      </c>
      <c r="H7" s="52">
        <v>0.92095695493391905</v>
      </c>
      <c r="I7"/>
      <c r="J7"/>
      <c r="K7"/>
      <c r="L7"/>
      <c r="M7"/>
      <c r="N7"/>
      <c r="O7"/>
    </row>
    <row r="8" spans="2:15">
      <c r="B8" s="14">
        <f t="shared" si="0"/>
        <v>5</v>
      </c>
      <c r="C8" s="15">
        <f t="shared" si="1"/>
        <v>43920</v>
      </c>
      <c r="D8" s="16">
        <v>20211.25</v>
      </c>
      <c r="E8" s="20">
        <f t="shared" si="2"/>
        <v>5.0473671435691925E-2</v>
      </c>
      <c r="G8" s="48" t="s">
        <v>26</v>
      </c>
      <c r="H8" s="48">
        <v>0.91107657430065903</v>
      </c>
      <c r="I8"/>
      <c r="J8"/>
      <c r="K8"/>
      <c r="L8"/>
      <c r="M8"/>
      <c r="N8"/>
      <c r="O8"/>
    </row>
    <row r="9" spans="2:15">
      <c r="B9" s="14">
        <f t="shared" si="0"/>
        <v>6</v>
      </c>
      <c r="C9" s="15">
        <f t="shared" si="1"/>
        <v>44285</v>
      </c>
      <c r="D9" s="16">
        <v>21712.79</v>
      </c>
      <c r="E9" s="20">
        <f t="shared" si="2"/>
        <v>7.4292287711052118E-2</v>
      </c>
      <c r="G9" s="48" t="s">
        <v>27</v>
      </c>
      <c r="H9" s="48">
        <v>2503.886983564722</v>
      </c>
      <c r="I9"/>
      <c r="J9"/>
      <c r="K9"/>
      <c r="L9"/>
      <c r="M9"/>
      <c r="N9"/>
      <c r="O9"/>
    </row>
    <row r="10" spans="2:15" ht="14.65" thickBot="1">
      <c r="B10" s="14">
        <f t="shared" si="0"/>
        <v>7</v>
      </c>
      <c r="C10" s="15">
        <f t="shared" si="1"/>
        <v>44650</v>
      </c>
      <c r="D10" s="16">
        <v>29101.279999999999</v>
      </c>
      <c r="E10" s="20">
        <f t="shared" si="2"/>
        <v>0.34028284711453471</v>
      </c>
      <c r="G10" s="49" t="s">
        <v>28</v>
      </c>
      <c r="H10" s="49">
        <v>10</v>
      </c>
      <c r="I10"/>
      <c r="J10"/>
      <c r="K10"/>
      <c r="L10"/>
      <c r="M10"/>
      <c r="N10"/>
      <c r="O10"/>
    </row>
    <row r="11" spans="2:15">
      <c r="B11" s="14">
        <f t="shared" si="0"/>
        <v>8</v>
      </c>
      <c r="C11" s="15">
        <f t="shared" si="1"/>
        <v>45015</v>
      </c>
      <c r="D11" s="16">
        <v>34488.589999999997</v>
      </c>
      <c r="E11" s="20">
        <f t="shared" si="2"/>
        <v>0.18512278497715551</v>
      </c>
      <c r="G11"/>
      <c r="H11"/>
      <c r="I11"/>
      <c r="J11"/>
      <c r="K11"/>
      <c r="L11"/>
      <c r="M11"/>
      <c r="N11"/>
      <c r="O11"/>
    </row>
    <row r="12" spans="2:15" ht="14.65" thickBot="1">
      <c r="B12" s="14">
        <f t="shared" si="0"/>
        <v>9</v>
      </c>
      <c r="C12" s="15">
        <f t="shared" si="1"/>
        <v>45380</v>
      </c>
      <c r="D12" s="16">
        <v>35494.730000000003</v>
      </c>
      <c r="E12" s="20">
        <f t="shared" si="2"/>
        <v>2.9173126532572313E-2</v>
      </c>
      <c r="G12" t="s">
        <v>29</v>
      </c>
      <c r="H12"/>
      <c r="I12"/>
      <c r="J12"/>
      <c r="K12"/>
      <c r="L12"/>
      <c r="M12"/>
      <c r="N12"/>
      <c r="O12"/>
    </row>
    <row r="13" spans="2:15">
      <c r="B13" s="14">
        <f t="shared" si="0"/>
        <v>10</v>
      </c>
      <c r="C13" s="15">
        <f t="shared" si="1"/>
        <v>45745</v>
      </c>
      <c r="D13" s="16">
        <v>33905.620000000003</v>
      </c>
      <c r="E13" s="20">
        <f t="shared" si="2"/>
        <v>-4.4770308155605121E-2</v>
      </c>
      <c r="G13" s="50"/>
      <c r="H13" s="50" t="s">
        <v>30</v>
      </c>
      <c r="I13" s="50" t="s">
        <v>31</v>
      </c>
      <c r="J13" s="50" t="s">
        <v>32</v>
      </c>
      <c r="K13" s="50" t="s">
        <v>33</v>
      </c>
      <c r="L13" s="50" t="s">
        <v>34</v>
      </c>
      <c r="M13"/>
      <c r="N13"/>
      <c r="O13"/>
    </row>
    <row r="14" spans="2:15">
      <c r="B14" s="14">
        <f t="shared" si="0"/>
        <v>11</v>
      </c>
      <c r="C14" s="18">
        <f t="shared" si="1"/>
        <v>46110</v>
      </c>
      <c r="D14" s="19">
        <f>FORECAST(B14,_xlfn.ANCHORARRAY($D$4),$B$4:$B$13)</f>
        <v>38669.293333333335</v>
      </c>
      <c r="E14" s="21">
        <f t="shared" si="2"/>
        <v>0.14049804526014653</v>
      </c>
      <c r="G14" s="48" t="s">
        <v>35</v>
      </c>
      <c r="H14" s="48">
        <v>1</v>
      </c>
      <c r="I14" s="48">
        <v>584379673.19264126</v>
      </c>
      <c r="J14" s="48">
        <v>584379673.19264126</v>
      </c>
      <c r="K14" s="48">
        <v>93.210675693375876</v>
      </c>
      <c r="L14" s="48">
        <v>1.1028789030805894E-5</v>
      </c>
      <c r="M14"/>
      <c r="N14"/>
      <c r="O14"/>
    </row>
    <row r="15" spans="2:15">
      <c r="B15" s="14">
        <f t="shared" si="0"/>
        <v>12</v>
      </c>
      <c r="C15" s="18">
        <f t="shared" si="1"/>
        <v>46475</v>
      </c>
      <c r="D15" s="19">
        <f t="shared" ref="D15:D18" si="3">FORECAST(B15,_xlfn.ANCHORARRAY($D$4),$B$4:$B$13)</f>
        <v>41330.757212121214</v>
      </c>
      <c r="E15" s="21">
        <f t="shared" si="2"/>
        <v>6.8826286941573667E-2</v>
      </c>
      <c r="G15" s="48" t="s">
        <v>36</v>
      </c>
      <c r="H15" s="48">
        <v>8</v>
      </c>
      <c r="I15" s="48">
        <v>50155600.211718738</v>
      </c>
      <c r="J15" s="48">
        <v>6269450.0264648423</v>
      </c>
      <c r="K15" s="48"/>
      <c r="L15" s="48"/>
      <c r="M15"/>
      <c r="N15"/>
      <c r="O15"/>
    </row>
    <row r="16" spans="2:15" ht="14.65" thickBot="1">
      <c r="B16" s="14">
        <f t="shared" si="0"/>
        <v>13</v>
      </c>
      <c r="C16" s="18">
        <f>C15+365</f>
        <v>46840</v>
      </c>
      <c r="D16" s="19">
        <f t="shared" si="3"/>
        <v>43992.221090909094</v>
      </c>
      <c r="E16" s="21">
        <f t="shared" si="2"/>
        <v>6.4394268537798283E-2</v>
      </c>
      <c r="G16" s="49" t="s">
        <v>37</v>
      </c>
      <c r="H16" s="49">
        <v>9</v>
      </c>
      <c r="I16" s="49">
        <v>634535273.40436006</v>
      </c>
      <c r="J16" s="49"/>
      <c r="K16" s="49"/>
      <c r="L16" s="49"/>
      <c r="M16"/>
      <c r="N16"/>
      <c r="O16"/>
    </row>
    <row r="17" spans="2:15" ht="14.65" thickBot="1">
      <c r="B17" s="14">
        <f t="shared" si="0"/>
        <v>14</v>
      </c>
      <c r="C17" s="18">
        <f t="shared" si="1"/>
        <v>47205</v>
      </c>
      <c r="D17" s="19">
        <f t="shared" si="3"/>
        <v>46653.684969696973</v>
      </c>
      <c r="E17" s="21">
        <f t="shared" si="2"/>
        <v>6.0498511163780799E-2</v>
      </c>
      <c r="G17"/>
      <c r="H17"/>
      <c r="I17"/>
      <c r="J17"/>
      <c r="K17"/>
      <c r="L17"/>
      <c r="M17"/>
      <c r="N17"/>
      <c r="O17"/>
    </row>
    <row r="18" spans="2:15">
      <c r="B18" s="14">
        <f t="shared" si="0"/>
        <v>15</v>
      </c>
      <c r="C18" s="18">
        <f t="shared" si="1"/>
        <v>47570</v>
      </c>
      <c r="D18" s="19">
        <f t="shared" si="3"/>
        <v>49315.148848484852</v>
      </c>
      <c r="E18" s="21">
        <f t="shared" si="2"/>
        <v>5.7047238187435401E-2</v>
      </c>
      <c r="G18" s="50"/>
      <c r="H18" s="50" t="s">
        <v>38</v>
      </c>
      <c r="I18" s="50" t="s">
        <v>27</v>
      </c>
      <c r="J18" s="50" t="s">
        <v>39</v>
      </c>
      <c r="K18" s="50" t="s">
        <v>40</v>
      </c>
      <c r="L18" s="50" t="s">
        <v>41</v>
      </c>
      <c r="M18" s="50" t="s">
        <v>42</v>
      </c>
      <c r="N18" s="50" t="s">
        <v>43</v>
      </c>
      <c r="O18" s="50" t="s">
        <v>44</v>
      </c>
    </row>
    <row r="19" spans="2:15">
      <c r="G19" s="48" t="s">
        <v>45</v>
      </c>
      <c r="H19" s="48">
        <v>9393.1906666666637</v>
      </c>
      <c r="I19" s="48">
        <v>1710.4804429409867</v>
      </c>
      <c r="J19" s="48">
        <v>5.4915510466264585</v>
      </c>
      <c r="K19" s="52">
        <v>5.7949416458131782E-4</v>
      </c>
      <c r="L19" s="48">
        <v>5448.8156920588935</v>
      </c>
      <c r="M19" s="48">
        <v>13337.565641274434</v>
      </c>
      <c r="N19" s="48">
        <v>5448.8156920588935</v>
      </c>
      <c r="O19" s="48">
        <v>13337.565641274434</v>
      </c>
    </row>
    <row r="20" spans="2:15" ht="14.65" thickBot="1">
      <c r="G20" s="49" t="s">
        <v>46</v>
      </c>
      <c r="H20" s="53">
        <v>2661.4638787878798</v>
      </c>
      <c r="I20" s="49">
        <v>275.66888408763026</v>
      </c>
      <c r="J20" s="49">
        <v>9.6545676077893781</v>
      </c>
      <c r="K20" s="53">
        <v>1.1028789030805875E-5</v>
      </c>
      <c r="L20" s="49">
        <v>2025.7702921346863</v>
      </c>
      <c r="M20" s="49">
        <v>3297.1574654410733</v>
      </c>
      <c r="N20" s="49">
        <v>2025.7702921346863</v>
      </c>
      <c r="O20" s="49">
        <v>3297.1574654410733</v>
      </c>
    </row>
    <row r="21" spans="2:15">
      <c r="G21"/>
      <c r="H21"/>
      <c r="I21"/>
      <c r="J21"/>
      <c r="K21"/>
      <c r="L21"/>
      <c r="M21"/>
      <c r="N21"/>
      <c r="O21"/>
    </row>
    <row r="22" spans="2:15">
      <c r="G22"/>
      <c r="H22"/>
      <c r="I22"/>
      <c r="J22"/>
      <c r="K22"/>
      <c r="L22"/>
      <c r="M22"/>
      <c r="N22"/>
      <c r="O22"/>
    </row>
    <row r="23" spans="2:15">
      <c r="G23"/>
      <c r="H23"/>
      <c r="I23"/>
      <c r="J23"/>
      <c r="K23"/>
      <c r="L23"/>
      <c r="M23"/>
      <c r="N23"/>
      <c r="O23"/>
    </row>
    <row r="24" spans="2:15">
      <c r="B24" s="54" t="str">
        <f xml:space="preserve"> 'Data Sheet'!$B$1 &amp;" - EBITDA"</f>
        <v>ASIAN PAINTS LTD - EBITDA</v>
      </c>
      <c r="C24" s="54"/>
      <c r="D24" s="54"/>
      <c r="E24" s="54"/>
    </row>
    <row r="25" spans="2:15">
      <c r="B25" s="12" t="s">
        <v>20</v>
      </c>
      <c r="C25" s="13" t="s">
        <v>21</v>
      </c>
      <c r="D25" s="13" t="s">
        <v>47</v>
      </c>
      <c r="E25" s="13" t="s">
        <v>22</v>
      </c>
      <c r="G25" t="s">
        <v>19</v>
      </c>
      <c r="H25"/>
      <c r="I25"/>
      <c r="J25"/>
      <c r="K25"/>
      <c r="L25"/>
      <c r="M25"/>
      <c r="N25"/>
      <c r="O25"/>
    </row>
    <row r="26" spans="2:15" ht="14.65" thickBot="1">
      <c r="B26" s="14">
        <v>1</v>
      </c>
      <c r="C26" s="15">
        <f>C4</f>
        <v>42460</v>
      </c>
      <c r="D26" s="16" cm="1">
        <f t="array" ref="D26:D35">TRANSPOSE(HISTORICALS!C18:L18)</f>
        <v>2725.0400000000013</v>
      </c>
      <c r="E26" s="17"/>
      <c r="G26"/>
      <c r="H26"/>
      <c r="I26"/>
      <c r="J26"/>
      <c r="K26"/>
      <c r="L26"/>
      <c r="M26"/>
      <c r="N26"/>
      <c r="O26"/>
    </row>
    <row r="27" spans="2:15">
      <c r="B27" s="14">
        <f>B26+1</f>
        <v>2</v>
      </c>
      <c r="C27" s="15">
        <f>C26+365</f>
        <v>42825</v>
      </c>
      <c r="D27" s="16">
        <v>2993.76</v>
      </c>
      <c r="E27" s="20">
        <f>D27/D26-1</f>
        <v>9.861139652995865E-2</v>
      </c>
      <c r="G27" s="51" t="s">
        <v>23</v>
      </c>
      <c r="H27" s="51"/>
      <c r="I27"/>
      <c r="J27"/>
      <c r="K27"/>
      <c r="L27"/>
      <c r="M27"/>
      <c r="N27"/>
      <c r="O27"/>
    </row>
    <row r="28" spans="2:15">
      <c r="B28" s="14">
        <f t="shared" ref="B28:B40" si="4">B27+1</f>
        <v>3</v>
      </c>
      <c r="C28" s="15">
        <f t="shared" ref="C28:C40" si="5">C27+365</f>
        <v>43190</v>
      </c>
      <c r="D28" s="16">
        <v>3204.0100000000011</v>
      </c>
      <c r="E28" s="20">
        <f t="shared" ref="E28:E40" si="6">D28/D27-1</f>
        <v>7.0229410507188561E-2</v>
      </c>
      <c r="G28" s="48" t="s">
        <v>24</v>
      </c>
      <c r="H28" s="48">
        <v>0.9336492544161199</v>
      </c>
      <c r="I28"/>
      <c r="J28"/>
      <c r="K28"/>
      <c r="L28"/>
      <c r="M28"/>
      <c r="N28"/>
      <c r="O28"/>
    </row>
    <row r="29" spans="2:15">
      <c r="B29" s="14">
        <f t="shared" si="4"/>
        <v>4</v>
      </c>
      <c r="C29" s="15">
        <f t="shared" si="5"/>
        <v>43555</v>
      </c>
      <c r="D29" s="16">
        <v>3764.9400000000014</v>
      </c>
      <c r="E29" s="20">
        <f t="shared" si="6"/>
        <v>0.17507123885381137</v>
      </c>
      <c r="G29" s="52" t="s">
        <v>25</v>
      </c>
      <c r="H29" s="52">
        <v>0.87170093027177664</v>
      </c>
      <c r="I29"/>
      <c r="J29"/>
      <c r="K29"/>
      <c r="L29"/>
      <c r="M29"/>
      <c r="N29"/>
      <c r="O29"/>
    </row>
    <row r="30" spans="2:15">
      <c r="B30" s="14">
        <f t="shared" si="4"/>
        <v>5</v>
      </c>
      <c r="C30" s="15">
        <f t="shared" si="5"/>
        <v>43920</v>
      </c>
      <c r="D30" s="16">
        <v>4156.8199999999979</v>
      </c>
      <c r="E30" s="20">
        <f t="shared" si="6"/>
        <v>0.10408665211132084</v>
      </c>
      <c r="G30" s="48" t="s">
        <v>26</v>
      </c>
      <c r="H30" s="48">
        <v>0.85566354655574872</v>
      </c>
      <c r="I30"/>
      <c r="J30"/>
      <c r="K30"/>
      <c r="L30"/>
      <c r="M30"/>
      <c r="N30"/>
      <c r="O30"/>
    </row>
    <row r="31" spans="2:15">
      <c r="B31" s="14">
        <f t="shared" si="4"/>
        <v>6</v>
      </c>
      <c r="C31" s="15">
        <f t="shared" si="5"/>
        <v>44285</v>
      </c>
      <c r="D31" s="16">
        <v>4855.6000000000031</v>
      </c>
      <c r="E31" s="20">
        <f t="shared" si="6"/>
        <v>0.16810446447043792</v>
      </c>
      <c r="G31" s="48" t="s">
        <v>27</v>
      </c>
      <c r="H31" s="48">
        <v>603.02946370790914</v>
      </c>
      <c r="I31"/>
      <c r="J31"/>
      <c r="K31"/>
      <c r="L31"/>
      <c r="M31"/>
      <c r="N31"/>
      <c r="O31"/>
    </row>
    <row r="32" spans="2:15" ht="14.65" thickBot="1">
      <c r="B32" s="14">
        <f t="shared" si="4"/>
        <v>7</v>
      </c>
      <c r="C32" s="15">
        <f t="shared" si="5"/>
        <v>44650</v>
      </c>
      <c r="D32" s="16">
        <v>4803.6099999999988</v>
      </c>
      <c r="E32" s="20">
        <f t="shared" si="6"/>
        <v>-1.0707224647830249E-2</v>
      </c>
      <c r="G32" s="49" t="s">
        <v>28</v>
      </c>
      <c r="H32" s="49">
        <v>10</v>
      </c>
      <c r="I32"/>
      <c r="J32"/>
      <c r="K32"/>
      <c r="L32"/>
      <c r="M32"/>
      <c r="N32"/>
      <c r="O32"/>
    </row>
    <row r="33" spans="2:15">
      <c r="B33" s="14">
        <f t="shared" si="4"/>
        <v>8</v>
      </c>
      <c r="C33" s="15">
        <f t="shared" si="5"/>
        <v>45015</v>
      </c>
      <c r="D33" s="16">
        <v>6259.8399999999956</v>
      </c>
      <c r="E33" s="20">
        <f t="shared" si="6"/>
        <v>0.3031532534906034</v>
      </c>
      <c r="G33"/>
      <c r="H33"/>
      <c r="I33"/>
      <c r="J33"/>
      <c r="K33"/>
      <c r="L33"/>
      <c r="M33"/>
      <c r="N33"/>
      <c r="O33"/>
    </row>
    <row r="34" spans="2:15" ht="14.65" thickBot="1">
      <c r="B34" s="14">
        <f t="shared" si="4"/>
        <v>9</v>
      </c>
      <c r="C34" s="15">
        <f t="shared" si="5"/>
        <v>45380</v>
      </c>
      <c r="D34" s="16">
        <v>7584.9800000000014</v>
      </c>
      <c r="E34" s="20">
        <f t="shared" si="6"/>
        <v>0.21168911665473988</v>
      </c>
      <c r="G34" t="s">
        <v>29</v>
      </c>
      <c r="H34"/>
      <c r="I34"/>
      <c r="J34"/>
      <c r="K34"/>
      <c r="L34"/>
      <c r="M34"/>
      <c r="N34"/>
      <c r="O34"/>
    </row>
    <row r="35" spans="2:15">
      <c r="B35" s="14">
        <f t="shared" si="4"/>
        <v>10</v>
      </c>
      <c r="C35" s="15">
        <f t="shared" si="5"/>
        <v>45745</v>
      </c>
      <c r="D35" s="16">
        <v>6006.2100000000019</v>
      </c>
      <c r="E35" s="20">
        <f t="shared" si="6"/>
        <v>-0.20814425351154509</v>
      </c>
      <c r="G35" s="50"/>
      <c r="H35" s="50" t="s">
        <v>30</v>
      </c>
      <c r="I35" s="50" t="s">
        <v>31</v>
      </c>
      <c r="J35" s="50" t="s">
        <v>32</v>
      </c>
      <c r="K35" s="50" t="s">
        <v>33</v>
      </c>
      <c r="L35" s="50" t="s">
        <v>34</v>
      </c>
      <c r="M35"/>
      <c r="N35"/>
      <c r="O35"/>
    </row>
    <row r="36" spans="2:15">
      <c r="B36" s="14">
        <f t="shared" si="4"/>
        <v>11</v>
      </c>
      <c r="C36" s="18">
        <f t="shared" si="5"/>
        <v>46110</v>
      </c>
      <c r="D36" s="19">
        <f>FORECAST(B36,_xlfn.ANCHORARRAY($D$26),$B$26:$B$35)</f>
        <v>7327.5813333333326</v>
      </c>
      <c r="E36" s="21">
        <f t="shared" si="6"/>
        <v>0.22000085467097064</v>
      </c>
      <c r="G36" s="48" t="s">
        <v>35</v>
      </c>
      <c r="H36" s="48">
        <v>1</v>
      </c>
      <c r="I36" s="48">
        <v>19765647.831091199</v>
      </c>
      <c r="J36" s="48">
        <v>19765647.831091199</v>
      </c>
      <c r="K36" s="48">
        <v>54.354310260755916</v>
      </c>
      <c r="L36" s="48">
        <v>7.8226815198004836E-5</v>
      </c>
      <c r="M36"/>
      <c r="N36"/>
      <c r="O36"/>
    </row>
    <row r="37" spans="2:15">
      <c r="B37" s="14">
        <f t="shared" si="4"/>
        <v>12</v>
      </c>
      <c r="C37" s="18">
        <f t="shared" si="5"/>
        <v>46475</v>
      </c>
      <c r="D37" s="19">
        <f t="shared" ref="D37:D40" si="7">FORECAST(B37,_xlfn.ANCHORARRAY($D$26),$B$26:$B$35)</f>
        <v>7817.0541212121198</v>
      </c>
      <c r="E37" s="21">
        <f t="shared" si="6"/>
        <v>6.6798683714661022E-2</v>
      </c>
      <c r="G37" s="48" t="s">
        <v>36</v>
      </c>
      <c r="H37" s="48">
        <v>8</v>
      </c>
      <c r="I37" s="48">
        <v>2909156.2727987878</v>
      </c>
      <c r="J37" s="48">
        <v>363644.53409984848</v>
      </c>
      <c r="K37" s="48"/>
      <c r="L37" s="48"/>
      <c r="M37"/>
      <c r="N37"/>
      <c r="O37"/>
    </row>
    <row r="38" spans="2:15" ht="14.65" thickBot="1">
      <c r="B38" s="14">
        <f t="shared" si="4"/>
        <v>13</v>
      </c>
      <c r="C38" s="18">
        <f>C37+365</f>
        <v>46840</v>
      </c>
      <c r="D38" s="19">
        <f t="shared" si="7"/>
        <v>8306.5269090909078</v>
      </c>
      <c r="E38" s="21">
        <f t="shared" si="6"/>
        <v>6.2616016249723794E-2</v>
      </c>
      <c r="G38" s="49" t="s">
        <v>37</v>
      </c>
      <c r="H38" s="49">
        <v>9</v>
      </c>
      <c r="I38" s="49">
        <v>22674804.103889987</v>
      </c>
      <c r="J38" s="49"/>
      <c r="K38" s="49"/>
      <c r="L38" s="49"/>
      <c r="M38"/>
      <c r="N38"/>
      <c r="O38"/>
    </row>
    <row r="39" spans="2:15" ht="14.65" thickBot="1">
      <c r="B39" s="14">
        <f t="shared" si="4"/>
        <v>14</v>
      </c>
      <c r="C39" s="18">
        <f t="shared" ref="C39:C40" si="8">C38+365</f>
        <v>47205</v>
      </c>
      <c r="D39" s="19">
        <f t="shared" si="7"/>
        <v>8795.9996969696949</v>
      </c>
      <c r="E39" s="21">
        <f t="shared" si="6"/>
        <v>5.8926286910970349E-2</v>
      </c>
      <c r="G39"/>
      <c r="H39"/>
      <c r="I39"/>
      <c r="J39"/>
      <c r="K39"/>
      <c r="L39"/>
      <c r="M39"/>
      <c r="N39"/>
      <c r="O39"/>
    </row>
    <row r="40" spans="2:15">
      <c r="B40" s="14">
        <f t="shared" si="4"/>
        <v>15</v>
      </c>
      <c r="C40" s="18">
        <f t="shared" si="8"/>
        <v>47570</v>
      </c>
      <c r="D40" s="19">
        <f t="shared" si="7"/>
        <v>9285.4724848484839</v>
      </c>
      <c r="E40" s="21">
        <f t="shared" si="6"/>
        <v>5.5647203813276258E-2</v>
      </c>
      <c r="G40" s="50"/>
      <c r="H40" s="50" t="s">
        <v>38</v>
      </c>
      <c r="I40" s="50" t="s">
        <v>27</v>
      </c>
      <c r="J40" s="50" t="s">
        <v>39</v>
      </c>
      <c r="K40" s="50" t="s">
        <v>40</v>
      </c>
      <c r="L40" s="50" t="s">
        <v>41</v>
      </c>
      <c r="M40" s="50" t="s">
        <v>42</v>
      </c>
      <c r="N40" s="50" t="s">
        <v>43</v>
      </c>
      <c r="O40" s="50" t="s">
        <v>44</v>
      </c>
    </row>
    <row r="41" spans="2:15">
      <c r="G41" s="48" t="s">
        <v>45</v>
      </c>
      <c r="H41" s="48">
        <v>1943.3806666666669</v>
      </c>
      <c r="I41" s="48">
        <v>411.94754833586438</v>
      </c>
      <c r="J41" s="48">
        <v>4.7175439555771117</v>
      </c>
      <c r="K41" s="52">
        <v>1.5069313448049146E-3</v>
      </c>
      <c r="L41" s="48">
        <v>993.42791671694511</v>
      </c>
      <c r="M41" s="48">
        <v>2893.3334166163886</v>
      </c>
      <c r="N41" s="48">
        <v>993.42791671694511</v>
      </c>
      <c r="O41" s="48">
        <v>2893.3334166163886</v>
      </c>
    </row>
    <row r="42" spans="2:15" ht="14.65" thickBot="1">
      <c r="G42" s="49" t="s">
        <v>46</v>
      </c>
      <c r="H42" s="53">
        <v>489.47278787878776</v>
      </c>
      <c r="I42" s="49">
        <v>66.391358884598972</v>
      </c>
      <c r="J42" s="49">
        <v>7.3725375726920452</v>
      </c>
      <c r="K42" s="53">
        <v>7.8226815198004836E-5</v>
      </c>
      <c r="L42" s="49">
        <v>336.37403974907863</v>
      </c>
      <c r="M42" s="49">
        <v>642.57153600849688</v>
      </c>
      <c r="N42" s="49">
        <v>336.37403974907863</v>
      </c>
      <c r="O42" s="49">
        <v>642.57153600849688</v>
      </c>
    </row>
    <row r="43" spans="2:15">
      <c r="G43"/>
      <c r="H43"/>
      <c r="I43"/>
      <c r="J43"/>
      <c r="K43"/>
      <c r="L43"/>
      <c r="M43"/>
      <c r="N43"/>
      <c r="O43"/>
    </row>
    <row r="44" spans="2:15">
      <c r="G44"/>
      <c r="H44"/>
      <c r="I44"/>
      <c r="J44"/>
      <c r="K44"/>
      <c r="L44"/>
      <c r="M44"/>
      <c r="N44"/>
      <c r="O44"/>
    </row>
    <row r="45" spans="2:15">
      <c r="G45"/>
      <c r="H45"/>
      <c r="I45"/>
      <c r="J45"/>
      <c r="K45"/>
      <c r="L45"/>
      <c r="M45"/>
      <c r="N45"/>
      <c r="O45"/>
    </row>
  </sheetData>
  <mergeCells count="2">
    <mergeCell ref="B2:E2"/>
    <mergeCell ref="B24:E24"/>
  </mergeCells>
  <pageMargins left="0.7" right="0.7" top="0.75" bottom="0.75" header="0.3" footer="0.3"/>
  <pageSetup paperSize="1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2BAD-EBFE-41F3-9C69-EE36F72376FB}">
  <sheetPr>
    <tabColor rgb="FF1B4B7C"/>
  </sheetPr>
  <dimension ref="B2:M39"/>
  <sheetViews>
    <sheetView showGridLines="0" topLeftCell="A4" zoomScale="103" workbookViewId="0">
      <selection activeCell="H8" sqref="H8"/>
    </sheetView>
  </sheetViews>
  <sheetFormatPr defaultRowHeight="14.25"/>
  <cols>
    <col min="1" max="1" width="1.73046875" customWidth="1"/>
    <col min="2" max="2" width="23.796875" customWidth="1"/>
    <col min="3" max="3" width="14.19921875" customWidth="1"/>
    <col min="4" max="4" width="7.53125" bestFit="1" customWidth="1"/>
    <col min="5" max="5" width="9.53125" bestFit="1" customWidth="1"/>
    <col min="6" max="6" width="11.59765625" customWidth="1"/>
    <col min="7" max="7" width="8.9296875" customWidth="1"/>
    <col min="8" max="8" width="6.86328125" customWidth="1"/>
    <col min="9" max="9" width="14.19921875" customWidth="1"/>
    <col min="10" max="10" width="11.73046875" customWidth="1"/>
    <col min="11" max="11" width="12" customWidth="1"/>
  </cols>
  <sheetData>
    <row r="2" spans="2:13">
      <c r="B2" s="55" t="s">
        <v>148</v>
      </c>
      <c r="C2" s="56"/>
      <c r="D2" s="56"/>
      <c r="E2" s="56"/>
      <c r="F2" s="56"/>
      <c r="G2" s="56"/>
      <c r="H2" s="56"/>
      <c r="I2" s="56"/>
      <c r="J2" s="56"/>
      <c r="K2" s="56"/>
      <c r="L2" s="57"/>
      <c r="M2" s="57"/>
    </row>
    <row r="4" spans="2:13" ht="14.65" thickBot="1">
      <c r="B4" s="58" t="s">
        <v>149</v>
      </c>
      <c r="C4" s="59"/>
      <c r="D4" s="59"/>
      <c r="E4" s="59"/>
      <c r="F4" s="59"/>
      <c r="G4" s="59"/>
      <c r="H4" s="59"/>
      <c r="I4" s="59"/>
      <c r="J4" s="59"/>
    </row>
    <row r="5" spans="2:13" ht="14.65" thickTop="1">
      <c r="B5" s="60"/>
      <c r="D5" s="61"/>
      <c r="E5" s="61"/>
      <c r="F5" s="61"/>
      <c r="G5" s="62"/>
      <c r="H5" s="62" t="s">
        <v>150</v>
      </c>
      <c r="I5" s="62" t="s">
        <v>150</v>
      </c>
      <c r="J5" s="62" t="s">
        <v>151</v>
      </c>
      <c r="K5" s="62" t="s">
        <v>152</v>
      </c>
    </row>
    <row r="6" spans="2:13" ht="14.65" thickBot="1">
      <c r="B6" s="63" t="s">
        <v>153</v>
      </c>
      <c r="C6" s="64"/>
      <c r="D6" s="64" t="s">
        <v>154</v>
      </c>
      <c r="E6" s="64" t="s">
        <v>155</v>
      </c>
      <c r="F6" s="64" t="s">
        <v>156</v>
      </c>
      <c r="G6" s="64" t="s">
        <v>157</v>
      </c>
      <c r="H6" s="64" t="s">
        <v>158</v>
      </c>
      <c r="I6" s="64" t="s">
        <v>159</v>
      </c>
      <c r="J6" s="64" t="s">
        <v>160</v>
      </c>
      <c r="K6" s="64" t="s">
        <v>160</v>
      </c>
    </row>
    <row r="7" spans="2:13" ht="14.65" thickTop="1"/>
    <row r="8" spans="2:13">
      <c r="B8" s="150" t="s">
        <v>239</v>
      </c>
      <c r="D8" s="65" t="s">
        <v>161</v>
      </c>
      <c r="E8" s="66">
        <v>2290.29</v>
      </c>
      <c r="F8" s="66">
        <v>238263.76</v>
      </c>
      <c r="G8" s="67">
        <v>0.3</v>
      </c>
      <c r="H8" s="68">
        <f>E8/F8</f>
        <v>9.6124144099799316E-3</v>
      </c>
      <c r="I8" s="68">
        <f>E8/(E8+F8)</f>
        <v>9.5208956157670169E-3</v>
      </c>
      <c r="J8" s="69">
        <v>1.17</v>
      </c>
      <c r="K8" s="70">
        <f>J8/(1+(1-G8)*H8)</f>
        <v>1.1621800506141398</v>
      </c>
    </row>
    <row r="9" spans="2:13">
      <c r="B9" s="150" t="s">
        <v>240</v>
      </c>
      <c r="D9" s="65" t="s">
        <v>161</v>
      </c>
      <c r="E9" s="66">
        <v>670.27</v>
      </c>
      <c r="F9" s="66">
        <v>67959.8</v>
      </c>
      <c r="G9" s="67">
        <v>0.3</v>
      </c>
      <c r="H9" s="68">
        <f>E9/F9</f>
        <v>9.8627423859399231E-3</v>
      </c>
      <c r="I9" s="68">
        <f>E9/(E9+F9)</f>
        <v>9.7664187141292425E-3</v>
      </c>
      <c r="J9" s="69">
        <v>1.01</v>
      </c>
      <c r="K9" s="70">
        <f>J9/(1+(1-G9)*H9)</f>
        <v>1.0030748518000172</v>
      </c>
    </row>
    <row r="10" spans="2:13">
      <c r="B10" s="150" t="s">
        <v>241</v>
      </c>
      <c r="D10" s="65" t="s">
        <v>161</v>
      </c>
      <c r="E10" s="66">
        <v>296.39</v>
      </c>
      <c r="F10" s="66">
        <v>20204.169999999998</v>
      </c>
      <c r="G10" s="67">
        <v>0.3</v>
      </c>
      <c r="H10" s="68">
        <f t="shared" ref="H10:H12" si="0">E10/F10</f>
        <v>1.4669743919200839E-2</v>
      </c>
      <c r="I10" s="68">
        <f t="shared" ref="I10:I12" si="1">E10/(E10+F10)</f>
        <v>1.4457653839699989E-2</v>
      </c>
      <c r="J10" s="69">
        <v>1.0900000000000001</v>
      </c>
      <c r="K10" s="70">
        <f t="shared" ref="K10:K12" si="2">J10/(1+(1-G10)*H10)</f>
        <v>1.0789207561586298</v>
      </c>
    </row>
    <row r="11" spans="2:13">
      <c r="B11" s="150" t="s">
        <v>242</v>
      </c>
      <c r="D11" s="65" t="s">
        <v>161</v>
      </c>
      <c r="E11" s="66">
        <v>62.1</v>
      </c>
      <c r="F11" s="66">
        <v>16799.099999999999</v>
      </c>
      <c r="G11" s="67">
        <v>0.3</v>
      </c>
      <c r="H11" s="68">
        <f t="shared" si="0"/>
        <v>3.6966266049966966E-3</v>
      </c>
      <c r="I11" s="68">
        <f t="shared" si="1"/>
        <v>3.6830118852750702E-3</v>
      </c>
      <c r="J11" s="69">
        <v>0.34</v>
      </c>
      <c r="K11" s="70">
        <f t="shared" si="2"/>
        <v>0.33912247358924441</v>
      </c>
    </row>
    <row r="12" spans="2:13">
      <c r="B12" s="150" t="s">
        <v>243</v>
      </c>
      <c r="D12" s="65" t="s">
        <v>161</v>
      </c>
      <c r="E12" s="66">
        <v>19.690000000000001</v>
      </c>
      <c r="F12" s="66">
        <v>5717.12</v>
      </c>
      <c r="G12" s="67">
        <v>0.3</v>
      </c>
      <c r="H12" s="68">
        <f t="shared" si="0"/>
        <v>3.4440417552893767E-3</v>
      </c>
      <c r="I12" s="68">
        <f t="shared" si="1"/>
        <v>3.4322210427049182E-3</v>
      </c>
      <c r="J12" s="69">
        <v>1.24</v>
      </c>
      <c r="K12" s="70">
        <f t="shared" si="2"/>
        <v>1.2370177614243338</v>
      </c>
    </row>
    <row r="13" spans="2:13" ht="14.65" thickBot="1">
      <c r="B13" s="71"/>
      <c r="D13" s="65"/>
      <c r="E13" s="65"/>
      <c r="F13" s="65"/>
      <c r="G13" s="67"/>
      <c r="H13" s="72"/>
      <c r="I13" s="72"/>
      <c r="J13" s="72"/>
      <c r="K13" s="72"/>
    </row>
    <row r="14" spans="2:13" ht="14.65" thickTop="1">
      <c r="F14" s="73" t="s">
        <v>162</v>
      </c>
      <c r="G14" s="74">
        <f>AVERAGE(G9:G12)</f>
        <v>0.3</v>
      </c>
      <c r="H14" s="74">
        <f t="shared" ref="H14:K14" si="3">AVERAGE(H9:H12)</f>
        <v>7.9182886663567084E-3</v>
      </c>
      <c r="I14" s="74">
        <f t="shared" si="3"/>
        <v>7.8348263704523038E-3</v>
      </c>
      <c r="J14" s="75">
        <f t="shared" si="3"/>
        <v>0.91999999999999993</v>
      </c>
      <c r="K14" s="75">
        <f t="shared" si="3"/>
        <v>0.91453396074305626</v>
      </c>
    </row>
    <row r="15" spans="2:13" ht="14.65" thickBot="1">
      <c r="F15" s="76" t="s">
        <v>163</v>
      </c>
      <c r="G15" s="77">
        <f>MEDIAN(G9:G12)</f>
        <v>0.3</v>
      </c>
      <c r="H15" s="77">
        <f t="shared" ref="H15:K15" si="4">MEDIAN(H9:H12)</f>
        <v>6.7796844954683098E-3</v>
      </c>
      <c r="I15" s="77">
        <f t="shared" si="4"/>
        <v>6.7247152997021564E-3</v>
      </c>
      <c r="J15" s="78">
        <f t="shared" si="4"/>
        <v>1.05</v>
      </c>
      <c r="K15" s="78">
        <f t="shared" si="4"/>
        <v>1.0409978039793235</v>
      </c>
    </row>
    <row r="16" spans="2:13" ht="14.65" thickTop="1"/>
    <row r="17" spans="2:11">
      <c r="B17" s="79" t="s">
        <v>164</v>
      </c>
      <c r="C17" s="80"/>
      <c r="D17" s="80"/>
      <c r="E17" s="80"/>
      <c r="G17" s="79" t="s">
        <v>165</v>
      </c>
      <c r="H17" s="80"/>
      <c r="I17" s="80"/>
      <c r="J17" s="80"/>
      <c r="K17" s="80"/>
    </row>
    <row r="19" spans="2:11">
      <c r="B19" s="81" t="s">
        <v>166</v>
      </c>
      <c r="E19" s="82">
        <f>53/2290</f>
        <v>2.3144104803493451E-2</v>
      </c>
      <c r="G19" s="81" t="s">
        <v>167</v>
      </c>
      <c r="K19" s="82">
        <v>6.2950000000000006E-2</v>
      </c>
    </row>
    <row r="20" spans="2:11">
      <c r="B20" s="81" t="s">
        <v>157</v>
      </c>
      <c r="E20" s="83">
        <v>0.3</v>
      </c>
      <c r="G20" s="81" t="s">
        <v>168</v>
      </c>
      <c r="K20" s="82">
        <f>Rm!F12-WACC!K19</f>
        <v>9.0397999999999978E-2</v>
      </c>
    </row>
    <row r="21" spans="2:11">
      <c r="B21" s="84" t="s">
        <v>169</v>
      </c>
      <c r="C21" s="85"/>
      <c r="D21" s="85"/>
      <c r="E21" s="86">
        <f>E19*(1-E20)</f>
        <v>1.6200873362445415E-2</v>
      </c>
      <c r="G21" s="81" t="s">
        <v>170</v>
      </c>
      <c r="K21" s="87">
        <f>K29</f>
        <v>1.046752113931017</v>
      </c>
    </row>
    <row r="22" spans="2:11">
      <c r="G22" s="88" t="s">
        <v>171</v>
      </c>
      <c r="H22" s="89"/>
      <c r="I22" s="89"/>
      <c r="J22" s="89"/>
      <c r="K22" s="90">
        <f>K19+K20*K21</f>
        <v>0.15757429759513605</v>
      </c>
    </row>
    <row r="24" spans="2:11">
      <c r="B24" s="79" t="s">
        <v>172</v>
      </c>
      <c r="C24" s="80"/>
      <c r="D24" s="80"/>
      <c r="E24" s="80"/>
      <c r="G24" s="79" t="s">
        <v>170</v>
      </c>
      <c r="H24" s="80"/>
      <c r="I24" s="80"/>
      <c r="J24" s="80"/>
      <c r="K24" s="80"/>
    </row>
    <row r="26" spans="2:11">
      <c r="D26" s="91" t="s">
        <v>173</v>
      </c>
      <c r="E26" s="91" t="s">
        <v>174</v>
      </c>
      <c r="G26" s="81" t="s">
        <v>175</v>
      </c>
      <c r="K26" s="87">
        <f>K15</f>
        <v>1.0409978039793235</v>
      </c>
    </row>
    <row r="27" spans="2:11">
      <c r="B27" s="81" t="s">
        <v>155</v>
      </c>
      <c r="C27" s="66">
        <f>E8</f>
        <v>2290.29</v>
      </c>
      <c r="D27" s="20">
        <f>C27/C29</f>
        <v>9.5208956157670169E-3</v>
      </c>
      <c r="E27" s="92">
        <f>I14</f>
        <v>7.8348263704523038E-3</v>
      </c>
      <c r="F27" s="93"/>
      <c r="G27" s="81" t="s">
        <v>176</v>
      </c>
      <c r="I27" s="20"/>
      <c r="J27" s="92"/>
      <c r="K27" s="94">
        <f>E31</f>
        <v>7.896695609452678E-3</v>
      </c>
    </row>
    <row r="28" spans="2:11">
      <c r="B28" s="81" t="s">
        <v>177</v>
      </c>
      <c r="C28" s="66">
        <f>F8</f>
        <v>238263.76</v>
      </c>
      <c r="D28" s="20">
        <f>C28/C29</f>
        <v>0.99047910438423292</v>
      </c>
      <c r="E28" s="20">
        <f>E29-E27</f>
        <v>0.9921651736295477</v>
      </c>
      <c r="G28" s="81" t="s">
        <v>178</v>
      </c>
      <c r="I28" s="20"/>
      <c r="J28" s="20"/>
      <c r="K28" s="94">
        <f>E20</f>
        <v>0.3</v>
      </c>
    </row>
    <row r="29" spans="2:11">
      <c r="B29" s="88" t="s">
        <v>179</v>
      </c>
      <c r="C29" s="66">
        <f>SUM(C27:C28)</f>
        <v>240554.05000000002</v>
      </c>
      <c r="D29" s="95">
        <f>SUM(D27:D28)</f>
        <v>0.99999999999999989</v>
      </c>
      <c r="E29" s="96">
        <v>1</v>
      </c>
      <c r="G29" s="97" t="s">
        <v>180</v>
      </c>
      <c r="H29" s="98"/>
      <c r="I29" s="99"/>
      <c r="J29" s="100"/>
      <c r="K29" s="101">
        <f>K26*(1+(1-K28)*K27)</f>
        <v>1.046752113931017</v>
      </c>
    </row>
    <row r="31" spans="2:11">
      <c r="B31" s="93" t="s">
        <v>181</v>
      </c>
      <c r="D31" s="102">
        <f>D27/D28</f>
        <v>9.6124144099799316E-3</v>
      </c>
      <c r="E31" s="102">
        <f>E27/E28</f>
        <v>7.896695609452678E-3</v>
      </c>
      <c r="G31" s="79" t="s">
        <v>182</v>
      </c>
      <c r="H31" s="80"/>
      <c r="I31" s="80"/>
      <c r="J31" s="80"/>
      <c r="K31" s="80"/>
    </row>
    <row r="33" spans="2:11">
      <c r="B33" s="81"/>
      <c r="G33" s="81" t="s">
        <v>165</v>
      </c>
      <c r="K33" s="94">
        <f>K22</f>
        <v>0.15757429759513605</v>
      </c>
    </row>
    <row r="34" spans="2:11">
      <c r="B34" s="81"/>
      <c r="G34" s="81" t="s">
        <v>183</v>
      </c>
      <c r="K34" s="94">
        <f>E28</f>
        <v>0.9921651736295477</v>
      </c>
    </row>
    <row r="35" spans="2:11">
      <c r="B35" s="81"/>
    </row>
    <row r="36" spans="2:11">
      <c r="G36" s="81" t="s">
        <v>164</v>
      </c>
      <c r="K36" s="94">
        <f>E21</f>
        <v>1.6200873362445415E-2</v>
      </c>
    </row>
    <row r="37" spans="2:11">
      <c r="G37" s="81" t="s">
        <v>184</v>
      </c>
      <c r="K37" s="94">
        <f>E27</f>
        <v>7.8348263704523038E-3</v>
      </c>
    </row>
    <row r="39" spans="2:11">
      <c r="G39" s="103" t="s">
        <v>185</v>
      </c>
      <c r="H39" s="103"/>
      <c r="I39" s="103"/>
      <c r="J39" s="103"/>
      <c r="K39" s="104">
        <f>(K33*K34)+(K36*K37)</f>
        <v>0.15646666136287665</v>
      </c>
    </row>
  </sheetData>
  <hyperlinks>
    <hyperlink ref="B8" r:id="rId1" display="https://www.screener.in/company/ASIANPAINT/consolidated/" xr:uid="{FAC6B0F7-185D-4097-8FC4-960BEBB4B16E}"/>
    <hyperlink ref="B9" r:id="rId2" display="https://www.screener.in/company/BERGEPAINT/consolidated/" xr:uid="{E8C8164B-6F70-4620-8551-EB28136743AE}"/>
    <hyperlink ref="B10" r:id="rId3" display="https://www.screener.in/company/KANSAINER/consolidated/" xr:uid="{B2C598B1-B67B-4548-B3C1-D70E510C4D27}"/>
    <hyperlink ref="B11" r:id="rId4" display="https://www.screener.in/company/AKZOINDIA/" xr:uid="{6F732FF3-941D-4176-8696-DCDFA8E06FE6}"/>
    <hyperlink ref="B12" r:id="rId5" display="https://www.screener.in/company/INDIGOPNTS/" xr:uid="{5A8C1120-F411-4E24-9A64-8AD8499A5C6D}"/>
  </hyperlinks>
  <pageMargins left="0.7" right="0.7" top="0.75" bottom="0.75" header="0.3" footer="0.3"/>
  <pageSetup paperSize="8" orientation="portrait" r:id="rId6"/>
  <ignoredErrors>
    <ignoredError sqref="G14:G15 J14:J1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6F38-811C-4358-9067-7829927885F5}">
  <dimension ref="B2:G31"/>
  <sheetViews>
    <sheetView showGridLines="0" workbookViewId="0">
      <selection activeCell="B4" sqref="B4:G4"/>
    </sheetView>
  </sheetViews>
  <sheetFormatPr defaultRowHeight="14.25"/>
  <cols>
    <col min="1" max="1" width="1.73046875" customWidth="1"/>
    <col min="3" max="3" width="17.265625" bestFit="1" customWidth="1"/>
    <col min="5" max="5" width="16.86328125" bestFit="1" customWidth="1"/>
  </cols>
  <sheetData>
    <row r="2" spans="2:7">
      <c r="B2" s="93" t="s">
        <v>186</v>
      </c>
    </row>
    <row r="4" spans="2:7">
      <c r="B4" s="55" t="s">
        <v>187</v>
      </c>
      <c r="C4" s="55"/>
      <c r="D4" s="55"/>
      <c r="E4" s="55"/>
      <c r="F4" s="55"/>
      <c r="G4" s="55"/>
    </row>
    <row r="6" spans="2:7">
      <c r="B6" s="105" t="s">
        <v>188</v>
      </c>
      <c r="C6" s="106" t="s">
        <v>189</v>
      </c>
    </row>
    <row r="7" spans="2:7">
      <c r="B7" s="71">
        <v>2000</v>
      </c>
      <c r="C7" s="20">
        <v>-0.14649999999999999</v>
      </c>
    </row>
    <row r="8" spans="2:7">
      <c r="B8" s="71">
        <v>2001</v>
      </c>
      <c r="C8" s="20">
        <v>-0.1618</v>
      </c>
    </row>
    <row r="9" spans="2:7">
      <c r="B9" s="71">
        <v>2002</v>
      </c>
      <c r="C9" s="20">
        <v>3.2500000000000001E-2</v>
      </c>
      <c r="E9" s="81" t="s">
        <v>190</v>
      </c>
      <c r="F9" s="94">
        <f>AVERAGE(C7:C31)</f>
        <v>0.15334799999999998</v>
      </c>
    </row>
    <row r="10" spans="2:7" ht="15.75">
      <c r="B10" s="71">
        <v>2003</v>
      </c>
      <c r="C10" s="20">
        <v>0.71900000000000008</v>
      </c>
      <c r="E10" s="81" t="s">
        <v>191</v>
      </c>
      <c r="F10" s="107" t="s">
        <v>192</v>
      </c>
    </row>
    <row r="11" spans="2:7">
      <c r="B11" s="71">
        <v>2004</v>
      </c>
      <c r="C11" s="20">
        <v>0.10679999999999999</v>
      </c>
    </row>
    <row r="12" spans="2:7">
      <c r="B12" s="71">
        <v>2005</v>
      </c>
      <c r="C12" s="20">
        <v>0.36340000000000006</v>
      </c>
      <c r="E12" s="93" t="s">
        <v>193</v>
      </c>
      <c r="F12" s="94">
        <f>F9</f>
        <v>0.15334799999999998</v>
      </c>
    </row>
    <row r="13" spans="2:7">
      <c r="B13" s="71">
        <v>2006</v>
      </c>
      <c r="C13" s="20">
        <v>0.39829999999999999</v>
      </c>
    </row>
    <row r="14" spans="2:7">
      <c r="B14" s="71">
        <v>2007</v>
      </c>
      <c r="C14" s="20">
        <v>0.54770000000000008</v>
      </c>
    </row>
    <row r="15" spans="2:7">
      <c r="B15" s="71">
        <v>2008</v>
      </c>
      <c r="C15" s="20">
        <v>-0.51790000000000003</v>
      </c>
    </row>
    <row r="16" spans="2:7">
      <c r="B16" s="71">
        <v>2009</v>
      </c>
      <c r="C16" s="20">
        <v>0.75760000000000005</v>
      </c>
    </row>
    <row r="17" spans="2:3">
      <c r="B17" s="71">
        <v>2010</v>
      </c>
      <c r="C17" s="20">
        <v>0.17949999999999999</v>
      </c>
    </row>
    <row r="18" spans="2:3">
      <c r="B18" s="71">
        <v>2011</v>
      </c>
      <c r="C18" s="20">
        <v>-0.2462</v>
      </c>
    </row>
    <row r="19" spans="2:3">
      <c r="B19" s="71">
        <v>2012</v>
      </c>
      <c r="C19" s="20">
        <v>0.27699999999999997</v>
      </c>
    </row>
    <row r="20" spans="2:3">
      <c r="B20" s="71">
        <v>2013</v>
      </c>
      <c r="C20" s="20">
        <v>6.7599999999999993E-2</v>
      </c>
    </row>
    <row r="21" spans="2:3">
      <c r="B21" s="71">
        <v>2014</v>
      </c>
      <c r="C21" s="20">
        <v>0.31390000000000001</v>
      </c>
    </row>
    <row r="22" spans="2:3">
      <c r="B22" s="71">
        <v>2015</v>
      </c>
      <c r="C22" s="20">
        <v>-4.0599999999999997E-2</v>
      </c>
    </row>
    <row r="23" spans="2:3">
      <c r="B23" s="71">
        <v>2016</v>
      </c>
      <c r="C23" s="20">
        <v>3.0099999999999998E-2</v>
      </c>
    </row>
    <row r="24" spans="2:3">
      <c r="B24" s="71">
        <v>2017</v>
      </c>
      <c r="C24" s="20">
        <v>0.28649999999999998</v>
      </c>
    </row>
    <row r="25" spans="2:3">
      <c r="B25" s="71">
        <v>2018</v>
      </c>
      <c r="C25" s="20">
        <v>3.15E-2</v>
      </c>
    </row>
    <row r="26" spans="2:3">
      <c r="B26" s="71">
        <v>2019</v>
      </c>
      <c r="C26" s="20">
        <v>0.1202</v>
      </c>
    </row>
    <row r="27" spans="2:3">
      <c r="B27" s="71">
        <v>2020</v>
      </c>
      <c r="C27" s="20">
        <v>0.14899999999999999</v>
      </c>
    </row>
    <row r="28" spans="2:3">
      <c r="B28" s="71">
        <v>2021</v>
      </c>
      <c r="C28" s="20">
        <v>0.2412</v>
      </c>
    </row>
    <row r="29" spans="2:3">
      <c r="B29" s="71">
        <v>2022</v>
      </c>
      <c r="C29" s="20">
        <v>4.3200000000000002E-2</v>
      </c>
    </row>
    <row r="30" spans="2:3">
      <c r="B30" s="71">
        <v>2023</v>
      </c>
      <c r="C30" s="20">
        <v>0.19420000000000001</v>
      </c>
    </row>
    <row r="31" spans="2:3">
      <c r="B31" s="71">
        <v>2024</v>
      </c>
      <c r="C31" s="20">
        <v>8.7499999999999994E-2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0124-BB58-475D-9626-5F78024F60E2}">
  <sheetPr>
    <tabColor rgb="FF1B4B7C"/>
  </sheetPr>
  <dimension ref="A1:R72"/>
  <sheetViews>
    <sheetView showGridLines="0" topLeftCell="A29" zoomScale="81" workbookViewId="0">
      <selection activeCell="M56" sqref="M56"/>
    </sheetView>
  </sheetViews>
  <sheetFormatPr defaultRowHeight="14.25"/>
  <cols>
    <col min="1" max="1" width="1.73046875" customWidth="1"/>
    <col min="6" max="6" width="36.265625" customWidth="1"/>
    <col min="7" max="9" width="11.796875" bestFit="1" customWidth="1"/>
    <col min="10" max="11" width="12.86328125" bestFit="1" customWidth="1"/>
  </cols>
  <sheetData>
    <row r="1" spans="2:11">
      <c r="G1" s="72"/>
      <c r="H1" s="72"/>
      <c r="I1" s="72"/>
      <c r="J1" s="72"/>
      <c r="K1" s="72"/>
    </row>
    <row r="2" spans="2:11">
      <c r="B2" s="55" t="s">
        <v>194</v>
      </c>
      <c r="C2" s="55"/>
      <c r="D2" s="55"/>
      <c r="E2" s="55"/>
      <c r="F2" s="55"/>
      <c r="G2" s="108">
        <f>RAWfs!J2</f>
        <v>44256</v>
      </c>
      <c r="H2" s="108">
        <f>RAWfs!K2</f>
        <v>44621</v>
      </c>
      <c r="I2" s="108">
        <f>RAWfs!L2</f>
        <v>44986</v>
      </c>
      <c r="J2" s="108">
        <f>RAWfs!M2</f>
        <v>45352</v>
      </c>
      <c r="K2" s="108">
        <f>RAWfs!N2</f>
        <v>45717</v>
      </c>
    </row>
    <row r="3" spans="2:11">
      <c r="G3" s="72"/>
      <c r="H3" s="72"/>
      <c r="I3" s="72"/>
      <c r="J3" s="72"/>
      <c r="K3" s="72"/>
    </row>
    <row r="4" spans="2:11">
      <c r="B4" s="93" t="s">
        <v>195</v>
      </c>
      <c r="G4" s="72"/>
      <c r="H4" s="72"/>
      <c r="I4" s="72"/>
      <c r="J4" s="72"/>
      <c r="K4" s="72"/>
    </row>
    <row r="5" spans="2:11">
      <c r="B5" s="109" t="str">
        <f>RAWfs!B34</f>
        <v>Inventories</v>
      </c>
      <c r="C5" s="109"/>
      <c r="D5" s="109"/>
      <c r="E5" s="109"/>
      <c r="F5" s="109"/>
      <c r="G5" s="110">
        <f>RAWfs!J34</f>
        <v>3799</v>
      </c>
      <c r="H5" s="110">
        <f>RAWfs!K34</f>
        <v>6153</v>
      </c>
      <c r="I5" s="110">
        <f>RAWfs!L34</f>
        <v>6211</v>
      </c>
      <c r="J5" s="110">
        <f>RAWfs!M34</f>
        <v>5923</v>
      </c>
      <c r="K5" s="110">
        <f>RAWfs!N34</f>
        <v>6719</v>
      </c>
    </row>
    <row r="6" spans="2:11">
      <c r="B6" s="109" t="str">
        <f>RAWfs!B35</f>
        <v>Trade receivables -</v>
      </c>
      <c r="C6" s="109"/>
      <c r="D6" s="109"/>
      <c r="E6" s="109"/>
      <c r="F6" s="109"/>
      <c r="G6" s="110">
        <f>RAWfs!J35</f>
        <v>2602</v>
      </c>
      <c r="H6" s="110">
        <f>RAWfs!K35</f>
        <v>3871</v>
      </c>
      <c r="I6" s="110">
        <f>RAWfs!L35</f>
        <v>4637</v>
      </c>
      <c r="J6" s="110">
        <f>RAWfs!M35</f>
        <v>4889</v>
      </c>
      <c r="K6" s="110">
        <f>RAWfs!N35</f>
        <v>4314</v>
      </c>
    </row>
    <row r="7" spans="2:11">
      <c r="B7" s="109" t="str">
        <f>RAWfs!B38</f>
        <v>Prov for Doubtful</v>
      </c>
      <c r="C7" s="109"/>
      <c r="D7" s="109"/>
      <c r="E7" s="109"/>
      <c r="F7" s="109"/>
      <c r="G7" s="110">
        <f>RAWfs!J38</f>
        <v>-185</v>
      </c>
      <c r="H7" s="110">
        <f>RAWfs!K38</f>
        <v>-241</v>
      </c>
      <c r="I7" s="110">
        <f>RAWfs!L38</f>
        <v>-305</v>
      </c>
      <c r="J7" s="110">
        <f>RAWfs!M38</f>
        <v>-422</v>
      </c>
      <c r="K7" s="110">
        <f>RAWfs!N38</f>
        <v>-663</v>
      </c>
    </row>
    <row r="8" spans="2:11">
      <c r="B8" s="109" t="str">
        <f>RAWfs!B40</f>
        <v>Loans n Advances</v>
      </c>
      <c r="C8" s="109"/>
      <c r="D8" s="109"/>
      <c r="E8" s="111"/>
      <c r="F8" s="109"/>
      <c r="G8" s="110">
        <f>RAWfs!J40</f>
        <v>11</v>
      </c>
      <c r="H8" s="110">
        <f>RAWfs!K40</f>
        <v>8</v>
      </c>
      <c r="I8" s="110">
        <f>RAWfs!L40</f>
        <v>12</v>
      </c>
      <c r="J8" s="110">
        <f>RAWfs!M40</f>
        <v>17</v>
      </c>
      <c r="K8" s="110">
        <f>RAWfs!N40</f>
        <v>22</v>
      </c>
    </row>
    <row r="9" spans="2:11">
      <c r="B9" s="109" t="str">
        <f>RAWfs!B41</f>
        <v>Other asset items</v>
      </c>
      <c r="G9" s="110">
        <f>RAWfs!J41</f>
        <v>2555</v>
      </c>
      <c r="H9" s="110">
        <f>RAWfs!K41</f>
        <v>2869</v>
      </c>
      <c r="I9" s="110">
        <f>RAWfs!L41</f>
        <v>3024</v>
      </c>
      <c r="J9" s="110">
        <f>RAWfs!M41</f>
        <v>3555</v>
      </c>
      <c r="K9" s="110">
        <f>RAWfs!N41</f>
        <v>3319</v>
      </c>
    </row>
    <row r="10" spans="2:11">
      <c r="B10" s="93" t="s">
        <v>196</v>
      </c>
      <c r="G10" s="112">
        <f>SUM(G5:G9)</f>
        <v>8782</v>
      </c>
      <c r="H10" s="112">
        <f t="shared" ref="H10:K10" si="0">SUM(H5:H9)</f>
        <v>12660</v>
      </c>
      <c r="I10" s="112">
        <f t="shared" si="0"/>
        <v>13579</v>
      </c>
      <c r="J10" s="112">
        <f t="shared" si="0"/>
        <v>13962</v>
      </c>
      <c r="K10" s="112">
        <f t="shared" si="0"/>
        <v>13711</v>
      </c>
    </row>
    <row r="11" spans="2:11">
      <c r="G11" s="113"/>
      <c r="H11" s="113"/>
      <c r="I11" s="113"/>
      <c r="J11" s="113"/>
      <c r="K11" s="113"/>
    </row>
    <row r="12" spans="2:11">
      <c r="B12" s="93" t="s">
        <v>197</v>
      </c>
      <c r="G12" s="114"/>
      <c r="H12" s="114"/>
      <c r="I12" s="114"/>
      <c r="J12" s="114"/>
      <c r="K12" s="114"/>
    </row>
    <row r="13" spans="2:11">
      <c r="B13" s="109" t="str">
        <f>RAWfs!B13</f>
        <v>Trade Payables</v>
      </c>
      <c r="C13" s="109"/>
      <c r="D13" s="109"/>
      <c r="E13" s="109"/>
      <c r="F13" s="109"/>
      <c r="G13" s="110">
        <f>RAWfs!J13</f>
        <v>3379</v>
      </c>
      <c r="H13" s="110">
        <f>RAWfs!K13</f>
        <v>4164</v>
      </c>
      <c r="I13" s="110">
        <f>RAWfs!L13</f>
        <v>3635</v>
      </c>
      <c r="J13" s="110">
        <f>RAWfs!M13</f>
        <v>3831</v>
      </c>
      <c r="K13" s="110">
        <f>RAWfs!N13</f>
        <v>3848</v>
      </c>
    </row>
    <row r="14" spans="2:11">
      <c r="B14" s="109" t="str">
        <f>RAWfs!B14</f>
        <v>Advance from Customers</v>
      </c>
      <c r="C14" s="109"/>
      <c r="D14" s="109"/>
      <c r="E14" s="109"/>
      <c r="F14" s="109"/>
      <c r="G14" s="110">
        <f>RAWfs!J14</f>
        <v>41</v>
      </c>
      <c r="H14" s="110">
        <f>RAWfs!K14</f>
        <v>76</v>
      </c>
      <c r="I14" s="110">
        <f>RAWfs!L14</f>
        <v>108</v>
      </c>
      <c r="J14" s="110">
        <f>RAWfs!M14</f>
        <v>154</v>
      </c>
      <c r="K14" s="110">
        <f>RAWfs!N14</f>
        <v>173</v>
      </c>
    </row>
    <row r="15" spans="2:11">
      <c r="B15" s="109" t="str">
        <f>RAWfs!B15</f>
        <v>Other liability items</v>
      </c>
      <c r="C15" s="109"/>
      <c r="D15" s="109"/>
      <c r="E15" s="109"/>
      <c r="F15" s="109"/>
      <c r="G15" s="110">
        <f>RAWfs!J15</f>
        <v>2613</v>
      </c>
      <c r="H15" s="110">
        <f>RAWfs!K15</f>
        <v>2932</v>
      </c>
      <c r="I15" s="110">
        <f>RAWfs!L15</f>
        <v>3657</v>
      </c>
      <c r="J15" s="110">
        <f>RAWfs!M15</f>
        <v>4017</v>
      </c>
      <c r="K15" s="110">
        <f>RAWfs!N15</f>
        <v>3985</v>
      </c>
    </row>
    <row r="16" spans="2:11">
      <c r="B16" s="93" t="s">
        <v>198</v>
      </c>
      <c r="G16" s="112">
        <f>SUM(G13:G15)</f>
        <v>6033</v>
      </c>
      <c r="H16" s="112">
        <f>SUM(H13:H15)</f>
        <v>7172</v>
      </c>
      <c r="I16" s="112">
        <f>SUM(I13:I15)</f>
        <v>7400</v>
      </c>
      <c r="J16" s="112">
        <f>SUM(J13:J15)</f>
        <v>8002</v>
      </c>
      <c r="K16" s="112">
        <f>SUM(K13:K15)</f>
        <v>8006</v>
      </c>
    </row>
    <row r="17" spans="1:11">
      <c r="G17" s="113"/>
      <c r="H17" s="113"/>
      <c r="I17" s="113"/>
      <c r="J17" s="113"/>
      <c r="K17" s="113"/>
    </row>
    <row r="18" spans="1:11" ht="14.65" thickBot="1">
      <c r="A18" s="81" t="s">
        <v>17</v>
      </c>
      <c r="B18" s="170" t="s">
        <v>199</v>
      </c>
      <c r="C18" s="170"/>
      <c r="D18" s="171"/>
      <c r="E18" s="171"/>
      <c r="F18" s="171"/>
      <c r="G18" s="172">
        <f>G10-G16</f>
        <v>2749</v>
      </c>
      <c r="H18" s="172">
        <f t="shared" ref="H18:K18" si="1">H10-H16</f>
        <v>5488</v>
      </c>
      <c r="I18" s="172">
        <f t="shared" si="1"/>
        <v>6179</v>
      </c>
      <c r="J18" s="172">
        <f t="shared" si="1"/>
        <v>5960</v>
      </c>
      <c r="K18" s="172">
        <f t="shared" si="1"/>
        <v>5705</v>
      </c>
    </row>
    <row r="19" spans="1:11" ht="14.65" thickTop="1">
      <c r="G19" s="113"/>
      <c r="H19" s="113"/>
      <c r="I19" s="113"/>
      <c r="J19" s="113"/>
      <c r="K19" s="113"/>
    </row>
    <row r="20" spans="1:11">
      <c r="B20" s="93" t="s">
        <v>200</v>
      </c>
      <c r="G20" s="113"/>
      <c r="H20" s="113"/>
      <c r="I20" s="113"/>
      <c r="J20" s="113"/>
      <c r="K20" s="113"/>
    </row>
    <row r="21" spans="1:11">
      <c r="B21" s="110" t="str">
        <f>RAWfs!B19</f>
        <v>Land</v>
      </c>
      <c r="C21" s="110"/>
      <c r="D21" s="110"/>
      <c r="E21" s="110"/>
      <c r="F21" s="110"/>
      <c r="G21" s="110">
        <f>RAWfs!J19</f>
        <v>644</v>
      </c>
      <c r="H21" s="110">
        <f>RAWfs!K19</f>
        <v>644</v>
      </c>
      <c r="I21" s="110">
        <f>RAWfs!L19</f>
        <v>804</v>
      </c>
      <c r="J21" s="110">
        <f>RAWfs!M19</f>
        <v>1126</v>
      </c>
      <c r="K21" s="110">
        <f>RAWfs!N19</f>
        <v>1050</v>
      </c>
    </row>
    <row r="22" spans="1:11">
      <c r="B22" s="110" t="str">
        <f>RAWfs!B20</f>
        <v>Building</v>
      </c>
      <c r="C22" s="110"/>
      <c r="D22" s="110"/>
      <c r="E22" s="110"/>
      <c r="F22" s="110"/>
      <c r="G22" s="110">
        <f>RAWfs!J20</f>
        <v>2249</v>
      </c>
      <c r="H22" s="110">
        <f>RAWfs!K20</f>
        <v>2325</v>
      </c>
      <c r="I22" s="110">
        <f>RAWfs!L20</f>
        <v>2883</v>
      </c>
      <c r="J22" s="110">
        <f>RAWfs!M20</f>
        <v>3390</v>
      </c>
      <c r="K22" s="110">
        <f>RAWfs!N20</f>
        <v>4136</v>
      </c>
    </row>
    <row r="23" spans="1:11">
      <c r="B23" s="110" t="str">
        <f>RAWfs!B21</f>
        <v>Plant Machinery</v>
      </c>
      <c r="C23" s="110"/>
      <c r="D23" s="110"/>
      <c r="E23" s="110"/>
      <c r="F23" s="110"/>
      <c r="G23" s="110">
        <f>RAWfs!J21</f>
        <v>4340</v>
      </c>
      <c r="H23" s="110">
        <f>RAWfs!K21</f>
        <v>4531</v>
      </c>
      <c r="I23" s="110">
        <f>RAWfs!L21</f>
        <v>4825</v>
      </c>
      <c r="J23" s="110">
        <f>RAWfs!M21</f>
        <v>5422</v>
      </c>
      <c r="K23" s="110">
        <f>RAWfs!N21</f>
        <v>7576</v>
      </c>
    </row>
    <row r="24" spans="1:11">
      <c r="B24" s="110" t="str">
        <f>RAWfs!B22</f>
        <v>Equipments</v>
      </c>
      <c r="C24" s="110"/>
      <c r="D24" s="110"/>
      <c r="E24" s="110"/>
      <c r="F24" s="110"/>
      <c r="G24" s="110">
        <f>RAWfs!J22</f>
        <v>243</v>
      </c>
      <c r="H24" s="110">
        <f>RAWfs!K22</f>
        <v>253</v>
      </c>
      <c r="I24" s="110">
        <f>RAWfs!L22</f>
        <v>270</v>
      </c>
      <c r="J24" s="110">
        <f>RAWfs!M22</f>
        <v>298</v>
      </c>
      <c r="K24" s="110">
        <f>RAWfs!N22</f>
        <v>325</v>
      </c>
    </row>
    <row r="25" spans="1:11">
      <c r="B25" s="110" t="str">
        <f>RAWfs!B23</f>
        <v>Furniture n fittings</v>
      </c>
      <c r="C25" s="110"/>
      <c r="D25" s="110"/>
      <c r="E25" s="110"/>
      <c r="F25" s="110"/>
      <c r="G25" s="110">
        <f>RAWfs!J23</f>
        <v>99</v>
      </c>
      <c r="H25" s="110">
        <f>RAWfs!K23</f>
        <v>113</v>
      </c>
      <c r="I25" s="110">
        <f>RAWfs!L23</f>
        <v>146</v>
      </c>
      <c r="J25" s="110">
        <f>RAWfs!M23</f>
        <v>175</v>
      </c>
      <c r="K25" s="110">
        <f>RAWfs!N23</f>
        <v>203</v>
      </c>
    </row>
    <row r="26" spans="1:11">
      <c r="B26" s="110" t="str">
        <f>RAWfs!B24</f>
        <v>Vehicles</v>
      </c>
      <c r="C26" s="110"/>
      <c r="D26" s="110"/>
      <c r="E26" s="110"/>
      <c r="F26" s="110"/>
      <c r="G26" s="110">
        <f>RAWfs!J24</f>
        <v>38</v>
      </c>
      <c r="H26" s="110">
        <f>RAWfs!K24</f>
        <v>32</v>
      </c>
      <c r="I26" s="110">
        <f>RAWfs!L24</f>
        <v>36</v>
      </c>
      <c r="J26" s="110">
        <f>RAWfs!M24</f>
        <v>40</v>
      </c>
      <c r="K26" s="110">
        <f>RAWfs!N24</f>
        <v>39</v>
      </c>
    </row>
    <row r="27" spans="1:11">
      <c r="B27" s="110" t="str">
        <f>RAWfs!B25</f>
        <v>Intangible Assets</v>
      </c>
      <c r="C27" s="110"/>
      <c r="D27" s="110"/>
      <c r="E27" s="110"/>
      <c r="F27" s="110"/>
      <c r="G27" s="110">
        <f>RAWfs!J25</f>
        <v>476</v>
      </c>
      <c r="H27" s="110">
        <f>RAWfs!K25</f>
        <v>345</v>
      </c>
      <c r="I27" s="110">
        <f>RAWfs!L25</f>
        <v>422</v>
      </c>
      <c r="J27" s="110">
        <f>RAWfs!M25</f>
        <v>850</v>
      </c>
      <c r="K27" s="110">
        <f>RAWfs!N25</f>
        <v>827</v>
      </c>
    </row>
    <row r="28" spans="1:11">
      <c r="B28" s="110" t="str">
        <f>RAWfs!B26</f>
        <v>Other fixed assets</v>
      </c>
      <c r="C28" s="110"/>
      <c r="D28" s="110"/>
      <c r="E28" s="110"/>
      <c r="F28" s="110"/>
      <c r="G28" s="110">
        <f>RAWfs!J26</f>
        <v>302</v>
      </c>
      <c r="H28" s="110">
        <f>RAWfs!K26</f>
        <v>294</v>
      </c>
      <c r="I28" s="110">
        <f>RAWfs!L26</f>
        <v>289</v>
      </c>
      <c r="J28" s="110">
        <f>RAWfs!M26</f>
        <v>321</v>
      </c>
      <c r="K28" s="110">
        <f>RAWfs!N26</f>
        <v>328</v>
      </c>
    </row>
    <row r="29" spans="1:11" ht="14.65" thickBot="1">
      <c r="B29" s="170" t="s">
        <v>201</v>
      </c>
      <c r="C29" s="171"/>
      <c r="D29" s="171"/>
      <c r="E29" s="171"/>
      <c r="F29" s="171"/>
      <c r="G29" s="172">
        <f>SUM(G21:G28)</f>
        <v>8391</v>
      </c>
      <c r="H29" s="172">
        <f t="shared" ref="H29:K29" si="2">SUM(H21:H28)</f>
        <v>8537</v>
      </c>
      <c r="I29" s="172">
        <f t="shared" si="2"/>
        <v>9675</v>
      </c>
      <c r="J29" s="172">
        <f t="shared" si="2"/>
        <v>11622</v>
      </c>
      <c r="K29" s="172">
        <f t="shared" si="2"/>
        <v>14484</v>
      </c>
    </row>
    <row r="30" spans="1:11" ht="14.65" thickTop="1">
      <c r="B30" s="81" t="s">
        <v>202</v>
      </c>
      <c r="G30" s="113">
        <f>-RAWfs!J28</f>
        <v>-2533</v>
      </c>
      <c r="H30" s="113">
        <f>-RAWfs!K28</f>
        <v>-3019</v>
      </c>
      <c r="I30" s="113">
        <f>-RAWfs!L28</f>
        <v>-3814</v>
      </c>
      <c r="J30" s="113">
        <f>-RAWfs!M28</f>
        <v>-4381</v>
      </c>
      <c r="K30" s="113">
        <f>-RAWfs!N28</f>
        <v>-4945</v>
      </c>
    </row>
    <row r="31" spans="1:11" ht="14.65" thickBot="1">
      <c r="A31" s="81" t="s">
        <v>17</v>
      </c>
      <c r="B31" s="115" t="s">
        <v>203</v>
      </c>
      <c r="C31" s="115"/>
      <c r="D31" s="115"/>
      <c r="E31" s="115"/>
      <c r="F31" s="117"/>
      <c r="G31" s="143">
        <f>G29+G30</f>
        <v>5858</v>
      </c>
      <c r="H31" s="143">
        <f>H29+H30</f>
        <v>5518</v>
      </c>
      <c r="I31" s="143">
        <f>I29+I30</f>
        <v>5861</v>
      </c>
      <c r="J31" s="143">
        <f>J29+J30</f>
        <v>7241</v>
      </c>
      <c r="K31" s="143">
        <f>K29+K30</f>
        <v>9539</v>
      </c>
    </row>
    <row r="32" spans="1:11" ht="14.65" thickTop="1">
      <c r="G32" s="113"/>
      <c r="H32" s="113"/>
      <c r="I32" s="113"/>
      <c r="J32" s="113"/>
      <c r="K32" s="113"/>
    </row>
    <row r="33" spans="1:18">
      <c r="B33" s="116" t="s">
        <v>204</v>
      </c>
      <c r="C33" s="116"/>
      <c r="D33" s="116"/>
      <c r="E33" s="116"/>
      <c r="F33" s="116"/>
      <c r="G33" s="110">
        <f>G31+G18</f>
        <v>8607</v>
      </c>
      <c r="H33" s="110">
        <f t="shared" ref="H33:K33" si="3">H31+H18</f>
        <v>11006</v>
      </c>
      <c r="I33" s="110">
        <f t="shared" si="3"/>
        <v>12040</v>
      </c>
      <c r="J33" s="110">
        <f t="shared" si="3"/>
        <v>13201</v>
      </c>
      <c r="K33" s="110">
        <f t="shared" si="3"/>
        <v>15244</v>
      </c>
    </row>
    <row r="34" spans="1:18">
      <c r="B34" s="116" t="s">
        <v>205</v>
      </c>
      <c r="C34" s="109"/>
      <c r="D34" s="109"/>
      <c r="E34" s="109"/>
      <c r="F34" s="109"/>
      <c r="G34" s="110">
        <f>HISTORICALS!H18-(HISTORICALS!H23)</f>
        <v>4064.3300000000031</v>
      </c>
      <c r="H34" s="110">
        <f>HISTORICALS!I18-(HISTORICALS!I23)</f>
        <v>3987.2499999999986</v>
      </c>
      <c r="I34" s="110">
        <f>HISTORICALS!J18-(HISTORICALS!J23)</f>
        <v>5401.8199999999961</v>
      </c>
      <c r="J34" s="110">
        <f>HISTORICALS!K18-(HISTORICALS!K23)</f>
        <v>6731.9800000000014</v>
      </c>
      <c r="K34" s="110">
        <f>HISTORICALS!L18-(HISTORICALS!L23)</f>
        <v>4979.8700000000017</v>
      </c>
      <c r="M34" s="119"/>
      <c r="N34" s="119"/>
      <c r="O34" s="119"/>
      <c r="P34" s="119"/>
      <c r="Q34" s="119"/>
      <c r="R34" s="119"/>
    </row>
    <row r="35" spans="1:18">
      <c r="G35" s="72"/>
      <c r="H35" s="72"/>
      <c r="I35" s="72"/>
      <c r="J35" s="72"/>
      <c r="K35" s="72"/>
      <c r="M35" s="120"/>
      <c r="N35" s="121"/>
      <c r="O35" s="121"/>
      <c r="P35" s="121"/>
      <c r="Q35" s="121"/>
      <c r="R35" s="121"/>
    </row>
    <row r="36" spans="1:18" ht="14.65" thickBot="1">
      <c r="A36" s="81" t="s">
        <v>17</v>
      </c>
      <c r="B36" s="117" t="s">
        <v>206</v>
      </c>
      <c r="C36" s="117"/>
      <c r="D36" s="117"/>
      <c r="E36" s="117"/>
      <c r="F36" s="117"/>
      <c r="G36" s="118">
        <f>G34/G33</f>
        <v>0.47221215289880364</v>
      </c>
      <c r="H36" s="118">
        <f t="shared" ref="H36:K36" si="4">H34/H33</f>
        <v>0.36227966563692521</v>
      </c>
      <c r="I36" s="118">
        <f t="shared" si="4"/>
        <v>0.44865614617940169</v>
      </c>
      <c r="J36" s="118">
        <f t="shared" si="4"/>
        <v>0.50995985152639967</v>
      </c>
      <c r="K36" s="118">
        <f t="shared" si="4"/>
        <v>0.32667738126476004</v>
      </c>
      <c r="M36" s="120"/>
      <c r="N36" s="123"/>
      <c r="O36" s="123"/>
      <c r="P36" s="121"/>
      <c r="Q36" s="121"/>
      <c r="R36" s="123"/>
    </row>
    <row r="37" spans="1:18" ht="14.65" thickTop="1">
      <c r="G37" s="72"/>
      <c r="H37" s="72"/>
      <c r="I37" s="72"/>
      <c r="J37" s="72"/>
      <c r="K37" s="72"/>
    </row>
    <row r="38" spans="1:18">
      <c r="G38" s="72"/>
      <c r="H38" s="72"/>
      <c r="I38" s="72"/>
      <c r="J38" s="72"/>
      <c r="K38" s="72"/>
    </row>
    <row r="39" spans="1:18">
      <c r="G39" s="72"/>
      <c r="H39" s="72"/>
      <c r="I39" s="72"/>
      <c r="J39" s="72"/>
      <c r="K39" s="72"/>
    </row>
    <row r="40" spans="1:18">
      <c r="B40" s="55" t="s">
        <v>207</v>
      </c>
      <c r="C40" s="55"/>
      <c r="D40" s="55"/>
      <c r="E40" s="55"/>
      <c r="F40" s="55"/>
      <c r="G40" s="108">
        <f>G2</f>
        <v>44256</v>
      </c>
      <c r="H40" s="108">
        <f>H2</f>
        <v>44621</v>
      </c>
      <c r="I40" s="108">
        <f>I2</f>
        <v>44986</v>
      </c>
      <c r="J40" s="108">
        <f>J2</f>
        <v>45352</v>
      </c>
      <c r="K40" s="108">
        <f>K2</f>
        <v>45717</v>
      </c>
    </row>
    <row r="41" spans="1:18" ht="13.15" customHeight="1">
      <c r="G41" s="72"/>
      <c r="H41" s="72"/>
      <c r="I41" s="72"/>
      <c r="J41" s="72"/>
      <c r="K41" s="72"/>
    </row>
    <row r="42" spans="1:18" ht="15.4" customHeight="1">
      <c r="B42" s="122" t="s">
        <v>208</v>
      </c>
      <c r="C42" s="109"/>
      <c r="D42" s="109"/>
      <c r="E42" s="109"/>
      <c r="F42" s="109"/>
      <c r="G42" s="110">
        <f>-SUM('CashFlow Data'!J12:J13)</f>
        <v>254</v>
      </c>
      <c r="H42" s="110">
        <f>-SUM('CashFlow Data'!K12:K13)</f>
        <v>511</v>
      </c>
      <c r="I42" s="110">
        <f>-SUM('CashFlow Data'!L12:L13)</f>
        <v>1420</v>
      </c>
      <c r="J42" s="110">
        <f>-SUM('CashFlow Data'!M12:M13)</f>
        <v>2491</v>
      </c>
      <c r="K42" s="110">
        <f>-SUM('CashFlow Data'!N12:N13)</f>
        <v>1820</v>
      </c>
    </row>
    <row r="43" spans="1:18">
      <c r="A43" s="81" t="s">
        <v>17</v>
      </c>
      <c r="B43" s="122" t="s">
        <v>209</v>
      </c>
      <c r="C43" s="109"/>
      <c r="D43" s="109"/>
      <c r="E43" s="109"/>
      <c r="F43" s="109"/>
      <c r="G43" s="110"/>
      <c r="H43" s="110">
        <f>H18-G18</f>
        <v>2739</v>
      </c>
      <c r="I43" s="110">
        <f>I18-H18</f>
        <v>691</v>
      </c>
      <c r="J43" s="110">
        <f>J18-I18</f>
        <v>-219</v>
      </c>
      <c r="K43" s="110">
        <f>K18-J18</f>
        <v>-255</v>
      </c>
    </row>
    <row r="44" spans="1:18">
      <c r="B44" s="109"/>
      <c r="C44" s="109"/>
      <c r="D44" s="109"/>
      <c r="E44" s="109"/>
      <c r="F44" s="109"/>
      <c r="G44" s="124"/>
      <c r="H44" s="124"/>
      <c r="I44" s="124"/>
      <c r="J44" s="124"/>
      <c r="K44" s="124"/>
    </row>
    <row r="45" spans="1:18">
      <c r="A45" s="81" t="s">
        <v>17</v>
      </c>
      <c r="B45" s="122" t="s">
        <v>205</v>
      </c>
      <c r="C45" s="109"/>
      <c r="D45" s="109"/>
      <c r="E45" s="109"/>
      <c r="F45" s="109"/>
      <c r="G45" s="110">
        <f>G34</f>
        <v>4064.3300000000031</v>
      </c>
      <c r="H45" s="110">
        <f>H34</f>
        <v>3987.2499999999986</v>
      </c>
      <c r="I45" s="110">
        <f>I34</f>
        <v>5401.8199999999961</v>
      </c>
      <c r="J45" s="110">
        <f>J34</f>
        <v>6731.9800000000014</v>
      </c>
      <c r="K45" s="110">
        <f>K34</f>
        <v>4979.8700000000017</v>
      </c>
    </row>
    <row r="46" spans="1:18">
      <c r="B46" s="122" t="s">
        <v>210</v>
      </c>
      <c r="C46" s="109"/>
      <c r="D46" s="109"/>
      <c r="E46" s="109"/>
      <c r="F46" s="109"/>
      <c r="G46" s="125">
        <v>0.25</v>
      </c>
      <c r="H46" s="125">
        <f>G46</f>
        <v>0.25</v>
      </c>
      <c r="I46" s="125">
        <f t="shared" ref="I46:K46" si="5">H46</f>
        <v>0.25</v>
      </c>
      <c r="J46" s="125">
        <f t="shared" si="5"/>
        <v>0.25</v>
      </c>
      <c r="K46" s="125">
        <f t="shared" si="5"/>
        <v>0.25</v>
      </c>
    </row>
    <row r="47" spans="1:18">
      <c r="B47" s="122" t="s">
        <v>211</v>
      </c>
      <c r="C47" s="109"/>
      <c r="D47" s="109"/>
      <c r="E47" s="109"/>
      <c r="F47" s="109"/>
      <c r="G47" s="110">
        <f>G45*(1-G46)</f>
        <v>3048.2475000000022</v>
      </c>
      <c r="H47" s="110">
        <f t="shared" ref="H47:K47" si="6">H45*(1-H46)</f>
        <v>2990.4374999999991</v>
      </c>
      <c r="I47" s="110">
        <f t="shared" si="6"/>
        <v>4051.3649999999971</v>
      </c>
      <c r="J47" s="110">
        <f t="shared" si="6"/>
        <v>5048.9850000000006</v>
      </c>
      <c r="K47" s="110">
        <f t="shared" si="6"/>
        <v>3734.9025000000011</v>
      </c>
    </row>
    <row r="48" spans="1:18">
      <c r="A48" s="81" t="s">
        <v>17</v>
      </c>
      <c r="B48" s="109"/>
      <c r="C48" s="109"/>
      <c r="D48" s="109"/>
      <c r="E48" s="109"/>
      <c r="F48" s="109"/>
      <c r="G48" s="124"/>
      <c r="H48" s="124"/>
      <c r="I48" s="124"/>
      <c r="J48" s="124"/>
      <c r="K48" s="124"/>
    </row>
    <row r="49" spans="1:11">
      <c r="B49" s="122" t="s">
        <v>212</v>
      </c>
      <c r="C49" s="109"/>
      <c r="D49" s="109"/>
      <c r="E49" s="109"/>
      <c r="F49" s="109"/>
      <c r="G49" s="124"/>
      <c r="H49" s="110">
        <f>H43+H42</f>
        <v>3250</v>
      </c>
      <c r="I49" s="110">
        <f t="shared" ref="I49:K49" si="7">I43+I42</f>
        <v>2111</v>
      </c>
      <c r="J49" s="110">
        <f>J43+J42</f>
        <v>2272</v>
      </c>
      <c r="K49" s="110">
        <f t="shared" si="7"/>
        <v>1565</v>
      </c>
    </row>
    <row r="50" spans="1:11">
      <c r="B50" s="122" t="s">
        <v>213</v>
      </c>
      <c r="C50" s="109"/>
      <c r="D50" s="109"/>
      <c r="E50" s="109"/>
      <c r="F50" s="109"/>
      <c r="G50" s="124"/>
      <c r="H50" s="126">
        <f>H49/H47</f>
        <v>1.0867975003657495</v>
      </c>
      <c r="I50" s="126">
        <f>IF(I47&lt;0,0,I49/I47)</f>
        <v>0.52105895173602024</v>
      </c>
      <c r="J50" s="126">
        <f>IF(J47&lt;0,0,J49/J47)</f>
        <v>0.44999143392186741</v>
      </c>
      <c r="K50" s="126">
        <f t="shared" ref="K50" si="8">K49/K47</f>
        <v>0.41902030909776078</v>
      </c>
    </row>
    <row r="51" spans="1:11">
      <c r="G51" s="72"/>
      <c r="H51" s="72"/>
      <c r="I51" s="72"/>
      <c r="K51" s="72"/>
    </row>
    <row r="52" spans="1:11">
      <c r="G52" s="72"/>
      <c r="H52" s="72"/>
      <c r="I52" s="72"/>
      <c r="J52" s="127" t="s">
        <v>214</v>
      </c>
      <c r="K52" s="128">
        <f>AVERAGE(H50:K50)</f>
        <v>0.61921704878034955</v>
      </c>
    </row>
    <row r="53" spans="1:11" ht="3" customHeight="1">
      <c r="G53" s="72"/>
      <c r="H53" s="72"/>
      <c r="I53" s="72"/>
      <c r="J53" s="127" t="s">
        <v>215</v>
      </c>
      <c r="K53" s="128">
        <f>MEDIAN(H50:K50)</f>
        <v>0.4855251928289438</v>
      </c>
    </row>
    <row r="54" spans="1:11">
      <c r="J54" s="127" t="s">
        <v>215</v>
      </c>
      <c r="K54" s="128">
        <f>MEDIAN(H50:K50)</f>
        <v>0.4855251928289438</v>
      </c>
    </row>
    <row r="55" spans="1:11">
      <c r="G55" s="72"/>
      <c r="H55" s="72"/>
      <c r="I55" s="72"/>
      <c r="J55" s="72"/>
      <c r="K55" s="72"/>
    </row>
    <row r="56" spans="1:11">
      <c r="B56" s="55" t="s">
        <v>216</v>
      </c>
      <c r="C56" s="55"/>
      <c r="D56" s="55"/>
      <c r="E56" s="55"/>
      <c r="F56" s="55"/>
      <c r="G56" s="108">
        <f>G40</f>
        <v>44256</v>
      </c>
      <c r="H56" s="108">
        <f>H40</f>
        <v>44621</v>
      </c>
      <c r="I56" s="108">
        <f>I40</f>
        <v>44986</v>
      </c>
      <c r="J56" s="108">
        <f>J40</f>
        <v>45352</v>
      </c>
      <c r="K56" s="108">
        <f>K40</f>
        <v>45717</v>
      </c>
    </row>
    <row r="58" spans="1:11">
      <c r="B58" t="str">
        <f>B50</f>
        <v xml:space="preserve">Reinvestment Rate </v>
      </c>
      <c r="G58">
        <f>G50</f>
        <v>0</v>
      </c>
      <c r="H58" s="94">
        <f>H50</f>
        <v>1.0867975003657495</v>
      </c>
      <c r="I58" s="94">
        <f>I50</f>
        <v>0.52105895173602024</v>
      </c>
      <c r="J58" s="94">
        <f>J50</f>
        <v>0.44999143392186741</v>
      </c>
      <c r="K58" s="94">
        <f>K50</f>
        <v>0.41902030909776078</v>
      </c>
    </row>
    <row r="59" spans="1:11">
      <c r="B59" s="122" t="s">
        <v>206</v>
      </c>
      <c r="C59" s="109"/>
      <c r="D59" s="109"/>
      <c r="E59" s="109"/>
      <c r="F59" s="109"/>
      <c r="G59" s="126">
        <f>G36</f>
        <v>0.47221215289880364</v>
      </c>
      <c r="H59" s="126">
        <f>H36</f>
        <v>0.36227966563692521</v>
      </c>
      <c r="I59" s="126">
        <f>I36</f>
        <v>0.44865614617940169</v>
      </c>
      <c r="J59" s="126">
        <f>J36</f>
        <v>0.50995985152639967</v>
      </c>
      <c r="K59" s="126">
        <f>K36</f>
        <v>0.32667738126476004</v>
      </c>
    </row>
    <row r="60" spans="1:11">
      <c r="B60" s="109"/>
      <c r="C60" s="109"/>
      <c r="D60" s="109"/>
      <c r="E60" s="109"/>
      <c r="F60" s="109"/>
      <c r="G60" s="109"/>
      <c r="H60" s="109"/>
      <c r="I60" s="109"/>
      <c r="J60" s="109"/>
      <c r="K60" s="109"/>
    </row>
    <row r="61" spans="1:11" ht="14.65" thickBot="1">
      <c r="B61" s="117" t="s">
        <v>217</v>
      </c>
      <c r="C61" s="117"/>
      <c r="D61" s="117"/>
      <c r="E61" s="117"/>
      <c r="F61" s="117"/>
      <c r="G61" s="129">
        <f>G58*G59</f>
        <v>0</v>
      </c>
      <c r="H61" s="129">
        <f t="shared" ref="H61:K61" si="9">H58*H59</f>
        <v>0.39372463504754984</v>
      </c>
      <c r="I61" s="129">
        <f t="shared" si="9"/>
        <v>0.2337763012181617</v>
      </c>
      <c r="J61" s="129">
        <f t="shared" si="9"/>
        <v>0.22947756483094719</v>
      </c>
      <c r="K61" s="129">
        <f t="shared" si="9"/>
        <v>0.13688445727280679</v>
      </c>
    </row>
    <row r="62" spans="1:11" ht="14.65" thickTop="1">
      <c r="A62" s="81" t="s">
        <v>17</v>
      </c>
    </row>
    <row r="63" spans="1:11">
      <c r="J63" s="127" t="s">
        <v>214</v>
      </c>
      <c r="K63" s="128">
        <f>AVERAGE(H61:K61)</f>
        <v>0.2484657395923664</v>
      </c>
    </row>
    <row r="64" spans="1:11">
      <c r="J64" s="127" t="s">
        <v>215</v>
      </c>
      <c r="K64" s="128">
        <f>MEDIAN(H61:K61)</f>
        <v>0.23162693302455445</v>
      </c>
    </row>
    <row r="72" spans="1:1">
      <c r="A72" s="81" t="s">
        <v>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D1AE-EABD-46D5-92ED-D023BBA2E34D}">
  <dimension ref="B2:N43"/>
  <sheetViews>
    <sheetView showGridLines="0" zoomScale="76" zoomScaleNormal="53" workbookViewId="0">
      <selection activeCell="J2" sqref="J2"/>
    </sheetView>
  </sheetViews>
  <sheetFormatPr defaultRowHeight="14.25"/>
  <cols>
    <col min="1" max="1" width="1.73046875" customWidth="1"/>
    <col min="2" max="2" width="25.73046875" customWidth="1"/>
    <col min="3" max="4" width="8.3984375" bestFit="1" customWidth="1"/>
    <col min="5" max="14" width="9.3984375" bestFit="1" customWidth="1"/>
  </cols>
  <sheetData>
    <row r="2" spans="2:14">
      <c r="B2" s="55" t="s">
        <v>272</v>
      </c>
      <c r="C2" s="162">
        <v>41699</v>
      </c>
      <c r="D2" s="162">
        <v>42064</v>
      </c>
      <c r="E2" s="162">
        <v>42430</v>
      </c>
      <c r="F2" s="162">
        <v>42795</v>
      </c>
      <c r="G2" s="162">
        <v>43160</v>
      </c>
      <c r="H2" s="162">
        <v>43525</v>
      </c>
      <c r="I2" s="162">
        <v>43891</v>
      </c>
      <c r="J2" s="162">
        <v>44256</v>
      </c>
      <c r="K2" s="162">
        <v>44621</v>
      </c>
      <c r="L2" s="162">
        <v>44986</v>
      </c>
      <c r="M2" s="162">
        <v>45352</v>
      </c>
      <c r="N2" s="162">
        <v>45717</v>
      </c>
    </row>
    <row r="3" spans="2:14" s="57" customFormat="1">
      <c r="B3" s="163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2:14">
      <c r="B4" s="93" t="s">
        <v>244</v>
      </c>
      <c r="C4" s="152">
        <v>96</v>
      </c>
      <c r="D4" s="152">
        <v>96</v>
      </c>
      <c r="E4" s="152">
        <v>96</v>
      </c>
      <c r="F4" s="152">
        <v>96</v>
      </c>
      <c r="G4" s="152">
        <v>96</v>
      </c>
      <c r="H4" s="152">
        <v>96</v>
      </c>
      <c r="I4" s="152">
        <v>96</v>
      </c>
      <c r="J4" s="152">
        <v>96</v>
      </c>
      <c r="K4" s="152">
        <v>96</v>
      </c>
      <c r="L4" s="152">
        <v>96</v>
      </c>
      <c r="M4" s="152">
        <v>96</v>
      </c>
      <c r="N4" s="152">
        <v>96</v>
      </c>
    </row>
    <row r="5" spans="2:14">
      <c r="B5" s="93" t="s">
        <v>69</v>
      </c>
      <c r="C5" s="151">
        <v>3943</v>
      </c>
      <c r="D5" s="151">
        <v>4646</v>
      </c>
      <c r="E5" s="151">
        <v>6429</v>
      </c>
      <c r="F5" s="151">
        <v>7508</v>
      </c>
      <c r="G5" s="151">
        <v>8314</v>
      </c>
      <c r="H5" s="151">
        <v>9375</v>
      </c>
      <c r="I5" s="151">
        <v>10034</v>
      </c>
      <c r="J5" s="151">
        <v>12710</v>
      </c>
      <c r="K5" s="151">
        <v>13716</v>
      </c>
      <c r="L5" s="151">
        <v>15896</v>
      </c>
      <c r="M5" s="151">
        <v>18632</v>
      </c>
      <c r="N5" s="151">
        <v>19304</v>
      </c>
    </row>
    <row r="6" spans="2:14">
      <c r="B6" s="93" t="s">
        <v>68</v>
      </c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</row>
    <row r="7" spans="2:14">
      <c r="B7" t="s">
        <v>245</v>
      </c>
      <c r="C7" s="151">
        <v>41</v>
      </c>
      <c r="D7" s="151">
        <v>78</v>
      </c>
      <c r="E7" s="151">
        <v>73</v>
      </c>
      <c r="F7" s="151">
        <v>41</v>
      </c>
      <c r="G7" s="151">
        <v>28</v>
      </c>
      <c r="H7" s="151">
        <v>19</v>
      </c>
      <c r="I7" s="151">
        <v>19</v>
      </c>
      <c r="J7" s="151">
        <v>15</v>
      </c>
      <c r="K7" s="151">
        <v>45</v>
      </c>
      <c r="L7" s="151">
        <v>76</v>
      </c>
      <c r="M7" s="151">
        <v>54</v>
      </c>
      <c r="N7" s="151">
        <v>260</v>
      </c>
    </row>
    <row r="8" spans="2:14">
      <c r="B8" t="s">
        <v>246</v>
      </c>
      <c r="C8" s="152">
        <v>199</v>
      </c>
      <c r="D8" s="152">
        <v>332</v>
      </c>
      <c r="E8" s="152">
        <v>231</v>
      </c>
      <c r="F8" s="152">
        <v>504</v>
      </c>
      <c r="G8" s="152">
        <v>492</v>
      </c>
      <c r="H8" s="152">
        <v>597</v>
      </c>
      <c r="I8" s="152">
        <v>321</v>
      </c>
      <c r="J8" s="152">
        <v>334</v>
      </c>
      <c r="K8" s="152">
        <v>731</v>
      </c>
      <c r="L8" s="152">
        <v>896</v>
      </c>
      <c r="M8" s="152">
        <v>1053</v>
      </c>
      <c r="N8" s="152">
        <v>604</v>
      </c>
    </row>
    <row r="9" spans="2:14">
      <c r="B9" t="s">
        <v>247</v>
      </c>
      <c r="C9" s="151">
        <v>0</v>
      </c>
      <c r="D9" s="151">
        <v>0</v>
      </c>
      <c r="E9" s="151">
        <v>0</v>
      </c>
      <c r="F9" s="151">
        <v>0</v>
      </c>
      <c r="G9" s="151">
        <v>0</v>
      </c>
      <c r="H9" s="151">
        <v>693</v>
      </c>
      <c r="I9" s="151">
        <v>764</v>
      </c>
      <c r="J9" s="151">
        <v>745</v>
      </c>
      <c r="K9" s="151">
        <v>811</v>
      </c>
      <c r="L9" s="151">
        <v>960</v>
      </c>
      <c r="M9" s="151">
        <v>1367</v>
      </c>
      <c r="N9" s="151">
        <v>1427</v>
      </c>
    </row>
    <row r="10" spans="2:14">
      <c r="B10" t="s">
        <v>248</v>
      </c>
      <c r="C10" s="151">
        <v>9</v>
      </c>
      <c r="D10" s="151">
        <v>8</v>
      </c>
      <c r="E10" s="151">
        <v>20</v>
      </c>
      <c r="F10" s="151">
        <v>15</v>
      </c>
      <c r="G10" s="151">
        <v>13</v>
      </c>
      <c r="H10" s="151">
        <v>11</v>
      </c>
      <c r="I10" s="151">
        <v>15</v>
      </c>
      <c r="J10" s="151">
        <v>0</v>
      </c>
      <c r="K10" s="151">
        <v>0</v>
      </c>
      <c r="L10" s="151">
        <v>0</v>
      </c>
      <c r="M10" s="151">
        <v>0</v>
      </c>
      <c r="N10" s="151">
        <v>0</v>
      </c>
    </row>
    <row r="11" spans="2:14">
      <c r="B11" s="93" t="s">
        <v>67</v>
      </c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</row>
    <row r="12" spans="2:14">
      <c r="B12" t="s">
        <v>249</v>
      </c>
      <c r="C12" s="152">
        <v>246</v>
      </c>
      <c r="D12" s="152">
        <v>264</v>
      </c>
      <c r="E12" s="152">
        <v>384</v>
      </c>
      <c r="F12" s="152">
        <v>375</v>
      </c>
      <c r="G12" s="152">
        <v>328</v>
      </c>
      <c r="H12" s="152">
        <v>361</v>
      </c>
      <c r="I12" s="152">
        <v>404</v>
      </c>
      <c r="J12" s="152">
        <v>423</v>
      </c>
      <c r="K12" s="152">
        <v>388</v>
      </c>
      <c r="L12" s="152">
        <v>454</v>
      </c>
      <c r="M12" s="152">
        <v>695</v>
      </c>
      <c r="N12" s="152">
        <v>659</v>
      </c>
    </row>
    <row r="13" spans="2:14">
      <c r="B13" t="s">
        <v>250</v>
      </c>
      <c r="C13" s="151">
        <v>1746</v>
      </c>
      <c r="D13" s="151">
        <v>1549</v>
      </c>
      <c r="E13" s="151">
        <v>1565</v>
      </c>
      <c r="F13" s="151">
        <v>1923</v>
      </c>
      <c r="G13" s="151">
        <v>2160</v>
      </c>
      <c r="H13" s="151">
        <v>2394</v>
      </c>
      <c r="I13" s="151">
        <v>2137</v>
      </c>
      <c r="J13" s="151">
        <v>3379</v>
      </c>
      <c r="K13" s="151">
        <v>4164</v>
      </c>
      <c r="L13" s="151">
        <v>3635</v>
      </c>
      <c r="M13" s="151">
        <v>3831</v>
      </c>
      <c r="N13" s="151">
        <v>3848</v>
      </c>
    </row>
    <row r="14" spans="2:14">
      <c r="B14" t="s">
        <v>251</v>
      </c>
      <c r="C14" s="151">
        <v>0</v>
      </c>
      <c r="D14" s="151">
        <v>5</v>
      </c>
      <c r="E14" s="151">
        <v>12</v>
      </c>
      <c r="F14" s="151">
        <v>17</v>
      </c>
      <c r="G14" s="151">
        <v>16</v>
      </c>
      <c r="H14" s="151">
        <v>13</v>
      </c>
      <c r="I14" s="151">
        <v>29</v>
      </c>
      <c r="J14" s="151">
        <v>41</v>
      </c>
      <c r="K14" s="151">
        <v>76</v>
      </c>
      <c r="L14" s="151">
        <v>108</v>
      </c>
      <c r="M14" s="151">
        <v>154</v>
      </c>
      <c r="N14" s="151">
        <v>173</v>
      </c>
    </row>
    <row r="15" spans="2:14" ht="14.65" thickBot="1">
      <c r="B15" t="s">
        <v>252</v>
      </c>
      <c r="C15" s="166">
        <v>1795</v>
      </c>
      <c r="D15" s="166">
        <v>1937</v>
      </c>
      <c r="E15" s="166">
        <v>1750</v>
      </c>
      <c r="F15" s="166">
        <v>1925</v>
      </c>
      <c r="G15" s="166">
        <v>2316</v>
      </c>
      <c r="H15" s="166">
        <v>2690</v>
      </c>
      <c r="I15" s="166">
        <v>2320</v>
      </c>
      <c r="J15" s="166">
        <v>2613</v>
      </c>
      <c r="K15" s="166">
        <v>2932</v>
      </c>
      <c r="L15" s="166">
        <v>3657</v>
      </c>
      <c r="M15" s="166">
        <v>4017</v>
      </c>
      <c r="N15" s="166">
        <v>3985</v>
      </c>
    </row>
    <row r="16" spans="2:14" ht="15" thickTop="1" thickBot="1">
      <c r="B16" s="167" t="s">
        <v>253</v>
      </c>
      <c r="C16" s="168">
        <v>8075</v>
      </c>
      <c r="D16" s="168">
        <v>8914</v>
      </c>
      <c r="E16" s="168">
        <v>10559</v>
      </c>
      <c r="F16" s="168">
        <v>12405</v>
      </c>
      <c r="G16" s="168">
        <v>13763</v>
      </c>
      <c r="H16" s="168">
        <v>16249</v>
      </c>
      <c r="I16" s="168">
        <v>16138</v>
      </c>
      <c r="J16" s="168">
        <v>20355</v>
      </c>
      <c r="K16" s="168">
        <v>22958</v>
      </c>
      <c r="L16" s="168">
        <v>25779</v>
      </c>
      <c r="M16" s="168">
        <v>29901</v>
      </c>
      <c r="N16" s="168">
        <v>30355</v>
      </c>
    </row>
    <row r="17" spans="2:14" ht="14.65" thickTop="1"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</row>
    <row r="18" spans="2:14">
      <c r="B18" s="93" t="s">
        <v>273</v>
      </c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</row>
    <row r="19" spans="2:14">
      <c r="B19" t="s">
        <v>254</v>
      </c>
      <c r="C19" s="152">
        <v>247</v>
      </c>
      <c r="D19" s="152">
        <v>251</v>
      </c>
      <c r="E19" s="152">
        <v>429</v>
      </c>
      <c r="F19" s="152">
        <v>408</v>
      </c>
      <c r="G19" s="152">
        <v>586</v>
      </c>
      <c r="H19" s="152">
        <v>605</v>
      </c>
      <c r="I19" s="152">
        <v>640</v>
      </c>
      <c r="J19" s="152">
        <v>644</v>
      </c>
      <c r="K19" s="152">
        <v>644</v>
      </c>
      <c r="L19" s="152">
        <v>804</v>
      </c>
      <c r="M19" s="152">
        <v>1126</v>
      </c>
      <c r="N19" s="152">
        <v>1050</v>
      </c>
    </row>
    <row r="20" spans="2:14">
      <c r="B20" t="s">
        <v>255</v>
      </c>
      <c r="C20" s="151">
        <v>931</v>
      </c>
      <c r="D20" s="151">
        <v>962</v>
      </c>
      <c r="E20" s="151">
        <v>923</v>
      </c>
      <c r="F20" s="151">
        <v>931</v>
      </c>
      <c r="G20" s="151">
        <v>957</v>
      </c>
      <c r="H20" s="151">
        <v>2402</v>
      </c>
      <c r="I20" s="151">
        <v>2257</v>
      </c>
      <c r="J20" s="151">
        <v>2249</v>
      </c>
      <c r="K20" s="151">
        <v>2325</v>
      </c>
      <c r="L20" s="151">
        <v>2883</v>
      </c>
      <c r="M20" s="151">
        <v>3390</v>
      </c>
      <c r="N20" s="151">
        <v>4136</v>
      </c>
    </row>
    <row r="21" spans="2:14">
      <c r="B21" t="s">
        <v>256</v>
      </c>
      <c r="C21" s="151">
        <v>2054</v>
      </c>
      <c r="D21" s="151">
        <v>2132</v>
      </c>
      <c r="E21" s="151">
        <v>1793</v>
      </c>
      <c r="F21" s="151">
        <v>1980</v>
      </c>
      <c r="G21" s="151">
        <v>2157</v>
      </c>
      <c r="H21" s="151">
        <v>4006</v>
      </c>
      <c r="I21" s="151">
        <v>4208</v>
      </c>
      <c r="J21" s="151">
        <v>4340</v>
      </c>
      <c r="K21" s="151">
        <v>4531</v>
      </c>
      <c r="L21" s="151">
        <v>4825</v>
      </c>
      <c r="M21" s="151">
        <v>5422</v>
      </c>
      <c r="N21" s="151">
        <v>7576</v>
      </c>
    </row>
    <row r="22" spans="2:14">
      <c r="B22" t="s">
        <v>257</v>
      </c>
      <c r="C22" s="151">
        <v>155</v>
      </c>
      <c r="D22" s="151">
        <v>171</v>
      </c>
      <c r="E22" s="151">
        <v>97</v>
      </c>
      <c r="F22" s="151">
        <v>119</v>
      </c>
      <c r="G22" s="151">
        <v>200</v>
      </c>
      <c r="H22" s="151">
        <v>221</v>
      </c>
      <c r="I22" s="151">
        <v>241</v>
      </c>
      <c r="J22" s="151">
        <v>243</v>
      </c>
      <c r="K22" s="151">
        <v>253</v>
      </c>
      <c r="L22" s="151">
        <v>270</v>
      </c>
      <c r="M22" s="151">
        <v>298</v>
      </c>
      <c r="N22" s="151">
        <v>325</v>
      </c>
    </row>
    <row r="23" spans="2:14">
      <c r="B23" t="s">
        <v>258</v>
      </c>
      <c r="C23" s="152">
        <v>71</v>
      </c>
      <c r="D23" s="152">
        <v>83</v>
      </c>
      <c r="E23" s="152">
        <v>49</v>
      </c>
      <c r="F23" s="152">
        <v>59</v>
      </c>
      <c r="G23" s="152">
        <v>72</v>
      </c>
      <c r="H23" s="152">
        <v>88</v>
      </c>
      <c r="I23" s="152">
        <v>94</v>
      </c>
      <c r="J23" s="152">
        <v>99</v>
      </c>
      <c r="K23" s="152">
        <v>113</v>
      </c>
      <c r="L23" s="152">
        <v>146</v>
      </c>
      <c r="M23" s="152">
        <v>175</v>
      </c>
      <c r="N23" s="152">
        <v>203</v>
      </c>
    </row>
    <row r="24" spans="2:14">
      <c r="B24" t="s">
        <v>259</v>
      </c>
      <c r="C24" s="151">
        <v>14</v>
      </c>
      <c r="D24" s="151">
        <v>18</v>
      </c>
      <c r="E24" s="151">
        <v>11</v>
      </c>
      <c r="F24" s="151">
        <v>14</v>
      </c>
      <c r="G24" s="151">
        <v>27</v>
      </c>
      <c r="H24" s="151">
        <v>47</v>
      </c>
      <c r="I24" s="151">
        <v>43</v>
      </c>
      <c r="J24" s="151">
        <v>38</v>
      </c>
      <c r="K24" s="151">
        <v>32</v>
      </c>
      <c r="L24" s="151">
        <v>36</v>
      </c>
      <c r="M24" s="151">
        <v>40</v>
      </c>
      <c r="N24" s="151">
        <v>39</v>
      </c>
    </row>
    <row r="25" spans="2:14">
      <c r="B25" t="s">
        <v>260</v>
      </c>
      <c r="C25" s="151">
        <v>203</v>
      </c>
      <c r="D25" s="151">
        <v>351</v>
      </c>
      <c r="E25" s="151">
        <v>339</v>
      </c>
      <c r="F25" s="151">
        <v>276</v>
      </c>
      <c r="G25" s="151">
        <v>468</v>
      </c>
      <c r="H25" s="151">
        <v>512</v>
      </c>
      <c r="I25" s="151">
        <v>505</v>
      </c>
      <c r="J25" s="151">
        <v>476</v>
      </c>
      <c r="K25" s="151">
        <v>345</v>
      </c>
      <c r="L25" s="151">
        <v>422</v>
      </c>
      <c r="M25" s="151">
        <v>850</v>
      </c>
      <c r="N25" s="151">
        <v>827</v>
      </c>
    </row>
    <row r="26" spans="2:14">
      <c r="B26" t="s">
        <v>261</v>
      </c>
      <c r="C26" s="151">
        <v>128</v>
      </c>
      <c r="D26" s="151">
        <v>145</v>
      </c>
      <c r="E26" s="151">
        <v>103</v>
      </c>
      <c r="F26" s="151">
        <v>128</v>
      </c>
      <c r="G26" s="151">
        <v>238</v>
      </c>
      <c r="H26" s="151">
        <v>261</v>
      </c>
      <c r="I26" s="151">
        <v>293</v>
      </c>
      <c r="J26" s="151">
        <v>302</v>
      </c>
      <c r="K26" s="151">
        <v>294</v>
      </c>
      <c r="L26" s="151">
        <v>289</v>
      </c>
      <c r="M26" s="151">
        <v>321</v>
      </c>
      <c r="N26" s="151">
        <v>328</v>
      </c>
    </row>
    <row r="27" spans="2:14">
      <c r="B27" s="93" t="s">
        <v>201</v>
      </c>
      <c r="C27" s="169">
        <v>3804</v>
      </c>
      <c r="D27" s="169">
        <v>4112</v>
      </c>
      <c r="E27" s="169">
        <v>3744</v>
      </c>
      <c r="F27" s="169">
        <v>3914</v>
      </c>
      <c r="G27" s="169">
        <v>4705</v>
      </c>
      <c r="H27" s="169">
        <v>8141</v>
      </c>
      <c r="I27" s="169">
        <v>8282</v>
      </c>
      <c r="J27" s="169">
        <v>8392</v>
      </c>
      <c r="K27" s="169">
        <v>8538</v>
      </c>
      <c r="L27" s="169">
        <v>9676</v>
      </c>
      <c r="M27" s="169">
        <v>11622</v>
      </c>
      <c r="N27" s="169">
        <v>14484</v>
      </c>
    </row>
    <row r="28" spans="2:14" ht="14.65" thickBot="1">
      <c r="B28" s="159" t="s">
        <v>262</v>
      </c>
      <c r="C28" s="159">
        <v>1223</v>
      </c>
      <c r="D28" s="159">
        <v>1438</v>
      </c>
      <c r="E28" s="159">
        <v>275</v>
      </c>
      <c r="F28" s="159">
        <v>610</v>
      </c>
      <c r="G28" s="159">
        <v>973</v>
      </c>
      <c r="H28" s="159">
        <v>1592</v>
      </c>
      <c r="I28" s="159">
        <v>2010</v>
      </c>
      <c r="J28" s="159">
        <v>2533</v>
      </c>
      <c r="K28" s="159">
        <v>3019</v>
      </c>
      <c r="L28" s="159">
        <v>3814</v>
      </c>
      <c r="M28" s="159">
        <v>4381</v>
      </c>
      <c r="N28" s="159">
        <v>4945</v>
      </c>
    </row>
    <row r="29" spans="2:14" ht="14.65" thickTop="1"/>
    <row r="30" spans="2:14">
      <c r="B30" s="93" t="s">
        <v>263</v>
      </c>
      <c r="C30" s="152">
        <v>72</v>
      </c>
      <c r="D30" s="152">
        <v>196</v>
      </c>
      <c r="E30" s="152">
        <v>107</v>
      </c>
      <c r="F30" s="152">
        <v>258</v>
      </c>
      <c r="G30" s="152">
        <v>1405</v>
      </c>
      <c r="H30" s="152">
        <v>210</v>
      </c>
      <c r="I30" s="152">
        <v>140</v>
      </c>
      <c r="J30" s="152">
        <v>183</v>
      </c>
      <c r="K30" s="152">
        <v>426</v>
      </c>
      <c r="L30" s="152">
        <v>1020</v>
      </c>
      <c r="M30" s="152">
        <v>2698</v>
      </c>
      <c r="N30" s="152">
        <v>1254</v>
      </c>
    </row>
    <row r="31" spans="2:14">
      <c r="B31" s="93" t="s">
        <v>64</v>
      </c>
      <c r="C31" s="151">
        <v>1424</v>
      </c>
      <c r="D31" s="151">
        <v>1588</v>
      </c>
      <c r="E31" s="151">
        <v>2712</v>
      </c>
      <c r="F31" s="151">
        <v>2652</v>
      </c>
      <c r="G31" s="151">
        <v>2141</v>
      </c>
      <c r="H31" s="151">
        <v>2569</v>
      </c>
      <c r="I31" s="151">
        <v>2019</v>
      </c>
      <c r="J31" s="151">
        <v>4737</v>
      </c>
      <c r="K31" s="151">
        <v>3248</v>
      </c>
      <c r="L31" s="151">
        <v>4262</v>
      </c>
      <c r="M31" s="151">
        <v>4588</v>
      </c>
      <c r="N31" s="151">
        <v>4725</v>
      </c>
    </row>
    <row r="32" spans="2:14"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</row>
    <row r="33" spans="2:14">
      <c r="B33" s="93" t="s">
        <v>274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</row>
    <row r="34" spans="2:14">
      <c r="B34" t="s">
        <v>264</v>
      </c>
      <c r="C34" s="152">
        <v>2070</v>
      </c>
      <c r="D34" s="152">
        <v>2259</v>
      </c>
      <c r="E34" s="152">
        <v>1998</v>
      </c>
      <c r="F34" s="152">
        <v>2627</v>
      </c>
      <c r="G34" s="152">
        <v>2658</v>
      </c>
      <c r="H34" s="152">
        <v>3150</v>
      </c>
      <c r="I34" s="152">
        <v>3390</v>
      </c>
      <c r="J34" s="152">
        <v>3799</v>
      </c>
      <c r="K34" s="152">
        <v>6153</v>
      </c>
      <c r="L34" s="152">
        <v>6211</v>
      </c>
      <c r="M34" s="152">
        <v>5923</v>
      </c>
      <c r="N34" s="152">
        <v>6719</v>
      </c>
    </row>
    <row r="35" spans="2:14">
      <c r="B35" t="s">
        <v>265</v>
      </c>
      <c r="C35" s="151">
        <v>1110</v>
      </c>
      <c r="D35" s="151">
        <v>1182</v>
      </c>
      <c r="E35" s="151">
        <v>1187</v>
      </c>
      <c r="F35" s="151">
        <v>1447</v>
      </c>
      <c r="G35" s="151">
        <v>1731</v>
      </c>
      <c r="H35" s="151">
        <v>1907</v>
      </c>
      <c r="I35" s="151">
        <v>1795</v>
      </c>
      <c r="J35" s="151">
        <v>2602</v>
      </c>
      <c r="K35" s="151">
        <v>3871</v>
      </c>
      <c r="L35" s="151">
        <v>4637</v>
      </c>
      <c r="M35" s="151">
        <v>4889</v>
      </c>
      <c r="N35" s="151">
        <v>4314</v>
      </c>
    </row>
    <row r="36" spans="2:14">
      <c r="B36" t="s">
        <v>266</v>
      </c>
      <c r="C36" s="151">
        <v>51</v>
      </c>
      <c r="D36" s="151">
        <v>61</v>
      </c>
      <c r="E36" s="151">
        <v>0</v>
      </c>
      <c r="F36" s="151">
        <v>0</v>
      </c>
      <c r="G36" s="151">
        <v>0</v>
      </c>
      <c r="H36" s="151">
        <v>0</v>
      </c>
      <c r="I36" s="151">
        <v>0</v>
      </c>
      <c r="J36" s="151">
        <v>0</v>
      </c>
      <c r="K36" s="151">
        <v>279</v>
      </c>
      <c r="L36" s="151">
        <v>366</v>
      </c>
      <c r="M36" s="151">
        <v>588</v>
      </c>
      <c r="N36" s="151">
        <v>726</v>
      </c>
    </row>
    <row r="37" spans="2:14">
      <c r="B37" t="s">
        <v>267</v>
      </c>
      <c r="C37" s="152">
        <v>1110</v>
      </c>
      <c r="D37" s="152">
        <v>1180</v>
      </c>
      <c r="E37" s="152">
        <v>1253</v>
      </c>
      <c r="F37" s="152">
        <v>1526</v>
      </c>
      <c r="G37" s="152">
        <v>1820</v>
      </c>
      <c r="H37" s="152">
        <v>2028</v>
      </c>
      <c r="I37" s="152">
        <v>1950</v>
      </c>
      <c r="J37" s="152">
        <v>2787</v>
      </c>
      <c r="K37" s="152">
        <v>3834</v>
      </c>
      <c r="L37" s="152">
        <v>4576</v>
      </c>
      <c r="M37" s="152">
        <v>4723</v>
      </c>
      <c r="N37" s="152">
        <v>4250</v>
      </c>
    </row>
    <row r="38" spans="2:14">
      <c r="B38" t="s">
        <v>268</v>
      </c>
      <c r="C38" s="151">
        <v>-50</v>
      </c>
      <c r="D38" s="151">
        <v>-59</v>
      </c>
      <c r="E38" s="151">
        <v>-67</v>
      </c>
      <c r="F38" s="151">
        <v>-79</v>
      </c>
      <c r="G38" s="151">
        <v>-89</v>
      </c>
      <c r="H38" s="151">
        <v>-121</v>
      </c>
      <c r="I38" s="151">
        <v>-155</v>
      </c>
      <c r="J38" s="151">
        <v>-185</v>
      </c>
      <c r="K38" s="151">
        <v>-241</v>
      </c>
      <c r="L38" s="151">
        <v>-305</v>
      </c>
      <c r="M38" s="151">
        <v>-422</v>
      </c>
      <c r="N38" s="151">
        <v>-663</v>
      </c>
    </row>
    <row r="39" spans="2:14">
      <c r="B39" t="s">
        <v>269</v>
      </c>
      <c r="C39" s="151">
        <v>229</v>
      </c>
      <c r="D39" s="151">
        <v>204</v>
      </c>
      <c r="E39" s="151">
        <v>424</v>
      </c>
      <c r="F39" s="151">
        <v>801</v>
      </c>
      <c r="G39" s="151">
        <v>405</v>
      </c>
      <c r="H39" s="151">
        <v>445</v>
      </c>
      <c r="I39" s="151">
        <v>783</v>
      </c>
      <c r="J39" s="151">
        <v>611</v>
      </c>
      <c r="K39" s="151">
        <v>864</v>
      </c>
      <c r="L39" s="151">
        <v>844</v>
      </c>
      <c r="M39" s="151">
        <v>1084</v>
      </c>
      <c r="N39" s="151">
        <v>782</v>
      </c>
    </row>
    <row r="40" spans="2:14">
      <c r="B40" t="s">
        <v>270</v>
      </c>
      <c r="C40" s="151">
        <v>7</v>
      </c>
      <c r="D40" s="151">
        <v>8</v>
      </c>
      <c r="E40" s="151">
        <v>9</v>
      </c>
      <c r="F40" s="151">
        <v>14</v>
      </c>
      <c r="G40" s="151">
        <v>13</v>
      </c>
      <c r="H40" s="151">
        <v>16</v>
      </c>
      <c r="I40" s="151">
        <v>12</v>
      </c>
      <c r="J40" s="151">
        <v>11</v>
      </c>
      <c r="K40" s="151">
        <v>8</v>
      </c>
      <c r="L40" s="151">
        <v>12</v>
      </c>
      <c r="M40" s="151">
        <v>17</v>
      </c>
      <c r="N40" s="151">
        <v>22</v>
      </c>
    </row>
    <row r="41" spans="2:14" ht="14.65" thickBot="1">
      <c r="B41" t="s">
        <v>271</v>
      </c>
      <c r="C41" s="169">
        <v>603</v>
      </c>
      <c r="D41" s="169">
        <v>817</v>
      </c>
      <c r="E41" s="169">
        <v>705</v>
      </c>
      <c r="F41" s="169">
        <v>1303</v>
      </c>
      <c r="G41" s="169">
        <v>1678</v>
      </c>
      <c r="H41" s="169">
        <v>1456</v>
      </c>
      <c r="I41" s="169">
        <v>1727</v>
      </c>
      <c r="J41" s="169">
        <v>2555</v>
      </c>
      <c r="K41" s="169">
        <v>2869</v>
      </c>
      <c r="L41" s="169">
        <v>3024</v>
      </c>
      <c r="M41" s="169">
        <v>3555</v>
      </c>
      <c r="N41" s="169">
        <v>3319</v>
      </c>
    </row>
    <row r="42" spans="2:14" ht="15" thickTop="1" thickBot="1">
      <c r="B42" s="167" t="s">
        <v>113</v>
      </c>
      <c r="C42" s="168">
        <v>8075</v>
      </c>
      <c r="D42" s="168">
        <v>8914</v>
      </c>
      <c r="E42" s="168">
        <v>10559</v>
      </c>
      <c r="F42" s="168">
        <v>12405</v>
      </c>
      <c r="G42" s="168">
        <v>13763</v>
      </c>
      <c r="H42" s="168">
        <v>16249</v>
      </c>
      <c r="I42" s="168">
        <v>16138</v>
      </c>
      <c r="J42" s="168">
        <v>20355</v>
      </c>
      <c r="K42" s="168">
        <v>22958</v>
      </c>
      <c r="L42" s="168">
        <v>25779</v>
      </c>
      <c r="M42" s="168">
        <v>29901</v>
      </c>
      <c r="N42" s="168">
        <v>30355</v>
      </c>
    </row>
    <row r="43" spans="2:14" ht="14.65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B82A-2AAF-46D5-BBA6-B5D28885EC79}">
  <sheetPr>
    <tabColor rgb="FF1B4B7C"/>
  </sheetPr>
  <dimension ref="A1:L40"/>
  <sheetViews>
    <sheetView showGridLines="0" workbookViewId="0">
      <selection activeCell="E40" sqref="E40"/>
    </sheetView>
  </sheetViews>
  <sheetFormatPr defaultRowHeight="14.25" outlineLevelRow="1"/>
  <cols>
    <col min="1" max="1" width="1.73046875" customWidth="1"/>
    <col min="5" max="5" width="16.6640625" bestFit="1" customWidth="1"/>
    <col min="6" max="6" width="11.796875" bestFit="1" customWidth="1"/>
    <col min="7" max="7" width="12.86328125" bestFit="1" customWidth="1"/>
    <col min="8" max="9" width="11.6640625" bestFit="1" customWidth="1"/>
    <col min="10" max="11" width="9.1328125" bestFit="1" customWidth="1"/>
  </cols>
  <sheetData>
    <row r="1" spans="1:12">
      <c r="A1" s="130"/>
    </row>
    <row r="2" spans="1:12">
      <c r="B2" s="55" t="s">
        <v>218</v>
      </c>
      <c r="C2" s="131"/>
      <c r="D2" s="131"/>
      <c r="E2" s="131"/>
      <c r="F2" s="132">
        <f>'Intrinsic Growth'!K40</f>
        <v>45717</v>
      </c>
      <c r="G2" s="133">
        <f>F2+366</f>
        <v>46083</v>
      </c>
      <c r="H2" s="133">
        <f t="shared" ref="H2:K2" si="0">G2+366</f>
        <v>46449</v>
      </c>
      <c r="I2" s="133">
        <f t="shared" si="0"/>
        <v>46815</v>
      </c>
      <c r="J2" s="133">
        <f t="shared" si="0"/>
        <v>47181</v>
      </c>
      <c r="K2" s="133">
        <f t="shared" si="0"/>
        <v>47547</v>
      </c>
    </row>
    <row r="4" spans="1:12">
      <c r="B4" s="122" t="s">
        <v>205</v>
      </c>
      <c r="C4" s="122"/>
      <c r="D4" s="109"/>
      <c r="E4" s="109"/>
      <c r="F4" s="134">
        <f>'Intrinsic Growth'!K45</f>
        <v>4979.8700000000017</v>
      </c>
      <c r="G4" s="110">
        <f>F4*(1+$D14)</f>
        <v>6133.3420149609901</v>
      </c>
      <c r="H4" s="110">
        <f>G4*(1+$D14)</f>
        <v>7553.9892150770447</v>
      </c>
      <c r="I4" s="110">
        <f>H4*(1+$D14)</f>
        <v>9303.6965690659017</v>
      </c>
      <c r="J4" s="110">
        <f>I4*(1+$D14)</f>
        <v>11458.683271149706</v>
      </c>
      <c r="K4" s="110">
        <f>J4*(1+$D14)</f>
        <v>14112.822933745882</v>
      </c>
    </row>
    <row r="5" spans="1:12">
      <c r="B5" s="122" t="s">
        <v>178</v>
      </c>
      <c r="C5" s="122"/>
      <c r="D5" s="109"/>
      <c r="E5" s="109"/>
      <c r="F5" s="135">
        <v>0.25</v>
      </c>
      <c r="G5" s="136">
        <f>F5</f>
        <v>0.25</v>
      </c>
      <c r="H5" s="136">
        <f t="shared" ref="H5:K5" si="1">G5</f>
        <v>0.25</v>
      </c>
      <c r="I5" s="136">
        <f t="shared" si="1"/>
        <v>0.25</v>
      </c>
      <c r="J5" s="136">
        <f t="shared" si="1"/>
        <v>0.25</v>
      </c>
      <c r="K5" s="136">
        <f t="shared" si="1"/>
        <v>0.25</v>
      </c>
    </row>
    <row r="6" spans="1:12">
      <c r="B6" s="122" t="s">
        <v>219</v>
      </c>
      <c r="C6" s="122"/>
      <c r="D6" s="109"/>
      <c r="E6" s="109"/>
      <c r="F6" s="134">
        <f t="shared" ref="F6:K6" si="2">F4*(1-F5)</f>
        <v>3734.9025000000011</v>
      </c>
      <c r="G6" s="110">
        <f t="shared" si="2"/>
        <v>4600.0065112207431</v>
      </c>
      <c r="H6" s="110">
        <f t="shared" si="2"/>
        <v>5665.4919113077831</v>
      </c>
      <c r="I6" s="110">
        <f t="shared" si="2"/>
        <v>6977.7724267994263</v>
      </c>
      <c r="J6" s="110">
        <f t="shared" si="2"/>
        <v>8594.0124533622802</v>
      </c>
      <c r="K6" s="110">
        <f t="shared" si="2"/>
        <v>10584.617200309411</v>
      </c>
    </row>
    <row r="7" spans="1:12">
      <c r="B7" s="122" t="s">
        <v>220</v>
      </c>
      <c r="C7" s="122"/>
      <c r="D7" s="109"/>
      <c r="E7" s="109"/>
      <c r="F7" s="137">
        <f>'Intrinsic Growth'!K58</f>
        <v>0.41902030909776078</v>
      </c>
      <c r="G7" s="126">
        <f>F7</f>
        <v>0.41902030909776078</v>
      </c>
      <c r="H7" s="126">
        <f t="shared" ref="H7:K7" si="3">G7</f>
        <v>0.41902030909776078</v>
      </c>
      <c r="I7" s="126">
        <f t="shared" si="3"/>
        <v>0.41902030909776078</v>
      </c>
      <c r="J7" s="126">
        <f t="shared" si="3"/>
        <v>0.41902030909776078</v>
      </c>
      <c r="K7" s="126">
        <f t="shared" si="3"/>
        <v>0.41902030909776078</v>
      </c>
      <c r="L7" s="94"/>
    </row>
    <row r="8" spans="1:12">
      <c r="B8" s="122" t="s">
        <v>221</v>
      </c>
      <c r="C8" s="122"/>
      <c r="D8" s="109"/>
      <c r="E8" s="109"/>
      <c r="F8" s="134">
        <f>F6*(1-F7)</f>
        <v>2169.9025000000011</v>
      </c>
      <c r="G8" s="134">
        <f t="shared" ref="G8:K8" si="4">G6*(1-G7)</f>
        <v>2672.5103610373153</v>
      </c>
      <c r="H8" s="134">
        <f t="shared" si="4"/>
        <v>3291.5357394407324</v>
      </c>
      <c r="I8" s="134">
        <f t="shared" si="4"/>
        <v>4053.9440677080984</v>
      </c>
      <c r="J8" s="134">
        <f t="shared" si="4"/>
        <v>4992.9466987644118</v>
      </c>
      <c r="K8" s="134">
        <f t="shared" si="4"/>
        <v>6149.4476293542857</v>
      </c>
    </row>
    <row r="9" spans="1:12">
      <c r="B9" s="122" t="s">
        <v>222</v>
      </c>
      <c r="C9" s="109"/>
      <c r="D9" s="109"/>
      <c r="E9" s="109"/>
      <c r="F9" s="138"/>
      <c r="G9" s="139">
        <v>0.5</v>
      </c>
      <c r="H9" s="139">
        <f>G9+1</f>
        <v>1.5</v>
      </c>
      <c r="I9" s="139">
        <f t="shared" ref="I9:K9" si="5">H9+1</f>
        <v>2.5</v>
      </c>
      <c r="J9" s="139">
        <f t="shared" si="5"/>
        <v>3.5</v>
      </c>
      <c r="K9" s="139">
        <f t="shared" si="5"/>
        <v>4.5</v>
      </c>
    </row>
    <row r="10" spans="1:12">
      <c r="B10" s="122" t="s">
        <v>223</v>
      </c>
      <c r="C10" s="109"/>
      <c r="D10" s="109"/>
      <c r="E10" s="109"/>
      <c r="F10" s="138"/>
      <c r="G10" s="140">
        <f>1/(1+$D$16)^G9</f>
        <v>0.92989399096149694</v>
      </c>
      <c r="H10" s="140">
        <f t="shared" ref="H10:K10" si="6">1/(1+$D$16)^H9</f>
        <v>0.80408196970039092</v>
      </c>
      <c r="I10" s="140">
        <f t="shared" si="6"/>
        <v>0.69529195831101065</v>
      </c>
      <c r="J10" s="140">
        <f t="shared" si="6"/>
        <v>0.60122092710534403</v>
      </c>
      <c r="K10" s="140">
        <f t="shared" si="6"/>
        <v>0.51987743978439915</v>
      </c>
    </row>
    <row r="11" spans="1:12" ht="2.25" customHeight="1">
      <c r="F11" s="141"/>
    </row>
    <row r="12" spans="1:12" ht="14.65" thickBot="1">
      <c r="B12" s="117" t="s">
        <v>224</v>
      </c>
      <c r="C12" s="117"/>
      <c r="D12" s="117"/>
      <c r="E12" s="117"/>
      <c r="F12" s="142"/>
      <c r="G12" s="143">
        <f>G8*G10</f>
        <v>2485.1513255109403</v>
      </c>
      <c r="H12" s="143">
        <f t="shared" ref="H12:K12" si="7">H8*H10</f>
        <v>2646.6645407087367</v>
      </c>
      <c r="I12" s="143">
        <f t="shared" si="7"/>
        <v>2818.6747097200682</v>
      </c>
      <c r="J12" s="143">
        <f t="shared" si="7"/>
        <v>3001.8640432187067</v>
      </c>
      <c r="K12" s="143">
        <f t="shared" si="7"/>
        <v>3196.9590896369486</v>
      </c>
    </row>
    <row r="13" spans="1:12" ht="14.65" thickTop="1"/>
    <row r="14" spans="1:12" outlineLevel="1">
      <c r="B14" s="144" t="s">
        <v>225</v>
      </c>
      <c r="C14" s="145"/>
      <c r="D14" s="146">
        <f>'Intrinsic Growth'!K64</f>
        <v>0.23162693302455445</v>
      </c>
    </row>
    <row r="15" spans="1:12" outlineLevel="1">
      <c r="B15" s="144" t="s">
        <v>226</v>
      </c>
      <c r="C15" s="145"/>
      <c r="D15" s="146">
        <v>6.5000000000000002E-2</v>
      </c>
    </row>
    <row r="16" spans="1:12" outlineLevel="1">
      <c r="B16" s="144" t="s">
        <v>185</v>
      </c>
      <c r="C16" s="145"/>
      <c r="D16" s="146">
        <f>WACC!K39</f>
        <v>0.15646666136287665</v>
      </c>
    </row>
    <row r="18" spans="2:5">
      <c r="B18" s="55" t="s">
        <v>227</v>
      </c>
      <c r="C18" s="131"/>
      <c r="D18" s="131"/>
      <c r="E18" s="131"/>
    </row>
    <row r="20" spans="2:5">
      <c r="B20" s="81" t="s">
        <v>228</v>
      </c>
      <c r="E20" s="113">
        <f>K8*(1+D14)</f>
        <v>7573.8253235367356</v>
      </c>
    </row>
    <row r="21" spans="2:5">
      <c r="B21" s="81" t="s">
        <v>185</v>
      </c>
      <c r="E21" s="94">
        <f>D16</f>
        <v>0.15646666136287665</v>
      </c>
    </row>
    <row r="22" spans="2:5">
      <c r="B22" s="81" t="s">
        <v>229</v>
      </c>
      <c r="E22" s="94">
        <f>D15</f>
        <v>6.5000000000000002E-2</v>
      </c>
    </row>
    <row r="23" spans="2:5" ht="1.5" customHeight="1"/>
    <row r="24" spans="2:5" ht="14.65" thickBot="1">
      <c r="B24" s="147" t="s">
        <v>230</v>
      </c>
      <c r="C24" s="147"/>
      <c r="D24" s="147"/>
      <c r="E24" s="148">
        <f>E20/(E21-E22)</f>
        <v>82804.217522371546</v>
      </c>
    </row>
    <row r="25" spans="2:5" ht="14.65" thickTop="1"/>
    <row r="26" spans="2:5">
      <c r="B26" s="55" t="s">
        <v>231</v>
      </c>
      <c r="C26" s="131"/>
      <c r="D26" s="131"/>
      <c r="E26" s="131"/>
    </row>
    <row r="28" spans="2:5">
      <c r="B28" s="81" t="s">
        <v>224</v>
      </c>
      <c r="E28" s="113">
        <f>SUM(G12:K12)</f>
        <v>14149.313708795398</v>
      </c>
    </row>
    <row r="29" spans="2:5">
      <c r="B29" s="81" t="s">
        <v>232</v>
      </c>
      <c r="E29" s="113">
        <f>E24</f>
        <v>82804.217522371546</v>
      </c>
    </row>
    <row r="30" spans="2:5">
      <c r="B30" s="93" t="s">
        <v>233</v>
      </c>
      <c r="E30" s="149">
        <f>SUM(E28:E29)</f>
        <v>96953.53123116694</v>
      </c>
    </row>
    <row r="31" spans="2:5">
      <c r="B31" s="93"/>
      <c r="E31" s="149"/>
    </row>
    <row r="32" spans="2:5">
      <c r="B32" s="81" t="s">
        <v>234</v>
      </c>
      <c r="E32" s="149">
        <f>'Data Sheet'!K69</f>
        <v>781.98</v>
      </c>
    </row>
    <row r="33" spans="2:5">
      <c r="B33" s="81" t="s">
        <v>235</v>
      </c>
      <c r="E33" s="149">
        <f>SUM(RAWfs!N7:N8)</f>
        <v>864</v>
      </c>
    </row>
    <row r="34" spans="2:5">
      <c r="B34" s="93" t="s">
        <v>236</v>
      </c>
      <c r="C34" s="93"/>
      <c r="D34" s="93"/>
      <c r="E34" s="149">
        <f>E30+E32-E33</f>
        <v>96871.511231166936</v>
      </c>
    </row>
    <row r="35" spans="2:5">
      <c r="B35" s="81" t="s">
        <v>237</v>
      </c>
      <c r="E35" s="87">
        <f>'Data Sheet'!B6</f>
        <v>95.896224744425666</v>
      </c>
    </row>
    <row r="36" spans="2:5" ht="2.25" customHeight="1">
      <c r="B36" s="81"/>
      <c r="E36" s="113"/>
    </row>
    <row r="37" spans="2:5" ht="14.65" thickBot="1">
      <c r="B37" s="147" t="s">
        <v>238</v>
      </c>
      <c r="C37" s="147"/>
      <c r="D37" s="147"/>
      <c r="E37" s="148">
        <f>E34/E35</f>
        <v>1010.1702281746807</v>
      </c>
    </row>
    <row r="38" spans="2:5" ht="14.65" thickTop="1"/>
    <row r="39" spans="2:5">
      <c r="B39" t="s">
        <v>275</v>
      </c>
      <c r="E39">
        <v>2839</v>
      </c>
    </row>
    <row r="40" spans="2:5">
      <c r="B40" t="s">
        <v>276</v>
      </c>
      <c r="E40" s="174">
        <f>E39/E37-1</f>
        <v>1.8104174136372135</v>
      </c>
    </row>
  </sheetData>
  <pageMargins left="0.7" right="0.7" top="0.75" bottom="0.75" header="0.3" footer="0.3"/>
  <pageSetup paperSize="12" orientation="portrait" r:id="rId1"/>
  <ignoredErrors>
    <ignoredError sqref="G6:K6 F7:K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EA5F-67A2-49B0-8D75-418A04EDFAD4}">
  <dimension ref="A1:K93"/>
  <sheetViews>
    <sheetView tabSelected="1"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A57" sqref="A57:A69"/>
    </sheetView>
  </sheetViews>
  <sheetFormatPr defaultColWidth="8.796875" defaultRowHeight="14.25"/>
  <cols>
    <col min="1" max="1" width="27.6640625" style="22" bestFit="1" customWidth="1"/>
    <col min="2" max="11" width="13.46484375" style="22" bestFit="1" customWidth="1"/>
    <col min="12" max="16384" width="8.796875" style="22"/>
  </cols>
  <sheetData>
    <row r="1" spans="1:11" s="24" customFormat="1">
      <c r="A1" s="24" t="s">
        <v>100</v>
      </c>
      <c r="B1" s="24" t="s">
        <v>99</v>
      </c>
      <c r="E1" s="46" t="str">
        <f>IF(B2&lt;&gt;B3, "A NEW VERSION OF THE WORKSHEET IS AVAILABLE", "")</f>
        <v/>
      </c>
      <c r="F1" s="46"/>
      <c r="G1" s="46"/>
      <c r="H1" s="46"/>
      <c r="I1" s="46"/>
      <c r="J1" s="46"/>
      <c r="K1" s="46"/>
    </row>
    <row r="2" spans="1:11">
      <c r="A2" s="24" t="s">
        <v>98</v>
      </c>
      <c r="B2" s="22">
        <v>2.1</v>
      </c>
      <c r="E2" s="47" t="s">
        <v>97</v>
      </c>
      <c r="F2" s="47"/>
      <c r="G2" s="47"/>
      <c r="H2" s="47"/>
      <c r="I2" s="47"/>
      <c r="J2" s="47"/>
      <c r="K2" s="47"/>
    </row>
    <row r="3" spans="1:11">
      <c r="A3" s="24" t="s">
        <v>96</v>
      </c>
      <c r="B3" s="22">
        <v>2.1</v>
      </c>
    </row>
    <row r="4" spans="1:11">
      <c r="A4" s="24"/>
    </row>
    <row r="5" spans="1:11">
      <c r="A5" s="24" t="s">
        <v>95</v>
      </c>
    </row>
    <row r="6" spans="1:11">
      <c r="A6" s="22" t="s">
        <v>94</v>
      </c>
      <c r="B6" s="22">
        <f>IF(B9&gt;0, B9/B8, 0)</f>
        <v>95.896224744425666</v>
      </c>
    </row>
    <row r="7" spans="1:11">
      <c r="A7" s="22" t="s">
        <v>93</v>
      </c>
      <c r="B7">
        <v>1</v>
      </c>
    </row>
    <row r="8" spans="1:11">
      <c r="A8" s="22" t="s">
        <v>92</v>
      </c>
      <c r="B8">
        <v>2484.6</v>
      </c>
    </row>
    <row r="9" spans="1:11">
      <c r="A9" s="22" t="s">
        <v>91</v>
      </c>
      <c r="B9">
        <v>238263.76</v>
      </c>
    </row>
    <row r="15" spans="1:11">
      <c r="A15" s="24" t="s">
        <v>90</v>
      </c>
    </row>
    <row r="16" spans="1:11" s="26" customFormat="1">
      <c r="A16" s="28" t="s">
        <v>55</v>
      </c>
      <c r="B16" s="27">
        <v>42460</v>
      </c>
      <c r="C16" s="27">
        <v>42825</v>
      </c>
      <c r="D16" s="27">
        <v>43190</v>
      </c>
      <c r="E16" s="27">
        <v>43555</v>
      </c>
      <c r="F16" s="27">
        <v>43921</v>
      </c>
      <c r="G16" s="27">
        <v>44286</v>
      </c>
      <c r="H16" s="27">
        <v>44651</v>
      </c>
      <c r="I16" s="27">
        <v>45016</v>
      </c>
      <c r="J16" s="27">
        <v>45382</v>
      </c>
      <c r="K16" s="27">
        <v>45747</v>
      </c>
    </row>
    <row r="17" spans="1:11" s="25" customFormat="1">
      <c r="A17" s="25" t="s">
        <v>80</v>
      </c>
      <c r="B17">
        <v>14271.49</v>
      </c>
      <c r="C17">
        <v>15061.99</v>
      </c>
      <c r="D17">
        <v>16824.55</v>
      </c>
      <c r="E17">
        <v>19240.13</v>
      </c>
      <c r="F17">
        <v>20211.25</v>
      </c>
      <c r="G17">
        <v>21712.79</v>
      </c>
      <c r="H17">
        <v>29101.279999999999</v>
      </c>
      <c r="I17">
        <v>34488.589999999997</v>
      </c>
      <c r="J17">
        <v>35494.730000000003</v>
      </c>
      <c r="K17">
        <v>33905.620000000003</v>
      </c>
    </row>
    <row r="18" spans="1:11" s="25" customFormat="1">
      <c r="A18" s="22" t="s">
        <v>89</v>
      </c>
      <c r="B18">
        <v>6569.83</v>
      </c>
      <c r="C18">
        <v>7452.6</v>
      </c>
      <c r="D18">
        <v>8128.17</v>
      </c>
      <c r="E18">
        <v>9974.4</v>
      </c>
      <c r="F18">
        <v>9981.99</v>
      </c>
      <c r="G18">
        <v>10425.549999999999</v>
      </c>
      <c r="H18">
        <v>17123.25</v>
      </c>
      <c r="I18">
        <v>18985.53</v>
      </c>
      <c r="J18">
        <v>17410.84</v>
      </c>
      <c r="K18">
        <v>17504.509999999998</v>
      </c>
    </row>
    <row r="19" spans="1:11" s="25" customFormat="1">
      <c r="A19" s="22" t="s">
        <v>88</v>
      </c>
      <c r="B19">
        <v>-199.33</v>
      </c>
      <c r="C19">
        <v>528.6</v>
      </c>
      <c r="D19">
        <v>-142.13</v>
      </c>
      <c r="E19">
        <v>293.26</v>
      </c>
      <c r="F19">
        <v>239.15</v>
      </c>
      <c r="G19">
        <v>92.45</v>
      </c>
      <c r="H19">
        <v>1324.97</v>
      </c>
      <c r="I19">
        <v>309.73</v>
      </c>
      <c r="J19">
        <v>-363.8</v>
      </c>
      <c r="K19">
        <v>205</v>
      </c>
    </row>
    <row r="20" spans="1:11" s="25" customFormat="1">
      <c r="A20" s="22" t="s">
        <v>87</v>
      </c>
      <c r="B20">
        <v>114.48</v>
      </c>
      <c r="C20">
        <v>106.02</v>
      </c>
      <c r="D20">
        <v>110.3</v>
      </c>
      <c r="E20">
        <v>119.63</v>
      </c>
      <c r="F20">
        <v>97.79</v>
      </c>
      <c r="G20">
        <v>86.05</v>
      </c>
      <c r="H20">
        <v>117.23</v>
      </c>
      <c r="I20">
        <v>138.29</v>
      </c>
      <c r="J20">
        <v>133.25</v>
      </c>
      <c r="K20">
        <v>148.58000000000001</v>
      </c>
    </row>
    <row r="21" spans="1:11" s="25" customFormat="1">
      <c r="A21" s="22" t="s">
        <v>86</v>
      </c>
      <c r="B21">
        <v>1535.22</v>
      </c>
      <c r="C21">
        <v>1662.75</v>
      </c>
      <c r="D21">
        <v>1691.68</v>
      </c>
      <c r="E21">
        <v>1862.35</v>
      </c>
      <c r="F21">
        <v>1946.12</v>
      </c>
      <c r="G21">
        <v>2068.31</v>
      </c>
      <c r="H21">
        <v>2880.45</v>
      </c>
      <c r="I21">
        <v>2916.2</v>
      </c>
      <c r="J21">
        <v>2767.18</v>
      </c>
      <c r="K21">
        <v>2687.4</v>
      </c>
    </row>
    <row r="22" spans="1:11" s="25" customFormat="1">
      <c r="A22" s="22" t="s">
        <v>85</v>
      </c>
      <c r="B22">
        <v>994.98</v>
      </c>
      <c r="C22">
        <v>1039.8900000000001</v>
      </c>
      <c r="D22">
        <v>1121.8900000000001</v>
      </c>
      <c r="E22">
        <v>1242.69</v>
      </c>
      <c r="F22">
        <v>1371.27</v>
      </c>
      <c r="G22">
        <v>1547.61</v>
      </c>
      <c r="H22">
        <v>1794.61</v>
      </c>
      <c r="I22">
        <v>2036.41</v>
      </c>
      <c r="J22">
        <v>2334.92</v>
      </c>
      <c r="K22">
        <v>2605.7800000000002</v>
      </c>
    </row>
    <row r="23" spans="1:11" s="25" customFormat="1">
      <c r="A23" s="22" t="s">
        <v>84</v>
      </c>
      <c r="B23">
        <v>3912.3</v>
      </c>
      <c r="C23">
        <v>4364.04</v>
      </c>
      <c r="D23">
        <v>2254.92</v>
      </c>
      <c r="E23">
        <v>2366.87</v>
      </c>
      <c r="F23">
        <v>2311.5100000000002</v>
      </c>
      <c r="G23">
        <v>2245.69</v>
      </c>
      <c r="H23">
        <v>2941.98</v>
      </c>
      <c r="I23">
        <v>3500.84</v>
      </c>
      <c r="J23">
        <v>3811.86</v>
      </c>
      <c r="K23">
        <v>3874.94</v>
      </c>
    </row>
    <row r="24" spans="1:11" s="25" customFormat="1">
      <c r="A24" s="22" t="s">
        <v>83</v>
      </c>
      <c r="B24">
        <v>-1779.69</v>
      </c>
      <c r="C24">
        <v>-2028.47</v>
      </c>
      <c r="D24">
        <v>171.45</v>
      </c>
      <c r="E24">
        <v>202.51</v>
      </c>
      <c r="F24">
        <v>584.9</v>
      </c>
      <c r="G24">
        <v>576.42999999999995</v>
      </c>
      <c r="H24">
        <v>765.12</v>
      </c>
      <c r="I24">
        <v>961.21</v>
      </c>
      <c r="J24">
        <v>1087.9000000000001</v>
      </c>
      <c r="K24">
        <v>1283.2</v>
      </c>
    </row>
    <row r="25" spans="1:11" s="25" customFormat="1">
      <c r="A25" s="25" t="s">
        <v>78</v>
      </c>
      <c r="B25">
        <v>213.39</v>
      </c>
      <c r="C25">
        <v>337.9</v>
      </c>
      <c r="D25">
        <v>336.41</v>
      </c>
      <c r="E25">
        <v>273.77</v>
      </c>
      <c r="F25">
        <v>355.05</v>
      </c>
      <c r="G25">
        <v>331.65</v>
      </c>
      <c r="H25">
        <v>295.88</v>
      </c>
      <c r="I25">
        <v>431.46</v>
      </c>
      <c r="J25">
        <v>820.96</v>
      </c>
      <c r="K25">
        <v>350.22</v>
      </c>
    </row>
    <row r="26" spans="1:11" s="25" customFormat="1">
      <c r="A26" s="25" t="s">
        <v>77</v>
      </c>
      <c r="B26">
        <v>275.58</v>
      </c>
      <c r="C26">
        <v>334.79</v>
      </c>
      <c r="D26">
        <v>360.47</v>
      </c>
      <c r="E26">
        <v>622.14</v>
      </c>
      <c r="F26">
        <v>780.5</v>
      </c>
      <c r="G26">
        <v>791.27</v>
      </c>
      <c r="H26">
        <v>816.36</v>
      </c>
      <c r="I26">
        <v>858.02</v>
      </c>
      <c r="J26">
        <v>853</v>
      </c>
      <c r="K26">
        <v>1026.3399999999999</v>
      </c>
    </row>
    <row r="27" spans="1:11" s="25" customFormat="1">
      <c r="A27" s="25" t="s">
        <v>76</v>
      </c>
      <c r="B27">
        <v>49</v>
      </c>
      <c r="C27">
        <v>37.33</v>
      </c>
      <c r="D27">
        <v>41.47</v>
      </c>
      <c r="E27">
        <v>110.47</v>
      </c>
      <c r="F27">
        <v>102.33</v>
      </c>
      <c r="G27">
        <v>91.63</v>
      </c>
      <c r="H27">
        <v>95.41</v>
      </c>
      <c r="I27">
        <v>144.44999999999999</v>
      </c>
      <c r="J27">
        <v>205.17</v>
      </c>
      <c r="K27">
        <v>227.02</v>
      </c>
    </row>
    <row r="28" spans="1:11" s="25" customFormat="1">
      <c r="A28" s="25" t="s">
        <v>75</v>
      </c>
      <c r="B28">
        <v>2613.85</v>
      </c>
      <c r="C28">
        <v>2959.54</v>
      </c>
      <c r="D28">
        <v>3138.48</v>
      </c>
      <c r="E28">
        <v>3306.1</v>
      </c>
      <c r="F28">
        <v>3629.04</v>
      </c>
      <c r="G28">
        <v>4304.3500000000004</v>
      </c>
      <c r="H28">
        <v>4187.72</v>
      </c>
      <c r="I28">
        <v>5688.83</v>
      </c>
      <c r="J28">
        <v>7347.77</v>
      </c>
      <c r="K28">
        <v>5103.07</v>
      </c>
    </row>
    <row r="29" spans="1:11" s="25" customFormat="1">
      <c r="A29" s="25" t="s">
        <v>74</v>
      </c>
      <c r="B29">
        <v>844.49</v>
      </c>
      <c r="C29">
        <v>943.29</v>
      </c>
      <c r="D29">
        <v>1040.96</v>
      </c>
      <c r="E29">
        <v>1098.06</v>
      </c>
      <c r="F29">
        <v>854.85</v>
      </c>
      <c r="G29">
        <v>1097.5999999999999</v>
      </c>
      <c r="H29">
        <v>1102.9100000000001</v>
      </c>
      <c r="I29">
        <v>1493.5</v>
      </c>
      <c r="J29">
        <v>1790.08</v>
      </c>
      <c r="K29">
        <v>1393.36</v>
      </c>
    </row>
    <row r="30" spans="1:11" s="25" customFormat="1">
      <c r="A30" s="25" t="s">
        <v>73</v>
      </c>
      <c r="B30">
        <v>1745.16</v>
      </c>
      <c r="C30">
        <v>1939.43</v>
      </c>
      <c r="D30">
        <v>2038.93</v>
      </c>
      <c r="E30">
        <v>2155.92</v>
      </c>
      <c r="F30">
        <v>2705.17</v>
      </c>
      <c r="G30">
        <v>3139.29</v>
      </c>
      <c r="H30">
        <v>3030.57</v>
      </c>
      <c r="I30">
        <v>4106.45</v>
      </c>
      <c r="J30">
        <v>5460.23</v>
      </c>
      <c r="K30">
        <v>3667.23</v>
      </c>
    </row>
    <row r="31" spans="1:11" s="25" customFormat="1">
      <c r="A31" s="25" t="s">
        <v>82</v>
      </c>
      <c r="B31">
        <v>719.4</v>
      </c>
      <c r="C31">
        <v>987.98</v>
      </c>
      <c r="D31">
        <v>834.5</v>
      </c>
      <c r="E31">
        <v>1007.16</v>
      </c>
      <c r="F31">
        <v>1151.04</v>
      </c>
      <c r="G31">
        <v>1712.17</v>
      </c>
      <c r="H31">
        <v>1836.87</v>
      </c>
      <c r="I31">
        <v>2460.35</v>
      </c>
      <c r="J31">
        <v>3194.14</v>
      </c>
      <c r="K31">
        <v>2378.8200000000002</v>
      </c>
    </row>
    <row r="32" spans="1:11" s="25" customFormat="1"/>
    <row r="33" spans="1:11">
      <c r="A33" s="25"/>
    </row>
    <row r="34" spans="1:11">
      <c r="A34" s="25"/>
    </row>
    <row r="35" spans="1:11">
      <c r="A35" s="25"/>
    </row>
    <row r="36" spans="1:11">
      <c r="A36" s="25"/>
    </row>
    <row r="37" spans="1:11">
      <c r="A37" s="25"/>
    </row>
    <row r="38" spans="1:11">
      <c r="A38" s="25"/>
    </row>
    <row r="39" spans="1:11">
      <c r="A39" s="25"/>
    </row>
    <row r="40" spans="1:11">
      <c r="A40" s="24" t="s">
        <v>81</v>
      </c>
    </row>
    <row r="41" spans="1:11" s="26" customFormat="1">
      <c r="A41" s="28" t="s">
        <v>55</v>
      </c>
      <c r="B41" s="27">
        <v>44926</v>
      </c>
      <c r="C41" s="27">
        <v>45016</v>
      </c>
      <c r="D41" s="27">
        <v>45107</v>
      </c>
      <c r="E41" s="27">
        <v>45199</v>
      </c>
      <c r="F41" s="27">
        <v>45291</v>
      </c>
      <c r="G41" s="27">
        <v>45382</v>
      </c>
      <c r="H41" s="27">
        <v>45473</v>
      </c>
      <c r="I41" s="27">
        <v>45565</v>
      </c>
      <c r="J41" s="27">
        <v>45657</v>
      </c>
      <c r="K41" s="27">
        <v>45747</v>
      </c>
    </row>
    <row r="42" spans="1:11" s="25" customFormat="1">
      <c r="A42" s="25" t="s">
        <v>80</v>
      </c>
      <c r="B42">
        <v>8636.74</v>
      </c>
      <c r="C42">
        <v>8787.34</v>
      </c>
      <c r="D42">
        <v>9182.31</v>
      </c>
      <c r="E42">
        <v>8478.57</v>
      </c>
      <c r="F42">
        <v>9103.09</v>
      </c>
      <c r="G42">
        <v>8730.76</v>
      </c>
      <c r="H42">
        <v>8969.73</v>
      </c>
      <c r="I42">
        <v>8027.54</v>
      </c>
      <c r="J42">
        <v>8549.44</v>
      </c>
      <c r="K42">
        <v>8358.91</v>
      </c>
    </row>
    <row r="43" spans="1:11" s="25" customFormat="1">
      <c r="A43" s="25" t="s">
        <v>79</v>
      </c>
      <c r="B43">
        <v>7025.31</v>
      </c>
      <c r="C43">
        <v>6922.58</v>
      </c>
      <c r="D43">
        <v>7061.02</v>
      </c>
      <c r="E43">
        <v>6762.34</v>
      </c>
      <c r="F43">
        <v>7047</v>
      </c>
      <c r="G43">
        <v>7039.39</v>
      </c>
      <c r="H43">
        <v>7275.96</v>
      </c>
      <c r="I43">
        <v>6788.03</v>
      </c>
      <c r="J43">
        <v>6912.71</v>
      </c>
      <c r="K43">
        <v>6922.71</v>
      </c>
    </row>
    <row r="44" spans="1:11" s="25" customFormat="1">
      <c r="A44" s="25" t="s">
        <v>78</v>
      </c>
      <c r="B44">
        <v>122.21</v>
      </c>
      <c r="C44">
        <v>104.17</v>
      </c>
      <c r="D44">
        <v>227.74</v>
      </c>
      <c r="E44">
        <v>194.33</v>
      </c>
      <c r="F44">
        <v>186.46</v>
      </c>
      <c r="G44">
        <v>212.43</v>
      </c>
      <c r="H44">
        <v>192.93</v>
      </c>
      <c r="I44">
        <v>24.53</v>
      </c>
      <c r="J44">
        <v>192.82</v>
      </c>
      <c r="K44">
        <v>-60.06</v>
      </c>
    </row>
    <row r="45" spans="1:11" s="25" customFormat="1">
      <c r="A45" s="25" t="s">
        <v>77</v>
      </c>
      <c r="B45">
        <v>214.05</v>
      </c>
      <c r="C45">
        <v>220.17</v>
      </c>
      <c r="D45">
        <v>198.32</v>
      </c>
      <c r="E45">
        <v>208.72</v>
      </c>
      <c r="F45">
        <v>220.35</v>
      </c>
      <c r="G45">
        <v>225.61</v>
      </c>
      <c r="H45">
        <v>227.7</v>
      </c>
      <c r="I45">
        <v>241.99</v>
      </c>
      <c r="J45">
        <v>255.55</v>
      </c>
      <c r="K45">
        <v>301.10000000000002</v>
      </c>
    </row>
    <row r="46" spans="1:11" s="25" customFormat="1">
      <c r="A46" s="25" t="s">
        <v>76</v>
      </c>
      <c r="B46">
        <v>41.39</v>
      </c>
      <c r="C46">
        <v>38.909999999999997</v>
      </c>
      <c r="D46">
        <v>45.75</v>
      </c>
      <c r="E46">
        <v>50.9</v>
      </c>
      <c r="F46">
        <v>54.42</v>
      </c>
      <c r="G46">
        <v>54.1</v>
      </c>
      <c r="H46">
        <v>55.38</v>
      </c>
      <c r="I46">
        <v>63.01</v>
      </c>
      <c r="J46">
        <v>55.84</v>
      </c>
      <c r="K46">
        <v>52.79</v>
      </c>
    </row>
    <row r="47" spans="1:11" s="25" customFormat="1">
      <c r="A47" s="25" t="s">
        <v>75</v>
      </c>
      <c r="B47">
        <v>1478.2</v>
      </c>
      <c r="C47">
        <v>1709.85</v>
      </c>
      <c r="D47">
        <v>2104.96</v>
      </c>
      <c r="E47">
        <v>1650.94</v>
      </c>
      <c r="F47">
        <v>1967.78</v>
      </c>
      <c r="G47">
        <v>1624.09</v>
      </c>
      <c r="H47">
        <v>1603.62</v>
      </c>
      <c r="I47">
        <v>959.04</v>
      </c>
      <c r="J47">
        <v>1518.16</v>
      </c>
      <c r="K47">
        <v>1022.25</v>
      </c>
    </row>
    <row r="48" spans="1:11" s="25" customFormat="1">
      <c r="A48" s="25" t="s">
        <v>74</v>
      </c>
      <c r="B48">
        <v>381.14</v>
      </c>
      <c r="C48">
        <v>451.44</v>
      </c>
      <c r="D48">
        <v>530.12</v>
      </c>
      <c r="E48">
        <v>418.55</v>
      </c>
      <c r="F48">
        <v>492.62</v>
      </c>
      <c r="G48">
        <v>348.79</v>
      </c>
      <c r="H48">
        <v>416.83</v>
      </c>
      <c r="I48">
        <v>265.38</v>
      </c>
      <c r="J48">
        <v>389.73</v>
      </c>
      <c r="K48">
        <v>321.42</v>
      </c>
    </row>
    <row r="49" spans="1:11" s="25" customFormat="1">
      <c r="A49" s="25" t="s">
        <v>73</v>
      </c>
      <c r="B49">
        <v>1072.67</v>
      </c>
      <c r="C49">
        <v>1234.1400000000001</v>
      </c>
      <c r="D49">
        <v>1550.37</v>
      </c>
      <c r="E49">
        <v>1205.42</v>
      </c>
      <c r="F49">
        <v>1447.72</v>
      </c>
      <c r="G49">
        <v>1256.72</v>
      </c>
      <c r="H49">
        <v>1169.98</v>
      </c>
      <c r="I49">
        <v>694.64</v>
      </c>
      <c r="J49">
        <v>1110.48</v>
      </c>
      <c r="K49">
        <v>692.13</v>
      </c>
    </row>
    <row r="50" spans="1:11">
      <c r="A50" s="25" t="s">
        <v>72</v>
      </c>
      <c r="B50">
        <v>1611.43</v>
      </c>
      <c r="C50">
        <v>1864.76</v>
      </c>
      <c r="D50">
        <v>2121.29</v>
      </c>
      <c r="E50">
        <v>1716.23</v>
      </c>
      <c r="F50">
        <v>2056.09</v>
      </c>
      <c r="G50">
        <v>1691.37</v>
      </c>
      <c r="H50">
        <v>1693.77</v>
      </c>
      <c r="I50">
        <v>1239.51</v>
      </c>
      <c r="J50">
        <v>1636.73</v>
      </c>
      <c r="K50">
        <v>1436.2</v>
      </c>
    </row>
    <row r="51" spans="1:11">
      <c r="A51" s="25"/>
    </row>
    <row r="52" spans="1:11">
      <c r="A52" s="25"/>
    </row>
    <row r="53" spans="1:11">
      <c r="A53" s="25"/>
    </row>
    <row r="54" spans="1:11">
      <c r="A54" s="25"/>
    </row>
    <row r="55" spans="1:11">
      <c r="A55" s="24" t="s">
        <v>71</v>
      </c>
    </row>
    <row r="56" spans="1:11" s="26" customFormat="1">
      <c r="A56" s="28" t="s">
        <v>55</v>
      </c>
      <c r="B56" s="27">
        <v>42460</v>
      </c>
      <c r="C56" s="27">
        <v>42825</v>
      </c>
      <c r="D56" s="27">
        <v>43190</v>
      </c>
      <c r="E56" s="27">
        <v>43555</v>
      </c>
      <c r="F56" s="27">
        <v>43921</v>
      </c>
      <c r="G56" s="27">
        <v>44286</v>
      </c>
      <c r="H56" s="27">
        <v>44651</v>
      </c>
      <c r="I56" s="27">
        <v>45016</v>
      </c>
      <c r="J56" s="27">
        <v>45382</v>
      </c>
      <c r="K56" s="27">
        <v>45747</v>
      </c>
    </row>
    <row r="57" spans="1:11">
      <c r="A57" s="25" t="s">
        <v>70</v>
      </c>
      <c r="B57">
        <v>95.92</v>
      </c>
      <c r="C57">
        <v>95.92</v>
      </c>
      <c r="D57">
        <v>95.92</v>
      </c>
      <c r="E57">
        <v>95.92</v>
      </c>
      <c r="F57">
        <v>95.92</v>
      </c>
      <c r="G57">
        <v>95.92</v>
      </c>
      <c r="H57">
        <v>95.92</v>
      </c>
      <c r="I57">
        <v>95.92</v>
      </c>
      <c r="J57">
        <v>95.92</v>
      </c>
      <c r="K57">
        <v>95.92</v>
      </c>
    </row>
    <row r="58" spans="1:11">
      <c r="A58" s="25" t="s">
        <v>69</v>
      </c>
      <c r="B58">
        <v>6428.9</v>
      </c>
      <c r="C58">
        <v>7507.97</v>
      </c>
      <c r="D58">
        <v>8314.31</v>
      </c>
      <c r="E58">
        <v>9374.6299999999992</v>
      </c>
      <c r="F58">
        <v>10034.24</v>
      </c>
      <c r="G58">
        <v>12710.37</v>
      </c>
      <c r="H58">
        <v>13715.64</v>
      </c>
      <c r="I58">
        <v>15896.31</v>
      </c>
      <c r="J58">
        <v>18632.38</v>
      </c>
      <c r="K58">
        <v>19303.89</v>
      </c>
    </row>
    <row r="59" spans="1:11">
      <c r="A59" s="25" t="s">
        <v>68</v>
      </c>
      <c r="B59">
        <v>323.29000000000002</v>
      </c>
      <c r="C59">
        <v>560.34</v>
      </c>
      <c r="D59">
        <v>533.42999999999995</v>
      </c>
      <c r="E59">
        <v>1319.6</v>
      </c>
      <c r="F59">
        <v>1118.5</v>
      </c>
      <c r="G59">
        <v>1093.1199999999999</v>
      </c>
      <c r="H59">
        <v>1586.88</v>
      </c>
      <c r="I59">
        <v>1932.62</v>
      </c>
      <c r="J59">
        <v>2474.38</v>
      </c>
      <c r="K59">
        <v>2290.29</v>
      </c>
    </row>
    <row r="60" spans="1:11">
      <c r="A60" s="25" t="s">
        <v>67</v>
      </c>
      <c r="B60">
        <v>3710.92</v>
      </c>
      <c r="C60">
        <v>4240.96</v>
      </c>
      <c r="D60">
        <v>4819.82</v>
      </c>
      <c r="E60">
        <v>5458.69</v>
      </c>
      <c r="F60">
        <v>4889.3100000000004</v>
      </c>
      <c r="G60">
        <v>6455.93</v>
      </c>
      <c r="H60">
        <v>7559.99</v>
      </c>
      <c r="I60">
        <v>7854.48</v>
      </c>
      <c r="J60">
        <v>8698.09</v>
      </c>
      <c r="K60">
        <v>8665.15</v>
      </c>
    </row>
    <row r="61" spans="1:11" s="24" customFormat="1">
      <c r="A61" s="24" t="s">
        <v>37</v>
      </c>
      <c r="B61">
        <v>10559.03</v>
      </c>
      <c r="C61">
        <v>12405.19</v>
      </c>
      <c r="D61">
        <v>13763.48</v>
      </c>
      <c r="E61">
        <v>16248.84</v>
      </c>
      <c r="F61">
        <v>16137.97</v>
      </c>
      <c r="G61">
        <v>20355.34</v>
      </c>
      <c r="H61">
        <v>22958.43</v>
      </c>
      <c r="I61">
        <v>25779.33</v>
      </c>
      <c r="J61">
        <v>29900.77</v>
      </c>
      <c r="K61">
        <v>30355.25</v>
      </c>
    </row>
    <row r="62" spans="1:11">
      <c r="A62" s="25" t="s">
        <v>66</v>
      </c>
      <c r="B62">
        <v>3416.35</v>
      </c>
      <c r="C62">
        <v>3303.74</v>
      </c>
      <c r="D62">
        <v>3732.24</v>
      </c>
      <c r="E62">
        <v>6496.56</v>
      </c>
      <c r="F62">
        <v>6272.31</v>
      </c>
      <c r="G62">
        <v>5858.52</v>
      </c>
      <c r="H62">
        <v>5519.06</v>
      </c>
      <c r="I62">
        <v>5770.46</v>
      </c>
      <c r="J62">
        <v>7146.62</v>
      </c>
      <c r="K62">
        <v>9220.1</v>
      </c>
    </row>
    <row r="63" spans="1:11">
      <c r="A63" s="25" t="s">
        <v>65</v>
      </c>
      <c r="B63">
        <v>106.59</v>
      </c>
      <c r="C63">
        <v>257.54000000000002</v>
      </c>
      <c r="D63">
        <v>1405.11</v>
      </c>
      <c r="E63">
        <v>209.67</v>
      </c>
      <c r="F63">
        <v>140.24</v>
      </c>
      <c r="G63">
        <v>182.98</v>
      </c>
      <c r="H63">
        <v>426.43</v>
      </c>
      <c r="I63">
        <v>1019.59</v>
      </c>
      <c r="J63">
        <v>2698.37</v>
      </c>
      <c r="K63">
        <v>1254.49</v>
      </c>
    </row>
    <row r="64" spans="1:11">
      <c r="A64" s="25" t="s">
        <v>64</v>
      </c>
      <c r="B64">
        <v>2712.13</v>
      </c>
      <c r="C64">
        <v>2651.99</v>
      </c>
      <c r="D64">
        <v>2140.6999999999998</v>
      </c>
      <c r="E64">
        <v>2568.58</v>
      </c>
      <c r="F64">
        <v>2018.85</v>
      </c>
      <c r="G64">
        <v>4736.8</v>
      </c>
      <c r="H64">
        <v>3247.53</v>
      </c>
      <c r="I64">
        <v>4261.71</v>
      </c>
      <c r="J64">
        <v>4587.92</v>
      </c>
      <c r="K64">
        <v>4724.75</v>
      </c>
    </row>
    <row r="65" spans="1:11">
      <c r="A65" s="25" t="s">
        <v>63</v>
      </c>
      <c r="B65">
        <v>4323.96</v>
      </c>
      <c r="C65">
        <v>6191.92</v>
      </c>
      <c r="D65">
        <v>6485.43</v>
      </c>
      <c r="E65">
        <v>6974.03</v>
      </c>
      <c r="F65">
        <v>7706.57</v>
      </c>
      <c r="G65">
        <v>9577.0400000000009</v>
      </c>
      <c r="H65">
        <v>13765.41</v>
      </c>
      <c r="I65">
        <v>14727.57</v>
      </c>
      <c r="J65">
        <v>15467.86</v>
      </c>
      <c r="K65">
        <v>15155.91</v>
      </c>
    </row>
    <row r="66" spans="1:11" s="24" customFormat="1">
      <c r="A66" s="24" t="s">
        <v>37</v>
      </c>
      <c r="B66">
        <v>10559.03</v>
      </c>
      <c r="C66">
        <v>12405.19</v>
      </c>
      <c r="D66">
        <v>13763.48</v>
      </c>
      <c r="E66">
        <v>16248.84</v>
      </c>
      <c r="F66">
        <v>16137.97</v>
      </c>
      <c r="G66">
        <v>20355.34</v>
      </c>
      <c r="H66">
        <v>22958.43</v>
      </c>
      <c r="I66">
        <v>25779.33</v>
      </c>
      <c r="J66">
        <v>29900.77</v>
      </c>
      <c r="K66">
        <v>30355.25</v>
      </c>
    </row>
    <row r="67" spans="1:11" s="25" customFormat="1">
      <c r="A67" s="25" t="s">
        <v>62</v>
      </c>
      <c r="B67">
        <v>1186.8399999999999</v>
      </c>
      <c r="C67">
        <v>1446.6</v>
      </c>
      <c r="D67">
        <v>1730.63</v>
      </c>
      <c r="E67">
        <v>1907.33</v>
      </c>
      <c r="F67">
        <v>1795.22</v>
      </c>
      <c r="G67">
        <v>2602.17</v>
      </c>
      <c r="H67">
        <v>3871.44</v>
      </c>
      <c r="I67">
        <v>4636.9399999999996</v>
      </c>
      <c r="J67">
        <v>4889.05</v>
      </c>
      <c r="K67">
        <v>4313.6499999999996</v>
      </c>
    </row>
    <row r="68" spans="1:11">
      <c r="A68" s="25" t="s">
        <v>61</v>
      </c>
      <c r="B68">
        <v>1998.24</v>
      </c>
      <c r="C68">
        <v>2626.94</v>
      </c>
      <c r="D68">
        <v>2658.31</v>
      </c>
      <c r="E68">
        <v>3149.86</v>
      </c>
      <c r="F68">
        <v>3389.81</v>
      </c>
      <c r="G68">
        <v>3798.6</v>
      </c>
      <c r="H68">
        <v>6152.98</v>
      </c>
      <c r="I68">
        <v>6210.64</v>
      </c>
      <c r="J68">
        <v>5923.41</v>
      </c>
      <c r="K68">
        <v>6719.27</v>
      </c>
    </row>
    <row r="69" spans="1:11">
      <c r="A69" s="22" t="s">
        <v>60</v>
      </c>
      <c r="B69">
        <v>424.2</v>
      </c>
      <c r="C69">
        <v>801.21</v>
      </c>
      <c r="D69">
        <v>404.65</v>
      </c>
      <c r="E69">
        <v>444.88</v>
      </c>
      <c r="F69">
        <v>782.83</v>
      </c>
      <c r="G69">
        <v>610.75</v>
      </c>
      <c r="H69">
        <v>864.33</v>
      </c>
      <c r="I69">
        <v>843.82</v>
      </c>
      <c r="J69">
        <v>1084.01</v>
      </c>
      <c r="K69">
        <v>781.98</v>
      </c>
    </row>
    <row r="70" spans="1:11">
      <c r="A70" s="22" t="s">
        <v>59</v>
      </c>
      <c r="B70">
        <v>959197790</v>
      </c>
      <c r="C70">
        <v>959197790</v>
      </c>
      <c r="D70">
        <v>959197790</v>
      </c>
      <c r="E70">
        <v>959197790</v>
      </c>
      <c r="F70">
        <v>959197790</v>
      </c>
      <c r="G70">
        <v>959197790</v>
      </c>
      <c r="H70">
        <v>959197790</v>
      </c>
      <c r="I70">
        <v>959197790</v>
      </c>
      <c r="J70">
        <v>959197790</v>
      </c>
      <c r="K70">
        <v>959197790</v>
      </c>
    </row>
    <row r="71" spans="1:11">
      <c r="A71" s="22" t="s">
        <v>58</v>
      </c>
    </row>
    <row r="72" spans="1:11">
      <c r="A72" s="22" t="s">
        <v>57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>
      <c r="A74" s="25"/>
    </row>
    <row r="75" spans="1:11">
      <c r="A75" s="25"/>
    </row>
    <row r="76" spans="1:11">
      <c r="A76" s="25"/>
    </row>
    <row r="77" spans="1:11">
      <c r="A77" s="25"/>
    </row>
    <row r="78" spans="1:11">
      <c r="A78" s="25"/>
    </row>
    <row r="79" spans="1:11">
      <c r="A79" s="25"/>
    </row>
    <row r="80" spans="1:11">
      <c r="A80" s="24" t="s">
        <v>56</v>
      </c>
    </row>
    <row r="81" spans="1:11" s="26" customFormat="1">
      <c r="A81" s="28" t="s">
        <v>55</v>
      </c>
      <c r="B81" s="27">
        <v>42460</v>
      </c>
      <c r="C81" s="27">
        <v>42825</v>
      </c>
      <c r="D81" s="27">
        <v>43190</v>
      </c>
      <c r="E81" s="27">
        <v>43555</v>
      </c>
      <c r="F81" s="27">
        <v>43921</v>
      </c>
      <c r="G81" s="27">
        <v>44286</v>
      </c>
      <c r="H81" s="27">
        <v>44651</v>
      </c>
      <c r="I81" s="27">
        <v>45016</v>
      </c>
      <c r="J81" s="27">
        <v>45382</v>
      </c>
      <c r="K81" s="27">
        <v>45747</v>
      </c>
    </row>
    <row r="82" spans="1:11" s="24" customFormat="1">
      <c r="A82" s="25" t="s">
        <v>54</v>
      </c>
      <c r="B82">
        <v>2242.9499999999998</v>
      </c>
      <c r="C82">
        <v>1527.33</v>
      </c>
      <c r="D82">
        <v>2113.44</v>
      </c>
      <c r="E82">
        <v>2469.54</v>
      </c>
      <c r="F82">
        <v>3038.15</v>
      </c>
      <c r="G82">
        <v>3683.35</v>
      </c>
      <c r="H82">
        <v>986.49</v>
      </c>
      <c r="I82">
        <v>4193.43</v>
      </c>
      <c r="J82">
        <v>6103.6</v>
      </c>
      <c r="K82">
        <v>4423.96</v>
      </c>
    </row>
    <row r="83" spans="1:11" s="25" customFormat="1">
      <c r="A83" s="25" t="s">
        <v>53</v>
      </c>
      <c r="B83">
        <v>-866.21</v>
      </c>
      <c r="C83">
        <v>-681.11</v>
      </c>
      <c r="D83">
        <v>-1556.14</v>
      </c>
      <c r="E83">
        <v>-917.79</v>
      </c>
      <c r="F83">
        <v>-517.91</v>
      </c>
      <c r="G83">
        <v>-540.54</v>
      </c>
      <c r="H83">
        <v>-316.75</v>
      </c>
      <c r="I83">
        <v>-1282.3399999999999</v>
      </c>
      <c r="J83">
        <v>-2548.48</v>
      </c>
      <c r="K83">
        <v>-940.91</v>
      </c>
    </row>
    <row r="84" spans="1:11" s="25" customFormat="1">
      <c r="A84" s="25" t="s">
        <v>52</v>
      </c>
      <c r="B84">
        <v>-848.98</v>
      </c>
      <c r="C84">
        <v>-756.43</v>
      </c>
      <c r="D84">
        <v>-1379.14</v>
      </c>
      <c r="E84">
        <v>-1117.46</v>
      </c>
      <c r="F84">
        <v>-2871.46</v>
      </c>
      <c r="G84">
        <v>-650.4</v>
      </c>
      <c r="H84">
        <v>-1807.61</v>
      </c>
      <c r="I84">
        <v>-2140.0500000000002</v>
      </c>
      <c r="J84">
        <v>-2982.5</v>
      </c>
      <c r="K84">
        <v>-3752.58</v>
      </c>
    </row>
    <row r="85" spans="1:11" s="24" customFormat="1">
      <c r="A85" s="25" t="s">
        <v>51</v>
      </c>
      <c r="B85">
        <v>527.76</v>
      </c>
      <c r="C85">
        <v>89.79</v>
      </c>
      <c r="D85">
        <v>-821.84</v>
      </c>
      <c r="E85">
        <v>434.29</v>
      </c>
      <c r="F85">
        <v>-351.22</v>
      </c>
      <c r="G85">
        <v>2492.41</v>
      </c>
      <c r="H85">
        <v>-1137.8699999999999</v>
      </c>
      <c r="I85">
        <v>771.04</v>
      </c>
      <c r="J85">
        <v>572.62</v>
      </c>
      <c r="K85">
        <v>-269.52999999999997</v>
      </c>
    </row>
    <row r="86" spans="1:11">
      <c r="A86" s="25"/>
    </row>
    <row r="87" spans="1:11">
      <c r="A87" s="25"/>
    </row>
    <row r="88" spans="1:11">
      <c r="A88" s="25"/>
    </row>
    <row r="89" spans="1:11">
      <c r="A89" s="25"/>
    </row>
    <row r="90" spans="1:11" s="24" customFormat="1">
      <c r="A90" s="24" t="s">
        <v>50</v>
      </c>
      <c r="B90">
        <v>868.4</v>
      </c>
      <c r="C90">
        <v>1073.5</v>
      </c>
      <c r="D90">
        <v>1120.4000000000001</v>
      </c>
      <c r="E90">
        <v>1492.7</v>
      </c>
      <c r="F90">
        <v>1666.5</v>
      </c>
      <c r="G90">
        <v>2537.4</v>
      </c>
      <c r="H90">
        <v>3079.95</v>
      </c>
      <c r="I90">
        <v>2761.65</v>
      </c>
      <c r="J90">
        <v>2846.75</v>
      </c>
      <c r="K90">
        <v>2340.65</v>
      </c>
    </row>
    <row r="92" spans="1:11" s="24" customFormat="1">
      <c r="A92" s="24" t="s">
        <v>49</v>
      </c>
    </row>
    <row r="93" spans="1:11">
      <c r="A93" s="22" t="s">
        <v>48</v>
      </c>
      <c r="B93" s="23">
        <v>95.92</v>
      </c>
      <c r="C93" s="23">
        <v>95.92</v>
      </c>
      <c r="D93" s="23">
        <v>95.92</v>
      </c>
      <c r="E93" s="23">
        <v>95.92</v>
      </c>
      <c r="F93" s="23">
        <v>95.92</v>
      </c>
      <c r="G93" s="23">
        <v>95.92</v>
      </c>
      <c r="H93" s="23">
        <v>95.92</v>
      </c>
      <c r="I93" s="23">
        <v>95.92</v>
      </c>
      <c r="J93" s="23">
        <v>95.92</v>
      </c>
      <c r="K93" s="23">
        <v>95.92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85CE0130-44FF-42FF-B429-CE55A89E88BB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A4E2-C0E6-466F-96A5-8228813C5CB5}">
  <dimension ref="B1:P30"/>
  <sheetViews>
    <sheetView showGridLines="0" workbookViewId="0">
      <pane ySplit="2" topLeftCell="A3" activePane="bottomLeft" state="frozen"/>
      <selection pane="bottomLeft" activeCell="J13" sqref="J13"/>
    </sheetView>
  </sheetViews>
  <sheetFormatPr defaultRowHeight="14.25"/>
  <cols>
    <col min="1" max="1" width="1.73046875" customWidth="1"/>
    <col min="2" max="2" width="30.3984375" bestFit="1" customWidth="1"/>
    <col min="3" max="14" width="7" bestFit="1" customWidth="1"/>
  </cols>
  <sheetData>
    <row r="1" spans="2:16"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</row>
    <row r="2" spans="2:16" ht="14.65" thickBot="1">
      <c r="C2" s="173">
        <v>41699</v>
      </c>
      <c r="D2" s="173">
        <v>42064</v>
      </c>
      <c r="E2" s="173">
        <v>42430</v>
      </c>
      <c r="F2" s="173">
        <v>42795</v>
      </c>
      <c r="G2" s="173">
        <v>43160</v>
      </c>
      <c r="H2" s="173">
        <v>43525</v>
      </c>
      <c r="I2" s="173">
        <v>43891</v>
      </c>
      <c r="J2" s="173">
        <v>44256</v>
      </c>
      <c r="K2" s="173">
        <v>44621</v>
      </c>
      <c r="L2" s="173">
        <v>44986</v>
      </c>
      <c r="M2" s="173">
        <v>45352</v>
      </c>
      <c r="N2" s="173">
        <v>45717</v>
      </c>
      <c r="O2" s="93"/>
      <c r="P2" s="93"/>
    </row>
    <row r="3" spans="2:16" ht="14.65" thickBot="1">
      <c r="B3" s="32" t="s">
        <v>115</v>
      </c>
      <c r="C3" s="33">
        <v>1402</v>
      </c>
      <c r="D3" s="33">
        <v>1188</v>
      </c>
      <c r="E3" s="33">
        <v>2243</v>
      </c>
      <c r="F3" s="33">
        <v>1527</v>
      </c>
      <c r="G3" s="33">
        <v>2113</v>
      </c>
      <c r="H3" s="33">
        <v>2470</v>
      </c>
      <c r="I3" s="33">
        <v>3038</v>
      </c>
      <c r="J3" s="33">
        <v>3683</v>
      </c>
      <c r="K3" s="34">
        <v>986</v>
      </c>
      <c r="L3" s="33">
        <v>4193</v>
      </c>
      <c r="M3" s="33">
        <v>6104</v>
      </c>
      <c r="N3" s="33">
        <v>4424</v>
      </c>
    </row>
    <row r="4" spans="2:16">
      <c r="B4" s="35" t="s">
        <v>116</v>
      </c>
      <c r="C4" s="33">
        <v>2051</v>
      </c>
      <c r="D4" s="33">
        <v>2271</v>
      </c>
      <c r="E4" s="33">
        <v>2848</v>
      </c>
      <c r="F4" s="33">
        <v>3056</v>
      </c>
      <c r="G4" s="33">
        <v>3274</v>
      </c>
      <c r="H4" s="33">
        <v>3861</v>
      </c>
      <c r="I4" s="33">
        <v>4380</v>
      </c>
      <c r="J4" s="33">
        <v>4970</v>
      </c>
      <c r="K4" s="33">
        <v>4957</v>
      </c>
      <c r="L4" s="33">
        <v>6460</v>
      </c>
      <c r="M4" s="33">
        <v>7929</v>
      </c>
      <c r="N4" s="33">
        <v>6390</v>
      </c>
    </row>
    <row r="5" spans="2:16">
      <c r="B5" s="36" t="s">
        <v>62</v>
      </c>
      <c r="C5" s="37">
        <v>-254</v>
      </c>
      <c r="D5" s="37">
        <v>-155</v>
      </c>
      <c r="E5" s="37">
        <v>-146</v>
      </c>
      <c r="F5" s="37">
        <v>-475</v>
      </c>
      <c r="G5" s="37">
        <v>-483</v>
      </c>
      <c r="H5" s="37">
        <v>-205</v>
      </c>
      <c r="I5" s="37">
        <v>160</v>
      </c>
      <c r="J5" s="37">
        <v>-849</v>
      </c>
      <c r="K5" s="38">
        <v>-1326</v>
      </c>
      <c r="L5" s="37">
        <v>-834</v>
      </c>
      <c r="M5" s="37">
        <v>-362</v>
      </c>
      <c r="N5" s="37">
        <v>282</v>
      </c>
    </row>
    <row r="6" spans="2:16">
      <c r="B6" s="36" t="s">
        <v>61</v>
      </c>
      <c r="C6" s="37">
        <v>-231</v>
      </c>
      <c r="D6" s="37">
        <v>-144</v>
      </c>
      <c r="E6" s="37">
        <v>202</v>
      </c>
      <c r="F6" s="37">
        <v>-629</v>
      </c>
      <c r="G6" s="37">
        <v>-39</v>
      </c>
      <c r="H6" s="37">
        <v>-492</v>
      </c>
      <c r="I6" s="37">
        <v>-251</v>
      </c>
      <c r="J6" s="37">
        <v>-409</v>
      </c>
      <c r="K6" s="38">
        <v>-2354</v>
      </c>
      <c r="L6" s="37">
        <v>-56</v>
      </c>
      <c r="M6" s="37">
        <v>315</v>
      </c>
      <c r="N6" s="37">
        <v>-805</v>
      </c>
    </row>
    <row r="7" spans="2:16">
      <c r="B7" s="36" t="s">
        <v>117</v>
      </c>
      <c r="C7" s="37">
        <v>317</v>
      </c>
      <c r="D7" s="37">
        <v>-151</v>
      </c>
      <c r="E7" s="37">
        <v>142</v>
      </c>
      <c r="F7" s="37">
        <v>501</v>
      </c>
      <c r="G7" s="37">
        <v>442</v>
      </c>
      <c r="H7" s="37">
        <v>287</v>
      </c>
      <c r="I7" s="37">
        <v>-241</v>
      </c>
      <c r="J7" s="38">
        <v>1143</v>
      </c>
      <c r="K7" s="37">
        <v>644</v>
      </c>
      <c r="L7" s="37">
        <v>-539</v>
      </c>
      <c r="M7" s="37">
        <v>269</v>
      </c>
      <c r="N7" s="37">
        <v>-160</v>
      </c>
    </row>
    <row r="8" spans="2:16" ht="14.65" thickBot="1">
      <c r="B8" s="36" t="s">
        <v>118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-92</v>
      </c>
      <c r="K8" s="37">
        <v>242</v>
      </c>
      <c r="L8" s="37">
        <v>657</v>
      </c>
      <c r="M8" s="37">
        <v>-212</v>
      </c>
      <c r="N8" s="37">
        <v>114</v>
      </c>
    </row>
    <row r="9" spans="2:16">
      <c r="B9" s="35" t="s">
        <v>119</v>
      </c>
      <c r="C9" s="34">
        <v>-168</v>
      </c>
      <c r="D9" s="34">
        <v>-450</v>
      </c>
      <c r="E9" s="34">
        <v>198</v>
      </c>
      <c r="F9" s="34">
        <v>-603</v>
      </c>
      <c r="G9" s="34">
        <v>-80</v>
      </c>
      <c r="H9" s="34">
        <v>-410</v>
      </c>
      <c r="I9" s="34">
        <v>-331</v>
      </c>
      <c r="J9" s="34">
        <v>-206</v>
      </c>
      <c r="K9" s="33">
        <v>-2795</v>
      </c>
      <c r="L9" s="34">
        <v>-772</v>
      </c>
      <c r="M9" s="34">
        <v>10</v>
      </c>
      <c r="N9" s="34">
        <v>-570</v>
      </c>
    </row>
    <row r="10" spans="2:16" ht="14.65" thickBot="1">
      <c r="B10" s="36" t="s">
        <v>120</v>
      </c>
      <c r="C10" s="37">
        <v>-480</v>
      </c>
      <c r="D10" s="37">
        <v>-633</v>
      </c>
      <c r="E10" s="37">
        <v>-802</v>
      </c>
      <c r="F10" s="37">
        <v>-925</v>
      </c>
      <c r="G10" s="38">
        <v>-1081</v>
      </c>
      <c r="H10" s="37">
        <v>-982</v>
      </c>
      <c r="I10" s="38">
        <v>-1011</v>
      </c>
      <c r="J10" s="38">
        <v>-1080</v>
      </c>
      <c r="K10" s="38">
        <v>-1176</v>
      </c>
      <c r="L10" s="38">
        <v>-1494</v>
      </c>
      <c r="M10" s="38">
        <v>-1835</v>
      </c>
      <c r="N10" s="38">
        <v>-1396</v>
      </c>
    </row>
    <row r="11" spans="2:16">
      <c r="B11" s="39" t="s">
        <v>121</v>
      </c>
      <c r="C11" s="40">
        <v>-586</v>
      </c>
      <c r="D11" s="40">
        <v>-465</v>
      </c>
      <c r="E11" s="40">
        <v>-866</v>
      </c>
      <c r="F11" s="40">
        <v>-681</v>
      </c>
      <c r="G11" s="41">
        <v>-1556</v>
      </c>
      <c r="H11" s="40">
        <v>-918</v>
      </c>
      <c r="I11" s="40">
        <v>-518</v>
      </c>
      <c r="J11" s="40">
        <v>-541</v>
      </c>
      <c r="K11" s="40">
        <v>-317</v>
      </c>
      <c r="L11" s="41">
        <v>-1282</v>
      </c>
      <c r="M11" s="41">
        <v>-2548</v>
      </c>
      <c r="N11" s="40">
        <v>-941</v>
      </c>
    </row>
    <row r="12" spans="2:16">
      <c r="B12" s="42" t="s">
        <v>122</v>
      </c>
      <c r="C12" s="43">
        <v>-251</v>
      </c>
      <c r="D12" s="43">
        <v>-454</v>
      </c>
      <c r="E12" s="43">
        <v>-817</v>
      </c>
      <c r="F12" s="43">
        <v>-684</v>
      </c>
      <c r="G12" s="44">
        <v>-1426</v>
      </c>
      <c r="H12" s="44">
        <v>-1151</v>
      </c>
      <c r="I12" s="43">
        <v>-404</v>
      </c>
      <c r="J12" s="43">
        <v>-282</v>
      </c>
      <c r="K12" s="43">
        <v>-551</v>
      </c>
      <c r="L12" s="44">
        <v>-1446</v>
      </c>
      <c r="M12" s="44">
        <v>-2496</v>
      </c>
      <c r="N12" s="44">
        <v>-1830</v>
      </c>
    </row>
    <row r="13" spans="2:16">
      <c r="B13" s="42" t="s">
        <v>123</v>
      </c>
      <c r="C13" s="43">
        <v>16</v>
      </c>
      <c r="D13" s="43">
        <v>16</v>
      </c>
      <c r="E13" s="43">
        <v>15</v>
      </c>
      <c r="F13" s="43">
        <v>17</v>
      </c>
      <c r="G13" s="43">
        <v>17</v>
      </c>
      <c r="H13" s="43">
        <v>17</v>
      </c>
      <c r="I13" s="43">
        <v>37</v>
      </c>
      <c r="J13" s="43">
        <v>28</v>
      </c>
      <c r="K13" s="43">
        <v>40</v>
      </c>
      <c r="L13" s="43">
        <v>26</v>
      </c>
      <c r="M13" s="43">
        <v>5</v>
      </c>
      <c r="N13" s="43">
        <v>10</v>
      </c>
    </row>
    <row r="14" spans="2:16">
      <c r="B14" s="42" t="s">
        <v>124</v>
      </c>
      <c r="C14" s="43">
        <v>-872</v>
      </c>
      <c r="D14" s="43">
        <v>-243</v>
      </c>
      <c r="E14" s="43">
        <v>-282</v>
      </c>
      <c r="F14" s="43">
        <v>-153</v>
      </c>
      <c r="G14" s="43">
        <v>-320</v>
      </c>
      <c r="H14" s="43">
        <v>-573</v>
      </c>
      <c r="I14" s="43">
        <v>-25</v>
      </c>
      <c r="J14" s="43">
        <v>-140</v>
      </c>
      <c r="K14" s="43">
        <v>0</v>
      </c>
      <c r="L14" s="43">
        <v>-146</v>
      </c>
      <c r="M14" s="43">
        <v>-212</v>
      </c>
      <c r="N14" s="43">
        <v>-1</v>
      </c>
    </row>
    <row r="15" spans="2:16">
      <c r="B15" s="42" t="s">
        <v>125</v>
      </c>
      <c r="C15" s="43">
        <v>463</v>
      </c>
      <c r="D15" s="43">
        <v>278</v>
      </c>
      <c r="E15" s="43">
        <v>205</v>
      </c>
      <c r="F15" s="43">
        <v>357</v>
      </c>
      <c r="G15" s="43">
        <v>362</v>
      </c>
      <c r="H15" s="43">
        <v>733</v>
      </c>
      <c r="I15" s="43">
        <v>134</v>
      </c>
      <c r="J15" s="43">
        <v>272</v>
      </c>
      <c r="K15" s="43">
        <v>207</v>
      </c>
      <c r="L15" s="43">
        <v>446</v>
      </c>
      <c r="M15" s="43">
        <v>240</v>
      </c>
      <c r="N15" s="43">
        <v>421</v>
      </c>
    </row>
    <row r="16" spans="2:16">
      <c r="B16" s="42" t="s">
        <v>126</v>
      </c>
      <c r="C16" s="43">
        <v>14</v>
      </c>
      <c r="D16" s="43">
        <v>11</v>
      </c>
      <c r="E16" s="43">
        <v>15</v>
      </c>
      <c r="F16" s="43">
        <v>32</v>
      </c>
      <c r="G16" s="43">
        <v>39</v>
      </c>
      <c r="H16" s="43">
        <v>40</v>
      </c>
      <c r="I16" s="43">
        <v>65</v>
      </c>
      <c r="J16" s="43">
        <v>73</v>
      </c>
      <c r="K16" s="43">
        <v>77</v>
      </c>
      <c r="L16" s="43">
        <v>87</v>
      </c>
      <c r="M16" s="43">
        <v>135</v>
      </c>
      <c r="N16" s="43">
        <v>155</v>
      </c>
    </row>
    <row r="17" spans="2:14">
      <c r="B17" s="42" t="s">
        <v>127</v>
      </c>
      <c r="C17" s="43">
        <v>65</v>
      </c>
      <c r="D17" s="43">
        <v>71</v>
      </c>
      <c r="E17" s="43">
        <v>69</v>
      </c>
      <c r="F17" s="43">
        <v>74</v>
      </c>
      <c r="G17" s="43">
        <v>38</v>
      </c>
      <c r="H17" s="43">
        <v>40</v>
      </c>
      <c r="I17" s="43">
        <v>27</v>
      </c>
      <c r="J17" s="43">
        <v>8</v>
      </c>
      <c r="K17" s="43">
        <v>15</v>
      </c>
      <c r="L17" s="43">
        <v>56</v>
      </c>
      <c r="M17" s="43">
        <v>129</v>
      </c>
      <c r="N17" s="43">
        <v>136</v>
      </c>
    </row>
    <row r="18" spans="2:14">
      <c r="B18" s="42" t="s">
        <v>128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-180</v>
      </c>
      <c r="M18" s="43">
        <v>0</v>
      </c>
      <c r="N18" s="43">
        <v>0</v>
      </c>
    </row>
    <row r="19" spans="2:14">
      <c r="B19" s="42" t="s">
        <v>129</v>
      </c>
      <c r="C19" s="43">
        <v>0</v>
      </c>
      <c r="D19" s="43">
        <v>0</v>
      </c>
      <c r="E19" s="43">
        <v>0</v>
      </c>
      <c r="F19" s="43">
        <v>0</v>
      </c>
      <c r="G19" s="43">
        <v>141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38</v>
      </c>
    </row>
    <row r="20" spans="2:14">
      <c r="B20" s="42" t="s">
        <v>130</v>
      </c>
      <c r="C20" s="43">
        <v>0</v>
      </c>
      <c r="D20" s="43">
        <v>0</v>
      </c>
      <c r="E20" s="43">
        <v>0</v>
      </c>
      <c r="F20" s="43">
        <v>0</v>
      </c>
      <c r="G20" s="43">
        <v>-525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</row>
    <row r="21" spans="2:14" ht="14.65" thickBot="1">
      <c r="B21" s="42" t="s">
        <v>131</v>
      </c>
      <c r="C21" s="43">
        <v>-21</v>
      </c>
      <c r="D21" s="43">
        <v>-144</v>
      </c>
      <c r="E21" s="43">
        <v>-70</v>
      </c>
      <c r="F21" s="43">
        <v>-324</v>
      </c>
      <c r="G21" s="43">
        <v>118</v>
      </c>
      <c r="H21" s="43">
        <v>-24</v>
      </c>
      <c r="I21" s="43">
        <v>-353</v>
      </c>
      <c r="J21" s="43">
        <v>-500</v>
      </c>
      <c r="K21" s="43">
        <v>-105</v>
      </c>
      <c r="L21" s="43">
        <v>-126</v>
      </c>
      <c r="M21" s="43">
        <v>-350</v>
      </c>
      <c r="N21" s="43">
        <v>130</v>
      </c>
    </row>
    <row r="22" spans="2:14">
      <c r="B22" s="32" t="s">
        <v>132</v>
      </c>
      <c r="C22" s="34">
        <v>-626</v>
      </c>
      <c r="D22" s="34">
        <v>-576</v>
      </c>
      <c r="E22" s="34">
        <v>-849</v>
      </c>
      <c r="F22" s="34">
        <v>-756</v>
      </c>
      <c r="G22" s="33">
        <v>-1379</v>
      </c>
      <c r="H22" s="33">
        <v>-1117</v>
      </c>
      <c r="I22" s="33">
        <v>-2871</v>
      </c>
      <c r="J22" s="34">
        <v>-650</v>
      </c>
      <c r="K22" s="33">
        <v>-1808</v>
      </c>
      <c r="L22" s="33">
        <v>-2140</v>
      </c>
      <c r="M22" s="33">
        <v>-2982</v>
      </c>
      <c r="N22" s="33">
        <v>-3753</v>
      </c>
    </row>
    <row r="23" spans="2:14">
      <c r="B23" s="36" t="s">
        <v>133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1</v>
      </c>
      <c r="N23" s="37">
        <v>0</v>
      </c>
    </row>
    <row r="24" spans="2:14">
      <c r="B24" s="36" t="s">
        <v>134</v>
      </c>
      <c r="C24" s="37">
        <v>44</v>
      </c>
      <c r="D24" s="37">
        <v>239</v>
      </c>
      <c r="E24" s="37">
        <v>8</v>
      </c>
      <c r="F24" s="37">
        <v>271</v>
      </c>
      <c r="G24" s="37">
        <v>10</v>
      </c>
      <c r="H24" s="37">
        <v>243</v>
      </c>
      <c r="I24" s="37">
        <v>18</v>
      </c>
      <c r="J24" s="37">
        <v>155</v>
      </c>
      <c r="K24" s="37">
        <v>418</v>
      </c>
      <c r="L24" s="37">
        <v>254</v>
      </c>
      <c r="M24" s="37">
        <v>101</v>
      </c>
      <c r="N24" s="37">
        <v>415</v>
      </c>
    </row>
    <row r="25" spans="2:14">
      <c r="B25" s="36" t="s">
        <v>135</v>
      </c>
      <c r="C25" s="37">
        <v>-81</v>
      </c>
      <c r="D25" s="37">
        <v>-86</v>
      </c>
      <c r="E25" s="37">
        <v>-119</v>
      </c>
      <c r="F25" s="37">
        <v>-58</v>
      </c>
      <c r="G25" s="37">
        <v>-54</v>
      </c>
      <c r="H25" s="37">
        <v>-26</v>
      </c>
      <c r="I25" s="37">
        <v>-279</v>
      </c>
      <c r="J25" s="37">
        <v>-14</v>
      </c>
      <c r="K25" s="37">
        <v>-8</v>
      </c>
      <c r="L25" s="37">
        <v>-25</v>
      </c>
      <c r="M25" s="37">
        <v>-98</v>
      </c>
      <c r="N25" s="37">
        <v>-428</v>
      </c>
    </row>
    <row r="26" spans="2:14">
      <c r="B26" s="36" t="s">
        <v>136</v>
      </c>
      <c r="C26" s="37">
        <v>-42</v>
      </c>
      <c r="D26" s="37">
        <v>-35</v>
      </c>
      <c r="E26" s="37">
        <v>-40</v>
      </c>
      <c r="F26" s="37">
        <v>-36</v>
      </c>
      <c r="G26" s="37">
        <v>-35</v>
      </c>
      <c r="H26" s="37">
        <v>-106</v>
      </c>
      <c r="I26" s="37">
        <v>-101</v>
      </c>
      <c r="J26" s="37">
        <v>-89</v>
      </c>
      <c r="K26" s="37">
        <v>-94</v>
      </c>
      <c r="L26" s="37">
        <v>-142</v>
      </c>
      <c r="M26" s="37">
        <v>-191</v>
      </c>
      <c r="N26" s="37">
        <v>-203</v>
      </c>
    </row>
    <row r="27" spans="2:14">
      <c r="B27" s="36" t="s">
        <v>137</v>
      </c>
      <c r="C27" s="37">
        <v>-547</v>
      </c>
      <c r="D27" s="37">
        <v>-695</v>
      </c>
      <c r="E27" s="37">
        <v>-764</v>
      </c>
      <c r="F27" s="37">
        <v>-947</v>
      </c>
      <c r="G27" s="38">
        <v>-1218</v>
      </c>
      <c r="H27" s="38">
        <v>-1049</v>
      </c>
      <c r="I27" s="38">
        <v>-2121</v>
      </c>
      <c r="J27" s="37">
        <v>-499</v>
      </c>
      <c r="K27" s="38">
        <v>-1763</v>
      </c>
      <c r="L27" s="38">
        <v>-1936</v>
      </c>
      <c r="M27" s="38">
        <v>-2551</v>
      </c>
      <c r="N27" s="38">
        <v>-3140</v>
      </c>
    </row>
    <row r="28" spans="2:14">
      <c r="B28" s="36" t="s">
        <v>138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-180</v>
      </c>
      <c r="I28" s="37">
        <v>-179</v>
      </c>
      <c r="J28" s="37">
        <v>-203</v>
      </c>
      <c r="K28" s="37">
        <v>-221</v>
      </c>
      <c r="L28" s="37">
        <v>-256</v>
      </c>
      <c r="M28" s="37">
        <v>-286</v>
      </c>
      <c r="N28" s="37">
        <v>-325</v>
      </c>
    </row>
    <row r="29" spans="2:14" ht="14.65" thickBot="1">
      <c r="B29" s="36" t="s">
        <v>139</v>
      </c>
      <c r="C29" s="37">
        <v>0</v>
      </c>
      <c r="D29" s="37">
        <v>0</v>
      </c>
      <c r="E29" s="37">
        <v>66</v>
      </c>
      <c r="F29" s="37">
        <v>13</v>
      </c>
      <c r="G29" s="37">
        <v>-82</v>
      </c>
      <c r="H29" s="37">
        <v>0</v>
      </c>
      <c r="I29" s="37">
        <v>-209</v>
      </c>
      <c r="J29" s="37">
        <v>0</v>
      </c>
      <c r="K29" s="37">
        <v>-140</v>
      </c>
      <c r="L29" s="37">
        <v>-36</v>
      </c>
      <c r="M29" s="37">
        <v>41</v>
      </c>
      <c r="N29" s="37">
        <v>-72</v>
      </c>
    </row>
    <row r="30" spans="2:14">
      <c r="B30" s="39" t="s">
        <v>51</v>
      </c>
      <c r="C30" s="40">
        <v>190</v>
      </c>
      <c r="D30" s="40">
        <v>147</v>
      </c>
      <c r="E30" s="40">
        <v>528</v>
      </c>
      <c r="F30" s="40">
        <v>90</v>
      </c>
      <c r="G30" s="40">
        <v>-822</v>
      </c>
      <c r="H30" s="40">
        <v>434</v>
      </c>
      <c r="I30" s="40">
        <v>-351</v>
      </c>
      <c r="J30" s="41">
        <v>2492</v>
      </c>
      <c r="K30" s="41">
        <v>-1138</v>
      </c>
      <c r="L30" s="40">
        <v>771</v>
      </c>
      <c r="M30" s="40">
        <v>573</v>
      </c>
      <c r="N30" s="40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HISTORICALS</vt:lpstr>
      <vt:lpstr>FORECASTS</vt:lpstr>
      <vt:lpstr>WACC</vt:lpstr>
      <vt:lpstr>Rm</vt:lpstr>
      <vt:lpstr>Intrinsic Growth</vt:lpstr>
      <vt:lpstr>RAWfs</vt:lpstr>
      <vt:lpstr>DCF</vt:lpstr>
      <vt:lpstr>Data Sheet</vt:lpstr>
      <vt:lpstr>CashFlow Data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Chaudhary</dc:creator>
  <cp:lastModifiedBy>Nishchay Chaudhary</cp:lastModifiedBy>
  <dcterms:created xsi:type="dcterms:W3CDTF">2025-07-08T17:58:42Z</dcterms:created>
  <dcterms:modified xsi:type="dcterms:W3CDTF">2025-07-08T21:03:41Z</dcterms:modified>
</cp:coreProperties>
</file>