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defaultThemeVersion="124226"/>
  <mc:AlternateContent xmlns:mc="http://schemas.openxmlformats.org/markup-compatibility/2006">
    <mc:Choice Requires="x15">
      <x15ac:absPath xmlns:x15ac="http://schemas.microsoft.com/office/spreadsheetml/2010/11/ac" url="C:\Users\Kaylia\Dropbox\PC (2)\Desktop\SNA - Project\"/>
    </mc:Choice>
  </mc:AlternateContent>
  <xr:revisionPtr revIDLastSave="0" documentId="8_{588B6339-B07A-4B4E-AF86-6A6CDE447DEC}" xr6:coauthVersionLast="47" xr6:coauthVersionMax="47" xr10:uidLastSave="{00000000-0000-0000-0000-000000000000}"/>
  <bookViews>
    <workbookView xWindow="-108" yWindow="-108" windowWidth="23256" windowHeight="12456" firstSheet="1"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Export Options" sheetId="8" r:id="rId8"/>
    <sheet name="Network Top Items" sheetId="9" r:id="rId9"/>
    <sheet name="Top Item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B152" i="7" l="1"/>
  <c r="B151" i="7"/>
  <c r="B154" i="7"/>
  <c r="B153" i="7"/>
  <c r="P36" i="7"/>
  <c r="Q36" i="7" s="1"/>
  <c r="P2" i="7"/>
  <c r="B166" i="7"/>
  <c r="B165" i="7"/>
  <c r="B168" i="7"/>
  <c r="B167" i="7"/>
  <c r="R36" i="7"/>
  <c r="S36" i="7" s="1"/>
  <c r="R2" i="7"/>
  <c r="B140" i="7"/>
  <c r="B139" i="7"/>
  <c r="N36" i="7"/>
  <c r="O36" i="7" s="1"/>
  <c r="N2" i="7"/>
  <c r="B137" i="7" s="1"/>
  <c r="B126" i="7"/>
  <c r="B125" i="7"/>
  <c r="L36" i="7"/>
  <c r="M36" i="7" s="1"/>
  <c r="L2" i="7"/>
  <c r="B123" i="7" s="1"/>
  <c r="B112" i="7"/>
  <c r="B111" i="7"/>
  <c r="J36" i="7"/>
  <c r="K36" i="7" s="1"/>
  <c r="J2" i="7"/>
  <c r="B109" i="7" s="1"/>
  <c r="B98" i="7"/>
  <c r="B97" i="7"/>
  <c r="H36" i="7"/>
  <c r="I36" i="7" s="1"/>
  <c r="H2" i="7"/>
  <c r="B95" i="7" s="1"/>
  <c r="B84" i="7"/>
  <c r="B83" i="7"/>
  <c r="F36" i="7"/>
  <c r="G36" i="7" s="1"/>
  <c r="F2" i="7"/>
  <c r="B81" i="7" s="1"/>
  <c r="B68" i="7"/>
  <c r="B67" i="7"/>
  <c r="B70" i="7"/>
  <c r="B69" i="7"/>
  <c r="T36" i="7"/>
  <c r="T2" i="7"/>
  <c r="B82" i="7" l="1"/>
  <c r="B110" i="7"/>
  <c r="B138" i="7"/>
  <c r="B124" i="7"/>
  <c r="B96"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9" i="7"/>
  <c r="U28"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4" i="7"/>
  <c r="U35" i="7"/>
  <c r="O34" i="7" l="1"/>
  <c r="O35" i="7"/>
  <c r="G34" i="7"/>
  <c r="G35" i="7"/>
  <c r="K34" i="7"/>
  <c r="K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C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D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F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G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H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I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J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K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L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M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N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P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Q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R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S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T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X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Y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Z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AA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B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D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<sst xmlns="http://schemas.openxmlformats.org/spreadsheetml/2006/main" count="1295" uniqueCount="637">
  <si>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</si>
  <si>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</si>
  <si>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</si>
  <si>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</si>
  <si>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</si>
  <si>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</si>
  <si>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</si>
  <si>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</si>
  <si>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</si>
  <si>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</si>
  <si>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</si>
  <si>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</si>
  <si>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</si>
  <si>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</si>
  <si>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</si>
  <si>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</si>
  <si>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</si>
  <si>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</si>
  <si>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</si>
  <si>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</si>
  <si>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</si>
  <si>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</si>
  <si>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</si>
  <si>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</si>
  <si>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</si>
  <si>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</si>
  <si>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</si>
  <si>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</si>
  <si>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</si>
  <si>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</si>
  <si>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</si>
  <si>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</si>
  <si>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</si>
  <si>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</si>
  <si>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</si>
  <si>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</si>
  <si>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</si>
  <si>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</si>
  <si>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</si>
  <si>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</si>
  <si>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</si>
  <si>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</si>
  <si>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</si>
  <si>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</si>
  <si>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</si>
  <si>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</si>
  <si>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</si>
  <si>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</si>
  <si>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</si>
  <si>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</si>
  <si>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</si>
  <si>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</si>
  <si>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</si>
  <si>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</si>
  <si>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</si>
  <si>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</si>
  <si>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</si>
  <si>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</si>
  <si>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</si>
  <si>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</si>
  <si>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</si>
  <si>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</si>
  <si>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</si>
  <si>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</si>
  <si>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</si>
  <si>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</si>
  <si>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</si>
  <si>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</si>
  <si>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</si>
  <si>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</si>
  <si>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</si>
  <si>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</si>
  <si>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</si>
  <si>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</si>
  <si>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</si>
  <si>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</si>
  <si>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</si>
  <si>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</si>
  <si>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</si>
  <si>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</si>
  <si>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</si>
  <si>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</si>
  <si>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</si>
  <si>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</si>
  <si>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</si>
  <si>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</si>
  <si>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</si>
  <si>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</si>
  <si>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</si>
  <si>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</si>
  <si>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</si>
  <si>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</si>
  <si>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</si>
  <si>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</si>
  <si>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</si>
  <si>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</si>
  <si>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</si>
  <si>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</si>
  <si>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</si>
  <si>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</si>
  <si>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</si>
  <si>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</si>
  <si>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</si>
  <si>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</si>
  <si>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</si>
  <si>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</si>
  <si>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</si>
  <si>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</si>
  <si>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</si>
  <si>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</si>
  <si>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</si>
  <si>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</si>
  <si>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</si>
  <si>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</si>
  <si>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</si>
  <si>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</si>
  <si>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</si>
  <si>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</si>
  <si>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</si>
  <si>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</si>
  <si>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</si>
  <si>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</si>
  <si>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</si>
  <si>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</si>
  <si>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</si>
  <si>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</si>
  <si>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</si>
  <si>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</si>
  <si>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</si>
  <si>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</si>
  <si>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</si>
  <si>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</si>
  <si>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</si>
  <si>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</si>
  <si>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</si>
  <si>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</si>
  <si>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</si>
  <si>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</si>
  <si>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</si>
  <si>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</si>
  <si>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</si>
  <si>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</si>
  <si>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</si>
  <si>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</si>
  <si>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</si>
  <si>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</si>
  <si>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</si>
  <si>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</si>
  <si>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</si>
  <si>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</si>
  <si>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</si>
  <si>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</si>
  <si>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</si>
  <si>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</si>
  <si>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</si>
  <si>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</si>
  <si>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</si>
  <si>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</si>
  <si>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</si>
  <si>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</si>
  <si>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</si>
  <si>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</si>
  <si>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</si>
  <si>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</si>
  <si>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</si>
  <si>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</si>
  <si>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</si>
  <si>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</si>
  <si>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</si>
  <si>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</si>
  <si>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</si>
  <si>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</si>
  <si>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</si>
  <si>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</si>
  <si>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</si>
  <si>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</si>
  <si>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</si>
  <si>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</si>
  <si>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</si>
  <si>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</si>
  <si>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</si>
  <si>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</si>
  <si>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</si>
  <si>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</si>
  <si>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Workbook Settings 13</t>
  </si>
  <si>
    <t>Workbook Settings 14</t>
  </si>
  <si>
    <t>Workbook Settings 15</t>
  </si>
  <si>
    <t>Workbook Settings Cell Count</t>
  </si>
  <si>
    <t>Directed</t>
  </si>
  <si>
    <t>Autofill Workbook Results</t>
  </si>
  <si>
    <t>▓0▓0▓0▓True▓Black▓Black▓▓▓0▓0▓0▓0▓0▓False▓▓0▓0▓0▓0▓0▓False▓▓0▓0▓0▓True▓Black▓Black▓▓▓0▓0▓0▓0▓0▓False▓▓0▓0▓0▓0▓0▓False▓▓0▓0▓0▓0▓0▓False▓▓0▓0▓0▓0▓0▓False</t>
  </si>
  <si>
    <t>Graph History</t>
  </si>
  <si>
    <t>Relationship</t>
  </si>
  <si>
    <t>Subscribed At</t>
  </si>
  <si>
    <t>Total Items Count</t>
  </si>
  <si>
    <t>New Items Count</t>
  </si>
  <si>
    <t>UCp5Z-MCwvP4LBH8AJ4oXk-g</t>
  </si>
  <si>
    <t>UCm2XzK8LwInDPP7H9NGoG2g</t>
  </si>
  <si>
    <t>UCguyHOb3ojHY3bGoDJ48OZg</t>
  </si>
  <si>
    <t>UCeaEzOMnOJheOUwZkCon0rw</t>
  </si>
  <si>
    <t>UCe8kAyDcuYDCDqjBI6MuNkA</t>
  </si>
  <si>
    <t>UCWOt1BKG_4KCuu5VPEbvwWw</t>
  </si>
  <si>
    <t>UCFnSoBpsKyrqUjWWmHKpH5g</t>
  </si>
  <si>
    <t>UC7A2X5aF0NuOWTfxjTtOHTw</t>
  </si>
  <si>
    <t>UClEMcSd07fHiEfLRDX8KG3Q</t>
  </si>
  <si>
    <t>UCNYrK4tc5i1-eL8TXesH2pg</t>
  </si>
  <si>
    <t>UCnR6NPn9ODoaUO8R9gKm2rQ</t>
  </si>
  <si>
    <t>UCbH7wEhicSduhLLoUmPOtbw</t>
  </si>
  <si>
    <t>UCXz3MIy-LiTvLjjqT9Cr33A</t>
  </si>
  <si>
    <t>UCWovCqBTBpzolUjWb9lzuvA</t>
  </si>
  <si>
    <t>UCKs8oXxRKyNjHJVuiXF8XXQ</t>
  </si>
  <si>
    <t>UCClWZFPC7yXHYYwpjNhFt5Q</t>
  </si>
  <si>
    <t>UC4PIyZ9QeDgRjTS1g35EH2g</t>
  </si>
  <si>
    <t>UCwLRiiWovyFCLqN0iI1qU_Q</t>
  </si>
  <si>
    <t>UCvVYhjD_h8foCbohQbZhR2g</t>
  </si>
  <si>
    <t>UCtcCemTJwwDS48p369ObKLg</t>
  </si>
  <si>
    <t>UCs41Z32AWG2b3scm3a9Y-xQ</t>
  </si>
  <si>
    <t>UCojtK1hCkqu8HMFy-hBcUXg</t>
  </si>
  <si>
    <t>UCoITC9WHgz-Tay15z_0si9Q</t>
  </si>
  <si>
    <t>UCdpipWH8IVrFaOK0HsYy1rg</t>
  </si>
  <si>
    <t>UCdfk_7PLmqVHMUWWyGNatRA</t>
  </si>
  <si>
    <t>UCag58YusU664ZCCzwjMEMTw</t>
  </si>
  <si>
    <t>UC_dyxb4s8mId59-B2PNNiNA</t>
  </si>
  <si>
    <t>UCZuh3ejTqTXIhr6MaFqwArw</t>
  </si>
  <si>
    <t>UCYXD7lDcm-2tgdv09yfL6lA</t>
  </si>
  <si>
    <t>UCWxE5s109EIHYsPKOh1z3oA</t>
  </si>
  <si>
    <t>UCPpw6jRIL1B9nU0k7-GujOQ</t>
  </si>
  <si>
    <t>UCHeUMKhN5l4n-VWGGswvUCw</t>
  </si>
  <si>
    <t>UCEnu3BHoR9IYgBnCkqQdgmA</t>
  </si>
  <si>
    <t>UC7wNYrjuRM_7e0MOplkLDyw</t>
  </si>
  <si>
    <t>UC12dcMYnqa3yGZ_pUaSBnZw</t>
  </si>
  <si>
    <t>UC0TP_s71CvInU-CmRtgyiAQ</t>
  </si>
  <si>
    <t>UCQVfY-ask5eSxnoFxVLHsBw</t>
  </si>
  <si>
    <t>UCz2ddzwu-3ifhDTj6omk20A</t>
  </si>
  <si>
    <t>UCyCuRfcTrz8qD7kZszET92Q</t>
  </si>
  <si>
    <t>UCxzk9qJETIhJoARlE9YpCYQ</t>
  </si>
  <si>
    <t>UCuc9Xa5EfBp4zoD74dHMDvQ</t>
  </si>
  <si>
    <t>UCtig_Zsm0JfiO3w6SuX124Q</t>
  </si>
  <si>
    <t>UCtgf00GvfFQVsYBA7V7RwUw</t>
  </si>
  <si>
    <t>UCrwLnuvvymjFUccBLPf_Paw</t>
  </si>
  <si>
    <t>UCquNxHzzulWwpr79cjQN7Sg</t>
  </si>
  <si>
    <t>UCqquMk3impkDbAhpvzs7SiA</t>
  </si>
  <si>
    <t>UCn5cRPf1pK4KiOft5jFC6hw</t>
  </si>
  <si>
    <t>UCjSBzzV4tpqYo4gOkxQWuKw</t>
  </si>
  <si>
    <t>UCjIHhqo4iz_nS8f-lM85xxg</t>
  </si>
  <si>
    <t>UCihRrhpBmAybz0YDybEiKlQ</t>
  </si>
  <si>
    <t>UChcDN40Dzw9lx6tCQCsreqQ</t>
  </si>
  <si>
    <t>UCgDonEnzimXorrs_x8HuGhw</t>
  </si>
  <si>
    <t>UCfvfr_Z8My0A7ePk-tPcKPQ</t>
  </si>
  <si>
    <t>UCe0jxQdGRbcAcy8O12xQCRg</t>
  </si>
  <si>
    <t>UCbPtWPf2ULHF-unT4UB-2wQ</t>
  </si>
  <si>
    <t>UC_jjtDHJ0AtX-9SbNco8cPg</t>
  </si>
  <si>
    <t>UC__YZ-W7ttkWFvX9oDLaLng</t>
  </si>
  <si>
    <t>UCYJAWYPaCWyef0z5N2cBp6w</t>
  </si>
  <si>
    <t>UCYFy48c_FBjhJd7DoiDoaJw</t>
  </si>
  <si>
    <t>UCTkm60Q8VrLYYxxTsG-IZbQ</t>
  </si>
  <si>
    <t>UCQYtP_B06zgPQ1gVJAm5vkg</t>
  </si>
  <si>
    <t>UCQG8usDJjq8OjMgtNDQC6fg</t>
  </si>
  <si>
    <t>UCPjVrl_JDOb1D2PN5o9j9ig</t>
  </si>
  <si>
    <t>UCOqnUOb_wRaWkohfpp84zLQ</t>
  </si>
  <si>
    <t>UCNfT-1X71ogTQZQVGrPHmlQ</t>
  </si>
  <si>
    <t>UCLD0A9LRHw6ACHHBq6FB8oQ</t>
  </si>
  <si>
    <t>UCIdwa6ujSQ3DciKgzUb9HLw</t>
  </si>
  <si>
    <t>UCHXTAOPGEiUn-hst_H546Jw</t>
  </si>
  <si>
    <t>UCEPmJ5s2mlg_0nDkRgvjkAw</t>
  </si>
  <si>
    <t>UCDMepdE-aYuGUe-G242z4Kw</t>
  </si>
  <si>
    <t>UCDEJi9HGDig2PvUlrsvugCQ</t>
  </si>
  <si>
    <t>UCCyMSf0BuLAuPADasB-zdVA</t>
  </si>
  <si>
    <t>UCBcS4geMoYqoVFLs3sD1jcQ</t>
  </si>
  <si>
    <t>UCAHki-8bOudte1cmFelEgrQ</t>
  </si>
  <si>
    <t>UC8896qpTeFyKSnQpIzu44MQ</t>
  </si>
  <si>
    <t>UC7yNkTdYv4bwutxcjMSXTAw</t>
  </si>
  <si>
    <t>UC6ZRgQHI6_ucBafj9brrzfw</t>
  </si>
  <si>
    <t>UC69X_3kGAa81rHEj9Q-29Cg</t>
  </si>
  <si>
    <t>UC5H6b3FQvSoKUsOI4QhTgbw</t>
  </si>
  <si>
    <t>UC4DavrlnZOwnqU7QyBJEfWQ</t>
  </si>
  <si>
    <t>UC3xqScVO3J1dU9psEhI8rnA</t>
  </si>
  <si>
    <t>UC3bkDBRK0XctW5IiM0nLhEQ</t>
  </si>
  <si>
    <t>UC3NxYhOtlHEqzI10SsCaxqw</t>
  </si>
  <si>
    <t>UC2MOqU0AbB-3VtepIxAKUuw</t>
  </si>
  <si>
    <t>UC1hnxClYuxHVy688A7Q8EwQ</t>
  </si>
  <si>
    <t>UC1d-n1VroGV6OIDETBjzWnw</t>
  </si>
  <si>
    <t>UC05SRcsr7eU9KJKMIehKWKQ</t>
  </si>
  <si>
    <t>UCVrbOqQTzgzERYF8GsTomyQ</t>
  </si>
  <si>
    <t>UCH_Q7vctYZCnfcyKYf3_Lbg</t>
  </si>
  <si>
    <t>UCDwWfdREKOztzueJieWxSQA</t>
  </si>
  <si>
    <t>UCwb5SKbXtzj2QDVPhTZsYTg</t>
  </si>
  <si>
    <t>UCoimbOHLiA3S-B-_dB21dJA</t>
  </si>
  <si>
    <t>UCd2xhvdOxiErQqRLI_hcfWw</t>
  </si>
  <si>
    <t>UCJq4hu1Mb1yDeUKEN6EZvvQ</t>
  </si>
  <si>
    <t>UC8sk4aItJsusoezSmfgOkAA</t>
  </si>
  <si>
    <t>UCSPUdoIIVeotX3-Co05DCZg</t>
  </si>
  <si>
    <t>UCGsH8LHShnCnmRis4Jkd_dw</t>
  </si>
  <si>
    <t>UCEua_4YJSRMzxlNrkyvwMaQ</t>
  </si>
  <si>
    <t>UC2fMl4Xc5TBqOq2M7ijJjzQ</t>
  </si>
  <si>
    <t>UC1AiSUpj6PqL13yeNOyJ20A</t>
  </si>
  <si>
    <t>UCLnhmTzipDj9_T6faNqSI_Q</t>
  </si>
  <si>
    <t>UC43esGt-pzMi7_SYS-jvNVg</t>
  </si>
  <si>
    <t>UCudx6plmpbs5WtWvsvu-EdQ</t>
  </si>
  <si>
    <t>Subscribed To</t>
  </si>
  <si>
    <t>Custom Menu Item Text</t>
  </si>
  <si>
    <t>Custom Menu Item Action</t>
  </si>
  <si>
    <t>Title</t>
  </si>
  <si>
    <t>Description</t>
  </si>
  <si>
    <t>Open YouTube Page for This Channel</t>
  </si>
  <si>
    <t>Zeltik</t>
  </si>
  <si>
    <t>ghc52</t>
  </si>
  <si>
    <t>schmoyoho</t>
  </si>
  <si>
    <t>UBCFA Performances</t>
  </si>
  <si>
    <t>Buffalopundit</t>
  </si>
  <si>
    <t>jceglia</t>
  </si>
  <si>
    <t>Invest Buffalo Niagara</t>
  </si>
  <si>
    <t>spiritwalker54</t>
  </si>
  <si>
    <t>Maiklusha</t>
  </si>
  <si>
    <t>Matthew Shaffer</t>
  </si>
  <si>
    <t>wbfo</t>
  </si>
  <si>
    <t>University at Buffalo Admissions</t>
  </si>
  <si>
    <t>UBCSTEP</t>
  </si>
  <si>
    <t>University at Buffalo International Admissions</t>
  </si>
  <si>
    <t>UB CSTEP</t>
  </si>
  <si>
    <t>University at Buffalo Honors College</t>
  </si>
  <si>
    <t>SEESL Buffalo</t>
  </si>
  <si>
    <t>UBStrategicStrengths</t>
  </si>
  <si>
    <t>Sarah Smykowski</t>
  </si>
  <si>
    <t>UB Experiential Learning Network</t>
  </si>
  <si>
    <t>Jon Bonebrake advising videos</t>
  </si>
  <si>
    <t>Visit Buffalo Niagara</t>
  </si>
  <si>
    <t>Total Training</t>
  </si>
  <si>
    <t>UB Academic Integrity</t>
  </si>
  <si>
    <t>ubthunderoftheeast</t>
  </si>
  <si>
    <t>UCLA</t>
  </si>
  <si>
    <t>UCLACourses</t>
  </si>
  <si>
    <t>Federal Student Aid</t>
  </si>
  <si>
    <t>UB Fellowships and Scholarships</t>
  </si>
  <si>
    <t>UB Curriculum</t>
  </si>
  <si>
    <t>Rebekah Reid</t>
  </si>
  <si>
    <t>ubartsandsciences</t>
  </si>
  <si>
    <t>WebsEdge Science</t>
  </si>
  <si>
    <t>The State University of New York</t>
  </si>
  <si>
    <t>Fashion Institute of Technology</t>
  </si>
  <si>
    <t>Genesee Community College</t>
  </si>
  <si>
    <t>BinghamtonUniversity</t>
  </si>
  <si>
    <t>SUNY Oswego</t>
  </si>
  <si>
    <t>SUNY Brockport</t>
  </si>
  <si>
    <t>TeknoAXE's Royalty Free Music</t>
  </si>
  <si>
    <t>SBUVideo</t>
  </si>
  <si>
    <t>SUNYECC</t>
  </si>
  <si>
    <t>TC3Videos</t>
  </si>
  <si>
    <t>SUNY Plattsburgh</t>
  </si>
  <si>
    <t>Finger Lakes Community College</t>
  </si>
  <si>
    <t>RocklandCC Media</t>
  </si>
  <si>
    <t>NCCCAdmissions</t>
  </si>
  <si>
    <t>ESFTV</t>
  </si>
  <si>
    <t>Onondaga Community College</t>
  </si>
  <si>
    <t>Fredonia Music - Old Account</t>
  </si>
  <si>
    <t>Tina Shafer</t>
  </si>
  <si>
    <t>XCELatBinghamton</t>
  </si>
  <si>
    <t>PurchaseCollege</t>
  </si>
  <si>
    <t>IOCSatSBU</t>
  </si>
  <si>
    <t>Fredonia TADA</t>
  </si>
  <si>
    <t>SUNY Potsdam</t>
  </si>
  <si>
    <t>Binghamton University HPP</t>
  </si>
  <si>
    <t>SUNY College of Environmental Science and Forestry</t>
  </si>
  <si>
    <t>UBuffalo Social Work</t>
  </si>
  <si>
    <t>WFITnews</t>
  </si>
  <si>
    <t>MonroeCCRochester</t>
  </si>
  <si>
    <t>SUNY New Paltz</t>
  </si>
  <si>
    <t>Herkimer College Communication and Media</t>
  </si>
  <si>
    <t>jeffersoncommunityco</t>
  </si>
  <si>
    <t>SUNY JCC</t>
  </si>
  <si>
    <t>University at Albany</t>
  </si>
  <si>
    <t>SBUCareerCenter</t>
  </si>
  <si>
    <t>SUNY Morrisville Mustangs</t>
  </si>
  <si>
    <t>Brookhaven Lab</t>
  </si>
  <si>
    <t>Farmingdale State College</t>
  </si>
  <si>
    <t>SUNY Oneonta</t>
  </si>
  <si>
    <t>Stony Brook Athletics</t>
  </si>
  <si>
    <t>Alfred State</t>
  </si>
  <si>
    <t>Fredonia</t>
  </si>
  <si>
    <t>Hudson Valley Community College</t>
  </si>
  <si>
    <t>SUNY Ulster</t>
  </si>
  <si>
    <t>SUNY Canton</t>
  </si>
  <si>
    <t>cortlandsc</t>
  </si>
  <si>
    <t>BinghamtonAthletics</t>
  </si>
  <si>
    <t>Stony Brook University</t>
  </si>
  <si>
    <t>SUNY Geneseo</t>
  </si>
  <si>
    <t>SUNY Delhi</t>
  </si>
  <si>
    <t>Upstate Medical University</t>
  </si>
  <si>
    <t>SUNY Polytechnic Institute</t>
  </si>
  <si>
    <t>UBuffalo Pharmacy and Pharmaceutical Sciences</t>
  </si>
  <si>
    <t>ublibraries</t>
  </si>
  <si>
    <t>Amy Matikosh</t>
  </si>
  <si>
    <t>UB MBA and MS Programs</t>
  </si>
  <si>
    <t>EducationUSA</t>
  </si>
  <si>
    <t>University at Buffalo Alumni</t>
  </si>
  <si>
    <t>ubcampusliving</t>
  </si>
  <si>
    <t>UBuffalo Career Design Center</t>
  </si>
  <si>
    <t>University at Buffalo</t>
  </si>
  <si>
    <t>University at Buffalo School of Law</t>
  </si>
  <si>
    <t>UBCFA - University at Buffalo Center for the Arts</t>
  </si>
  <si>
    <t>TrueBlueUBathletics</t>
  </si>
  <si>
    <t>UBengineering</t>
  </si>
  <si>
    <t>UB Student Life</t>
  </si>
  <si>
    <t>UB Bulls</t>
  </si>
  <si>
    <t>UB Student Affairs</t>
  </si>
  <si>
    <t>UB University Advancement</t>
  </si>
  <si>
    <t>oozfest2009</t>
  </si>
  <si>
    <t>mikeo550</t>
  </si>
  <si>
    <t>Legend of Zelda YouTuber.
-
https://twitter.com/Zeltik
Intro theme composed by: http://bit.ly/RuvenWegner</t>
  </si>
  <si>
    <t>hi</t>
  </si>
  <si>
    <t>Schmoyoho is made by The Gregory Brothers: Michael, Andrew, Sarah, and Evan. This channel is where we Songify® the universe in an attempt to create a cosmic dance party that brings world peace to all.
Videos / series here include Songify the News (previously Auto-Tune the News), Songify This, the Takeo Cinematic Universe, and other strange offerings, that hopefully can help you thrust your pelvis in rhythm.
Send us suggestions on Twitter or IG for our next video--then we can all sing and dance along together, our true destiny.
business inquiries: schmoyoho@moreyellow.com</t>
  </si>
  <si>
    <t>Welcome to the Center for the Arts at the University at Buffalo! We are a multi-disciplinary arts venue that showcases student, faculty, community art, and entertainment in an open and welcoming setting. We’re home to a community of student and WNY artists.
On this channel,  you’ll see great performances—theater, dance, music and media.  The CFA is where art gets made at UB—and we believe the process is just as fascinating as the final presentation. Please visit our second UBCFA channel, where you’ll also watch art getting made, and discover behind-the-scenes footage.  Of course, the CFA isn’t just for artists.  Artists need audiences, and our door is always open to all. Everyone is welcome to browse our playlists and subscribe to our channels. Participants in videos on this channel complied with all relevant university, county, state and federal health and safety requirements associated with the COVID-19 pandemic as they applied at the time of recording.</t>
  </si>
  <si>
    <t>From its 18th century beginnings as a small trading community, to the opening of the Erie Canal, to an emergent position as a leader in power and industry, the Buffalo Niagara region has flourished as a seat of international trade, higher education, and on-going innovation and entrepreneurship.
With our progressive business climate, abundant natural resources, superior existing infrastructure, acclaimed productive workforce and a dynamic and affordable lifestyle, Buffalo Niagara Enterprise can without hesitation proudly offer the Buffalo Niagara region as a microcosm of the kind of power that has written, and will continue to build on, the American success story.</t>
  </si>
  <si>
    <t>Founder, Artistic Director: Joseph Cipolla
Resident Choreographer: Michael Shannon
Principal Guest Choreographer: Susan Jaffe
Founder Emeritus: Catherine Batcheller
Company Manager: Kolleen Fischer
Videographer: Sean P. Corcoran</t>
  </si>
  <si>
    <t>PLEASE VISIT A GROUP PRODUCTION'S YouTube Channel for AWESOME VIDEOS, PARODY'S &amp; TV Shows starring Matthew!_x000D_
http://www.youtube.com/jeffpayton</t>
  </si>
  <si>
    <t>The University of Buffalo is top 40 public university, New York's No. 1 public, and a smart investment in your future—and it all starts here.
Participants in the video footage featured on this channel complied with all relevant university, county, state and federal health and safety requirements associated with the COVID-19 pandemic as they applied at the time of filming. Some footage was captured prior to 2020.</t>
  </si>
  <si>
    <t>Welcome to the University at Buffalo Honors College YouTube Page! _x000D_
_x000D_
Since the 1920's when the university established one of the nation's first Honors Programs continuing through its modern incarnation in 1981, UB has attracted first class scholars, and its graduates are distributed all over the world. Our name change reflects the fact that our program/college has grown to over 1000 students and that the curriculum encompasses four years of exciting course work with an emphasis on experiential learning. As you peruse our website, you will see Honors Scholars engaged in a host of research and creative activities throughout the globe, involved in internships and study abroad programs, and garnering national awards and fellowships. We are delighted that you can spend a few minutes celebrating our College's many opportunities.</t>
  </si>
  <si>
    <t>The Experiential Learning Network is a dynamic resource open to all University at Buffalo undergraduate students. Stop into 17 Norton to learn more! http://buffalo.edu/eln</t>
  </si>
  <si>
    <t>Videos on academic advising and other related information.</t>
  </si>
  <si>
    <t>Tourism videos about the architecture, history, heritage and culinary scene of Buffalo, New York.</t>
  </si>
  <si>
    <t>https://linktr.ee/totaltrainingonline
Total Training has been teaching people to get the most from their software for more than 20 years.  We have trained millions to use their software to it's fullest potential by creating fun and engaging tutorials that are taught by industry experts.   We've also added courses on coding, web development, sales, marketing, cyber security, soft skills, and so much more – offering a complete and TOTAL training experience! 
Our goal is to help you make most of your career, take your skills to the next level, and remain fresh and relevant in your industry.
Our YouTube channel includes content from of our full series of courses and is available for anyone who wants to watch and learn.  If you like these tutorials you can become a Total Training subscriber and get unlimited access to all of our training courses, plus work-along project files, starting at one low monthly cost for full access.  Visit us at www.totaltraining.com for more info.</t>
  </si>
  <si>
    <t>Academic integrity, the honest completion of work, is the value upon which a university is built. All members of the UB community may not understand the intricacies of academic integrity and how it is upheld at the university. The Office of Academic Integrity is here to provide education and support to instructors and students as they pursue their academic endeavors. 
The Office of Academic Integrity (OAI) at the University at Buffalo promotes the university’s fundamental value of integrity in the academic enterprise. By holding students accountable to honesty in the learning and research processes, supporting faculty in creating academically sound learning environments, and working with the campus community to fairly and consistently enforce academic policies, OAI helps propel students to academic excellence and protects UB’s status as a premier research university</t>
  </si>
  <si>
    <t>For nearly a century, UCLA has been home to dreamers and game changers. People come to these sun-drenched grounds not to be famous or to win awards but to be great. They become innovators and influencers, groundbreakers and nation builders that move the hearts and minds of the world. 
We are optimists. Bruin spirit imbues everything we do. 
Take a look and you'll see why.</t>
  </si>
  <si>
    <t>Welcome to courses at UCLA, where you can watch complete UCLA undergraduate courses.  _x000D_
_x000D_
UCLA is big:_x000D_
_x000D_
» 26,000 undergraduates and 12,000 graduate students._x000D_
_x000D_
» More than 5,000 courses offered each year, taught by a world class faculty who go well beyond dispensing knowledge; they create it._x000D_
_x000D_
» Thirty-one departments ranked among the top twenty in their field; thirteen among the top ten._x000D_
_x000D_
Unimagined diversity, unmatched breadth and depth of scholarship and limitless possibility._x000D_
_x000D_
See more at UCLA's main YouTube channel at youtube.com/ucla.</t>
  </si>
  <si>
    <t>Federal Student Aid, an Office of the U.S. Dept. of Education, helps make a college education possible for every dedicated mind by providing more than $150 billion each year in grants, loans, &amp; work-study funds. For more info, visit http://StudentAid.gov.</t>
  </si>
  <si>
    <t>The University at Buffalo has worked diligently to increase the number of students applying for, and winning, international and national fellowships and scholarships. This channel supports the outreach of the Office of Fellowships and Scholarships.</t>
  </si>
  <si>
    <t>This channel contains videos designed to help students and faculty navigate the UB Curriculum components and the UBPortfolio platform.</t>
  </si>
  <si>
    <t>Welcome to the University at Buffalo College of Arts and Sciences YouTube Channel!</t>
  </si>
  <si>
    <t>WebsEdge/Science is our group of products and services for educational organizations, connecting issues and audiences through the power of television. http://www.websedge.com</t>
  </si>
  <si>
    <t>SUNY is the largest comprehensive university system in the U.S., educating over 463,000 students in more than 7,500 degree and certificate programs on 64 campuses with close to 3 million alumni around the globe! To learn more about how SUNY creates opportunity, visit www.suny.edu.</t>
  </si>
  <si>
    <t>Official YouTube Channel of the Fashion Institute of Technology in New York City</t>
  </si>
  <si>
    <t>Official Youtube Channel of Genesee Community College (GCC)
GCC's main campus is in Batavia, New York. We offer 100s of Online Courses &amp; have Campus Centers in Albion, Arcade, Dansville, Lima, Medina &amp; Warsaw, offering more than 65 degree &amp; certificate programs. Visit https://www.genesee.edu/ to learn more!</t>
  </si>
  <si>
    <t>BINGHAMTON has earned a reputation as the premier public university in the Northeast because of its exceptional, innovative academic programs, outstanding students, faculty and staff, and the graduation rates. For 60 years, we have been sustained by a vision of excellence that has earned us accolades as the "crown jewel" of New York State's public university system._x000D_
_x000D_
As you explore our videos, we hope you will agree that Binghamton is indeed a public university where excellence is prized, creativity is encouraged, and students are well prepared for the challenges of the 21st century.</t>
  </si>
  <si>
    <t>Videos by, for and about the SUNY Oswego family, from future students to proud alumni. Account managed by SUNY Oswego’s Office of Communications and Marketing.</t>
  </si>
  <si>
    <t>The College at Brockport, State University of New York, is one of the best values in Higher Education, committed to helping our students pursue something greater.
Fast Facts:
Founded- 1835
Enrollment (Fall 2013)
Undergraduate enrollment: 7,090
Graduate enrollment: 1,038
Undergraduate majors: 49
Graduate programs: 50</t>
  </si>
  <si>
    <t>You CAN use my Royalty Free Music for your videos and films, for commercial and non commercial purposes, whether your videos are monetized or not, without fear of DMCAs or Content I.D. matches. I have music for your intros and outros, Let's Plays and Montages, Tutorials, Skits, your Channel Trailers and VFX movies.
I have a diverse and extensive collection of music, such as dubstep, trailer music, heavy metal, suspense, comedy, among other genres.  Check out http://www.teknoaxe.com to explore more of my music for your video making needs and for more tips on using my music in your videos.</t>
  </si>
  <si>
    <t>Official videos and student favorites for Stony Brook University.  Sponsored by Academic Technology Services.</t>
  </si>
  <si>
    <t>Official YouTube web page dedicated to TC3 (Tompkins Cortland Community College). An excellent source for all things TC3.</t>
  </si>
  <si>
    <t>What do you want from your college education? That may not be an easy question to answer. We know that._x000D_
_x000D_
The hallmark of a SUNY Plattsburgh education is to provide you - as an individual - with the opportunities you need to discover your highest potential. Our goal is to help you to become successful in college and beyond - to stand out in whatever you do, whether you are starting as a high-achieving student or as someone ready to realize your undiscovered potential.</t>
  </si>
  <si>
    <t>Finger Lakes Community College was established in 1965 and opened for instruction in 1967.  Set on a 250-acre, park-like campus, the College is part of the State University of New York (SUNY) system.  It is a public, open access institution dedicated to providing a quality education in a student-centered environment.  _x000D_
_x000D_
Located in the Finger Lakes region near Canandaigua, NY, the College lies in an area known for its beautiful natural surroundings, exquisite fall foliage, Canandaigua Lake, and local wineries.  In addition to the main campus, the College provides instruction at its campus centers in Geneva and Newark and at its Muller Conservation Field Station on Honeoye Lake.</t>
  </si>
  <si>
    <t>Content produced by Christopher Baycura (and others where noted) at The State University of New York College of Environmental Science and Forestry (SUNY-ESF) in Syracuse, New York.</t>
  </si>
  <si>
    <t>Please join us on our new channel for LIVE STREAMING: https://www.youtube.com/channel/UC6kh11K06Qhnp2SQEHkToOA
Fredonia School of Music at the State University of New York at Fredonia. 11 degree plans, 18+ ensembles, 25+ music-related student groups, award-winning faculty and 600+ students.</t>
  </si>
  <si>
    <t>History of The New York Songwriterʼs Circle. Singer Songwriter/vocal coach Tina Shafer, started hosting and booking the New York Songwriterʼs Circle in 1991.  Held at the legendary Bitter End in NYC.  The Songwriters Circle has been home to some of best artists of the last three decades including Norah Jones, George David Weiss, Lisa Loeb, Steven Dorff, Judy Collins, Phoebe Snow, John Oates, Marc Cohn, Rob Mathes, Peter Zizzo, Albert Hammond, The Story, Jesse Harris, Siedah Garrett (Michael Jackson), Gary Burr, Hugh Prestwood, Marcus Hummon, Kevin Bents,  Big and Rich, Sixpence Non the Richer, Martraca Berg, Company of Thieves, Ian Axel, Billy Porter, Toby Lightman, Tina Shafer, Ari Zizzo, Rodney Crowell, Vanessa Carlton, Gavin DeGraw and Lana Del Rey to name a few...later she  incorporated up and coming young talent nights  as well. The showcases meet once a month on the first Monday of the month.</t>
  </si>
  <si>
    <t>Purchase College, SUNY, offers arts and liberal arts programs that cross traditional boundaries, emphasizing critical inquiry, imagination and expression.  _x000D_
_x000D_
Purchase College offers the opportunity for transformative education in a community where disciplines connect, intersect, and enhance each other. We are a community that embraces individuality.  We cherish and nourish diversity, excellence, creativity, innovation, and openness.</t>
  </si>
  <si>
    <t>SUNY Fredonia's Department of Theatre and Dance presents videos of its activities.</t>
  </si>
  <si>
    <t>This channel is designed to bring information to all college students here at Binghamton University and other Colleges and Universities around the world. The Health Promotion and Prevention Department is made up of groups that include MHOPE, REACH, 20:1 Bystander, 20:1 Sexual Assault and more.
Health Education is a division of the Binghamton University Student Affairs Department.</t>
  </si>
  <si>
    <t>Founded in 1911, the State University of New York College of Environmental Science and Forestry is the nation's most distinguished institution dedicated to the study of the environment, developing renewable technologies, and building a sustainable future.</t>
  </si>
  <si>
    <t>The University at Buffalo School of Social Work is a vibrant and diverse community of scholars, educators, practitioners, and life-long learners—we are unified by our vision of a better society achieved through the generation and transmission of knowledge, promotion of social justice, and service to humanity.</t>
  </si>
  <si>
    <t>Stay Connected. WFIT</t>
  </si>
  <si>
    <t>Monroe Community College (MCC) in Rochester, NY has served the education and training needs of the Greater Rochester community for more than 50 years. The College offers 100+ transfer and career programs; honors courses; a wide varieties of lectures and student activities; travel and internship opportunities; and exceptional student services and support. MCC is part of the 64-campus State University of New York system, the largest university system in North America.</t>
  </si>
  <si>
    <t>One of the nation's most open, diverse, and artistic academic environments. New Paltz is a special place for students to thrive in a rigorous academic environment where students receive and create close personal links with real scholars and artists who love to teach.</t>
  </si>
  <si>
    <t>New Program, Long Tradition.
Join the new program founded on over forty years of media excellence. 
Communication and Media A.S. prepares you for transfer to a wide variety of four-year media and communication programs. It emphasizes transferability, hands-on creation and digital media, including video, graphics and emerging media.  
The program meets requirements for three SUNY Transfer Paths—Communication: Media, Communication: Non-media and Media Production. This ensures you’ll have a smooth transition to continue your studies at a wide selection of SUNY schools and programs.
Graduates from our media programs have achieved a high level of success throughout the industry, locally and beyond.</t>
  </si>
  <si>
    <t>On-campus and online, Jefferson Community College is the Watertown regions leading resource for leading better lives, offering highly rated Associates degrees, 4-year college transfers, certificate programs, outstanding adult learning and job-training programs, and more. _x000D_
_x000D_
Learn more at www.SUNYJefferson.edu.  _x000D_
_x000D_
There's More Here—for you.</t>
  </si>
  <si>
    <t>JCC, founded in 1950 as a predominantly transfer, liberal arts oriented institution, was among the first community colleges within the State University of New York. The remarkable development of the college is a tribute to a dedicated faculty and administration, combined with support and encouragement from the officials and citizens of its service area.
Note: The views expressed in these videos are those of the author(s) and do not necessarily reflect those of JCC.</t>
  </si>
  <si>
    <t>At the University at Albany, we know greatness. For 175 years, we’ve been fueled by a unique mix of academic excellence, internationally recognized research, and world-class faculty. Our students relentlessly pursue possibilities, create connections, and seize opportunities – locally and globally – with a single-minded purpose: to author their own success, doing the things that matter. 
Unleash your greatness at the University at Albany.</t>
  </si>
  <si>
    <t>The official YouTube channel of the Stony Brook University Career Center.</t>
  </si>
  <si>
    <t>SUNY Morrisville is committed to learning through experience, building a strong and diverse community, and creating a sustainable future.</t>
  </si>
  <si>
    <t>Brookhaven National Laboratory delivers discovery science and transformative technology to power and secure the nation’s future. Primarily supported by the U.S. Department of Energy’s (DOE) Office of Science, Brookhaven Lab is a multidisciplinary laboratory with seven Nobel Prize-winning discoveries, 37 R&amp;D 100 Awards, and more than 70 years of pioneering research.</t>
  </si>
  <si>
    <t>Farmingdale State College has an enrollment of just over 10,000 students and ranks #2 among all SUNY campuses in lowest student debt. Over 90% of our students are employed within six months of graduation and earn among the highest wages among SUNY alumni. With affordable SUNY tuition, FSC could be your home away from home!</t>
  </si>
  <si>
    <t>SUNY Oneonta is a public, four-year college in Central New York, enrolling about 6,000 students in a wide variety of bachelor’s degree programs and several graduate certificate and degree programs. The college is known as an exemplar residential campus that values inclusion, service and sustainability, and a nurturing community where students grow intellectually, thrive socially and live purposefully. Visit https://suny.oneonta.edu</t>
  </si>
  <si>
    <t>The official YouTube channel of the Stony Brook Seawolves</t>
  </si>
  <si>
    <t>Hit the ground running at Alfred State!</t>
  </si>
  <si>
    <t>SUNY Fredonia is a four-year comprehensive, public, liberal arts college in Western New York, known for academic programs in the performing arts, education, the natural and social sciences. It has been named one of America's Best Colleges by U.S News &amp; World Report, and ranks among the top 100 Best Values in higher education by Kiplinger's Personal Finance magazine. See more at http://www.fredonia.edu</t>
  </si>
  <si>
    <t>Founded in 1953, Hudson Valley Community College offers more than 80 degree and certificate programs in four schools: Business; Engineering and Industrial Technologies; Health Science; and Liberal Arts and Sciences; and an Educational Opportunity Center for academic and career training. One of 30 community colleges in the State University of New York system, it has an enrollment of more than 13,000 students, and is known as a leader in distance learning initiatives and workforce training. Hudson Valley has more than 75,000 alumni.</t>
  </si>
  <si>
    <t>SUNY Ulster prides itself on a strong tradition of providing an exceptional two-year education in a student-focused environment . Offering nearly 60 academic programs, students are prepared to succeed in a wide variety of careers and industry-specific credentialing programs. Serving as a crucial gateway to higher education, over 60% of our students successfully transfer to four-year colleges throughout the nation to complete their baccalaureate degrees.
Located in the beautiful Hudson River Valley just a stone's throw from New York City, our Stone Ridge campus provides an inspirational mountain setting perfect for learning and growing, while our Kingston Center's urban location provides easy access to educational opportunities for city residents.</t>
  </si>
  <si>
    <t>SUNY Canton is Northern New York’s premier college for career-driven bachelor’s degrees, associate degrees and professional certificate programs. The college delivers quality hands-on programs in engineering technology, health, management and public service and recently received number one rankings in library resources, library services and tutoring services in the SUNY Student Opinion Survey. The college’s faculty members are noted for their professional real-world experience in addition to outstanding academic credentials. SUNY Canton OnLine offers hundreds of flexible and convenient courses as well as ten exclusively online bachelor’s degrees. The college’s 14 athletic teams compete as members of the NCAA Division III.</t>
  </si>
  <si>
    <t>Stony Brook University is now recognized as one of the nation's leading centers of learning and scholarship, fulfilling the mandate given by the New York State Board of Regents in 1960 to become a university that would stand with the finest in the country.</t>
  </si>
  <si>
    <t>SUNY Geneseo is a premier public liberal arts college with a rich tradition of academic excellence. The college is dedicated to developing socially responsible citizens with skills and values for a productive life.</t>
  </si>
  <si>
    <t>SUNY Delhi is a leading instructional institution that prepares students to thrive intheir future careers and lives. 
Over 60 certificates, associate, bachelor's, and master's degrees. Classes offered both on-campus and online.  NCAA Division III athletics. Over 60 clubs and organizations. Learn more at www.delhi.edu.</t>
  </si>
  <si>
    <t>Welcome to Upstate Medical University, The Upstate Golisano Children's Hospital, and Upstate University Hospital  in Syracuse, NY.  The mission of SUNY Upstate Medical University is to improve the health of the communities we serve through education, biomedical research and health care.</t>
  </si>
  <si>
    <t>SUNY Polytechnic Institute 
It’s an exciting time as the SUNY College of Nanoscale Science and Engineering (CNSE) merges with SUNY Institute of Technology (SUNYIT). With access to world-class facilities and innovative career preparation, the newly merged SUNY Polytechnic Institute will offer unique and expanded opportunities for all its students, on its Utica and Albany campuses. The same commitment to cutting-edge academic programs that has distinguished both institutions in the past will make SUNY Polytechnic Institute a unique, high-tech global leader in public higher education. 
SUNY Polytechnic Institute offers undergraduate and graduate degree programs in science, engineering, technology and math—the "STEM" programs, and a variety of professional and liberal arts majors.</t>
  </si>
  <si>
    <t>Consistently ranked as one of the top pharmacy programs in the U.S.</t>
  </si>
  <si>
    <t>The University at Buffalo Libraries provide resources for students, faculty and the public. We actively embrace service, information access, the promotion of information literacy, and support of the educational and research missions of the University. For more information, see the University at Buffalo Libraries website.</t>
  </si>
  <si>
    <t>The University at Buffalo's Office of International Admissions You Tube channel.</t>
  </si>
  <si>
    <t>The flagship YouTube channel for EducationUSA, a U.S. Department of State network of over 430 international student advising centers in more than 175 countries and territories.  For students interested in what the United States has to offer in accredited higher education options, connect through these video resources, and with our network of advising centers.  Visit https://educationusa.state.gov to find the the advising center nearest you.
This channel is managed by the U.S. Department of State and provides this service to you, subject to the following Terms and Conditions: https://educationusa.state.gov/social-media-terms-and-conditions</t>
  </si>
  <si>
    <t xml:space="preserve">Once a UB grad, always a UB grad. You have exclusive access to UB’s global alumni network, special events, learning opportunities, and much more. Keep in touch, and let’s keep leading the charge — together.
</t>
  </si>
  <si>
    <t>Welcome! UB Campus Living serves nearly 8000 on-campus student residents with comfortable, secure and engaging resident communities. www.buffalo.edu/campusliving</t>
  </si>
  <si>
    <t>UB COMMENT GUIDELINES: UB loves hearing from you and we welcome and encourage open, thoughtful discussion. We apply UB Comment Guidelines to help our readers share their thoughts in safe and engaging digital spaces. You can find those guidelines here: http://buffalo.edu/commentguidelines.html</t>
  </si>
  <si>
    <t>At the University at Buffalo, we lead the charge! Here is how our thinking, research, creative activity and people positively impact the world. #UBuffalo is a flagship of the State University of New York system and a proud member of the Association of American Universities, recognized for our excellence and our impact. We are home to more than 30,000 students and 260,000 alumni in 50 U.S. states and 150 countries worldwide.
UB COMMENT GUIDELINES
UB loves hearing from you and we welcome and encourage open, thoughtful discussion. We apply UB Comment Guidelines to help our readers share their thoughts in safe and engaging digital spaces. You can find those guidelines here: buffalo.edu/commentguidelines</t>
  </si>
  <si>
    <t>The University at Buffalo School of Law has drawn on a tradition of achievement and excellence. The School of Law provides the strong foundation and the cutting-edge tools law graduates need to succeed in a competitive legal marketplace. Both students and faculty creatively explore the intersection of theory and actual practice.
UB COMMENT GUIDELINES: UB loves hearing from you and we welcome and encourage open, thoughtful discussion. We apply UB Comment Guidelines to help our readers share their thoughts in safe and engaging digital spaces. You can find those guidelines here: http://buffalo.edu/commentguidelines.html</t>
  </si>
  <si>
    <t>Welcome to the Center for the Arts at the University at Buffalo! We’re home to a community of student and WNY artists who’ve come to Buffalo to create wonderful things. The CFA is where art gets made at UB—and we believe the process is just as fascinating as the final presentation. 
On our channel, you’ll see great performances—theater, dance, music and media. But you’ll also watch art getting made. Discover behind-the-scenes footage of sets being made and lighting engineered. Or find tips on how to design a costume—or wrap an ankle for a dance rehearsal. 
Of course, the CFA isn’t just for artists. Artists need audiences, and our door is always open to all. Everyone is welcome to browse our playlists and subscribe to our channel. You never know what you might see!
Participants in videos on this channel complied with all relevant university, county, state and federal health and safety requirements associated with the COVID-19 pandemic as they applied at the time of recording.</t>
  </si>
  <si>
    <t>True Blue was founded as a SA club in 2007 at the University at Buffalo. It is now the official student section of UB Athletics._x000D_
_x000D_
True Blue is funded by both SA and the Division of Athletics but it is 100% run by students._x000D_
_x000D_
True Blue is a proud supporter of all UB Athletic teams and their athletes. It is the job of True Blue to give the UB teams "home field advantage" either at home or by traveling to road games._x000D_
_x000D_
visit www.ubtrueblue.com for more info</t>
  </si>
  <si>
    <t>UBEngineering is the YouTube Channel of the School of Engineering and Applied Sciences at the State University of New York at Buffalo.
Connect with us on social media! Links below.</t>
  </si>
  <si>
    <t>The official YouTube channel of University at Buffalo (UB) Student Life.
For information on programs and services for University at Buffalo students, please visit: 
http://www.buffalo.edu/studentlife</t>
  </si>
  <si>
    <t>The official Youtube Channel of the University at Buffalo - Division of Athletics.</t>
  </si>
  <si>
    <t>Experiencing the University at Buffalo.</t>
  </si>
  <si>
    <t>Boldly Buffalo is a road map for the future. It is a commitment to keeping a high-quality University at Buffalo education accessible to all. And it is our promise to you—our alumni, our students, our faculty and staff, our community and friends—that an investment in UB will pay dividends around the world, for generations to come.
This transformative campaign—$650 million bold—will make UB even stronger, more accessible and more impactful.</t>
  </si>
  <si>
    <t>The Buffalo Chips are the University at Buffalo's only all-male a capella group._x000D_
_x000D_
For more information and more videos/music visit www.thebuffalochips.com!!!</t>
  </si>
  <si>
    <t>Zeltik_x000D_
Legend of Zelda YouTuber.
-
https://twitter.com/Zeltik
Intro theme composed by: http://bit.ly/RuvenWegner</t>
  </si>
  <si>
    <t>ghc52_x000D_
hi</t>
  </si>
  <si>
    <t>schmoyoho_x000D_
Schmoyoho is made by The Gregory Brothers: Michael, Andrew, Sarah, and Evan. This channel is where we Songify® the universe in an attempt to create a cosmic dance party that brings world peace to all.
Videos / series here include Songify the News (previously Auto-Tune the News), Songify This, the Takeo Cinematic Universe, and other strange offerings, that hopefully can help you thrust your pelvis in rhythm.
Send us suggestions on Twitter or IG for our next video--then we can all sing and dance along together, our true destiny.
business inquiries: schmoyoho@moreyellow.com</t>
  </si>
  <si>
    <t>UBCFA Performances_x000D_
Welcome to the Center for the Arts at the University at Buffalo! We are a multi-disciplinary arts venue that showcases student, faculty, community art, and entertainment in an open and welcoming setting. We’re home to a community of student and WNY artists.
On this channel,  you’ll see great performances—theater, dance, music and media.  The CFA is where art gets made at UB—and we believe the process is just as fascinating as the final presentation. Please visit our second UBCFA channel, where you’ll also watch art getting made, and discover behind-the-scenes footage.  Of course, the CFA isn’t just for artists.  Artists need audiences, and our door is always open to all. Everyone is welcome to browse our playlists and subscribe to our channels. Participants in videos on this channel complied with all relevant university, county, state and federal health and safety requirements associated with the COVID-19 pandemic as they applied at the time of recording.</t>
  </si>
  <si>
    <t xml:space="preserve">Buffalopundit_x000D_
</t>
  </si>
  <si>
    <t xml:space="preserve">jceglia_x000D_
</t>
  </si>
  <si>
    <t>Invest Buffalo Niagara_x000D_
From its 18th century beginnings as a small trading community, to the opening of the Erie Canal, to an emergent position as a leader in power and industry, the Buffalo Niagara region has flourished as a seat of international trade, higher education, and on-going innovation and entrepreneurship.
With our progressive business climate, abundant natural resources, superior existing infrastructure, acclaimed productive workforce and a dynamic and affordable lifestyle, Buffalo Niagara Enterprise can without hesitation proudly offer the Buffalo Niagara region as a microcosm of the kind of power that has written, and will continue to build on, the American success story.</t>
  </si>
  <si>
    <t xml:space="preserve">spiritwalker54_x000D_
</t>
  </si>
  <si>
    <t>Maiklusha_x000D_
Founder, Artistic Director: Joseph Cipolla
Resident Choreographer: Michael Shannon
Principal Guest Choreographer: Susan Jaffe
Founder Emeritus: Catherine Batcheller
Company Manager: Kolleen Fischer
Videographer: Sean P. Corcoran</t>
  </si>
  <si>
    <t>Matthew Shaffer_x000D_
PLEASE VISIT A GROUP PRODUCTION'S YouTube Channel for AWESOME VIDEOS, PARODY'S &amp; TV Shows starring Matthew!_x000D_
http://www.youtube.com/jeffpayton</t>
  </si>
  <si>
    <t xml:space="preserve">wbfo_x000D_
</t>
  </si>
  <si>
    <t>University at Buffalo Admissions_x000D_
The University of Buffalo is top 40 public university, New York's No. 1 public, and a smart investment in your future—and it all starts here.
Participants in the video footage featured on this channel complied with all relevant university, county, state and federal health and safety requirements associated with the COVID-19 pandemic as they applied at the time of filming. Some footage was captured prior to 2020.</t>
  </si>
  <si>
    <t xml:space="preserve">UBCSTEP_x000D_
</t>
  </si>
  <si>
    <t xml:space="preserve">University at Buffalo International Admissions_x000D_
</t>
  </si>
  <si>
    <t xml:space="preserve">UB CSTEP_x000D_
</t>
  </si>
  <si>
    <t>University at Buffalo Honors College_x000D_
Welcome to the University at Buffalo Honors College YouTube Page! _x000D_
_x000D_
Since the 1920's when the university established one of the nation's first Honors Programs continuing through its modern incarnation in 1981, UB has attracted first class scholars, and its graduates are distributed all over the world. Our name change reflects the fact that our program/college has grown to over 1000 students and that the curriculum encompasses four years of exciting course work with an emphasis on experiential learning. As you peruse our website, you will see Honors Scholars engaged in a host of research and creative activities throughout the globe, involved in internships and study abroad programs, and garnering national awards and fellowships. We are delighted that you can spend a few minutes celebrating our College's many opportunities.</t>
  </si>
  <si>
    <t xml:space="preserve">SEESL Buffalo_x000D_
</t>
  </si>
  <si>
    <t xml:space="preserve">UBStrategicStrengths_x000D_
</t>
  </si>
  <si>
    <t xml:space="preserve">Sarah Smykowski_x000D_
</t>
  </si>
  <si>
    <t>UB Experiential Learning Network_x000D_
The Experiential Learning Network is a dynamic resource open to all University at Buffalo undergraduate students. Stop into 17 Norton to learn more! http://buffalo.edu/eln</t>
  </si>
  <si>
    <t>Jon Bonebrake advising videos_x000D_
Videos on academic advising and other related information.</t>
  </si>
  <si>
    <t>Visit Buffalo Niagara_x000D_
Tourism videos about the architecture, history, heritage and culinary scene of Buffalo, New York.</t>
  </si>
  <si>
    <t>Total Training_x000D_
https://linktr.ee/totaltrainingonline
Total Training has been teaching people to get the most from their software for more than 20 years.  We have trained millions to use their software to it's fullest potential by creating fun and engaging tutorials that are taught by industry experts.   We've also added courses on coding, web development, sales, marketing, cyber security, soft skills, and so much more – offering a complete and TOTAL training experience! 
Our goal is to help you make most of your career, take your skills to the next level, and remain fresh and relevant in your industry.
Our YouTube channel includes content from of our full series of courses and is available for anyone who wants to watch and learn.  If you like these tutorials you can become a Total Training subscriber and get unlimited access to all of our training courses, plus work-along project files, starting at one low monthly cost for full access.  Visit us at www.totaltraining.com for more info.</t>
  </si>
  <si>
    <t>UB Academic Integrity_x000D_
Academic integrity, the honest completion of work, is the value upon which a university is built. All members of the UB community may not understand the intricacies of academic integrity and how it is upheld at the university. The Office of Academic Integrity is here to provide education and support to instructors and students as they pursue their academic endeavors. 
The Office of Academic Integrity (OAI) at the University at Buffalo promotes the university’s fundamental value of integrity in the academic enterprise. By holding students accountable to honesty in the learning and research processes, supporting faculty in creating academically sound learning environments, and working with the campus community to fairly and consistently enforce academic policies, OAI helps propel students to academic excellence and protects UB’s status as a premier research university</t>
  </si>
  <si>
    <t xml:space="preserve">ubthunderoftheeast_x000D_
</t>
  </si>
  <si>
    <t>UCLA_x000D_
For nearly a century, UCLA has been home to dreamers and game changers. People come to these sun-drenched grounds not to be famous or to win awards but to be great. They become innovators and influencers, groundbreakers and nation builders that move the hearts and minds of the world. 
We are optimists. Bruin spirit imbues everything we do. 
Take a look and you'll see why.</t>
  </si>
  <si>
    <t>UCLACourses_x000D_
Welcome to courses at UCLA, where you can watch complete UCLA undergraduate courses.  _x000D_
_x000D_
UCLA is big:_x000D_
_x000D_
» 26,000 undergraduates and 12,000 graduate students._x000D_
_x000D_
» More than 5,000 courses offered each year, taught by a world class faculty who go well beyond dispensing knowledge; they create it._x000D_
_x000D_
» Thirty-one departments ranked among the top twenty in their field; thirteen among the top ten._x000D_
_x000D_
Unimagined diversity, unmatched breadth and depth of scholarship and limitless possibility._x000D_
_x000D_
See more at UCLA's main YouTube channel at youtube.com/ucla.</t>
  </si>
  <si>
    <t>Federal Student Aid_x000D_
Federal Student Aid, an Office of the U.S. Dept. of Education, helps make a college education possible for every dedicated mind by providing more than $150 billion each year in grants, loans, &amp; work-study funds. For more info, visit http://StudentAid.gov.</t>
  </si>
  <si>
    <t>UB Fellowships and Scholarships_x000D_
The University at Buffalo has worked diligently to increase the number of students applying for, and winning, international and national fellowships and scholarships. This channel supports the outreach of the Office of Fellowships and Scholarships.</t>
  </si>
  <si>
    <t>UB Curriculum_x000D_
This channel contains videos designed to help students and faculty navigate the UB Curriculum components and the UBPortfolio platform.</t>
  </si>
  <si>
    <t xml:space="preserve">Rebekah Reid_x000D_
</t>
  </si>
  <si>
    <t>ubartsandsciences_x000D_
Welcome to the University at Buffalo College of Arts and Sciences YouTube Channel!</t>
  </si>
  <si>
    <t>WebsEdge Science_x000D_
WebsEdge/Science is our group of products and services for educational organizations, connecting issues and audiences through the power of television. http://www.websedge.com</t>
  </si>
  <si>
    <t>The State University of New York_x000D_
SUNY is the largest comprehensive university system in the U.S., educating over 463,000 students in more than 7,500 degree and certificate programs on 64 campuses with close to 3 million alumni around the globe! To learn more about how SUNY creates opportunity, visit www.suny.edu.</t>
  </si>
  <si>
    <t>Fashion Institute of Technology_x000D_
Official YouTube Channel of the Fashion Institute of Technology in New York City</t>
  </si>
  <si>
    <t>Genesee Community College_x000D_
Official Youtube Channel of Genesee Community College (GCC)
GCC's main campus is in Batavia, New York. We offer 100s of Online Courses &amp; have Campus Centers in Albion, Arcade, Dansville, Lima, Medina &amp; Warsaw, offering more than 65 degree &amp; certificate programs. Visit https://www.genesee.edu/ to learn more!</t>
  </si>
  <si>
    <t>BinghamtonUniversity_x000D_
BINGHAMTON has earned a reputation as the premier public university in the Northeast because of its exceptional, innovative academic programs, outstanding students, faculty and staff, and the graduation rates. For 60 years, we have been sustained by a vision of excellence that has earned us accolades as the "crown jewel" of New York State's public university system._x000D_
_x000D_
As you explore our videos, we hope you will agree that Binghamton is indeed a public university where excellence is prized, creativity is encouraged, and students are well prepared for the challenges of the 21st century.</t>
  </si>
  <si>
    <t>SUNY Oswego_x000D_
Videos by, for and about the SUNY Oswego family, from future students to proud alumni. Account managed by SUNY Oswego’s Office of Communications and Marketing.</t>
  </si>
  <si>
    <t>SUNY Brockport_x000D_
The College at Brockport, State University of New York, is one of the best values in Higher Education, committed to helping our students pursue something greater.
Fast Facts:
Founded- 1835
Enrollment (Fall 2013)
Undergraduate enrollment: 7,090
Graduate enrollment: 1,038
Undergraduate majors: 49
Graduate programs: 50</t>
  </si>
  <si>
    <t>TeknoAXE's Royalty Free Music_x000D_
You CAN use my Royalty Free Music for your videos and films, for commercial and non commercial purposes, whether your videos are monetized or not, without fear of DMCAs or Content I.D. matches. I have music for your intros and outros, Let's Plays and Montages, Tutorials, Skits, your Channel Trailers and VFX movies.
I have a diverse and extensive collection of music, such as dubstep, trailer music, heavy metal, suspense, comedy, among other genres.  Check out http://www.teknoaxe.com to explore more of my music for your video making needs and for more tips on using my music in your videos.</t>
  </si>
  <si>
    <t>SBUVideo_x000D_
Official videos and student favorites for Stony Brook University.  Sponsored by Academic Technology Services.</t>
  </si>
  <si>
    <t xml:space="preserve">SUNYECC_x000D_
</t>
  </si>
  <si>
    <t>TC3Videos_x000D_
Official YouTube web page dedicated to TC3 (Tompkins Cortland Community College). An excellent source for all things TC3.</t>
  </si>
  <si>
    <t>SUNY Plattsburgh_x000D_
What do you want from your college education? That may not be an easy question to answer. We know that._x000D_
_x000D_
The hallmark of a SUNY Plattsburgh education is to provide you - as an individual - with the opportunities you need to discover your highest potential. Our goal is to help you to become successful in college and beyond - to stand out in whatever you do, whether you are starting as a high-achieving student or as someone ready to realize your undiscovered potential.</t>
  </si>
  <si>
    <t>Finger Lakes Community College_x000D_
Finger Lakes Community College was established in 1965 and opened for instruction in 1967.  Set on a 250-acre, park-like campus, the College is part of the State University of New York (SUNY) system.  It is a public, open access institution dedicated to providing a quality education in a student-centered environment.  _x000D_
_x000D_
Located in the Finger Lakes region near Canandaigua, NY, the College lies in an area known for its beautiful natural surroundings, exquisite fall foliage, Canandaigua Lake, and local wineries.  In addition to the main campus, the College provides instruction at its campus centers in Geneva and Newark and at its Muller Conservation Field Station on Honeoye Lake.</t>
  </si>
  <si>
    <t xml:space="preserve">RocklandCC Media_x000D_
</t>
  </si>
  <si>
    <t xml:space="preserve">NCCCAdmissions_x000D_
</t>
  </si>
  <si>
    <t>ESFTV_x000D_
Content produced by Christopher Baycura (and others where noted) at The State University of New York College of Environmental Science and Forestry (SUNY-ESF) in Syracuse, New York.</t>
  </si>
  <si>
    <t xml:space="preserve">Onondaga Community College_x000D_
</t>
  </si>
  <si>
    <t>Fredonia Music - Old Account_x000D_
Please join us on our new channel for LIVE STREAMING: https://www.youtube.com/channel/UC6kh11K06Qhnp2SQEHkToOA
Fredonia School of Music at the State University of New York at Fredonia. 11 degree plans, 18+ ensembles, 25+ music-related student groups, award-winning faculty and 600+ students.</t>
  </si>
  <si>
    <t>Tina Shafer_x000D_
History of The New York Songwriterʼs Circle. Singer Songwriter/vocal coach Tina Shafer, started hosting and booking the New York Songwriterʼs Circle in 1991.  Held at the legendary Bitter End in NYC.  The Songwriters Circle has been home to some of best artists of the last three decades including Norah Jones, George David Weiss, Lisa Loeb, Steven Dorff, Judy Collins, Phoebe Snow, John Oates, Marc Cohn, Rob Mathes, Peter Zizzo, Albert Hammond, The Story, Jesse Harris, Siedah Garrett (Michael Jackson), Gary Burr, Hugh Prestwood, Marcus Hummon, Kevin Bents,  Big and Rich, Sixpence Non the Richer, Martraca Berg, Company of Thieves, Ian Axel, Billy Porter, Toby Lightman, Tina Shafer, Ari Zizzo, Rodney Crowell, Vanessa Carlton, Gavin DeGraw and Lana Del Rey to name a few...later she  incorporated up and coming young talent nights  as well. The showcases meet once a month on the first Monday of the month.</t>
  </si>
  <si>
    <t xml:space="preserve">XCELatBinghamton_x000D_
</t>
  </si>
  <si>
    <t>PurchaseCollege_x000D_
Purchase College, SUNY, offers arts and liberal arts programs that cross traditional boundaries, emphasizing critical inquiry, imagination and expression.  _x000D_
_x000D_
Purchase College offers the opportunity for transformative education in a community where disciplines connect, intersect, and enhance each other. We are a community that embraces individuality.  We cherish and nourish diversity, excellence, creativity, innovation, and openness.</t>
  </si>
  <si>
    <t xml:space="preserve">IOCSatSBU_x000D_
</t>
  </si>
  <si>
    <t>Fredonia TADA_x000D_
SUNY Fredonia's Department of Theatre and Dance presents videos of its activities.</t>
  </si>
  <si>
    <t xml:space="preserve">SUNY Potsdam_x000D_
</t>
  </si>
  <si>
    <t>Binghamton University HPP_x000D_
This channel is designed to bring information to all college students here at Binghamton University and other Colleges and Universities around the world. The Health Promotion and Prevention Department is made up of groups that include MHOPE, REACH, 20:1 Bystander, 20:1 Sexual Assault and more.
Health Education is a division of the Binghamton University Student Affairs Department.</t>
  </si>
  <si>
    <t>SUNY College of Environmental Science and Forestry_x000D_
Founded in 1911, the State University of New York College of Environmental Science and Forestry is the nation's most distinguished institution dedicated to the study of the environment, developing renewable technologies, and building a sustainable future.</t>
  </si>
  <si>
    <t>UBuffalo Social Work_x000D_
The University at Buffalo School of Social Work is a vibrant and diverse community of scholars, educators, practitioners, and life-long learners—we are unified by our vision of a better society achieved through the generation and transmission of knowledge, promotion of social justice, and service to humanity.</t>
  </si>
  <si>
    <t>WFITnews_x000D_
Stay Connected. WFIT</t>
  </si>
  <si>
    <t>MonroeCCRochester_x000D_
Monroe Community College (MCC) in Rochester, NY has served the education and training needs of the Greater Rochester community for more than 50 years. The College offers 100+ transfer and career programs; honors courses; a wide varieties of lectures and student activities; travel and internship opportunities; and exceptional student services and support. MCC is part of the 64-campus State University of New York system, the largest university system in North America.</t>
  </si>
  <si>
    <t>SUNY New Paltz_x000D_
One of the nation's most open, diverse, and artistic academic environments. New Paltz is a special place for students to thrive in a rigorous academic environment where students receive and create close personal links with real scholars and artists who love to teach.</t>
  </si>
  <si>
    <t>Herkimer College Communication and Media_x000D_
New Program, Long Tradition.
Join the new program founded on over forty years of media excellence. 
Communication and Media A.S. prepares you for transfer to a wide variety of four-year media and communication programs. It emphasizes transferability, hands-on creation and digital media, including video, graphics and emerging media.  
The program meets requirements for three SUNY Transfer Paths—Communication: Media, Communication: Non-media and Media Production. This ensures you’ll have a smooth transition to continue your studies at a wide selection of SUNY schools and programs.
Graduates from our media programs have achieved a high level of success throughout the industry, locally and beyond.</t>
  </si>
  <si>
    <t>jeffersoncommunityco_x000D_
On-campus and online, Jefferson Community College is the Watertown regions leading resource for leading better lives, offering highly rated Associates degrees, 4-year college transfers, certificate programs, outstanding adult learning and job-training programs, and more. _x000D_
_x000D_
Learn more at www.SUNYJefferson.edu.  _x000D_
_x000D_
There's More Here—for you.</t>
  </si>
  <si>
    <t>SUNY JCC_x000D_
JCC, founded in 1950 as a predominantly transfer, liberal arts oriented institution, was among the first community colleges within the State University of New York. The remarkable development of the college is a tribute to a dedicated faculty and administration, combined with support and encouragement from the officials and citizens of its service area.
Note: The views expressed in these videos are those of the author(s) and do not necessarily reflect those of JCC.</t>
  </si>
  <si>
    <t>University at Albany_x000D_
At the University at Albany, we know greatness. For 175 years, we’ve been fueled by a unique mix of academic excellence, internationally recognized research, and world-class faculty. Our students relentlessly pursue possibilities, create connections, and seize opportunities – locally and globally – with a single-minded purpose: to author their own success, doing the things that matter. 
Unleash your greatness at the University at Albany.</t>
  </si>
  <si>
    <t>SBUCareerCenter_x000D_
The official YouTube channel of the Stony Brook University Career Center.</t>
  </si>
  <si>
    <t>SUNY Morrisville Mustangs_x000D_
SUNY Morrisville is committed to learning through experience, building a strong and diverse community, and creating a sustainable future.</t>
  </si>
  <si>
    <t>Brookhaven Lab_x000D_
Brookhaven National Laboratory delivers discovery science and transformative technology to power and secure the nation’s future. Primarily supported by the U.S. Department of Energy’s (DOE) Office of Science, Brookhaven Lab is a multidisciplinary laboratory with seven Nobel Prize-winning discoveries, 37 R&amp;D 100 Awards, and more than 70 years of pioneering research.</t>
  </si>
  <si>
    <t>Farmingdale State College_x000D_
Farmingdale State College has an enrollment of just over 10,000 students and ranks #2 among all SUNY campuses in lowest student debt. Over 90% of our students are employed within six months of graduation and earn among the highest wages among SUNY alumni. With affordable SUNY tuition, FSC could be your home away from home!</t>
  </si>
  <si>
    <t>SUNY Oneonta_x000D_
SUNY Oneonta is a public, four-year college in Central New York, enrolling about 6,000 students in a wide variety of bachelor’s degree programs and several graduate certificate and degree programs. The college is known as an exemplar residential campus that values inclusion, service and sustainability, and a nurturing community where students grow intellectually, thrive socially and live purposefully. Visit https://suny.oneonta.edu</t>
  </si>
  <si>
    <t>Stony Brook Athletics_x000D_
The official YouTube channel of the Stony Brook Seawolves</t>
  </si>
  <si>
    <t>Alfred State_x000D_
Hit the ground running at Alfred State!</t>
  </si>
  <si>
    <t>Fredonia_x000D_
SUNY Fredonia is a four-year comprehensive, public, liberal arts college in Western New York, known for academic programs in the performing arts, education, the natural and social sciences. It has been named one of America's Best Colleges by U.S News &amp; World Report, and ranks among the top 100 Best Values in higher education by Kiplinger's Personal Finance magazine. See more at http://www.fredonia.edu</t>
  </si>
  <si>
    <t>Hudson Valley Community College_x000D_
Founded in 1953, Hudson Valley Community College offers more than 80 degree and certificate programs in four schools: Business; Engineering and Industrial Technologies; Health Science; and Liberal Arts and Sciences; and an Educational Opportunity Center for academic and career training. One of 30 community colleges in the State University of New York system, it has an enrollment of more than 13,000 students, and is known as a leader in distance learning initiatives and workforce training. Hudson Valley has more than 75,000 alumni.</t>
  </si>
  <si>
    <t>SUNY Ulster_x000D_
SUNY Ulster prides itself on a strong tradition of providing an exceptional two-year education in a student-focused environment . Offering nearly 60 academic programs, students are prepared to succeed in a wide variety of careers and industry-specific credentialing programs. Serving as a crucial gateway to higher education, over 60% of our students successfully transfer to four-year colleges throughout the nation to complete their baccalaureate degrees.
Located in the beautiful Hudson River Valley just a stone's throw from New York City, our Stone Ridge campus provides an inspirational mountain setting perfect for learning and growing, while our Kingston Center's urban location provides easy access to educational opportunities for city residents.</t>
  </si>
  <si>
    <t>SUNY Canton_x000D_
SUNY Canton is Northern New York’s premier college for career-driven bachelor’s degrees, associate degrees and professional certificate programs. The college delivers quality hands-on programs in engineering technology, health, management and public service and recently received number one rankings in library resources, library services and tutoring services in the SUNY Student Opinion Survey. The college’s faculty members are noted for their professional real-world experience in addition to outstanding academic credentials. SUNY Canton OnLine offers hundreds of flexible and convenient courses as well as ten exclusively online bachelor’s degrees. The college’s 14 athletic teams compete as members of the NCAA Division III.</t>
  </si>
  <si>
    <t xml:space="preserve">cortlandsc_x000D_
</t>
  </si>
  <si>
    <t xml:space="preserve">BinghamtonAthletics_x000D_
</t>
  </si>
  <si>
    <t>Stony Brook University_x000D_
Stony Brook University is now recognized as one of the nation's leading centers of learning and scholarship, fulfilling the mandate given by the New York State Board of Regents in 1960 to become a university that would stand with the finest in the country.</t>
  </si>
  <si>
    <t>SUNY Geneseo_x000D_
SUNY Geneseo is a premier public liberal arts college with a rich tradition of academic excellence. The college is dedicated to developing socially responsible citizens with skills and values for a productive life.</t>
  </si>
  <si>
    <t>SUNY Delhi_x000D_
SUNY Delhi is a leading instructional institution that prepares students to thrive intheir future careers and lives. 
Over 60 certificates, associate, bachelor's, and master's degrees. Classes offered both on-campus and online.  NCAA Division III athletics. Over 60 clubs and organizations. Learn more at www.delhi.edu.</t>
  </si>
  <si>
    <t>Upstate Medical University_x000D_
Welcome to Upstate Medical University, The Upstate Golisano Children's Hospital, and Upstate University Hospital  in Syracuse, NY.  The mission of SUNY Upstate Medical University is to improve the health of the communities we serve through education, biomedical research and health care.</t>
  </si>
  <si>
    <t>SUNY Polytechnic Institute_x000D_
SUNY Polytechnic Institute 
It’s an exciting time as the SUNY College of Nanoscale Science and Engineering (CNSE) merges with SUNY Institute of Technology (SUNYIT). With access to world-class facilities and innovative career preparation, the newly merged SUNY Polytechnic Institute will offer unique and expanded opportunities for all its students, on its Utica and Albany campuses. The same commitment to cutting-edge academic programs that has distinguished both institutions in the past will make SUNY Polytechnic Institute a unique, high-tech global leader in public higher education. 
SUNY Polytechnic Institute offers undergraduate and graduate degree programs in science, engineering, technology and math—the "STEM" programs, and a variety of professional and liberal arts majors.</t>
  </si>
  <si>
    <t>UBuffalo Pharmacy and Pharmaceutical Sciences_x000D_
Consistently ranked as one of the top pharmacy programs in the U.S.</t>
  </si>
  <si>
    <t>ublibraries_x000D_
The University at Buffalo Libraries provide resources for students, faculty and the public. We actively embrace service, information access, the promotion of information literacy, and support of the educational and research missions of the University. For more information, see the University at Buffalo Libraries website.</t>
  </si>
  <si>
    <t>Amy Matikosh_x000D_
The University at Buffalo's Office of International Admissions You Tube channel.</t>
  </si>
  <si>
    <t xml:space="preserve">UB MBA and MS Programs_x000D_
</t>
  </si>
  <si>
    <t>EducationUSA_x000D_
The flagship YouTube channel for EducationUSA, a U.S. Department of State network of over 430 international student advising centers in more than 175 countries and territories.  For students interested in what the United States has to offer in accredited higher education options, connect through these video resources, and with our network of advising centers.  Visit https://educationusa.state.gov to find the the advising center nearest you.
This channel is managed by the U.S. Department of State and provides this service to you, subject to the following Terms and Conditions: https://educationusa.state.gov/social-media-terms-and-conditions</t>
  </si>
  <si>
    <t xml:space="preserve">University at Buffalo Alumni_x000D_
Once a UB grad, always a UB grad. You have exclusive access to UB’s global alumni network, special events, learning opportunities, and much more. Keep in touch, and let’s keep leading the charge — together.
</t>
  </si>
  <si>
    <t>ubcampusliving_x000D_
Welcome! UB Campus Living serves nearly 8000 on-campus student residents with comfortable, secure and engaging resident communities. www.buffalo.edu/campusliving</t>
  </si>
  <si>
    <t>UBuffalo Career Design Center_x000D_
UB COMMENT GUIDELINES: UB loves hearing from you and we welcome and encourage open, thoughtful discussion. We apply UB Comment Guidelines to help our readers share their thoughts in safe and engaging digital spaces. You can find those guidelines here: http://buffalo.edu/commentguidelines.html</t>
  </si>
  <si>
    <t>University at Buffalo_x000D_
At the University at Buffalo, we lead the charge! Here is how our thinking, research, creative activity and people positively impact the world. #UBuffalo is a flagship of the State University of New York system and a proud member of the Association of American Universities, recognized for our excellence and our impact. We are home to more than 30,000 students and 260,000 alumni in 50 U.S. states and 150 countries worldwide.
UB COMMENT GUIDELINES
UB loves hearing from you and we welcome and encourage open, thoughtful discussion. We apply UB Comment Guidelines to help our readers share their thoughts in safe and engaging digital spaces. You can find those guidelines here: buffalo.edu/commentguidelines</t>
  </si>
  <si>
    <t>University at Buffalo School of Law_x000D_
The University at Buffalo School of Law has drawn on a tradition of achievement and excellence. The School of Law provides the strong foundation and the cutting-edge tools law graduates need to succeed in a competitive legal marketplace. Both students and faculty creatively explore the intersection of theory and actual practice.
UB COMMENT GUIDELINES: UB loves hearing from you and we welcome and encourage open, thoughtful discussion. We apply UB Comment Guidelines to help our readers share their thoughts in safe and engaging digital spaces. You can find those guidelines here: http://buffalo.edu/commentguidelines.html</t>
  </si>
  <si>
    <t>UBCFA - University at Buffalo Center for the Arts_x000D_
Welcome to the Center for the Arts at the University at Buffalo! We’re home to a community of student and WNY artists who’ve come to Buffalo to create wonderful things. The CFA is where art gets made at UB—and we believe the process is just as fascinating as the final presentation. 
On our channel, you’ll see great performances—theater, dance, music and media. But you’ll also watch art getting made. Discover behind-the-scenes footage of sets being made and lighting engineered. Or find tips on how to design a costume—or wrap an ankle for a dance rehearsal. 
Of course, the CFA isn’t just for artists. Artists need audiences, and our door is always open to all. Everyone is welcome to browse our playlists and subscribe to our channel. You never know what you might see!
Participants in videos on this channel complied with all relevant university, county, state and federal health and safety requirements associated with the COVID-19 pandemic as they applied at the time of recording.</t>
  </si>
  <si>
    <t>TrueBlueUBathletics_x000D_
True Blue was founded as a SA club in 2007 at the University at Buffalo. It is now the official student section of UB Athletics._x000D_
_x000D_
True Blue is funded by both SA and the Division of Athletics but it is 100% run by students._x000D_
_x000D_
True Blue is a proud supporter of all UB Athletic teams and their athletes. It is the job of True Blue to give the UB teams "home field advantage" either at home or by traveling to road games._x000D_
_x000D_
visit www.ubtrueblue.com for more info</t>
  </si>
  <si>
    <t>UBengineering_x000D_
UBEngineering is the YouTube Channel of the School of Engineering and Applied Sciences at the State University of New York at Buffalo.
Connect with us on social media! Links below.</t>
  </si>
  <si>
    <t>UB Student Life_x000D_
The official YouTube channel of University at Buffalo (UB) Student Life.
For information on programs and services for University at Buffalo students, please visit: 
http://www.buffalo.edu/studentlife</t>
  </si>
  <si>
    <t>UB Bulls_x000D_
The official Youtube Channel of the University at Buffalo - Division of Athletics.</t>
  </si>
  <si>
    <t>UB Student Affairs_x000D_
Experiencing the University at Buffalo.</t>
  </si>
  <si>
    <t>UB University Advancement_x000D_
Boldly Buffalo is a road map for the future. It is a commitment to keeping a high-quality University at Buffalo education accessible to all. And it is our promise to you—our alumni, our students, our faculty and staff, our community and friends—that an investment in UB will pay dividends around the world, for generations to come.
This transformative campaign—$650 million bold—will make UB even stronger, more accessible and more impactful.</t>
  </si>
  <si>
    <t xml:space="preserve">oozfest2009_x000D_
</t>
  </si>
  <si>
    <t>mikeo550_x000D_
The Buffalo Chips are the University at Buffalo's only all-male a capella group._x000D_
_x000D_
For more information and more videos/music visit www.thebuffalochips.com!!!</t>
  </si>
  <si>
    <t>&lt;?xml version="1.0" encoding="utf-8"?&gt;_x000D_
&lt;configuration&gt;_x000D_
  &lt;configSections&gt;_x000D_
    &lt;sectionGroup name="userSettings" type="System.Configuration.UserSettingsGroup, System, Version=2.0.0.0, Culture=neutral, PublicKeyToken=b77a5c561934e089"&gt;_x000D_
      &lt;section name="PlugInUserSettings" type="System.Configuration.ClientSettingsSection, System, Version=2.0.0.0, Culture=neutral, PublicKeyToken=b77a5c561934e089" allowExeDefinition="MachineToLocalUser" requirePermission="false" /&gt;_x000D_
      &lt;section name="AutomateTasksUserSettings" type="System.Configuration.ClientSettingsSection, System, Version=2.0.0.0, Culture=neutral, PublicKeyToken=b77a5c561934e089" allowExeDefinition="MachineToLocalUser" requirePermission="false" /&gt;_x000D_
      &lt;section name="AutomatedGraphImageUserSettings"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 name="ImportDataUserSettings"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&lt;PlugInUserSettings&gt;_x000D_
      &lt;setting name="PlugInFolderPath" serializeAs="String"&gt;_x000D_
        &lt;value /&gt;_x000D_
      &lt;/setting&gt;_x000D_
    &lt;/PlugInUserSettings&gt;_x000D_
    &lt;AutomateTasksUserSettings&gt;_x000D_
      &lt;setting name="AutomateThisWorkbookOnly" serializeAs="String"&gt;_x000D_
        &lt;value&gt;True&lt;/value&gt;_x000D_
      &lt;/setting&gt;_x000D_
      &lt;setting name="FolderToAutomate" serializeAs="String"&gt;_x000D_
        &lt;value /&gt;_x000D_
      &lt;/setting&gt;_x000D_
      &lt;setting name="TasksToRun" serializeAs="String"&gt;_x000D_
        &lt;value&gt;MergeDuplicateEdges, CalculateGraphMetrics, AutoFillWorkbook, CalculateClusters, ReadWorkbook, SaveWorkbookIfNeverSaved, SaveGraphImageFile&lt;/value&gt;_x000D_
      &lt;/setting&gt;_x000D_
    &lt;/AutomateTasksUserSettings&gt;_x000D_
    &lt;AutomatedGraphImageUserSettings&gt;_x000D_
      &lt;setting name="IncludeFooter" serializeAs="String"&gt;_x000D_
        &lt;value&gt;False&lt;/value&gt;_x000D_
      &lt;/setting&gt;_x000D_
      &lt;setting name="ImageSizePx" serializeAs="String"&gt;_x000D_
        &lt;value&gt;600, 400&lt;/value&gt;_x000D_
      &lt;/setting&gt;_x000D_
      &lt;setting name="HeaderFooterFont" serializeAs="String"&gt;_x000D_
        &lt;value&gt;Microsoft Sans Serif, 8.25pt&lt;/value&gt;_x000D_
      &lt;/setting&gt;_x000D_
      &lt;setting name="HeaderText" serializeAs="String"&gt;_x000D_
        &lt;value&gt;Social media network connections&lt;/value&gt;_x000D_
      &lt;/setting&gt;_x000D_
      &lt;setting name="IncludeHeader" serializeAs="String"&gt;_x000D_
        &lt;value&gt;False&lt;/value&gt;_x000D_
      &lt;/setting&gt;_x000D_
      &lt;setting name="FooterText" serializeAs="String"&gt;_x000D_
        &lt;value&gt;Created with NodeXL Pro (http://nodexl.codeplex.com) from the Social Media Research Foundation (http://www.smrfoundation.org)&lt;/value&gt;_x000D_
      &lt;/setting&gt;_x000D_
      &lt;setting name="ImageFormat" serializeAs="String"&gt;_x000D_
        &lt;value&gt;Png&lt;/value&gt;_x000D_
      &lt;/setting&gt;_x000D_
    &lt;/AutomatedGraphImageUserSettings&gt;_x000D_
    &lt;GraphImageUserSettings2&gt;_x000D_
      &lt;setting name="ImageSize" serializeAs="String"&gt;_x000D_
        &lt;value&gt;600, 400&lt;/value&gt;_x000D_
      &lt;/setting&gt;_x000D_
      &lt;setting name="UseControlSize" serializeAs="String"&gt;_x000D_
        &lt;value&gt;False&lt;/value&gt;_x000D_
      &lt;/setting&gt;_x000D_
      &lt;setting name="HeaderFooterFont" serializeAs="String"&gt;_x000D_
        &lt;value&gt;Microsoft Sans Serif, 8.25pt&lt;/value&gt;_x000D_
      &lt;/setting&gt;_x000D_
      &lt;setting name="HeaderText" serializeAs="St</t>
  </si>
  <si>
    <t>ring"&gt;_x000D_
        &lt;value&gt;Social media network connections&lt;/value&gt;_x000D_
      &lt;/setting&gt;_x000D_
      &lt;setting name="IncludeHeader" serializeAs="String"&gt;_x000D_
        &lt;value&gt;False&lt;/value&gt;_x000D_
      &lt;/setting&gt;_x000D_
      &lt;setting name="IncludeFooter" serializeAs="String"&gt;_x000D_
        &lt;value&gt;False&lt;/value&gt;_x000D_
      &lt;/setting&gt;_x000D_
      &lt;setting name="FooterText" serializeAs="String"&gt;_x000D_
        &lt;value&gt;Created with NodeXL Pro (http://nodexl.codeplex.com) from the Social Media Research Foundation (http://www.smrfoundation.org)&lt;/value&gt;_x000D_
      &lt;/setting&gt;_x000D_
    &lt;/GraphImageUserSettings2&gt;_x000D_
    &lt;LayoutUserSettings&gt;_x000D_
      &lt;setting name="FruchtermanReingoldIterations" serializeAs="String"&gt;_x000D_
        &lt;value&gt;10&lt;/value&gt;_x000D_
      &lt;/setting&gt;_x000D_
      &lt;setting name="IntergroupEdgeStyle" serializeAs="String"&gt;_x000D_
        &lt;value&gt;Show&lt;/value&gt;_x000D_
      &lt;/setting&gt;_x000D_
      &lt;setting name="FruchtermanReingoldC" serializeAs="String"&gt;_x000D_
        &lt;value&gt;3&lt;/value&gt;_x000D_
      &lt;/setting&gt;_x000D_
      &lt;setting name="BoxLayoutAlgorithm" serializeAs="String"&gt;_x000D_
        &lt;value&gt;Treemap&lt;/value&gt;_x000D_
      &lt;/setting&gt;_x000D_
      &lt;setting name="ImproveLayoutOfGroups" serializeAs="String"&gt;_x000D_
        &lt;value&gt;False&lt;/value&gt;_x000D_
      &lt;/setting&gt;_x000D_
      &lt;setting name="LayoutStyle" serializeAs="String"&gt;_x000D_
        &lt;value&gt;UseGroups&lt;/value&gt;_x000D_
      &lt;/setting&gt;_x000D_
      &lt;setting name="GroupRectanglePenWidth" serializeAs="String"&gt;_x000D_
        &lt;value&gt;1&lt;/value&gt;_x000D_
      &lt;/setting&gt;_x000D_
      &lt;setting name="Margin" serializeAs="String"&gt;_x000D_
        &lt;value&gt;5&lt;/value&gt;_x000D_
      &lt;/setting&gt;_x000D_
    &lt;/LayoutUserSettings&gt;_x000D_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&lt;value&gt;Betweenness Centrality&lt;/value&gt;_x000D_
      &lt;/setting&gt;_x000D_
      &lt;setting name="VertexRadiusSourceColumnName" serializeAs="String"&gt;_x000D_
        &lt;value&gt;Betweenness Centrality&lt;/value&gt;_x000D_
      &lt;/setting&gt;_x000D_
      &lt;setting name="EdgeColorDetails" serializeAs="String"&gt;_x000D_
        &lt;value&gt;False	False	0	0	Gray	254, 29, 51	True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0	0	3	10	True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&lt;value&gt;Vertex&lt;/value&gt;_x000D_
      &lt;/setting&gt;_x000D_
      &lt;setting name="VertexToolTipSourceColumnName" serializeAs="String"&gt;_x000D_
        &lt;value /&gt;_x000D_
      &lt;/setting&gt;_x000D_
      &lt;setting name="EdgeWidthSourceColumnName" serializeAs="String"&gt;_x000D_
        &lt;value&gt;Edge Weight&lt;/value&gt;_x000D_
      &lt;/setting&gt;_x000D_
      &lt;setting name="EdgeAlphaSourceColumnName" serializeAs="String"&gt;_x000D_
        &lt;value&gt;Edge Weight&lt;/value&gt;_x000D_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0	0	100	1000	True	False&lt;/value&gt;_x000D_
      &lt;/setting&gt;_x000D_
      &lt;setting name="EdgeColorSourceColumnName" serializeAs="String"&gt;_x000D_
        &lt;value&gt;Edge Weight&lt;/value&gt;_x000D_
      &lt;/setting&gt;_x000D_
      &lt;setting name="VertexXDetails" serializeAs="String"&gt;_x000D_
        &lt;value&gt;False	False	0	0	0	9999	False	False&lt;/value&gt;_x000D_
      &lt;/setting&gt;_x000D_
      &lt;setting name="GroupLabelSourceColumnName" serializeAs="String"&gt;_x000D_
        &lt;value&gt;Top Words in Tweet&lt;/value&gt;_x000D_
      &lt;/setting&gt;_x000D_
      &lt;setting name="VertexColorSourceColumnName" serializeAs="String"&gt;_x000D_
        &lt;value /&gt;_x000D_
      &lt;/setting</t>
  </si>
  <si>
    <t>GraphSource░YouTubeChannel▓GraphTerm░UBAlumni▓ImportDescription░The graph represents the 2-level YouTube network for the channel that corresponds to the user with username "UBAlumni".  The network was obtained from YouTube on Monday, 14 March 2022 at 00:13 UTC._x000D_
_x000D_
There is a vertex for each person or channel subscribed to by the user.  The network was limited to 500 people.▓ImportSuggestedTitle░YouTube Channel UBAlumni▓ImportSuggestedFileNameNoExtension░2022-03-14 00-13-06 NodeXL YouTube Channel UBAlumni▓LayoutAlgorithm░The graph was laid out using the Fruchterman-Reingold layout algorithm.▓GraphDirectedness░The graph is directed.</t>
  </si>
  <si>
    <t>Key</t>
  </si>
  <si>
    <t>Action Label</t>
  </si>
  <si>
    <t>Action URL</t>
  </si>
  <si>
    <t>Brand Logo</t>
  </si>
  <si>
    <t>Brand URL</t>
  </si>
  <si>
    <t>Hashtag</t>
  </si>
  <si>
    <t>URL</t>
  </si>
  <si>
    <t>Top URLs in Tweet in Entire Graph</t>
  </si>
  <si>
    <t>Entire Graph Count</t>
  </si>
  <si>
    <t>Top URLs in Tweet</t>
  </si>
  <si>
    <t>Top Words in Tweet in Entire Graph</t>
  </si>
  <si>
    <t>Top Words in Tweet</t>
  </si>
  <si>
    <t>Top Word Pairs in Tweet in Entire Graph</t>
  </si>
  <si>
    <t>Top Word Pairs in Tweet</t>
  </si>
  <si>
    <t>URLs in Tweet by Count</t>
  </si>
  <si>
    <t>URLs in Tweet by Salience</t>
  </si>
  <si>
    <t>Top Words in Tweet by Count</t>
  </si>
  <si>
    <t/>
  </si>
  <si>
    <t>Top Words in Tweet by Salience</t>
  </si>
  <si>
    <t>Top Word Pairs in Tweet by Count</t>
  </si>
  <si>
    <t>Top Word Pairs in Tweet by Salience</t>
  </si>
  <si>
    <t>&gt;_x000D_
      &lt;setting name="EdgeAlphaDetails" serializeAs="String"&gt;_x000D_
        &lt;value&gt;False	False	0	0	40	20	True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name="GroupLabelDetails" serializeAs="String"&gt;_x000D_
        &lt;value&gt;True&lt;/value&gt;_x000D_
      &lt;/setting&gt;_x000D_
      &lt;setting name="VertexYDetails" serializeAs="String"&gt;_x000D_
        &lt;value&gt;False	False	0	0	0	9999	False	False&lt;/value&gt;_x000D_
      &lt;/setting&gt;_x000D_
    &lt;/AutoFillUserSettings3&gt;_x000D_
    &lt;GraphMetricUserSettings&gt;_x000D_
      &lt;setting name="GraphMetricsToCalculate" serializeAs="String"&gt;_x000D_
        &lt;value&gt;TopNBy&lt;/value&gt;_x000D_
      &lt;/setting&gt;_x000D_
      &lt;setting name="TimeSeriesUserSettings" serializeAs="String"&gt;_x000D_
        &lt;value&gt;TimeColumnName░Relationship Date (UTC)▓TimeSlice░Days▓UniqueEdges░True▓UniqueColumnName░Imported ID&lt;/value&gt;_x000D_
      &lt;/setting&gt;_x000D_
      &lt;setting name="WordMetricUserSettings" serializeAs="String"&gt;_x000D_
        &lt;value&gt;CalculateSentiment░True▓TextColumnIsOnEdgeWorksheet░True▓TextColumnName░Tweet▓CountByGroup░True▓SkipSingleTerms░True▓WordsToSkip░a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your▓SentimentList1Name░List1▓SentimentList2Name░List2▓SentimentList3Name░List3▓SentimentList1FriendlyName░Positive▓SentimentList2FriendlyName░Negative▓SentimentList3FriendlyName░(Add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t>
  </si>
  <si>
    <t>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t>
  </si>
  <si>
    <t>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t>
  </si>
  <si>
    <t>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t>
  </si>
  <si>
    <t>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t>
  </si>
  <si>
    <t>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t>
  </si>
  <si>
    <t>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t>
  </si>
  <si>
    <t>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t>
  </si>
  <si>
    <t xml:space="preserve">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t>
  </si>
  <si>
    <t>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
  </si>
  <si>
    <t>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t>
  </si>
  <si>
    <t>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zombie▓AddVertexContent░False▓AddWordList░False&lt;/value&gt;_x000D_
      &lt;/setting&gt;_x000D_
      &lt;setting name="NetworkTopItemsListUserSettings" serializeAs="Xml"&gt;_x000D_
        &lt;value&gt;_x000D_
          &lt;NetworkTopItemsListUserSettings xmlns:xsd="http://www.w3.org/2001/XMLSchema"_x000D_
            xmlns:xsi="http://www.w3.org/2001/XMLSchema-instance"&gt;_x000D_
            &lt;IsEdgeColumn&gt;true&lt;/IsEdgeColumn&gt;_x000D_
            &lt;StatusColumnName&gt;Tweet&lt;/StatusColumnName&gt;_x000D_
            &lt;TopTweetersMentionedRepliedTo&gt;false&lt;/TopTweetersMentionedRepliedTo&gt;_x000D_
            &lt;NetworkTopItemsUserSettingsToCalculate&gt;_x000D_
              &lt;NetworkTopItemsUserSettings&gt;_x000D_
                &lt;NumberOfItemsToGet&gt;10&lt;/NumberOfItemsToGet&gt;_x000D_
                &lt;WorksheetName&gt;Edges&lt;/WorksheetName&gt;_x000D_
                &lt;TableName&gt;Edges&lt;/TableName&gt;_x000D_
                &lt;ColumnName&gt;URLs in Tweet&lt;/ColumnName&gt;_x000D_
                &lt;Delimiter&gt;Space&lt;/Delimiter&gt;_x000D_
              &lt;/NetworkTopItemsUserSettings&gt;_x000D_
            &lt;/NetworkTopItemsUserSettingsToCalculate&gt;_x000D_
          &lt;/NetworkTopItemsListUserSettings&gt;_x000D_
        &lt;/value&gt;_x000D_
      &lt;/setting&gt;_x000D_
      &lt;setting name="OverallMetricsUserSettings" serializeAs="String"&gt;_x000D_
        &lt;value&gt;ColumnNameForEdgeType░Hashtags in Tweet&lt;/value&gt;_x000D_
      &lt;/setting&gt;_x000D_
      &lt;setting name="TopNByMetricsToCalculate" serializeAs="Xml"&gt;_x000D_
        &lt;value&gt;_x000D_
          &lt;ArrayOfTopNByMetricUserSettings xmlns:xsd="http://www.w3.org/2001/XMLSchema"_x000D_
            xmlns:xsi="http://www.w3.org/2001/XMLSchema-instance"&gt;_x000D_
            &lt;TopNByMetricUserSettings&gt;_x000D_
              &lt;N&gt;10&lt;/N&gt;_x000D_
              &lt;WorksheetName&gt;Vertices&lt;/WorksheetName&gt;_x000D_
              &lt;TableName&gt;Vertices&lt;/TableName&gt;_x000D_
              &lt;RankedColumnName&gt;In-Degree&lt;/RankedColumnName&gt;_x000D_
              &lt;ItemNameColumnName&gt;Vertex&lt;/ItemNameColumnName&gt;_x000D_
            &lt;/TopNByMetricUserSettings&gt;_x000D_
            &lt;TopNByMetricUserSettings&gt;_x000D_
              &lt;N&gt;10&lt;/N&gt;_x000D_
              &lt;WorksheetName&gt;Vertices&lt;/WorksheetName&gt;_x000D_
              &lt;TableName&gt;Vertices&lt;/TableName&gt;_x000D_
              &lt;RankedColumnName&gt;Out-Degree&lt;/RankedColumnName&gt;_x000D_
              &lt;ItemNameColumnName&gt;Vertex&lt;/ItemNameColumnName&gt;_x000D_
            &lt;/TopNByMetricUserSettings&gt;_x000D_
            &lt;TopNByMetricUserSettings&gt;_x000D_
              &lt;N&gt;10&lt;/N&gt;_x000D_
              &lt;WorksheetName&gt;Vertices&lt;/WorksheetName&gt;_x000D_
              &lt;TableName&gt;Vertices&lt;/TableName&gt;_x000D_
              &lt;RankedColumnName&gt;Eigenvector Centrality&lt;/RankedColumnName&gt;_x000D_
              &lt;ItemNameColumnName&gt;Vertex&lt;/ItemNameColumnName&gt;_x000D_
            &lt;/TopNByMetricUserSettings&gt;_x000D_
            &lt;TopNByMetricUserSettings&gt;_x000D_
              &lt;N&gt;10&lt;/N&gt;_x000D_
              &lt;WorksheetName&gt;Vertices&lt;/WorksheetName&gt;_x000D_
              &lt;TableName&gt;Vertices&lt;/TableName&gt;_x000D_
              &lt;RankedColumnName&gt;Betweenness Centrality&lt;/RankedColumnName&gt;_x000D_
              &lt;ItemNameColumnName&gt;Vertex&lt;/ItemNameColumnName&gt;_x000D_
            &lt;/TopNByMetricUserSettings&gt;_x000D_
            &lt;TopNByMetricUserSettings&gt;_x000D_
              &lt;N&gt;10&lt;/N&gt;_x000D_
              &lt;WorksheetName&gt;Vertices&lt;/WorksheetName&gt;_x000D_
              &lt;TableName&gt;Vertices&lt;/TableName&gt;_x000D_
              &lt;RankedColumnName&gt;PageRank&lt;/RankedColumnName&gt;_x000D_
              &lt;ItemNameColumnName&gt;Vertex&lt;/ItemNameColumnName&gt;_x000D_
            &lt;/TopNByMetricUserSettings&gt;_x000D_
            &lt;TopNByMetricUserSettings&gt;_x000D_
              &lt;N&gt;10&lt;/N&gt;_x000D_
              &lt;WorksheetName&gt;Vertices&lt;/WorksheetName&gt;_x000D_
              &lt;TableName&gt;Vertices&lt;/TableName&gt;_x000D_
              &lt;RankedColumnName&gt;Description&lt;/RankedColumnName&gt;_x000D_
              &lt;ItemNameColumnName&gt;Vertex&lt;/ItemNameColumnName&gt;_x000D_
            &lt;/TopNByMetricUserSettings&gt;_x000D_
          &lt;/ArrayOfTopNByMetricUserSettings&gt;_x000D_
        &lt;/value&gt;_x000D_
      &lt;/setting&gt;_x000D_
    &lt;/GraphMetricUserSettings&gt;_x000D_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&lt;ClusterUserSettings&gt;_x000D_
      &lt;setting name="PutNeighborlessVerticesInOneCluster" serializeAs="String"&gt;_x000D_
        &lt;value&gt;True&lt;/value&gt;_x000D_
      &lt;/setting&gt;_x000D_
      &lt;setting name="ClusterAlgorithm" serializeAs="String"&gt;_x000D_
        &lt;value&gt;ClausetNewmanMoore&lt;/value&gt;_x000D_
      &lt;/setting&gt;_x000D_
    &lt;/ClusterUserSettings&gt;_x000D_
    &lt;MergeDuplicateEdgesUserSettings&gt;_x000D_
      &lt;setting name="ThirdColumnNameForDuplicateDetection" serializeAs="String"&gt;_x000D_
        &lt;value /&gt;_x000D_
      &lt;/setting&gt;_x000D_
      &lt;setting name="DeleteDuplicates" serializeAs="String"&gt;_x000D_
        &lt;value&gt;False&lt;/value&gt;_x000D_
      &lt;/setting&gt;_x000D_
      &lt;setting name="CountDuplicates" serializeAs="String"&gt;_x000D_
        &lt;value&gt;True&lt;/value&gt;_x000D_
      &lt;/setting&gt;_x000D_
    &lt;/MergeDuplicateEdgesUserSettings&gt;_x000D_
    &lt;ImportDataUserSettings&gt;_x000D_
      &lt;setting name="SaveImportDescription" serializeAs="String"&gt;_x000D_
        &lt;value&gt;True&lt;/value&gt;_x000D_
      &lt;/setting&gt;_x000D_
      &lt;setting name="AutomateAfterImport" serializeAs="String"&gt;_x000D_
        &lt;value&gt;False&lt;/value&gt;_x000D_
      &lt;/setting&gt;_x000D_
      &lt;setting name="ClearTablesBeforeImport" serializeAs="String"&gt;_x000D_
        &lt;value&gt;True&lt;/value&gt;_x000D_
      &lt;/setting&gt;_x000D_
    &lt;/ImportDataUserSettings&gt;_x000D_
    &lt;GeneralUserSet</t>
  </si>
  <si>
    <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&lt;setting name="EdgeColor" serializeAs="String"&gt;_x000D_
        &lt;value&gt;Gray&lt;/value&gt;_x000D_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&lt;value&gt;3&lt;/value&gt;_x000D_
      &lt;/setting&gt;_x000D_
      &lt;setting name="VertexEffect" serializeAs="String"&gt;_x000D_
        &lt;value&gt;DropShadow&lt;/value&gt;_x000D_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TopLeft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&lt;value&gt;Red&lt;/value&gt;_x000D_
      &lt;/setting&gt;_x000D_
      &lt;setting name="VertexShape" serializeAs="String"&gt;_x000D_
        &lt;value&gt;Image&lt;/value&gt;_x000D_
      &lt;/setting&gt;_x000D_
      &lt;setting name="EdgeCurveStyle" serializeAs="String"&gt;_x000D_
        &lt;value&gt;Straight&lt;/value&gt;_x000D_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&lt;value&gt;0.49&lt;/value&gt;_x000D_
      &lt;/setting&gt;_x000D_
    &lt;/GraphZoomAndScaleUserSettings&gt;_x000D_
  &lt;/userSettings&gt;_x000D_
&lt;/configuration&gt;</t>
  </si>
  <si>
    <t>Top 10 Vertices, Ranked by In-Degree</t>
  </si>
  <si>
    <t>Top 10 Vertices, Ranked by Out-Degree</t>
  </si>
  <si>
    <t>Top 10 Vertices, Ranked by Eigenvector Centrality</t>
  </si>
  <si>
    <t>Top 10 Vertices, Ranked by Betweenness Centrality</t>
  </si>
  <si>
    <t>Top 10 Vertices, Ranked by PageRank</t>
  </si>
  <si>
    <t>Top 10 Vertices, Ranked by Description</t>
  </si>
  <si>
    <t>Subgraph</t>
  </si>
  <si>
    <t>Red</t>
  </si>
  <si>
    <t>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</si>
</sst>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7">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0" borderId="0" xfId="9" applyAlignment="1"/>
    <xf numFmtId="0" fontId="13" fillId="5" borderId="1" xfId="9" applyNumberFormat="1" applyFill="1" applyBorder="1" applyAlignment="1"/>
    <xf numFmtId="0" fontId="13" fillId="5" borderId="11" xfId="9" applyNumberFormat="1" applyFill="1" applyBorder="1" applyAlignment="1"/>
    <xf numFmtId="49" fontId="0" fillId="0" borderId="0" xfId="0" applyNumberFormat="1" applyFill="1" applyAlignment="1"/>
    <xf numFmtId="49" fontId="5" fillId="4" borderId="1" xfId="5" applyNumberFormat="1" applyAlignment="1">
      <alignment wrapText="1"/>
    </xf>
    <xf numFmtId="1" fontId="5" fillId="4" borderId="1" xfId="5" quotePrefix="1" applyNumberFormat="1" applyAlignment="1"/>
    <xf numFmtId="49" fontId="0" fillId="0" borderId="0" xfId="0" applyNumberFormat="1" applyAlignment="1"/>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56">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border outline="0">
        <left style="thin">
          <color theme="0"/>
        </left>
      </border>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55"/>
      <tableStyleElement type="headerRow" dxfId="154"/>
    </tableStyle>
    <tableStyle name="NodeXL Table" pivot="0" count="1" xr9:uid="{00000000-0011-0000-FFFF-FFFF01000000}">
      <tableStyleElement type="headerRow" dxfId="1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6E6-45D5-BC94-B13A950E2519}"/>
            </c:ext>
          </c:extLst>
        </c:ser>
        <c:dLbls>
          <c:showLegendKey val="0"/>
          <c:showVal val="0"/>
          <c:showCatName val="0"/>
          <c:showSerName val="0"/>
          <c:showPercent val="0"/>
          <c:showBubbleSize val="0"/>
        </c:dLbls>
        <c:gapWidth val="0"/>
        <c:axId val="1490199200"/>
        <c:axId val="1490191584"/>
      </c:barChart>
      <c:catAx>
        <c:axId val="14901992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90191584"/>
        <c:crosses val="autoZero"/>
        <c:auto val="1"/>
        <c:lblAlgn val="ctr"/>
        <c:lblOffset val="100"/>
        <c:noMultiLvlLbl val="0"/>
      </c:catAx>
      <c:valAx>
        <c:axId val="1490191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2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85</c:v>
                </c:pt>
              </c:strCache>
            </c:strRef>
          </c:tx>
          <c:spPr>
            <a:solidFill>
              <a:schemeClr val="accent1"/>
            </a:solidFill>
          </c:spPr>
          <c:invertIfNegative val="0"/>
          <c:cat>
            <c:numRef>
              <c:f>'Overall Metrics'!$F$2:$F$41</c:f>
              <c:numCache>
                <c:formatCode>#,##0.00</c:formatCode>
                <c:ptCount val="40"/>
                <c:pt idx="0">
                  <c:v>1</c:v>
                </c:pt>
                <c:pt idx="1">
                  <c:v>1.1764705882352942</c:v>
                </c:pt>
                <c:pt idx="2">
                  <c:v>1.3529411764705883</c:v>
                </c:pt>
                <c:pt idx="3">
                  <c:v>1.5294117647058825</c:v>
                </c:pt>
                <c:pt idx="4">
                  <c:v>1.7058823529411766</c:v>
                </c:pt>
                <c:pt idx="5">
                  <c:v>1.8823529411764708</c:v>
                </c:pt>
                <c:pt idx="6">
                  <c:v>2.0588235294117649</c:v>
                </c:pt>
                <c:pt idx="7">
                  <c:v>2.2352941176470589</c:v>
                </c:pt>
                <c:pt idx="8">
                  <c:v>2.4117647058823528</c:v>
                </c:pt>
                <c:pt idx="9">
                  <c:v>2.5882352941176467</c:v>
                </c:pt>
                <c:pt idx="10">
                  <c:v>2.7647058823529407</c:v>
                </c:pt>
                <c:pt idx="11">
                  <c:v>2.9411764705882346</c:v>
                </c:pt>
                <c:pt idx="12">
                  <c:v>3.1176470588235285</c:v>
                </c:pt>
                <c:pt idx="13">
                  <c:v>3.2941176470588225</c:v>
                </c:pt>
                <c:pt idx="14">
                  <c:v>3.4705882352941164</c:v>
                </c:pt>
                <c:pt idx="15">
                  <c:v>3.6470588235294104</c:v>
                </c:pt>
                <c:pt idx="16">
                  <c:v>3.8235294117647043</c:v>
                </c:pt>
                <c:pt idx="17">
                  <c:v>3.9999999999999982</c:v>
                </c:pt>
                <c:pt idx="18">
                  <c:v>4.1764705882352926</c:v>
                </c:pt>
                <c:pt idx="19">
                  <c:v>4.352941176470587</c:v>
                </c:pt>
                <c:pt idx="20">
                  <c:v>4.5294117647058814</c:v>
                </c:pt>
                <c:pt idx="21">
                  <c:v>4.7058823529411757</c:v>
                </c:pt>
                <c:pt idx="22">
                  <c:v>4.8823529411764701</c:v>
                </c:pt>
                <c:pt idx="23">
                  <c:v>5.0588235294117645</c:v>
                </c:pt>
                <c:pt idx="24">
                  <c:v>5.2352941176470589</c:v>
                </c:pt>
                <c:pt idx="25">
                  <c:v>5.4117647058823533</c:v>
                </c:pt>
                <c:pt idx="26">
                  <c:v>5.5882352941176476</c:v>
                </c:pt>
                <c:pt idx="27">
                  <c:v>5.764705882352942</c:v>
                </c:pt>
                <c:pt idx="28">
                  <c:v>5.9411764705882364</c:v>
                </c:pt>
                <c:pt idx="29">
                  <c:v>6.1176470588235308</c:v>
                </c:pt>
                <c:pt idx="30">
                  <c:v>6.2941176470588251</c:v>
                </c:pt>
                <c:pt idx="31">
                  <c:v>6.4705882352941195</c:v>
                </c:pt>
                <c:pt idx="32">
                  <c:v>6.6470588235294139</c:v>
                </c:pt>
                <c:pt idx="33">
                  <c:v>6.8235294117647083</c:v>
                </c:pt>
                <c:pt idx="34">
                  <c:v>7</c:v>
                </c:pt>
              </c:numCache>
            </c:numRef>
          </c:cat>
          <c:val>
            <c:numRef>
              <c:f>'Overall Metrics'!$G$2:$G$41</c:f>
              <c:numCache>
                <c:formatCode>General</c:formatCode>
                <c:ptCount val="40"/>
                <c:pt idx="0">
                  <c:v>85</c:v>
                </c:pt>
                <c:pt idx="1">
                  <c:v>0</c:v>
                </c:pt>
                <c:pt idx="2">
                  <c:v>0</c:v>
                </c:pt>
                <c:pt idx="3">
                  <c:v>0</c:v>
                </c:pt>
                <c:pt idx="4">
                  <c:v>0</c:v>
                </c:pt>
                <c:pt idx="5">
                  <c:v>6</c:v>
                </c:pt>
                <c:pt idx="6">
                  <c:v>0</c:v>
                </c:pt>
                <c:pt idx="7">
                  <c:v>0</c:v>
                </c:pt>
                <c:pt idx="8">
                  <c:v>0</c:v>
                </c:pt>
                <c:pt idx="9">
                  <c:v>0</c:v>
                </c:pt>
                <c:pt idx="10">
                  <c:v>0</c:v>
                </c:pt>
                <c:pt idx="11">
                  <c:v>5</c:v>
                </c:pt>
                <c:pt idx="12">
                  <c:v>0</c:v>
                </c:pt>
                <c:pt idx="13">
                  <c:v>0</c:v>
                </c:pt>
                <c:pt idx="14">
                  <c:v>0</c:v>
                </c:pt>
                <c:pt idx="15">
                  <c:v>0</c:v>
                </c:pt>
                <c:pt idx="16">
                  <c:v>0</c:v>
                </c:pt>
                <c:pt idx="17">
                  <c:v>5</c:v>
                </c:pt>
                <c:pt idx="18">
                  <c:v>0</c:v>
                </c:pt>
                <c:pt idx="19">
                  <c:v>0</c:v>
                </c:pt>
                <c:pt idx="20">
                  <c:v>0</c:v>
                </c:pt>
                <c:pt idx="21">
                  <c:v>0</c:v>
                </c:pt>
                <c:pt idx="22">
                  <c:v>0</c:v>
                </c:pt>
                <c:pt idx="23">
                  <c:v>0</c:v>
                </c:pt>
                <c:pt idx="24">
                  <c:v>0</c:v>
                </c:pt>
                <c:pt idx="25">
                  <c:v>0</c:v>
                </c:pt>
                <c:pt idx="26">
                  <c:v>0</c:v>
                </c:pt>
                <c:pt idx="27">
                  <c:v>0</c:v>
                </c:pt>
                <c:pt idx="28">
                  <c:v>1</c:v>
                </c:pt>
                <c:pt idx="29">
                  <c:v>0</c:v>
                </c:pt>
                <c:pt idx="30">
                  <c:v>0</c:v>
                </c:pt>
                <c:pt idx="31">
                  <c:v>0</c:v>
                </c:pt>
                <c:pt idx="32">
                  <c:v>0</c:v>
                </c:pt>
                <c:pt idx="33">
                  <c:v>0</c:v>
                </c:pt>
                <c:pt idx="34">
                  <c:v>1</c:v>
                </c:pt>
              </c:numCache>
            </c:numRef>
          </c:val>
          <c:extLst>
            <c:ext xmlns:c16="http://schemas.microsoft.com/office/drawing/2014/chart" uri="{C3380CC4-5D6E-409C-BE32-E72D297353CC}">
              <c16:uniqueId val="{00000000-96D6-4632-9202-4851F8BF70CC}"/>
            </c:ext>
          </c:extLst>
        </c:ser>
        <c:dLbls>
          <c:showLegendKey val="0"/>
          <c:showVal val="0"/>
          <c:showCatName val="0"/>
          <c:showSerName val="0"/>
          <c:showPercent val="0"/>
          <c:showBubbleSize val="0"/>
        </c:dLbls>
        <c:gapWidth val="0"/>
        <c:axId val="1490188320"/>
        <c:axId val="1490192128"/>
      </c:barChart>
      <c:catAx>
        <c:axId val="149018832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490192128"/>
        <c:crosses val="autoZero"/>
        <c:auto val="1"/>
        <c:lblAlgn val="ctr"/>
        <c:lblOffset val="100"/>
        <c:noMultiLvlLbl val="0"/>
      </c:catAx>
      <c:valAx>
        <c:axId val="1490192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95</c:v>
                </c:pt>
              </c:strCache>
            </c:strRef>
          </c:tx>
          <c:spPr>
            <a:solidFill>
              <a:schemeClr val="accent1"/>
            </a:solidFill>
          </c:spPr>
          <c:invertIfNegative val="0"/>
          <c:cat>
            <c:numRef>
              <c:f>'Overall Metrics'!$H$2:$H$41</c:f>
              <c:numCache>
                <c:formatCode>#,##0.00</c:formatCode>
                <c:ptCount val="40"/>
                <c:pt idx="0">
                  <c:v>0</c:v>
                </c:pt>
                <c:pt idx="1">
                  <c:v>1.6764705882352942</c:v>
                </c:pt>
                <c:pt idx="2">
                  <c:v>3.3529411764705883</c:v>
                </c:pt>
                <c:pt idx="3">
                  <c:v>5.0294117647058822</c:v>
                </c:pt>
                <c:pt idx="4">
                  <c:v>6.7058823529411766</c:v>
                </c:pt>
                <c:pt idx="5">
                  <c:v>8.382352941176471</c:v>
                </c:pt>
                <c:pt idx="6">
                  <c:v>10.058823529411764</c:v>
                </c:pt>
                <c:pt idx="7">
                  <c:v>11.735294117647058</c:v>
                </c:pt>
                <c:pt idx="8">
                  <c:v>13.411764705882351</c:v>
                </c:pt>
                <c:pt idx="9">
                  <c:v>15.088235294117645</c:v>
                </c:pt>
                <c:pt idx="10">
                  <c:v>16.764705882352938</c:v>
                </c:pt>
                <c:pt idx="11">
                  <c:v>18.441176470588232</c:v>
                </c:pt>
                <c:pt idx="12">
                  <c:v>20.117647058823525</c:v>
                </c:pt>
                <c:pt idx="13">
                  <c:v>21.794117647058819</c:v>
                </c:pt>
                <c:pt idx="14">
                  <c:v>23.470588235294112</c:v>
                </c:pt>
                <c:pt idx="15">
                  <c:v>25.147058823529406</c:v>
                </c:pt>
                <c:pt idx="16">
                  <c:v>26.823529411764699</c:v>
                </c:pt>
                <c:pt idx="17">
                  <c:v>28.499999999999993</c:v>
                </c:pt>
                <c:pt idx="18">
                  <c:v>30.176470588235286</c:v>
                </c:pt>
                <c:pt idx="19">
                  <c:v>31.85294117647058</c:v>
                </c:pt>
                <c:pt idx="20">
                  <c:v>33.529411764705877</c:v>
                </c:pt>
                <c:pt idx="21">
                  <c:v>35.205882352941174</c:v>
                </c:pt>
                <c:pt idx="22">
                  <c:v>36.882352941176471</c:v>
                </c:pt>
                <c:pt idx="23">
                  <c:v>38.558823529411768</c:v>
                </c:pt>
                <c:pt idx="24">
                  <c:v>40.235294117647065</c:v>
                </c:pt>
                <c:pt idx="25">
                  <c:v>41.911764705882362</c:v>
                </c:pt>
                <c:pt idx="26">
                  <c:v>43.588235294117659</c:v>
                </c:pt>
                <c:pt idx="27">
                  <c:v>45.264705882352956</c:v>
                </c:pt>
                <c:pt idx="28">
                  <c:v>46.941176470588253</c:v>
                </c:pt>
                <c:pt idx="29">
                  <c:v>48.61764705882355</c:v>
                </c:pt>
                <c:pt idx="30">
                  <c:v>50.294117647058847</c:v>
                </c:pt>
                <c:pt idx="31">
                  <c:v>51.970588235294144</c:v>
                </c:pt>
                <c:pt idx="32">
                  <c:v>53.647058823529441</c:v>
                </c:pt>
                <c:pt idx="33">
                  <c:v>55.323529411764738</c:v>
                </c:pt>
                <c:pt idx="34">
                  <c:v>57</c:v>
                </c:pt>
              </c:numCache>
            </c:numRef>
          </c:cat>
          <c:val>
            <c:numRef>
              <c:f>'Overall Metrics'!$I$2:$I$41</c:f>
              <c:numCache>
                <c:formatCode>General</c:formatCode>
                <c:ptCount val="40"/>
                <c:pt idx="0">
                  <c:v>95</c:v>
                </c:pt>
                <c:pt idx="1">
                  <c:v>2</c:v>
                </c:pt>
                <c:pt idx="2">
                  <c:v>0</c:v>
                </c:pt>
                <c:pt idx="3">
                  <c:v>0</c:v>
                </c:pt>
                <c:pt idx="4">
                  <c:v>2</c:v>
                </c:pt>
                <c:pt idx="5">
                  <c:v>0</c:v>
                </c:pt>
                <c:pt idx="6">
                  <c:v>0</c:v>
                </c:pt>
                <c:pt idx="7">
                  <c:v>0</c:v>
                </c:pt>
                <c:pt idx="8">
                  <c:v>1</c:v>
                </c:pt>
                <c:pt idx="9">
                  <c:v>0</c:v>
                </c:pt>
                <c:pt idx="10">
                  <c:v>0</c:v>
                </c:pt>
                <c:pt idx="11">
                  <c:v>1</c:v>
                </c:pt>
                <c:pt idx="12">
                  <c:v>0</c:v>
                </c:pt>
                <c:pt idx="13">
                  <c:v>0</c:v>
                </c:pt>
                <c:pt idx="14">
                  <c:v>0</c:v>
                </c:pt>
                <c:pt idx="15">
                  <c:v>0</c:v>
                </c:pt>
                <c:pt idx="16">
                  <c:v>0</c:v>
                </c:pt>
                <c:pt idx="17">
                  <c:v>0</c:v>
                </c:pt>
                <c:pt idx="18">
                  <c:v>0</c:v>
                </c:pt>
                <c:pt idx="19">
                  <c:v>0</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3F8F-4309-B08F-3725C65BC59C}"/>
            </c:ext>
          </c:extLst>
        </c:ser>
        <c:dLbls>
          <c:showLegendKey val="0"/>
          <c:showVal val="0"/>
          <c:showCatName val="0"/>
          <c:showSerName val="0"/>
          <c:showPercent val="0"/>
          <c:showBubbleSize val="0"/>
        </c:dLbls>
        <c:gapWidth val="0"/>
        <c:axId val="1490200832"/>
        <c:axId val="1490189952"/>
      </c:barChart>
      <c:catAx>
        <c:axId val="14902008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490189952"/>
        <c:crosses val="autoZero"/>
        <c:auto val="1"/>
        <c:lblAlgn val="ctr"/>
        <c:lblOffset val="100"/>
        <c:noMultiLvlLbl val="0"/>
      </c:catAx>
      <c:valAx>
        <c:axId val="1490189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2008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97</c:v>
                </c:pt>
              </c:strCache>
            </c:strRef>
          </c:tx>
          <c:spPr>
            <a:solidFill>
              <a:schemeClr val="accent1"/>
            </a:solidFill>
          </c:spPr>
          <c:invertIfNegative val="0"/>
          <c:cat>
            <c:numRef>
              <c:f>'Overall Metrics'!$J$2:$J$41</c:f>
              <c:numCache>
                <c:formatCode>#,##0.00</c:formatCode>
                <c:ptCount val="40"/>
                <c:pt idx="0">
                  <c:v>0</c:v>
                </c:pt>
                <c:pt idx="1">
                  <c:v>225.60294117647058</c:v>
                </c:pt>
                <c:pt idx="2">
                  <c:v>451.20588235294116</c:v>
                </c:pt>
                <c:pt idx="3">
                  <c:v>676.80882352941171</c:v>
                </c:pt>
                <c:pt idx="4">
                  <c:v>902.41176470588232</c:v>
                </c:pt>
                <c:pt idx="5">
                  <c:v>1128.0147058823529</c:v>
                </c:pt>
                <c:pt idx="6">
                  <c:v>1353.6176470588234</c:v>
                </c:pt>
                <c:pt idx="7">
                  <c:v>1579.2205882352939</c:v>
                </c:pt>
                <c:pt idx="8">
                  <c:v>1804.8235294117644</c:v>
                </c:pt>
                <c:pt idx="9">
                  <c:v>2030.4264705882349</c:v>
                </c:pt>
                <c:pt idx="10">
                  <c:v>2256.0294117647054</c:v>
                </c:pt>
                <c:pt idx="11">
                  <c:v>2481.6323529411761</c:v>
                </c:pt>
                <c:pt idx="12">
                  <c:v>2707.2352941176468</c:v>
                </c:pt>
                <c:pt idx="13">
                  <c:v>2932.8382352941176</c:v>
                </c:pt>
                <c:pt idx="14">
                  <c:v>3158.4411764705883</c:v>
                </c:pt>
                <c:pt idx="15">
                  <c:v>3384.044117647059</c:v>
                </c:pt>
                <c:pt idx="16">
                  <c:v>3609.6470588235297</c:v>
                </c:pt>
                <c:pt idx="17">
                  <c:v>3835.2500000000005</c:v>
                </c:pt>
                <c:pt idx="18">
                  <c:v>4060.8529411764712</c:v>
                </c:pt>
                <c:pt idx="19">
                  <c:v>4286.4558823529414</c:v>
                </c:pt>
                <c:pt idx="20">
                  <c:v>4512.0588235294117</c:v>
                </c:pt>
                <c:pt idx="21">
                  <c:v>4737.661764705882</c:v>
                </c:pt>
                <c:pt idx="22">
                  <c:v>4963.2647058823522</c:v>
                </c:pt>
                <c:pt idx="23">
                  <c:v>5188.8676470588225</c:v>
                </c:pt>
                <c:pt idx="24">
                  <c:v>5414.4705882352928</c:v>
                </c:pt>
                <c:pt idx="25">
                  <c:v>5640.073529411763</c:v>
                </c:pt>
                <c:pt idx="26">
                  <c:v>5865.6764705882333</c:v>
                </c:pt>
                <c:pt idx="27">
                  <c:v>6091.2794117647036</c:v>
                </c:pt>
                <c:pt idx="28">
                  <c:v>6316.8823529411738</c:v>
                </c:pt>
                <c:pt idx="29">
                  <c:v>6542.4852941176441</c:v>
                </c:pt>
                <c:pt idx="30">
                  <c:v>6768.0882352941144</c:v>
                </c:pt>
                <c:pt idx="31">
                  <c:v>6993.6911764705847</c:v>
                </c:pt>
                <c:pt idx="32">
                  <c:v>7219.2941176470549</c:v>
                </c:pt>
                <c:pt idx="33">
                  <c:v>7444.8970588235252</c:v>
                </c:pt>
                <c:pt idx="34">
                  <c:v>7670.5</c:v>
                </c:pt>
              </c:numCache>
            </c:numRef>
          </c:cat>
          <c:val>
            <c:numRef>
              <c:f>'Overall Metrics'!$K$2:$K$41</c:f>
              <c:numCache>
                <c:formatCode>General</c:formatCode>
                <c:ptCount val="40"/>
                <c:pt idx="0">
                  <c:v>97</c:v>
                </c:pt>
                <c:pt idx="1">
                  <c:v>1</c:v>
                </c:pt>
                <c:pt idx="2">
                  <c:v>1</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81ED-4756-AD48-F7084E53759E}"/>
            </c:ext>
          </c:extLst>
        </c:ser>
        <c:dLbls>
          <c:showLegendKey val="0"/>
          <c:showVal val="0"/>
          <c:showCatName val="0"/>
          <c:showSerName val="0"/>
          <c:showPercent val="0"/>
          <c:showBubbleSize val="0"/>
        </c:dLbls>
        <c:gapWidth val="0"/>
        <c:axId val="1490188864"/>
        <c:axId val="1490192672"/>
      </c:barChart>
      <c:catAx>
        <c:axId val="14901888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490192672"/>
        <c:crosses val="autoZero"/>
        <c:auto val="1"/>
        <c:lblAlgn val="ctr"/>
        <c:lblOffset val="100"/>
        <c:noMultiLvlLbl val="0"/>
      </c:catAx>
      <c:valAx>
        <c:axId val="1490192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3</c:v>
                </c:pt>
              </c:strCache>
            </c:strRef>
          </c:tx>
          <c:spPr>
            <a:solidFill>
              <a:schemeClr val="accent1"/>
            </a:solidFill>
          </c:spPr>
          <c:invertIfNegative val="0"/>
          <c:cat>
            <c:numRef>
              <c:f>'Overall Metrics'!$L$2:$L$41</c:f>
              <c:numCache>
                <c:formatCode>#,##0.00</c:formatCode>
                <c:ptCount val="40"/>
                <c:pt idx="0">
                  <c:v>0.26771699999999998</c:v>
                </c:pt>
                <c:pt idx="1">
                  <c:v>0.27957982352941174</c:v>
                </c:pt>
                <c:pt idx="2">
                  <c:v>0.2914426470588235</c:v>
                </c:pt>
                <c:pt idx="3">
                  <c:v>0.30330547058823526</c:v>
                </c:pt>
                <c:pt idx="4">
                  <c:v>0.31516829411764702</c:v>
                </c:pt>
                <c:pt idx="5">
                  <c:v>0.32703111764705878</c:v>
                </c:pt>
                <c:pt idx="6">
                  <c:v>0.33889394117647054</c:v>
                </c:pt>
                <c:pt idx="7">
                  <c:v>0.3507567647058823</c:v>
                </c:pt>
                <c:pt idx="8">
                  <c:v>0.36261958823529405</c:v>
                </c:pt>
                <c:pt idx="9">
                  <c:v>0.37448241176470581</c:v>
                </c:pt>
                <c:pt idx="10">
                  <c:v>0.38634523529411757</c:v>
                </c:pt>
                <c:pt idx="11">
                  <c:v>0.39820805882352933</c:v>
                </c:pt>
                <c:pt idx="12">
                  <c:v>0.41007088235294109</c:v>
                </c:pt>
                <c:pt idx="13">
                  <c:v>0.42193370588235285</c:v>
                </c:pt>
                <c:pt idx="14">
                  <c:v>0.43379652941176461</c:v>
                </c:pt>
                <c:pt idx="15">
                  <c:v>0.44565935294117637</c:v>
                </c:pt>
                <c:pt idx="16">
                  <c:v>0.45752217647058813</c:v>
                </c:pt>
                <c:pt idx="17">
                  <c:v>0.46938499999999989</c:v>
                </c:pt>
                <c:pt idx="18">
                  <c:v>0.48124782352941164</c:v>
                </c:pt>
                <c:pt idx="19">
                  <c:v>0.4931106470588234</c:v>
                </c:pt>
                <c:pt idx="20">
                  <c:v>0.50497347058823516</c:v>
                </c:pt>
                <c:pt idx="21">
                  <c:v>0.51683629411764698</c:v>
                </c:pt>
                <c:pt idx="22">
                  <c:v>0.52869911764705879</c:v>
                </c:pt>
                <c:pt idx="23">
                  <c:v>0.54056194117647061</c:v>
                </c:pt>
                <c:pt idx="24">
                  <c:v>0.55242476470588242</c:v>
                </c:pt>
                <c:pt idx="25">
                  <c:v>0.56428758823529424</c:v>
                </c:pt>
                <c:pt idx="26">
                  <c:v>0.57615041176470605</c:v>
                </c:pt>
                <c:pt idx="27">
                  <c:v>0.58801323529411786</c:v>
                </c:pt>
                <c:pt idx="28">
                  <c:v>0.59987605882352968</c:v>
                </c:pt>
                <c:pt idx="29">
                  <c:v>0.61173888235294149</c:v>
                </c:pt>
                <c:pt idx="30">
                  <c:v>0.62360170588235331</c:v>
                </c:pt>
                <c:pt idx="31">
                  <c:v>0.63546452941176512</c:v>
                </c:pt>
                <c:pt idx="32">
                  <c:v>0.64732735294117694</c:v>
                </c:pt>
                <c:pt idx="33">
                  <c:v>0.65919017647058875</c:v>
                </c:pt>
                <c:pt idx="34">
                  <c:v>0.67105300000000001</c:v>
                </c:pt>
              </c:numCache>
            </c:numRef>
          </c:cat>
          <c:val>
            <c:numRef>
              <c:f>'Overall Metrics'!$M$2:$M$41</c:f>
              <c:numCache>
                <c:formatCode>General</c:formatCode>
                <c:ptCount val="40"/>
                <c:pt idx="0">
                  <c:v>3</c:v>
                </c:pt>
                <c:pt idx="1">
                  <c:v>3</c:v>
                </c:pt>
                <c:pt idx="2">
                  <c:v>0</c:v>
                </c:pt>
                <c:pt idx="3">
                  <c:v>0</c:v>
                </c:pt>
                <c:pt idx="4">
                  <c:v>0</c:v>
                </c:pt>
                <c:pt idx="5">
                  <c:v>0</c:v>
                </c:pt>
                <c:pt idx="6">
                  <c:v>7</c:v>
                </c:pt>
                <c:pt idx="7">
                  <c:v>3</c:v>
                </c:pt>
                <c:pt idx="8">
                  <c:v>18</c:v>
                </c:pt>
                <c:pt idx="9">
                  <c:v>5</c:v>
                </c:pt>
                <c:pt idx="10">
                  <c:v>2</c:v>
                </c:pt>
                <c:pt idx="11">
                  <c:v>53</c:v>
                </c:pt>
                <c:pt idx="12">
                  <c:v>0</c:v>
                </c:pt>
                <c:pt idx="13">
                  <c:v>0</c:v>
                </c:pt>
                <c:pt idx="14">
                  <c:v>0</c:v>
                </c:pt>
                <c:pt idx="15">
                  <c:v>0</c:v>
                </c:pt>
                <c:pt idx="16">
                  <c:v>0</c:v>
                </c:pt>
                <c:pt idx="17">
                  <c:v>3</c:v>
                </c:pt>
                <c:pt idx="18">
                  <c:v>0</c:v>
                </c:pt>
                <c:pt idx="19">
                  <c:v>1</c:v>
                </c:pt>
                <c:pt idx="20">
                  <c:v>1</c:v>
                </c:pt>
                <c:pt idx="21">
                  <c:v>1</c:v>
                </c:pt>
                <c:pt idx="22">
                  <c:v>0</c:v>
                </c:pt>
                <c:pt idx="23">
                  <c:v>1</c:v>
                </c:pt>
                <c:pt idx="24">
                  <c:v>0</c:v>
                </c:pt>
                <c:pt idx="25">
                  <c:v>0</c:v>
                </c:pt>
                <c:pt idx="26">
                  <c:v>0</c:v>
                </c:pt>
                <c:pt idx="27">
                  <c:v>1</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9197-4249-AC69-1139089E101A}"/>
            </c:ext>
          </c:extLst>
        </c:ser>
        <c:dLbls>
          <c:showLegendKey val="0"/>
          <c:showVal val="0"/>
          <c:showCatName val="0"/>
          <c:showSerName val="0"/>
          <c:showPercent val="0"/>
          <c:showBubbleSize val="0"/>
        </c:dLbls>
        <c:gapWidth val="0"/>
        <c:axId val="1490194848"/>
        <c:axId val="1490201920"/>
      </c:barChart>
      <c:catAx>
        <c:axId val="14901948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90201920"/>
        <c:crosses val="autoZero"/>
        <c:auto val="1"/>
        <c:lblAlgn val="ctr"/>
        <c:lblOffset val="100"/>
        <c:noMultiLvlLbl val="0"/>
      </c:catAx>
      <c:valAx>
        <c:axId val="1490201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48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5</c:v>
                </c:pt>
              </c:strCache>
            </c:strRef>
          </c:tx>
          <c:spPr>
            <a:solidFill>
              <a:schemeClr val="accent1"/>
            </a:solidFill>
          </c:spPr>
          <c:invertIfNegative val="0"/>
          <c:cat>
            <c:numRef>
              <c:f>'Overall Metrics'!$N$2:$N$41</c:f>
              <c:numCache>
                <c:formatCode>#,##0.00</c:formatCode>
                <c:ptCount val="40"/>
                <c:pt idx="0">
                  <c:v>4.0000000000000001E-3</c:v>
                </c:pt>
                <c:pt idx="1">
                  <c:v>1.8350647058823531E-2</c:v>
                </c:pt>
                <c:pt idx="2">
                  <c:v>3.2701294117647065E-2</c:v>
                </c:pt>
                <c:pt idx="3">
                  <c:v>4.7051941176470595E-2</c:v>
                </c:pt>
                <c:pt idx="4">
                  <c:v>6.1402588235294125E-2</c:v>
                </c:pt>
                <c:pt idx="5">
                  <c:v>7.5753235294117649E-2</c:v>
                </c:pt>
                <c:pt idx="6">
                  <c:v>9.0103882352941173E-2</c:v>
                </c:pt>
                <c:pt idx="7">
                  <c:v>0.1044545294117647</c:v>
                </c:pt>
                <c:pt idx="8">
                  <c:v>0.11880517647058822</c:v>
                </c:pt>
                <c:pt idx="9">
                  <c:v>0.13315582352941174</c:v>
                </c:pt>
                <c:pt idx="10">
                  <c:v>0.14750647058823527</c:v>
                </c:pt>
                <c:pt idx="11">
                  <c:v>0.16185711764705879</c:v>
                </c:pt>
                <c:pt idx="12">
                  <c:v>0.17620776470588231</c:v>
                </c:pt>
                <c:pt idx="13">
                  <c:v>0.19055841176470584</c:v>
                </c:pt>
                <c:pt idx="14">
                  <c:v>0.20490905882352936</c:v>
                </c:pt>
                <c:pt idx="15">
                  <c:v>0.21925970588235288</c:v>
                </c:pt>
                <c:pt idx="16">
                  <c:v>0.23361035294117641</c:v>
                </c:pt>
                <c:pt idx="17">
                  <c:v>0.24796099999999993</c:v>
                </c:pt>
                <c:pt idx="18">
                  <c:v>0.26231164705882348</c:v>
                </c:pt>
                <c:pt idx="19">
                  <c:v>0.27666229411764703</c:v>
                </c:pt>
                <c:pt idx="20">
                  <c:v>0.29101294117647059</c:v>
                </c:pt>
                <c:pt idx="21">
                  <c:v>0.30536358823529414</c:v>
                </c:pt>
                <c:pt idx="22">
                  <c:v>0.31971423529411769</c:v>
                </c:pt>
                <c:pt idx="23">
                  <c:v>0.33406488235294124</c:v>
                </c:pt>
                <c:pt idx="24">
                  <c:v>0.34841552941176479</c:v>
                </c:pt>
                <c:pt idx="25">
                  <c:v>0.36276617647058834</c:v>
                </c:pt>
                <c:pt idx="26">
                  <c:v>0.37711682352941189</c:v>
                </c:pt>
                <c:pt idx="27">
                  <c:v>0.39146747058823544</c:v>
                </c:pt>
                <c:pt idx="28">
                  <c:v>0.405818117647059</c:v>
                </c:pt>
                <c:pt idx="29">
                  <c:v>0.42016876470588255</c:v>
                </c:pt>
                <c:pt idx="30">
                  <c:v>0.4345194117647061</c:v>
                </c:pt>
                <c:pt idx="31">
                  <c:v>0.44887005882352965</c:v>
                </c:pt>
                <c:pt idx="32">
                  <c:v>0.4632207058823532</c:v>
                </c:pt>
                <c:pt idx="33">
                  <c:v>0.47757135294117675</c:v>
                </c:pt>
                <c:pt idx="34">
                  <c:v>0.49192200000000003</c:v>
                </c:pt>
              </c:numCache>
            </c:numRef>
          </c:cat>
          <c:val>
            <c:numRef>
              <c:f>'Overall Metrics'!$O$2:$O$41</c:f>
              <c:numCache>
                <c:formatCode>General</c:formatCode>
                <c:ptCount val="40"/>
                <c:pt idx="0">
                  <c:v>5</c:v>
                </c:pt>
                <c:pt idx="1">
                  <c:v>8</c:v>
                </c:pt>
                <c:pt idx="2">
                  <c:v>21</c:v>
                </c:pt>
                <c:pt idx="3">
                  <c:v>50</c:v>
                </c:pt>
                <c:pt idx="4">
                  <c:v>3</c:v>
                </c:pt>
                <c:pt idx="5">
                  <c:v>2</c:v>
                </c:pt>
                <c:pt idx="6">
                  <c:v>1</c:v>
                </c:pt>
                <c:pt idx="7">
                  <c:v>1</c:v>
                </c:pt>
                <c:pt idx="8">
                  <c:v>3</c:v>
                </c:pt>
                <c:pt idx="9">
                  <c:v>0</c:v>
                </c:pt>
                <c:pt idx="10">
                  <c:v>2</c:v>
                </c:pt>
                <c:pt idx="11">
                  <c:v>2</c:v>
                </c:pt>
                <c:pt idx="12">
                  <c:v>0</c:v>
                </c:pt>
                <c:pt idx="13">
                  <c:v>0</c:v>
                </c:pt>
                <c:pt idx="14">
                  <c:v>1</c:v>
                </c:pt>
                <c:pt idx="15">
                  <c:v>0</c:v>
                </c:pt>
                <c:pt idx="16">
                  <c:v>1</c:v>
                </c:pt>
                <c:pt idx="17">
                  <c:v>0</c:v>
                </c:pt>
                <c:pt idx="18">
                  <c:v>0</c:v>
                </c:pt>
                <c:pt idx="19">
                  <c:v>0</c:v>
                </c:pt>
                <c:pt idx="20">
                  <c:v>0</c:v>
                </c:pt>
                <c:pt idx="21">
                  <c:v>1</c:v>
                </c:pt>
                <c:pt idx="22">
                  <c:v>0</c:v>
                </c:pt>
                <c:pt idx="23">
                  <c:v>0</c:v>
                </c:pt>
                <c:pt idx="24">
                  <c:v>0</c:v>
                </c:pt>
                <c:pt idx="25">
                  <c:v>0</c:v>
                </c:pt>
                <c:pt idx="26">
                  <c:v>0</c:v>
                </c:pt>
                <c:pt idx="27">
                  <c:v>1</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8990-453A-8FC1-57B7D4CE2800}"/>
            </c:ext>
          </c:extLst>
        </c:ser>
        <c:dLbls>
          <c:showLegendKey val="0"/>
          <c:showVal val="0"/>
          <c:showCatName val="0"/>
          <c:showSerName val="0"/>
          <c:showPercent val="0"/>
          <c:showBubbleSize val="0"/>
        </c:dLbls>
        <c:gapWidth val="0"/>
        <c:axId val="1490195936"/>
        <c:axId val="1490202464"/>
      </c:barChart>
      <c:catAx>
        <c:axId val="149019593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90202464"/>
        <c:crosses val="autoZero"/>
        <c:auto val="1"/>
        <c:lblAlgn val="ctr"/>
        <c:lblOffset val="100"/>
        <c:noMultiLvlLbl val="0"/>
      </c:catAx>
      <c:valAx>
        <c:axId val="1490202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59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6F6-454C-9139-FCED7AE53B87}"/>
            </c:ext>
          </c:extLst>
        </c:ser>
        <c:dLbls>
          <c:showLegendKey val="0"/>
          <c:showVal val="0"/>
          <c:showCatName val="0"/>
          <c:showSerName val="0"/>
          <c:showPercent val="0"/>
          <c:showBubbleSize val="0"/>
        </c:dLbls>
        <c:gapWidth val="0"/>
        <c:axId val="1490193216"/>
        <c:axId val="1490198112"/>
      </c:barChart>
      <c:catAx>
        <c:axId val="149019321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90198112"/>
        <c:crosses val="autoZero"/>
        <c:auto val="1"/>
        <c:lblAlgn val="ctr"/>
        <c:lblOffset val="100"/>
        <c:noMultiLvlLbl val="0"/>
      </c:catAx>
      <c:valAx>
        <c:axId val="14901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3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FB6-40B9-A7D7-DD4CCDD272A7}"/>
            </c:ext>
          </c:extLst>
        </c:ser>
        <c:dLbls>
          <c:showLegendKey val="0"/>
          <c:showVal val="0"/>
          <c:showCatName val="0"/>
          <c:showSerName val="0"/>
          <c:showPercent val="0"/>
          <c:showBubbleSize val="0"/>
        </c:dLbls>
        <c:gapWidth val="0"/>
        <c:axId val="1490199744"/>
        <c:axId val="1490197024"/>
      </c:barChart>
      <c:catAx>
        <c:axId val="14901997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90197024"/>
        <c:crosses val="autoZero"/>
        <c:auto val="1"/>
        <c:lblAlgn val="ctr"/>
        <c:lblOffset val="100"/>
        <c:noMultiLvlLbl val="0"/>
      </c:catAx>
      <c:valAx>
        <c:axId val="1490197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7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183-414D-BE5C-B1D9B315DF07}"/>
            </c:ext>
          </c:extLst>
        </c:ser>
        <c:dLbls>
          <c:showLegendKey val="0"/>
          <c:showVal val="0"/>
          <c:showCatName val="0"/>
          <c:showSerName val="0"/>
          <c:showPercent val="0"/>
          <c:showBubbleSize val="0"/>
        </c:dLbls>
        <c:gapWidth val="0"/>
        <c:axId val="1490189408"/>
        <c:axId val="1490190496"/>
      </c:barChart>
      <c:catAx>
        <c:axId val="1490189408"/>
        <c:scaling>
          <c:orientation val="minMax"/>
        </c:scaling>
        <c:delete val="1"/>
        <c:axPos val="b"/>
        <c:numFmt formatCode="#,##0.00" sourceLinked="1"/>
        <c:majorTickMark val="out"/>
        <c:minorTickMark val="none"/>
        <c:tickLblPos val="none"/>
        <c:crossAx val="1490190496"/>
        <c:crosses val="autoZero"/>
        <c:auto val="1"/>
        <c:lblAlgn val="ctr"/>
        <c:lblOffset val="100"/>
        <c:noMultiLvlLbl val="0"/>
      </c:catAx>
      <c:valAx>
        <c:axId val="1490190496"/>
        <c:scaling>
          <c:orientation val="minMax"/>
        </c:scaling>
        <c:delete val="1"/>
        <c:axPos val="l"/>
        <c:numFmt formatCode="General" sourceLinked="1"/>
        <c:majorTickMark val="out"/>
        <c:minorTickMark val="none"/>
        <c:tickLblPos val="none"/>
        <c:crossAx val="149018940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25400</xdr:rowOff>
    </xdr:from>
    <xdr:to>
      <xdr:col>1</xdr:col>
      <xdr:colOff>604520</xdr:colOff>
      <xdr:row>2</xdr:row>
      <xdr:rowOff>406400</xdr:rowOff>
    </xdr:to>
    <xdr:pic>
      <xdr:nvPicPr>
        <xdr:cNvPr id="3" name="Subgraph-UCp5Z-MCwvP4LBH8AJ4oXk-g">
          <a:extLst>
            <a:ext uri="{FF2B5EF4-FFF2-40B4-BE49-F238E27FC236}">
              <a16:creationId xmlns:a16="http://schemas.microsoft.com/office/drawing/2014/main" id="{1F239F76-4430-4848-8304-67F8AC32913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21840" y="589280"/>
          <a:ext cx="579120" cy="381000"/>
        </a:xfrm>
        <a:prstGeom prst="rect">
          <a:avLst/>
        </a:prstGeom>
      </xdr:spPr>
    </xdr:pic>
    <xdr:clientData/>
  </xdr:twoCellAnchor>
  <xdr:twoCellAnchor editAs="oneCell">
    <xdr:from>
      <xdr:col>1</xdr:col>
      <xdr:colOff>25400</xdr:colOff>
      <xdr:row>3</xdr:row>
      <xdr:rowOff>25400</xdr:rowOff>
    </xdr:from>
    <xdr:to>
      <xdr:col>1</xdr:col>
      <xdr:colOff>604520</xdr:colOff>
      <xdr:row>3</xdr:row>
      <xdr:rowOff>406400</xdr:rowOff>
    </xdr:to>
    <xdr:pic>
      <xdr:nvPicPr>
        <xdr:cNvPr id="5" name="Subgraph-UCudx6plmpbs5WtWvsvu-EdQ">
          <a:extLst>
            <a:ext uri="{FF2B5EF4-FFF2-40B4-BE49-F238E27FC236}">
              <a16:creationId xmlns:a16="http://schemas.microsoft.com/office/drawing/2014/main" id="{63C387F9-2726-4F10-B6EC-478682D6E7C1}"/>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21840" y="1016000"/>
          <a:ext cx="579120" cy="381000"/>
        </a:xfrm>
        <a:prstGeom prst="rect">
          <a:avLst/>
        </a:prstGeom>
      </xdr:spPr>
    </xdr:pic>
    <xdr:clientData/>
  </xdr:twoCellAnchor>
  <xdr:twoCellAnchor editAs="oneCell">
    <xdr:from>
      <xdr:col>1</xdr:col>
      <xdr:colOff>25400</xdr:colOff>
      <xdr:row>4</xdr:row>
      <xdr:rowOff>25400</xdr:rowOff>
    </xdr:from>
    <xdr:to>
      <xdr:col>1</xdr:col>
      <xdr:colOff>604520</xdr:colOff>
      <xdr:row>4</xdr:row>
      <xdr:rowOff>406400</xdr:rowOff>
    </xdr:to>
    <xdr:pic>
      <xdr:nvPicPr>
        <xdr:cNvPr id="7" name="Subgraph-UClEMcSd07fHiEfLRDX8KG3Q">
          <a:extLst>
            <a:ext uri="{FF2B5EF4-FFF2-40B4-BE49-F238E27FC236}">
              <a16:creationId xmlns:a16="http://schemas.microsoft.com/office/drawing/2014/main" id="{93BE3645-7AB7-4009-9241-7DF9F7D8C026}"/>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21840" y="1442720"/>
          <a:ext cx="579120" cy="381000"/>
        </a:xfrm>
        <a:prstGeom prst="rect">
          <a:avLst/>
        </a:prstGeom>
      </xdr:spPr>
    </xdr:pic>
    <xdr:clientData/>
  </xdr:twoCellAnchor>
  <xdr:twoCellAnchor editAs="oneCell">
    <xdr:from>
      <xdr:col>1</xdr:col>
      <xdr:colOff>25400</xdr:colOff>
      <xdr:row>5</xdr:row>
      <xdr:rowOff>25400</xdr:rowOff>
    </xdr:from>
    <xdr:to>
      <xdr:col>1</xdr:col>
      <xdr:colOff>604520</xdr:colOff>
      <xdr:row>5</xdr:row>
      <xdr:rowOff>406400</xdr:rowOff>
    </xdr:to>
    <xdr:pic>
      <xdr:nvPicPr>
        <xdr:cNvPr id="9" name="Subgraph-UCNYrK4tc5i1-eL8TXesH2pg">
          <a:extLst>
            <a:ext uri="{FF2B5EF4-FFF2-40B4-BE49-F238E27FC236}">
              <a16:creationId xmlns:a16="http://schemas.microsoft.com/office/drawing/2014/main" id="{7E2E45CC-C25F-4570-BB67-B3113C98DA55}"/>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21840" y="1869440"/>
          <a:ext cx="579120" cy="381000"/>
        </a:xfrm>
        <a:prstGeom prst="rect">
          <a:avLst/>
        </a:prstGeom>
      </xdr:spPr>
    </xdr:pic>
    <xdr:clientData/>
  </xdr:twoCellAnchor>
  <xdr:twoCellAnchor editAs="oneCell">
    <xdr:from>
      <xdr:col>1</xdr:col>
      <xdr:colOff>25400</xdr:colOff>
      <xdr:row>6</xdr:row>
      <xdr:rowOff>25400</xdr:rowOff>
    </xdr:from>
    <xdr:to>
      <xdr:col>1</xdr:col>
      <xdr:colOff>604520</xdr:colOff>
      <xdr:row>6</xdr:row>
      <xdr:rowOff>406400</xdr:rowOff>
    </xdr:to>
    <xdr:pic>
      <xdr:nvPicPr>
        <xdr:cNvPr id="11" name="Subgraph-UCm2XzK8LwInDPP7H9NGoG2g">
          <a:extLst>
            <a:ext uri="{FF2B5EF4-FFF2-40B4-BE49-F238E27FC236}">
              <a16:creationId xmlns:a16="http://schemas.microsoft.com/office/drawing/2014/main" id="{7FE61EF8-A40D-42F4-96D7-6AA52831665C}"/>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21840" y="2296160"/>
          <a:ext cx="579120" cy="381000"/>
        </a:xfrm>
        <a:prstGeom prst="rect">
          <a:avLst/>
        </a:prstGeom>
      </xdr:spPr>
    </xdr:pic>
    <xdr:clientData/>
  </xdr:twoCellAnchor>
  <xdr:twoCellAnchor editAs="oneCell">
    <xdr:from>
      <xdr:col>1</xdr:col>
      <xdr:colOff>25400</xdr:colOff>
      <xdr:row>7</xdr:row>
      <xdr:rowOff>25400</xdr:rowOff>
    </xdr:from>
    <xdr:to>
      <xdr:col>1</xdr:col>
      <xdr:colOff>604520</xdr:colOff>
      <xdr:row>7</xdr:row>
      <xdr:rowOff>406400</xdr:rowOff>
    </xdr:to>
    <xdr:pic>
      <xdr:nvPicPr>
        <xdr:cNvPr id="13" name="Subgraph-UCnR6NPn9ODoaUO8R9gKm2rQ">
          <a:extLst>
            <a:ext uri="{FF2B5EF4-FFF2-40B4-BE49-F238E27FC236}">
              <a16:creationId xmlns:a16="http://schemas.microsoft.com/office/drawing/2014/main" id="{1C895340-091C-4BF7-B7CD-401C4D6438FF}"/>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21840" y="2722880"/>
          <a:ext cx="579120" cy="381000"/>
        </a:xfrm>
        <a:prstGeom prst="rect">
          <a:avLst/>
        </a:prstGeom>
      </xdr:spPr>
    </xdr:pic>
    <xdr:clientData/>
  </xdr:twoCellAnchor>
  <xdr:twoCellAnchor editAs="oneCell">
    <xdr:from>
      <xdr:col>1</xdr:col>
      <xdr:colOff>25400</xdr:colOff>
      <xdr:row>8</xdr:row>
      <xdr:rowOff>25400</xdr:rowOff>
    </xdr:from>
    <xdr:to>
      <xdr:col>1</xdr:col>
      <xdr:colOff>604520</xdr:colOff>
      <xdr:row>8</xdr:row>
      <xdr:rowOff>406400</xdr:rowOff>
    </xdr:to>
    <xdr:pic>
      <xdr:nvPicPr>
        <xdr:cNvPr id="15" name="Subgraph-UCbH7wEhicSduhLLoUmPOtbw">
          <a:extLst>
            <a:ext uri="{FF2B5EF4-FFF2-40B4-BE49-F238E27FC236}">
              <a16:creationId xmlns:a16="http://schemas.microsoft.com/office/drawing/2014/main" id="{2761B2FB-AE03-4748-AC4C-1A329B29365D}"/>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21840" y="3149600"/>
          <a:ext cx="579120" cy="381000"/>
        </a:xfrm>
        <a:prstGeom prst="rect">
          <a:avLst/>
        </a:prstGeom>
      </xdr:spPr>
    </xdr:pic>
    <xdr:clientData/>
  </xdr:twoCellAnchor>
  <xdr:twoCellAnchor editAs="oneCell">
    <xdr:from>
      <xdr:col>1</xdr:col>
      <xdr:colOff>25400</xdr:colOff>
      <xdr:row>9</xdr:row>
      <xdr:rowOff>25400</xdr:rowOff>
    </xdr:from>
    <xdr:to>
      <xdr:col>1</xdr:col>
      <xdr:colOff>604520</xdr:colOff>
      <xdr:row>9</xdr:row>
      <xdr:rowOff>406400</xdr:rowOff>
    </xdr:to>
    <xdr:pic>
      <xdr:nvPicPr>
        <xdr:cNvPr id="17" name="Subgraph-UCXz3MIy-LiTvLjjqT9Cr33A">
          <a:extLst>
            <a:ext uri="{FF2B5EF4-FFF2-40B4-BE49-F238E27FC236}">
              <a16:creationId xmlns:a16="http://schemas.microsoft.com/office/drawing/2014/main" id="{6FE35975-060E-4EA3-9543-8EC2DAE1D94F}"/>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21840" y="3576320"/>
          <a:ext cx="579120" cy="381000"/>
        </a:xfrm>
        <a:prstGeom prst="rect">
          <a:avLst/>
        </a:prstGeom>
      </xdr:spPr>
    </xdr:pic>
    <xdr:clientData/>
  </xdr:twoCellAnchor>
  <xdr:twoCellAnchor editAs="oneCell">
    <xdr:from>
      <xdr:col>1</xdr:col>
      <xdr:colOff>25400</xdr:colOff>
      <xdr:row>10</xdr:row>
      <xdr:rowOff>25400</xdr:rowOff>
    </xdr:from>
    <xdr:to>
      <xdr:col>1</xdr:col>
      <xdr:colOff>604520</xdr:colOff>
      <xdr:row>10</xdr:row>
      <xdr:rowOff>406400</xdr:rowOff>
    </xdr:to>
    <xdr:pic>
      <xdr:nvPicPr>
        <xdr:cNvPr id="19" name="Subgraph-UCWovCqBTBpzolUjWb9lzuvA">
          <a:extLst>
            <a:ext uri="{FF2B5EF4-FFF2-40B4-BE49-F238E27FC236}">
              <a16:creationId xmlns:a16="http://schemas.microsoft.com/office/drawing/2014/main" id="{1C29BFCB-AE90-4BB6-B0D6-3AC6E52DAC7A}"/>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21840" y="4003040"/>
          <a:ext cx="579120" cy="381000"/>
        </a:xfrm>
        <a:prstGeom prst="rect">
          <a:avLst/>
        </a:prstGeom>
      </xdr:spPr>
    </xdr:pic>
    <xdr:clientData/>
  </xdr:twoCellAnchor>
  <xdr:twoCellAnchor editAs="oneCell">
    <xdr:from>
      <xdr:col>1</xdr:col>
      <xdr:colOff>25400</xdr:colOff>
      <xdr:row>11</xdr:row>
      <xdr:rowOff>25400</xdr:rowOff>
    </xdr:from>
    <xdr:to>
      <xdr:col>1</xdr:col>
      <xdr:colOff>604520</xdr:colOff>
      <xdr:row>11</xdr:row>
      <xdr:rowOff>406400</xdr:rowOff>
    </xdr:to>
    <xdr:pic>
      <xdr:nvPicPr>
        <xdr:cNvPr id="21" name="Subgraph-UCKs8oXxRKyNjHJVuiXF8XXQ">
          <a:extLst>
            <a:ext uri="{FF2B5EF4-FFF2-40B4-BE49-F238E27FC236}">
              <a16:creationId xmlns:a16="http://schemas.microsoft.com/office/drawing/2014/main" id="{71943167-399A-406D-A036-52E66C7AC7AA}"/>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21840" y="4429760"/>
          <a:ext cx="579120" cy="381000"/>
        </a:xfrm>
        <a:prstGeom prst="rect">
          <a:avLst/>
        </a:prstGeom>
      </xdr:spPr>
    </xdr:pic>
    <xdr:clientData/>
  </xdr:twoCellAnchor>
  <xdr:twoCellAnchor editAs="oneCell">
    <xdr:from>
      <xdr:col>1</xdr:col>
      <xdr:colOff>25400</xdr:colOff>
      <xdr:row>12</xdr:row>
      <xdr:rowOff>25400</xdr:rowOff>
    </xdr:from>
    <xdr:to>
      <xdr:col>1</xdr:col>
      <xdr:colOff>604520</xdr:colOff>
      <xdr:row>12</xdr:row>
      <xdr:rowOff>406400</xdr:rowOff>
    </xdr:to>
    <xdr:pic>
      <xdr:nvPicPr>
        <xdr:cNvPr id="23" name="Subgraph-UCClWZFPC7yXHYYwpjNhFt5Q">
          <a:extLst>
            <a:ext uri="{FF2B5EF4-FFF2-40B4-BE49-F238E27FC236}">
              <a16:creationId xmlns:a16="http://schemas.microsoft.com/office/drawing/2014/main" id="{8064C946-431D-4B55-B283-7EE3F7E7BE45}"/>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21840" y="4856480"/>
          <a:ext cx="579120" cy="381000"/>
        </a:xfrm>
        <a:prstGeom prst="rect">
          <a:avLst/>
        </a:prstGeom>
      </xdr:spPr>
    </xdr:pic>
    <xdr:clientData/>
  </xdr:twoCellAnchor>
  <xdr:twoCellAnchor editAs="oneCell">
    <xdr:from>
      <xdr:col>1</xdr:col>
      <xdr:colOff>25400</xdr:colOff>
      <xdr:row>13</xdr:row>
      <xdr:rowOff>25400</xdr:rowOff>
    </xdr:from>
    <xdr:to>
      <xdr:col>1</xdr:col>
      <xdr:colOff>604520</xdr:colOff>
      <xdr:row>13</xdr:row>
      <xdr:rowOff>406400</xdr:rowOff>
    </xdr:to>
    <xdr:pic>
      <xdr:nvPicPr>
        <xdr:cNvPr id="25" name="Subgraph-UC4PIyZ9QeDgRjTS1g35EH2g">
          <a:extLst>
            <a:ext uri="{FF2B5EF4-FFF2-40B4-BE49-F238E27FC236}">
              <a16:creationId xmlns:a16="http://schemas.microsoft.com/office/drawing/2014/main" id="{62999F03-1C4D-427A-917E-EC72990A6B6A}"/>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21840" y="5283200"/>
          <a:ext cx="579120" cy="381000"/>
        </a:xfrm>
        <a:prstGeom prst="rect">
          <a:avLst/>
        </a:prstGeom>
      </xdr:spPr>
    </xdr:pic>
    <xdr:clientData/>
  </xdr:twoCellAnchor>
  <xdr:twoCellAnchor editAs="oneCell">
    <xdr:from>
      <xdr:col>1</xdr:col>
      <xdr:colOff>25400</xdr:colOff>
      <xdr:row>14</xdr:row>
      <xdr:rowOff>25400</xdr:rowOff>
    </xdr:from>
    <xdr:to>
      <xdr:col>1</xdr:col>
      <xdr:colOff>604520</xdr:colOff>
      <xdr:row>14</xdr:row>
      <xdr:rowOff>406400</xdr:rowOff>
    </xdr:to>
    <xdr:pic>
      <xdr:nvPicPr>
        <xdr:cNvPr id="27" name="Subgraph-UCguyHOb3ojHY3bGoDJ48OZg">
          <a:extLst>
            <a:ext uri="{FF2B5EF4-FFF2-40B4-BE49-F238E27FC236}">
              <a16:creationId xmlns:a16="http://schemas.microsoft.com/office/drawing/2014/main" id="{0DE74EB7-EAC5-4793-82C5-0BB986B94B1F}"/>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21840" y="5709920"/>
          <a:ext cx="579120" cy="381000"/>
        </a:xfrm>
        <a:prstGeom prst="rect">
          <a:avLst/>
        </a:prstGeom>
      </xdr:spPr>
    </xdr:pic>
    <xdr:clientData/>
  </xdr:twoCellAnchor>
  <xdr:twoCellAnchor editAs="oneCell">
    <xdr:from>
      <xdr:col>1</xdr:col>
      <xdr:colOff>25400</xdr:colOff>
      <xdr:row>15</xdr:row>
      <xdr:rowOff>25400</xdr:rowOff>
    </xdr:from>
    <xdr:to>
      <xdr:col>1</xdr:col>
      <xdr:colOff>604520</xdr:colOff>
      <xdr:row>15</xdr:row>
      <xdr:rowOff>406400</xdr:rowOff>
    </xdr:to>
    <xdr:pic>
      <xdr:nvPicPr>
        <xdr:cNvPr id="29" name="Subgraph-UCwLRiiWovyFCLqN0iI1qU_Q">
          <a:extLst>
            <a:ext uri="{FF2B5EF4-FFF2-40B4-BE49-F238E27FC236}">
              <a16:creationId xmlns:a16="http://schemas.microsoft.com/office/drawing/2014/main" id="{5FFB3458-B13B-4F09-9F8F-4E3380B9DC70}"/>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6136640"/>
          <a:ext cx="579120" cy="381000"/>
        </a:xfrm>
        <a:prstGeom prst="rect">
          <a:avLst/>
        </a:prstGeom>
      </xdr:spPr>
    </xdr:pic>
    <xdr:clientData/>
  </xdr:twoCellAnchor>
  <xdr:twoCellAnchor editAs="oneCell">
    <xdr:from>
      <xdr:col>1</xdr:col>
      <xdr:colOff>25400</xdr:colOff>
      <xdr:row>16</xdr:row>
      <xdr:rowOff>25400</xdr:rowOff>
    </xdr:from>
    <xdr:to>
      <xdr:col>1</xdr:col>
      <xdr:colOff>604520</xdr:colOff>
      <xdr:row>16</xdr:row>
      <xdr:rowOff>406400</xdr:rowOff>
    </xdr:to>
    <xdr:pic>
      <xdr:nvPicPr>
        <xdr:cNvPr id="31" name="Subgraph-UCvVYhjD_h8foCbohQbZhR2g">
          <a:extLst>
            <a:ext uri="{FF2B5EF4-FFF2-40B4-BE49-F238E27FC236}">
              <a16:creationId xmlns:a16="http://schemas.microsoft.com/office/drawing/2014/main" id="{7BC007B1-5C5E-4CED-98C7-6957C2D38298}"/>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6563360"/>
          <a:ext cx="579120" cy="381000"/>
        </a:xfrm>
        <a:prstGeom prst="rect">
          <a:avLst/>
        </a:prstGeom>
      </xdr:spPr>
    </xdr:pic>
    <xdr:clientData/>
  </xdr:twoCellAnchor>
  <xdr:twoCellAnchor editAs="oneCell">
    <xdr:from>
      <xdr:col>1</xdr:col>
      <xdr:colOff>25400</xdr:colOff>
      <xdr:row>17</xdr:row>
      <xdr:rowOff>25400</xdr:rowOff>
    </xdr:from>
    <xdr:to>
      <xdr:col>1</xdr:col>
      <xdr:colOff>604520</xdr:colOff>
      <xdr:row>17</xdr:row>
      <xdr:rowOff>406400</xdr:rowOff>
    </xdr:to>
    <xdr:pic>
      <xdr:nvPicPr>
        <xdr:cNvPr id="33" name="Subgraph-UCtcCemTJwwDS48p369ObKLg">
          <a:extLst>
            <a:ext uri="{FF2B5EF4-FFF2-40B4-BE49-F238E27FC236}">
              <a16:creationId xmlns:a16="http://schemas.microsoft.com/office/drawing/2014/main" id="{4631C6CD-CE73-438C-93D8-0C7BFB17F04E}"/>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6990080"/>
          <a:ext cx="579120" cy="381000"/>
        </a:xfrm>
        <a:prstGeom prst="rect">
          <a:avLst/>
        </a:prstGeom>
      </xdr:spPr>
    </xdr:pic>
    <xdr:clientData/>
  </xdr:twoCellAnchor>
  <xdr:twoCellAnchor editAs="oneCell">
    <xdr:from>
      <xdr:col>1</xdr:col>
      <xdr:colOff>25400</xdr:colOff>
      <xdr:row>18</xdr:row>
      <xdr:rowOff>25400</xdr:rowOff>
    </xdr:from>
    <xdr:to>
      <xdr:col>1</xdr:col>
      <xdr:colOff>604520</xdr:colOff>
      <xdr:row>18</xdr:row>
      <xdr:rowOff>406400</xdr:rowOff>
    </xdr:to>
    <xdr:pic>
      <xdr:nvPicPr>
        <xdr:cNvPr id="35" name="Subgraph-UCs41Z32AWG2b3scm3a9Y-xQ">
          <a:extLst>
            <a:ext uri="{FF2B5EF4-FFF2-40B4-BE49-F238E27FC236}">
              <a16:creationId xmlns:a16="http://schemas.microsoft.com/office/drawing/2014/main" id="{E694F334-17FF-4CBC-8459-1E0022A2EC70}"/>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7416800"/>
          <a:ext cx="579120" cy="381000"/>
        </a:xfrm>
        <a:prstGeom prst="rect">
          <a:avLst/>
        </a:prstGeom>
      </xdr:spPr>
    </xdr:pic>
    <xdr:clientData/>
  </xdr:twoCellAnchor>
  <xdr:twoCellAnchor editAs="oneCell">
    <xdr:from>
      <xdr:col>1</xdr:col>
      <xdr:colOff>25400</xdr:colOff>
      <xdr:row>19</xdr:row>
      <xdr:rowOff>25400</xdr:rowOff>
    </xdr:from>
    <xdr:to>
      <xdr:col>1</xdr:col>
      <xdr:colOff>604520</xdr:colOff>
      <xdr:row>19</xdr:row>
      <xdr:rowOff>406400</xdr:rowOff>
    </xdr:to>
    <xdr:pic>
      <xdr:nvPicPr>
        <xdr:cNvPr id="37" name="Subgraph-UCojtK1hCkqu8HMFy-hBcUXg">
          <a:extLst>
            <a:ext uri="{FF2B5EF4-FFF2-40B4-BE49-F238E27FC236}">
              <a16:creationId xmlns:a16="http://schemas.microsoft.com/office/drawing/2014/main" id="{001A61F6-D186-4371-9BB2-96B70120F1F2}"/>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7843520"/>
          <a:ext cx="579120" cy="381000"/>
        </a:xfrm>
        <a:prstGeom prst="rect">
          <a:avLst/>
        </a:prstGeom>
      </xdr:spPr>
    </xdr:pic>
    <xdr:clientData/>
  </xdr:twoCellAnchor>
  <xdr:twoCellAnchor editAs="oneCell">
    <xdr:from>
      <xdr:col>1</xdr:col>
      <xdr:colOff>25400</xdr:colOff>
      <xdr:row>20</xdr:row>
      <xdr:rowOff>25400</xdr:rowOff>
    </xdr:from>
    <xdr:to>
      <xdr:col>1</xdr:col>
      <xdr:colOff>604520</xdr:colOff>
      <xdr:row>20</xdr:row>
      <xdr:rowOff>406400</xdr:rowOff>
    </xdr:to>
    <xdr:pic>
      <xdr:nvPicPr>
        <xdr:cNvPr id="39" name="Subgraph-UCoITC9WHgz-Tay15z_0si9Q">
          <a:extLst>
            <a:ext uri="{FF2B5EF4-FFF2-40B4-BE49-F238E27FC236}">
              <a16:creationId xmlns:a16="http://schemas.microsoft.com/office/drawing/2014/main" id="{1E29BE41-C56D-439A-B104-0BD045DB9FD0}"/>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8270240"/>
          <a:ext cx="579120" cy="381000"/>
        </a:xfrm>
        <a:prstGeom prst="rect">
          <a:avLst/>
        </a:prstGeom>
      </xdr:spPr>
    </xdr:pic>
    <xdr:clientData/>
  </xdr:twoCellAnchor>
  <xdr:twoCellAnchor editAs="oneCell">
    <xdr:from>
      <xdr:col>1</xdr:col>
      <xdr:colOff>25400</xdr:colOff>
      <xdr:row>21</xdr:row>
      <xdr:rowOff>25400</xdr:rowOff>
    </xdr:from>
    <xdr:to>
      <xdr:col>1</xdr:col>
      <xdr:colOff>604520</xdr:colOff>
      <xdr:row>21</xdr:row>
      <xdr:rowOff>406400</xdr:rowOff>
    </xdr:to>
    <xdr:pic>
      <xdr:nvPicPr>
        <xdr:cNvPr id="41" name="Subgraph-UCdpipWH8IVrFaOK0HsYy1rg">
          <a:extLst>
            <a:ext uri="{FF2B5EF4-FFF2-40B4-BE49-F238E27FC236}">
              <a16:creationId xmlns:a16="http://schemas.microsoft.com/office/drawing/2014/main" id="{2F47554C-16CA-4994-9B70-04ED6DD689CA}"/>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8696960"/>
          <a:ext cx="579120" cy="381000"/>
        </a:xfrm>
        <a:prstGeom prst="rect">
          <a:avLst/>
        </a:prstGeom>
      </xdr:spPr>
    </xdr:pic>
    <xdr:clientData/>
  </xdr:twoCellAnchor>
  <xdr:twoCellAnchor editAs="oneCell">
    <xdr:from>
      <xdr:col>1</xdr:col>
      <xdr:colOff>25400</xdr:colOff>
      <xdr:row>22</xdr:row>
      <xdr:rowOff>25400</xdr:rowOff>
    </xdr:from>
    <xdr:to>
      <xdr:col>1</xdr:col>
      <xdr:colOff>604520</xdr:colOff>
      <xdr:row>22</xdr:row>
      <xdr:rowOff>406400</xdr:rowOff>
    </xdr:to>
    <xdr:pic>
      <xdr:nvPicPr>
        <xdr:cNvPr id="43" name="Subgraph-UCdfk_7PLmqVHMUWWyGNatRA">
          <a:extLst>
            <a:ext uri="{FF2B5EF4-FFF2-40B4-BE49-F238E27FC236}">
              <a16:creationId xmlns:a16="http://schemas.microsoft.com/office/drawing/2014/main" id="{3CD4B333-D824-405A-A1F3-0731782B4420}"/>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9123680"/>
          <a:ext cx="579120" cy="381000"/>
        </a:xfrm>
        <a:prstGeom prst="rect">
          <a:avLst/>
        </a:prstGeom>
      </xdr:spPr>
    </xdr:pic>
    <xdr:clientData/>
  </xdr:twoCellAnchor>
  <xdr:twoCellAnchor editAs="oneCell">
    <xdr:from>
      <xdr:col>1</xdr:col>
      <xdr:colOff>25400</xdr:colOff>
      <xdr:row>23</xdr:row>
      <xdr:rowOff>25400</xdr:rowOff>
    </xdr:from>
    <xdr:to>
      <xdr:col>1</xdr:col>
      <xdr:colOff>604520</xdr:colOff>
      <xdr:row>23</xdr:row>
      <xdr:rowOff>406400</xdr:rowOff>
    </xdr:to>
    <xdr:pic>
      <xdr:nvPicPr>
        <xdr:cNvPr id="45" name="Subgraph-UCag58YusU664ZCCzwjMEMTw">
          <a:extLst>
            <a:ext uri="{FF2B5EF4-FFF2-40B4-BE49-F238E27FC236}">
              <a16:creationId xmlns:a16="http://schemas.microsoft.com/office/drawing/2014/main" id="{36FA6857-FC9A-480F-9BE8-1775027550B6}"/>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9550400"/>
          <a:ext cx="579120" cy="381000"/>
        </a:xfrm>
        <a:prstGeom prst="rect">
          <a:avLst/>
        </a:prstGeom>
      </xdr:spPr>
    </xdr:pic>
    <xdr:clientData/>
  </xdr:twoCellAnchor>
  <xdr:twoCellAnchor editAs="oneCell">
    <xdr:from>
      <xdr:col>1</xdr:col>
      <xdr:colOff>25400</xdr:colOff>
      <xdr:row>24</xdr:row>
      <xdr:rowOff>25400</xdr:rowOff>
    </xdr:from>
    <xdr:to>
      <xdr:col>1</xdr:col>
      <xdr:colOff>604520</xdr:colOff>
      <xdr:row>24</xdr:row>
      <xdr:rowOff>406400</xdr:rowOff>
    </xdr:to>
    <xdr:pic>
      <xdr:nvPicPr>
        <xdr:cNvPr id="47" name="Subgraph-UC_dyxb4s8mId59-B2PNNiNA">
          <a:extLst>
            <a:ext uri="{FF2B5EF4-FFF2-40B4-BE49-F238E27FC236}">
              <a16:creationId xmlns:a16="http://schemas.microsoft.com/office/drawing/2014/main" id="{10EDE298-5140-447A-AE7A-A58DD14A4EEA}"/>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21840" y="9977120"/>
          <a:ext cx="579120" cy="381000"/>
        </a:xfrm>
        <a:prstGeom prst="rect">
          <a:avLst/>
        </a:prstGeom>
      </xdr:spPr>
    </xdr:pic>
    <xdr:clientData/>
  </xdr:twoCellAnchor>
  <xdr:twoCellAnchor editAs="oneCell">
    <xdr:from>
      <xdr:col>1</xdr:col>
      <xdr:colOff>25400</xdr:colOff>
      <xdr:row>25</xdr:row>
      <xdr:rowOff>25400</xdr:rowOff>
    </xdr:from>
    <xdr:to>
      <xdr:col>1</xdr:col>
      <xdr:colOff>604520</xdr:colOff>
      <xdr:row>25</xdr:row>
      <xdr:rowOff>406400</xdr:rowOff>
    </xdr:to>
    <xdr:pic>
      <xdr:nvPicPr>
        <xdr:cNvPr id="49" name="Subgraph-UCZuh3ejTqTXIhr6MaFqwArw">
          <a:extLst>
            <a:ext uri="{FF2B5EF4-FFF2-40B4-BE49-F238E27FC236}">
              <a16:creationId xmlns:a16="http://schemas.microsoft.com/office/drawing/2014/main" id="{B8AD3679-B639-4780-905C-11CDA9B75D35}"/>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10403840"/>
          <a:ext cx="579120" cy="381000"/>
        </a:xfrm>
        <a:prstGeom prst="rect">
          <a:avLst/>
        </a:prstGeom>
      </xdr:spPr>
    </xdr:pic>
    <xdr:clientData/>
  </xdr:twoCellAnchor>
  <xdr:twoCellAnchor editAs="oneCell">
    <xdr:from>
      <xdr:col>1</xdr:col>
      <xdr:colOff>25400</xdr:colOff>
      <xdr:row>26</xdr:row>
      <xdr:rowOff>25400</xdr:rowOff>
    </xdr:from>
    <xdr:to>
      <xdr:col>1</xdr:col>
      <xdr:colOff>604520</xdr:colOff>
      <xdr:row>26</xdr:row>
      <xdr:rowOff>406400</xdr:rowOff>
    </xdr:to>
    <xdr:pic>
      <xdr:nvPicPr>
        <xdr:cNvPr id="51" name="Subgraph-UCYXD7lDcm-2tgdv09yfL6lA">
          <a:extLst>
            <a:ext uri="{FF2B5EF4-FFF2-40B4-BE49-F238E27FC236}">
              <a16:creationId xmlns:a16="http://schemas.microsoft.com/office/drawing/2014/main" id="{B7EDA749-9FAB-4DA5-AB27-3744531F3DD9}"/>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10830560"/>
          <a:ext cx="579120" cy="381000"/>
        </a:xfrm>
        <a:prstGeom prst="rect">
          <a:avLst/>
        </a:prstGeom>
      </xdr:spPr>
    </xdr:pic>
    <xdr:clientData/>
  </xdr:twoCellAnchor>
  <xdr:twoCellAnchor editAs="oneCell">
    <xdr:from>
      <xdr:col>1</xdr:col>
      <xdr:colOff>25400</xdr:colOff>
      <xdr:row>27</xdr:row>
      <xdr:rowOff>25400</xdr:rowOff>
    </xdr:from>
    <xdr:to>
      <xdr:col>1</xdr:col>
      <xdr:colOff>604520</xdr:colOff>
      <xdr:row>27</xdr:row>
      <xdr:rowOff>406400</xdr:rowOff>
    </xdr:to>
    <xdr:pic>
      <xdr:nvPicPr>
        <xdr:cNvPr id="53" name="Subgraph-UCWxE5s109EIHYsPKOh1z3oA">
          <a:extLst>
            <a:ext uri="{FF2B5EF4-FFF2-40B4-BE49-F238E27FC236}">
              <a16:creationId xmlns:a16="http://schemas.microsoft.com/office/drawing/2014/main" id="{BF2F5E5E-CB48-4EAE-B029-A87D2D642775}"/>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21840" y="11257280"/>
          <a:ext cx="579120" cy="381000"/>
        </a:xfrm>
        <a:prstGeom prst="rect">
          <a:avLst/>
        </a:prstGeom>
      </xdr:spPr>
    </xdr:pic>
    <xdr:clientData/>
  </xdr:twoCellAnchor>
  <xdr:twoCellAnchor editAs="oneCell">
    <xdr:from>
      <xdr:col>1</xdr:col>
      <xdr:colOff>25400</xdr:colOff>
      <xdr:row>28</xdr:row>
      <xdr:rowOff>25400</xdr:rowOff>
    </xdr:from>
    <xdr:to>
      <xdr:col>1</xdr:col>
      <xdr:colOff>604520</xdr:colOff>
      <xdr:row>28</xdr:row>
      <xdr:rowOff>406400</xdr:rowOff>
    </xdr:to>
    <xdr:pic>
      <xdr:nvPicPr>
        <xdr:cNvPr id="55" name="Subgraph-UCPpw6jRIL1B9nU0k7-GujOQ">
          <a:extLst>
            <a:ext uri="{FF2B5EF4-FFF2-40B4-BE49-F238E27FC236}">
              <a16:creationId xmlns:a16="http://schemas.microsoft.com/office/drawing/2014/main" id="{9F4FC37B-AA55-4712-B6EF-D5E0E9E118EA}"/>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11684000"/>
          <a:ext cx="579120" cy="381000"/>
        </a:xfrm>
        <a:prstGeom prst="rect">
          <a:avLst/>
        </a:prstGeom>
      </xdr:spPr>
    </xdr:pic>
    <xdr:clientData/>
  </xdr:twoCellAnchor>
  <xdr:twoCellAnchor editAs="oneCell">
    <xdr:from>
      <xdr:col>1</xdr:col>
      <xdr:colOff>25400</xdr:colOff>
      <xdr:row>29</xdr:row>
      <xdr:rowOff>25400</xdr:rowOff>
    </xdr:from>
    <xdr:to>
      <xdr:col>1</xdr:col>
      <xdr:colOff>604520</xdr:colOff>
      <xdr:row>29</xdr:row>
      <xdr:rowOff>406400</xdr:rowOff>
    </xdr:to>
    <xdr:pic>
      <xdr:nvPicPr>
        <xdr:cNvPr id="57" name="Subgraph-UCHeUMKhN5l4n-VWGGswvUCw">
          <a:extLst>
            <a:ext uri="{FF2B5EF4-FFF2-40B4-BE49-F238E27FC236}">
              <a16:creationId xmlns:a16="http://schemas.microsoft.com/office/drawing/2014/main" id="{D96F9A1B-63B4-4B8C-82D3-4E1D12D36490}"/>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12110720"/>
          <a:ext cx="579120" cy="381000"/>
        </a:xfrm>
        <a:prstGeom prst="rect">
          <a:avLst/>
        </a:prstGeom>
      </xdr:spPr>
    </xdr:pic>
    <xdr:clientData/>
  </xdr:twoCellAnchor>
  <xdr:twoCellAnchor editAs="oneCell">
    <xdr:from>
      <xdr:col>1</xdr:col>
      <xdr:colOff>25400</xdr:colOff>
      <xdr:row>30</xdr:row>
      <xdr:rowOff>25400</xdr:rowOff>
    </xdr:from>
    <xdr:to>
      <xdr:col>1</xdr:col>
      <xdr:colOff>604520</xdr:colOff>
      <xdr:row>30</xdr:row>
      <xdr:rowOff>406400</xdr:rowOff>
    </xdr:to>
    <xdr:pic>
      <xdr:nvPicPr>
        <xdr:cNvPr id="59" name="Subgraph-UCEnu3BHoR9IYgBnCkqQdgmA">
          <a:extLst>
            <a:ext uri="{FF2B5EF4-FFF2-40B4-BE49-F238E27FC236}">
              <a16:creationId xmlns:a16="http://schemas.microsoft.com/office/drawing/2014/main" id="{D833913C-4414-4069-A151-6798148AFB24}"/>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12537440"/>
          <a:ext cx="579120" cy="381000"/>
        </a:xfrm>
        <a:prstGeom prst="rect">
          <a:avLst/>
        </a:prstGeom>
      </xdr:spPr>
    </xdr:pic>
    <xdr:clientData/>
  </xdr:twoCellAnchor>
  <xdr:twoCellAnchor editAs="oneCell">
    <xdr:from>
      <xdr:col>1</xdr:col>
      <xdr:colOff>25400</xdr:colOff>
      <xdr:row>31</xdr:row>
      <xdr:rowOff>25400</xdr:rowOff>
    </xdr:from>
    <xdr:to>
      <xdr:col>1</xdr:col>
      <xdr:colOff>604520</xdr:colOff>
      <xdr:row>31</xdr:row>
      <xdr:rowOff>406400</xdr:rowOff>
    </xdr:to>
    <xdr:pic>
      <xdr:nvPicPr>
        <xdr:cNvPr id="61" name="Subgraph-UC7wNYrjuRM_7e0MOplkLDyw">
          <a:extLst>
            <a:ext uri="{FF2B5EF4-FFF2-40B4-BE49-F238E27FC236}">
              <a16:creationId xmlns:a16="http://schemas.microsoft.com/office/drawing/2014/main" id="{4F3CF181-1467-4D15-9011-89BC8E5B2AB8}"/>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12964160"/>
          <a:ext cx="579120" cy="381000"/>
        </a:xfrm>
        <a:prstGeom prst="rect">
          <a:avLst/>
        </a:prstGeom>
      </xdr:spPr>
    </xdr:pic>
    <xdr:clientData/>
  </xdr:twoCellAnchor>
  <xdr:twoCellAnchor editAs="oneCell">
    <xdr:from>
      <xdr:col>1</xdr:col>
      <xdr:colOff>25400</xdr:colOff>
      <xdr:row>32</xdr:row>
      <xdr:rowOff>25400</xdr:rowOff>
    </xdr:from>
    <xdr:to>
      <xdr:col>1</xdr:col>
      <xdr:colOff>604520</xdr:colOff>
      <xdr:row>32</xdr:row>
      <xdr:rowOff>406400</xdr:rowOff>
    </xdr:to>
    <xdr:pic>
      <xdr:nvPicPr>
        <xdr:cNvPr id="63" name="Subgraph-UC12dcMYnqa3yGZ_pUaSBnZw">
          <a:extLst>
            <a:ext uri="{FF2B5EF4-FFF2-40B4-BE49-F238E27FC236}">
              <a16:creationId xmlns:a16="http://schemas.microsoft.com/office/drawing/2014/main" id="{7DBF0A88-BBD8-4687-BD66-A8CFE098F51E}"/>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13390880"/>
          <a:ext cx="579120" cy="381000"/>
        </a:xfrm>
        <a:prstGeom prst="rect">
          <a:avLst/>
        </a:prstGeom>
      </xdr:spPr>
    </xdr:pic>
    <xdr:clientData/>
  </xdr:twoCellAnchor>
  <xdr:twoCellAnchor editAs="oneCell">
    <xdr:from>
      <xdr:col>1</xdr:col>
      <xdr:colOff>25400</xdr:colOff>
      <xdr:row>33</xdr:row>
      <xdr:rowOff>25400</xdr:rowOff>
    </xdr:from>
    <xdr:to>
      <xdr:col>1</xdr:col>
      <xdr:colOff>604520</xdr:colOff>
      <xdr:row>33</xdr:row>
      <xdr:rowOff>406400</xdr:rowOff>
    </xdr:to>
    <xdr:pic>
      <xdr:nvPicPr>
        <xdr:cNvPr id="65" name="Subgraph-UC0TP_s71CvInU-CmRtgyiAQ">
          <a:extLst>
            <a:ext uri="{FF2B5EF4-FFF2-40B4-BE49-F238E27FC236}">
              <a16:creationId xmlns:a16="http://schemas.microsoft.com/office/drawing/2014/main" id="{D4E0E8E7-2376-4D9E-BF3E-D030850CE295}"/>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21840" y="13817600"/>
          <a:ext cx="579120" cy="381000"/>
        </a:xfrm>
        <a:prstGeom prst="rect">
          <a:avLst/>
        </a:prstGeom>
      </xdr:spPr>
    </xdr:pic>
    <xdr:clientData/>
  </xdr:twoCellAnchor>
  <xdr:twoCellAnchor editAs="oneCell">
    <xdr:from>
      <xdr:col>1</xdr:col>
      <xdr:colOff>25400</xdr:colOff>
      <xdr:row>34</xdr:row>
      <xdr:rowOff>25400</xdr:rowOff>
    </xdr:from>
    <xdr:to>
      <xdr:col>1</xdr:col>
      <xdr:colOff>604520</xdr:colOff>
      <xdr:row>34</xdr:row>
      <xdr:rowOff>406400</xdr:rowOff>
    </xdr:to>
    <xdr:pic>
      <xdr:nvPicPr>
        <xdr:cNvPr id="67" name="Subgraph-UCeaEzOMnOJheOUwZkCon0rw">
          <a:extLst>
            <a:ext uri="{FF2B5EF4-FFF2-40B4-BE49-F238E27FC236}">
              <a16:creationId xmlns:a16="http://schemas.microsoft.com/office/drawing/2014/main" id="{B95BD5BC-366A-47F7-B7FF-ACC138771184}"/>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21840" y="14244320"/>
          <a:ext cx="579120" cy="381000"/>
        </a:xfrm>
        <a:prstGeom prst="rect">
          <a:avLst/>
        </a:prstGeom>
      </xdr:spPr>
    </xdr:pic>
    <xdr:clientData/>
  </xdr:twoCellAnchor>
  <xdr:twoCellAnchor editAs="oneCell">
    <xdr:from>
      <xdr:col>1</xdr:col>
      <xdr:colOff>25400</xdr:colOff>
      <xdr:row>35</xdr:row>
      <xdr:rowOff>25399</xdr:rowOff>
    </xdr:from>
    <xdr:to>
      <xdr:col>1</xdr:col>
      <xdr:colOff>604520</xdr:colOff>
      <xdr:row>35</xdr:row>
      <xdr:rowOff>406399</xdr:rowOff>
    </xdr:to>
    <xdr:pic>
      <xdr:nvPicPr>
        <xdr:cNvPr id="69" name="Subgraph-UCQVfY-ask5eSxnoFxVLHsBw">
          <a:extLst>
            <a:ext uri="{FF2B5EF4-FFF2-40B4-BE49-F238E27FC236}">
              <a16:creationId xmlns:a16="http://schemas.microsoft.com/office/drawing/2014/main" id="{940AA8C6-770A-4BC6-B495-F1CB71FEA423}"/>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21840" y="14671039"/>
          <a:ext cx="579120" cy="381000"/>
        </a:xfrm>
        <a:prstGeom prst="rect">
          <a:avLst/>
        </a:prstGeom>
      </xdr:spPr>
    </xdr:pic>
    <xdr:clientData/>
  </xdr:twoCellAnchor>
  <xdr:twoCellAnchor editAs="oneCell">
    <xdr:from>
      <xdr:col>1</xdr:col>
      <xdr:colOff>25400</xdr:colOff>
      <xdr:row>36</xdr:row>
      <xdr:rowOff>25401</xdr:rowOff>
    </xdr:from>
    <xdr:to>
      <xdr:col>1</xdr:col>
      <xdr:colOff>604520</xdr:colOff>
      <xdr:row>36</xdr:row>
      <xdr:rowOff>406401</xdr:rowOff>
    </xdr:to>
    <xdr:pic>
      <xdr:nvPicPr>
        <xdr:cNvPr id="71" name="Subgraph-UCe8kAyDcuYDCDqjBI6MuNkA">
          <a:extLst>
            <a:ext uri="{FF2B5EF4-FFF2-40B4-BE49-F238E27FC236}">
              <a16:creationId xmlns:a16="http://schemas.microsoft.com/office/drawing/2014/main" id="{A43B7D23-5AA7-424C-88EE-3EC8E049DCE2}"/>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21840" y="15097761"/>
          <a:ext cx="579120" cy="381000"/>
        </a:xfrm>
        <a:prstGeom prst="rect">
          <a:avLst/>
        </a:prstGeom>
      </xdr:spPr>
    </xdr:pic>
    <xdr:clientData/>
  </xdr:twoCellAnchor>
  <xdr:twoCellAnchor editAs="oneCell">
    <xdr:from>
      <xdr:col>1</xdr:col>
      <xdr:colOff>25400</xdr:colOff>
      <xdr:row>37</xdr:row>
      <xdr:rowOff>25400</xdr:rowOff>
    </xdr:from>
    <xdr:to>
      <xdr:col>1</xdr:col>
      <xdr:colOff>604520</xdr:colOff>
      <xdr:row>37</xdr:row>
      <xdr:rowOff>406400</xdr:rowOff>
    </xdr:to>
    <xdr:pic>
      <xdr:nvPicPr>
        <xdr:cNvPr id="73" name="Subgraph-UCz2ddzwu-3ifhDTj6omk20A">
          <a:extLst>
            <a:ext uri="{FF2B5EF4-FFF2-40B4-BE49-F238E27FC236}">
              <a16:creationId xmlns:a16="http://schemas.microsoft.com/office/drawing/2014/main" id="{47F3B803-0ED2-4F91-9F6E-8F041362A00E}"/>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15524480"/>
          <a:ext cx="579120" cy="381000"/>
        </a:xfrm>
        <a:prstGeom prst="rect">
          <a:avLst/>
        </a:prstGeom>
      </xdr:spPr>
    </xdr:pic>
    <xdr:clientData/>
  </xdr:twoCellAnchor>
  <xdr:twoCellAnchor editAs="oneCell">
    <xdr:from>
      <xdr:col>1</xdr:col>
      <xdr:colOff>25400</xdr:colOff>
      <xdr:row>38</xdr:row>
      <xdr:rowOff>25400</xdr:rowOff>
    </xdr:from>
    <xdr:to>
      <xdr:col>1</xdr:col>
      <xdr:colOff>604520</xdr:colOff>
      <xdr:row>38</xdr:row>
      <xdr:rowOff>406400</xdr:rowOff>
    </xdr:to>
    <xdr:pic>
      <xdr:nvPicPr>
        <xdr:cNvPr id="75" name="Subgraph-UCyCuRfcTrz8qD7kZszET92Q">
          <a:extLst>
            <a:ext uri="{FF2B5EF4-FFF2-40B4-BE49-F238E27FC236}">
              <a16:creationId xmlns:a16="http://schemas.microsoft.com/office/drawing/2014/main" id="{08A83936-B788-49AC-8ED2-FC5444830586}"/>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15951200"/>
          <a:ext cx="579120" cy="381000"/>
        </a:xfrm>
        <a:prstGeom prst="rect">
          <a:avLst/>
        </a:prstGeom>
      </xdr:spPr>
    </xdr:pic>
    <xdr:clientData/>
  </xdr:twoCellAnchor>
  <xdr:twoCellAnchor editAs="oneCell">
    <xdr:from>
      <xdr:col>1</xdr:col>
      <xdr:colOff>25400</xdr:colOff>
      <xdr:row>39</xdr:row>
      <xdr:rowOff>25400</xdr:rowOff>
    </xdr:from>
    <xdr:to>
      <xdr:col>1</xdr:col>
      <xdr:colOff>604520</xdr:colOff>
      <xdr:row>39</xdr:row>
      <xdr:rowOff>406400</xdr:rowOff>
    </xdr:to>
    <xdr:pic>
      <xdr:nvPicPr>
        <xdr:cNvPr id="77" name="Subgraph-UCxzk9qJETIhJoARlE9YpCYQ">
          <a:extLst>
            <a:ext uri="{FF2B5EF4-FFF2-40B4-BE49-F238E27FC236}">
              <a16:creationId xmlns:a16="http://schemas.microsoft.com/office/drawing/2014/main" id="{87EED874-038C-41F8-848B-49A000142E72}"/>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16377920"/>
          <a:ext cx="579120" cy="381000"/>
        </a:xfrm>
        <a:prstGeom prst="rect">
          <a:avLst/>
        </a:prstGeom>
      </xdr:spPr>
    </xdr:pic>
    <xdr:clientData/>
  </xdr:twoCellAnchor>
  <xdr:twoCellAnchor editAs="oneCell">
    <xdr:from>
      <xdr:col>1</xdr:col>
      <xdr:colOff>25400</xdr:colOff>
      <xdr:row>40</xdr:row>
      <xdr:rowOff>25399</xdr:rowOff>
    </xdr:from>
    <xdr:to>
      <xdr:col>1</xdr:col>
      <xdr:colOff>604520</xdr:colOff>
      <xdr:row>40</xdr:row>
      <xdr:rowOff>406399</xdr:rowOff>
    </xdr:to>
    <xdr:pic>
      <xdr:nvPicPr>
        <xdr:cNvPr id="79" name="Subgraph-UCuc9Xa5EfBp4zoD74dHMDvQ">
          <a:extLst>
            <a:ext uri="{FF2B5EF4-FFF2-40B4-BE49-F238E27FC236}">
              <a16:creationId xmlns:a16="http://schemas.microsoft.com/office/drawing/2014/main" id="{828E29AE-148B-4672-B8BB-8827D0934FF2}"/>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16804639"/>
          <a:ext cx="579120" cy="381000"/>
        </a:xfrm>
        <a:prstGeom prst="rect">
          <a:avLst/>
        </a:prstGeom>
      </xdr:spPr>
    </xdr:pic>
    <xdr:clientData/>
  </xdr:twoCellAnchor>
  <xdr:twoCellAnchor editAs="oneCell">
    <xdr:from>
      <xdr:col>1</xdr:col>
      <xdr:colOff>25400</xdr:colOff>
      <xdr:row>41</xdr:row>
      <xdr:rowOff>25401</xdr:rowOff>
    </xdr:from>
    <xdr:to>
      <xdr:col>1</xdr:col>
      <xdr:colOff>604520</xdr:colOff>
      <xdr:row>41</xdr:row>
      <xdr:rowOff>406401</xdr:rowOff>
    </xdr:to>
    <xdr:pic>
      <xdr:nvPicPr>
        <xdr:cNvPr id="81" name="Subgraph-UCtig_Zsm0JfiO3w6SuX124Q">
          <a:extLst>
            <a:ext uri="{FF2B5EF4-FFF2-40B4-BE49-F238E27FC236}">
              <a16:creationId xmlns:a16="http://schemas.microsoft.com/office/drawing/2014/main" id="{3BBE9F43-55CD-41B0-9972-85893E6E8A4E}"/>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17231361"/>
          <a:ext cx="579120" cy="381000"/>
        </a:xfrm>
        <a:prstGeom prst="rect">
          <a:avLst/>
        </a:prstGeom>
      </xdr:spPr>
    </xdr:pic>
    <xdr:clientData/>
  </xdr:twoCellAnchor>
  <xdr:twoCellAnchor editAs="oneCell">
    <xdr:from>
      <xdr:col>1</xdr:col>
      <xdr:colOff>25400</xdr:colOff>
      <xdr:row>42</xdr:row>
      <xdr:rowOff>25400</xdr:rowOff>
    </xdr:from>
    <xdr:to>
      <xdr:col>1</xdr:col>
      <xdr:colOff>604520</xdr:colOff>
      <xdr:row>42</xdr:row>
      <xdr:rowOff>406400</xdr:rowOff>
    </xdr:to>
    <xdr:pic>
      <xdr:nvPicPr>
        <xdr:cNvPr id="83" name="Subgraph-UCtgf00GvfFQVsYBA7V7RwUw">
          <a:extLst>
            <a:ext uri="{FF2B5EF4-FFF2-40B4-BE49-F238E27FC236}">
              <a16:creationId xmlns:a16="http://schemas.microsoft.com/office/drawing/2014/main" id="{5FB07B2F-6F1D-4719-B347-F2B814B82D77}"/>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17658080"/>
          <a:ext cx="579120" cy="381000"/>
        </a:xfrm>
        <a:prstGeom prst="rect">
          <a:avLst/>
        </a:prstGeom>
      </xdr:spPr>
    </xdr:pic>
    <xdr:clientData/>
  </xdr:twoCellAnchor>
  <xdr:twoCellAnchor editAs="oneCell">
    <xdr:from>
      <xdr:col>1</xdr:col>
      <xdr:colOff>25400</xdr:colOff>
      <xdr:row>43</xdr:row>
      <xdr:rowOff>25400</xdr:rowOff>
    </xdr:from>
    <xdr:to>
      <xdr:col>1</xdr:col>
      <xdr:colOff>604520</xdr:colOff>
      <xdr:row>43</xdr:row>
      <xdr:rowOff>406400</xdr:rowOff>
    </xdr:to>
    <xdr:pic>
      <xdr:nvPicPr>
        <xdr:cNvPr id="85" name="Subgraph-UCrwLnuvvymjFUccBLPf_Paw">
          <a:extLst>
            <a:ext uri="{FF2B5EF4-FFF2-40B4-BE49-F238E27FC236}">
              <a16:creationId xmlns:a16="http://schemas.microsoft.com/office/drawing/2014/main" id="{D070382A-DE0C-4367-B22A-BE7466791FD7}"/>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18084800"/>
          <a:ext cx="579120" cy="381000"/>
        </a:xfrm>
        <a:prstGeom prst="rect">
          <a:avLst/>
        </a:prstGeom>
      </xdr:spPr>
    </xdr:pic>
    <xdr:clientData/>
  </xdr:twoCellAnchor>
  <xdr:twoCellAnchor editAs="oneCell">
    <xdr:from>
      <xdr:col>1</xdr:col>
      <xdr:colOff>25400</xdr:colOff>
      <xdr:row>44</xdr:row>
      <xdr:rowOff>25400</xdr:rowOff>
    </xdr:from>
    <xdr:to>
      <xdr:col>1</xdr:col>
      <xdr:colOff>604520</xdr:colOff>
      <xdr:row>44</xdr:row>
      <xdr:rowOff>406400</xdr:rowOff>
    </xdr:to>
    <xdr:pic>
      <xdr:nvPicPr>
        <xdr:cNvPr id="87" name="Subgraph-UCquNxHzzulWwpr79cjQN7Sg">
          <a:extLst>
            <a:ext uri="{FF2B5EF4-FFF2-40B4-BE49-F238E27FC236}">
              <a16:creationId xmlns:a16="http://schemas.microsoft.com/office/drawing/2014/main" id="{18A5DCC2-BFE4-466A-825C-B112B227AFC3}"/>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18511520"/>
          <a:ext cx="579120" cy="381000"/>
        </a:xfrm>
        <a:prstGeom prst="rect">
          <a:avLst/>
        </a:prstGeom>
      </xdr:spPr>
    </xdr:pic>
    <xdr:clientData/>
  </xdr:twoCellAnchor>
  <xdr:twoCellAnchor editAs="oneCell">
    <xdr:from>
      <xdr:col>1</xdr:col>
      <xdr:colOff>25400</xdr:colOff>
      <xdr:row>45</xdr:row>
      <xdr:rowOff>25399</xdr:rowOff>
    </xdr:from>
    <xdr:to>
      <xdr:col>1</xdr:col>
      <xdr:colOff>604520</xdr:colOff>
      <xdr:row>45</xdr:row>
      <xdr:rowOff>406399</xdr:rowOff>
    </xdr:to>
    <xdr:pic>
      <xdr:nvPicPr>
        <xdr:cNvPr id="89" name="Subgraph-UCqquMk3impkDbAhpvzs7SiA">
          <a:extLst>
            <a:ext uri="{FF2B5EF4-FFF2-40B4-BE49-F238E27FC236}">
              <a16:creationId xmlns:a16="http://schemas.microsoft.com/office/drawing/2014/main" id="{654A229B-554F-4C9B-BFE5-460F547A4906}"/>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18938239"/>
          <a:ext cx="579120" cy="381000"/>
        </a:xfrm>
        <a:prstGeom prst="rect">
          <a:avLst/>
        </a:prstGeom>
      </xdr:spPr>
    </xdr:pic>
    <xdr:clientData/>
  </xdr:twoCellAnchor>
  <xdr:twoCellAnchor editAs="oneCell">
    <xdr:from>
      <xdr:col>1</xdr:col>
      <xdr:colOff>25400</xdr:colOff>
      <xdr:row>46</xdr:row>
      <xdr:rowOff>25401</xdr:rowOff>
    </xdr:from>
    <xdr:to>
      <xdr:col>1</xdr:col>
      <xdr:colOff>604520</xdr:colOff>
      <xdr:row>46</xdr:row>
      <xdr:rowOff>406401</xdr:rowOff>
    </xdr:to>
    <xdr:pic>
      <xdr:nvPicPr>
        <xdr:cNvPr id="91" name="Subgraph-UCn5cRPf1pK4KiOft5jFC6hw">
          <a:extLst>
            <a:ext uri="{FF2B5EF4-FFF2-40B4-BE49-F238E27FC236}">
              <a16:creationId xmlns:a16="http://schemas.microsoft.com/office/drawing/2014/main" id="{A28844D5-FD93-4098-9BC4-F1F6F0B58D42}"/>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19364961"/>
          <a:ext cx="579120" cy="381000"/>
        </a:xfrm>
        <a:prstGeom prst="rect">
          <a:avLst/>
        </a:prstGeom>
      </xdr:spPr>
    </xdr:pic>
    <xdr:clientData/>
  </xdr:twoCellAnchor>
  <xdr:twoCellAnchor editAs="oneCell">
    <xdr:from>
      <xdr:col>1</xdr:col>
      <xdr:colOff>25400</xdr:colOff>
      <xdr:row>47</xdr:row>
      <xdr:rowOff>25400</xdr:rowOff>
    </xdr:from>
    <xdr:to>
      <xdr:col>1</xdr:col>
      <xdr:colOff>604520</xdr:colOff>
      <xdr:row>47</xdr:row>
      <xdr:rowOff>406400</xdr:rowOff>
    </xdr:to>
    <xdr:pic>
      <xdr:nvPicPr>
        <xdr:cNvPr id="93" name="Subgraph-UCjSBzzV4tpqYo4gOkxQWuKw">
          <a:extLst>
            <a:ext uri="{FF2B5EF4-FFF2-40B4-BE49-F238E27FC236}">
              <a16:creationId xmlns:a16="http://schemas.microsoft.com/office/drawing/2014/main" id="{6AB7893E-D738-4B95-935E-D41E274FD18F}"/>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19791680"/>
          <a:ext cx="579120" cy="381000"/>
        </a:xfrm>
        <a:prstGeom prst="rect">
          <a:avLst/>
        </a:prstGeom>
      </xdr:spPr>
    </xdr:pic>
    <xdr:clientData/>
  </xdr:twoCellAnchor>
  <xdr:twoCellAnchor editAs="oneCell">
    <xdr:from>
      <xdr:col>1</xdr:col>
      <xdr:colOff>25400</xdr:colOff>
      <xdr:row>48</xdr:row>
      <xdr:rowOff>25400</xdr:rowOff>
    </xdr:from>
    <xdr:to>
      <xdr:col>1</xdr:col>
      <xdr:colOff>604520</xdr:colOff>
      <xdr:row>48</xdr:row>
      <xdr:rowOff>406400</xdr:rowOff>
    </xdr:to>
    <xdr:pic>
      <xdr:nvPicPr>
        <xdr:cNvPr id="95" name="Subgraph-UCjIHhqo4iz_nS8f-lM85xxg">
          <a:extLst>
            <a:ext uri="{FF2B5EF4-FFF2-40B4-BE49-F238E27FC236}">
              <a16:creationId xmlns:a16="http://schemas.microsoft.com/office/drawing/2014/main" id="{1687A029-0F9B-4170-8138-4F316D1BDF27}"/>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0218400"/>
          <a:ext cx="579120" cy="381000"/>
        </a:xfrm>
        <a:prstGeom prst="rect">
          <a:avLst/>
        </a:prstGeom>
      </xdr:spPr>
    </xdr:pic>
    <xdr:clientData/>
  </xdr:twoCellAnchor>
  <xdr:twoCellAnchor editAs="oneCell">
    <xdr:from>
      <xdr:col>1</xdr:col>
      <xdr:colOff>25400</xdr:colOff>
      <xdr:row>49</xdr:row>
      <xdr:rowOff>25400</xdr:rowOff>
    </xdr:from>
    <xdr:to>
      <xdr:col>1</xdr:col>
      <xdr:colOff>604520</xdr:colOff>
      <xdr:row>49</xdr:row>
      <xdr:rowOff>406400</xdr:rowOff>
    </xdr:to>
    <xdr:pic>
      <xdr:nvPicPr>
        <xdr:cNvPr id="97" name="Subgraph-UCihRrhpBmAybz0YDybEiKlQ">
          <a:extLst>
            <a:ext uri="{FF2B5EF4-FFF2-40B4-BE49-F238E27FC236}">
              <a16:creationId xmlns:a16="http://schemas.microsoft.com/office/drawing/2014/main" id="{B43F2CC9-2BBE-460B-94A4-4E30665F6A31}"/>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0645120"/>
          <a:ext cx="579120" cy="381000"/>
        </a:xfrm>
        <a:prstGeom prst="rect">
          <a:avLst/>
        </a:prstGeom>
      </xdr:spPr>
    </xdr:pic>
    <xdr:clientData/>
  </xdr:twoCellAnchor>
  <xdr:twoCellAnchor editAs="oneCell">
    <xdr:from>
      <xdr:col>1</xdr:col>
      <xdr:colOff>25400</xdr:colOff>
      <xdr:row>50</xdr:row>
      <xdr:rowOff>25399</xdr:rowOff>
    </xdr:from>
    <xdr:to>
      <xdr:col>1</xdr:col>
      <xdr:colOff>604520</xdr:colOff>
      <xdr:row>50</xdr:row>
      <xdr:rowOff>406399</xdr:rowOff>
    </xdr:to>
    <xdr:pic>
      <xdr:nvPicPr>
        <xdr:cNvPr id="99" name="Subgraph-UChcDN40Dzw9lx6tCQCsreqQ">
          <a:extLst>
            <a:ext uri="{FF2B5EF4-FFF2-40B4-BE49-F238E27FC236}">
              <a16:creationId xmlns:a16="http://schemas.microsoft.com/office/drawing/2014/main" id="{3E466ECA-46B7-459A-BD67-29522E917493}"/>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1071839"/>
          <a:ext cx="579120" cy="381000"/>
        </a:xfrm>
        <a:prstGeom prst="rect">
          <a:avLst/>
        </a:prstGeom>
      </xdr:spPr>
    </xdr:pic>
    <xdr:clientData/>
  </xdr:twoCellAnchor>
  <xdr:twoCellAnchor editAs="oneCell">
    <xdr:from>
      <xdr:col>1</xdr:col>
      <xdr:colOff>25400</xdr:colOff>
      <xdr:row>51</xdr:row>
      <xdr:rowOff>25401</xdr:rowOff>
    </xdr:from>
    <xdr:to>
      <xdr:col>1</xdr:col>
      <xdr:colOff>604520</xdr:colOff>
      <xdr:row>51</xdr:row>
      <xdr:rowOff>406401</xdr:rowOff>
    </xdr:to>
    <xdr:pic>
      <xdr:nvPicPr>
        <xdr:cNvPr id="101" name="Subgraph-UCgDonEnzimXorrs_x8HuGhw">
          <a:extLst>
            <a:ext uri="{FF2B5EF4-FFF2-40B4-BE49-F238E27FC236}">
              <a16:creationId xmlns:a16="http://schemas.microsoft.com/office/drawing/2014/main" id="{87DE1CE4-F9D0-48F9-BA8B-5CFC442BDB00}"/>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1498561"/>
          <a:ext cx="579120" cy="381000"/>
        </a:xfrm>
        <a:prstGeom prst="rect">
          <a:avLst/>
        </a:prstGeom>
      </xdr:spPr>
    </xdr:pic>
    <xdr:clientData/>
  </xdr:twoCellAnchor>
  <xdr:twoCellAnchor editAs="oneCell">
    <xdr:from>
      <xdr:col>1</xdr:col>
      <xdr:colOff>25400</xdr:colOff>
      <xdr:row>52</xdr:row>
      <xdr:rowOff>25400</xdr:rowOff>
    </xdr:from>
    <xdr:to>
      <xdr:col>1</xdr:col>
      <xdr:colOff>604520</xdr:colOff>
      <xdr:row>52</xdr:row>
      <xdr:rowOff>406400</xdr:rowOff>
    </xdr:to>
    <xdr:pic>
      <xdr:nvPicPr>
        <xdr:cNvPr id="103" name="Subgraph-UCfvfr_Z8My0A7ePk-tPcKPQ">
          <a:extLst>
            <a:ext uri="{FF2B5EF4-FFF2-40B4-BE49-F238E27FC236}">
              <a16:creationId xmlns:a16="http://schemas.microsoft.com/office/drawing/2014/main" id="{3F0708C7-42C3-4B36-819D-7AFC09E72D99}"/>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1925280"/>
          <a:ext cx="579120" cy="381000"/>
        </a:xfrm>
        <a:prstGeom prst="rect">
          <a:avLst/>
        </a:prstGeom>
      </xdr:spPr>
    </xdr:pic>
    <xdr:clientData/>
  </xdr:twoCellAnchor>
  <xdr:twoCellAnchor editAs="oneCell">
    <xdr:from>
      <xdr:col>1</xdr:col>
      <xdr:colOff>25400</xdr:colOff>
      <xdr:row>53</xdr:row>
      <xdr:rowOff>25400</xdr:rowOff>
    </xdr:from>
    <xdr:to>
      <xdr:col>1</xdr:col>
      <xdr:colOff>604520</xdr:colOff>
      <xdr:row>53</xdr:row>
      <xdr:rowOff>406400</xdr:rowOff>
    </xdr:to>
    <xdr:pic>
      <xdr:nvPicPr>
        <xdr:cNvPr id="105" name="Subgraph-UCe0jxQdGRbcAcy8O12xQCRg">
          <a:extLst>
            <a:ext uri="{FF2B5EF4-FFF2-40B4-BE49-F238E27FC236}">
              <a16:creationId xmlns:a16="http://schemas.microsoft.com/office/drawing/2014/main" id="{9656E104-E649-46F9-9342-C56024B7154C}"/>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2352000"/>
          <a:ext cx="579120" cy="381000"/>
        </a:xfrm>
        <a:prstGeom prst="rect">
          <a:avLst/>
        </a:prstGeom>
      </xdr:spPr>
    </xdr:pic>
    <xdr:clientData/>
  </xdr:twoCellAnchor>
  <xdr:twoCellAnchor editAs="oneCell">
    <xdr:from>
      <xdr:col>1</xdr:col>
      <xdr:colOff>25400</xdr:colOff>
      <xdr:row>54</xdr:row>
      <xdr:rowOff>25400</xdr:rowOff>
    </xdr:from>
    <xdr:to>
      <xdr:col>1</xdr:col>
      <xdr:colOff>604520</xdr:colOff>
      <xdr:row>54</xdr:row>
      <xdr:rowOff>406400</xdr:rowOff>
    </xdr:to>
    <xdr:pic>
      <xdr:nvPicPr>
        <xdr:cNvPr id="107" name="Subgraph-UCbPtWPf2ULHF-unT4UB-2wQ">
          <a:extLst>
            <a:ext uri="{FF2B5EF4-FFF2-40B4-BE49-F238E27FC236}">
              <a16:creationId xmlns:a16="http://schemas.microsoft.com/office/drawing/2014/main" id="{6CF8EA6D-230A-41C2-B3EA-845DEBC1DEF0}"/>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2778720"/>
          <a:ext cx="579120" cy="381000"/>
        </a:xfrm>
        <a:prstGeom prst="rect">
          <a:avLst/>
        </a:prstGeom>
      </xdr:spPr>
    </xdr:pic>
    <xdr:clientData/>
  </xdr:twoCellAnchor>
  <xdr:twoCellAnchor editAs="oneCell">
    <xdr:from>
      <xdr:col>1</xdr:col>
      <xdr:colOff>25400</xdr:colOff>
      <xdr:row>55</xdr:row>
      <xdr:rowOff>25399</xdr:rowOff>
    </xdr:from>
    <xdr:to>
      <xdr:col>1</xdr:col>
      <xdr:colOff>604520</xdr:colOff>
      <xdr:row>55</xdr:row>
      <xdr:rowOff>406399</xdr:rowOff>
    </xdr:to>
    <xdr:pic>
      <xdr:nvPicPr>
        <xdr:cNvPr id="109" name="Subgraph-UC_jjtDHJ0AtX-9SbNco8cPg">
          <a:extLst>
            <a:ext uri="{FF2B5EF4-FFF2-40B4-BE49-F238E27FC236}">
              <a16:creationId xmlns:a16="http://schemas.microsoft.com/office/drawing/2014/main" id="{094B36A1-15DB-43B2-868D-618397DB8E61}"/>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3205439"/>
          <a:ext cx="579120" cy="381000"/>
        </a:xfrm>
        <a:prstGeom prst="rect">
          <a:avLst/>
        </a:prstGeom>
      </xdr:spPr>
    </xdr:pic>
    <xdr:clientData/>
  </xdr:twoCellAnchor>
  <xdr:twoCellAnchor editAs="oneCell">
    <xdr:from>
      <xdr:col>1</xdr:col>
      <xdr:colOff>25400</xdr:colOff>
      <xdr:row>56</xdr:row>
      <xdr:rowOff>25401</xdr:rowOff>
    </xdr:from>
    <xdr:to>
      <xdr:col>1</xdr:col>
      <xdr:colOff>604520</xdr:colOff>
      <xdr:row>56</xdr:row>
      <xdr:rowOff>406401</xdr:rowOff>
    </xdr:to>
    <xdr:pic>
      <xdr:nvPicPr>
        <xdr:cNvPr id="111" name="Subgraph-UC__YZ-W7ttkWFvX9oDLaLng">
          <a:extLst>
            <a:ext uri="{FF2B5EF4-FFF2-40B4-BE49-F238E27FC236}">
              <a16:creationId xmlns:a16="http://schemas.microsoft.com/office/drawing/2014/main" id="{728DF9AA-9E88-48AA-A2E6-7ED8D944515C}"/>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3632161"/>
          <a:ext cx="579120" cy="381000"/>
        </a:xfrm>
        <a:prstGeom prst="rect">
          <a:avLst/>
        </a:prstGeom>
      </xdr:spPr>
    </xdr:pic>
    <xdr:clientData/>
  </xdr:twoCellAnchor>
  <xdr:twoCellAnchor editAs="oneCell">
    <xdr:from>
      <xdr:col>1</xdr:col>
      <xdr:colOff>25400</xdr:colOff>
      <xdr:row>57</xdr:row>
      <xdr:rowOff>25400</xdr:rowOff>
    </xdr:from>
    <xdr:to>
      <xdr:col>1</xdr:col>
      <xdr:colOff>604520</xdr:colOff>
      <xdr:row>57</xdr:row>
      <xdr:rowOff>406400</xdr:rowOff>
    </xdr:to>
    <xdr:pic>
      <xdr:nvPicPr>
        <xdr:cNvPr id="113" name="Subgraph-UCYJAWYPaCWyef0z5N2cBp6w">
          <a:extLst>
            <a:ext uri="{FF2B5EF4-FFF2-40B4-BE49-F238E27FC236}">
              <a16:creationId xmlns:a16="http://schemas.microsoft.com/office/drawing/2014/main" id="{F7E6A7B2-EE41-4679-8E47-A3E37EB60BE1}"/>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4058880"/>
          <a:ext cx="579120" cy="381000"/>
        </a:xfrm>
        <a:prstGeom prst="rect">
          <a:avLst/>
        </a:prstGeom>
      </xdr:spPr>
    </xdr:pic>
    <xdr:clientData/>
  </xdr:twoCellAnchor>
  <xdr:twoCellAnchor editAs="oneCell">
    <xdr:from>
      <xdr:col>1</xdr:col>
      <xdr:colOff>25400</xdr:colOff>
      <xdr:row>58</xdr:row>
      <xdr:rowOff>25400</xdr:rowOff>
    </xdr:from>
    <xdr:to>
      <xdr:col>1</xdr:col>
      <xdr:colOff>604520</xdr:colOff>
      <xdr:row>58</xdr:row>
      <xdr:rowOff>406400</xdr:rowOff>
    </xdr:to>
    <xdr:pic>
      <xdr:nvPicPr>
        <xdr:cNvPr id="115" name="Subgraph-UCYFy48c_FBjhJd7DoiDoaJw">
          <a:extLst>
            <a:ext uri="{FF2B5EF4-FFF2-40B4-BE49-F238E27FC236}">
              <a16:creationId xmlns:a16="http://schemas.microsoft.com/office/drawing/2014/main" id="{6F98C05F-1756-4748-BC84-E21CF85ECE9E}"/>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4485600"/>
          <a:ext cx="579120" cy="381000"/>
        </a:xfrm>
        <a:prstGeom prst="rect">
          <a:avLst/>
        </a:prstGeom>
      </xdr:spPr>
    </xdr:pic>
    <xdr:clientData/>
  </xdr:twoCellAnchor>
  <xdr:twoCellAnchor editAs="oneCell">
    <xdr:from>
      <xdr:col>1</xdr:col>
      <xdr:colOff>25400</xdr:colOff>
      <xdr:row>59</xdr:row>
      <xdr:rowOff>25400</xdr:rowOff>
    </xdr:from>
    <xdr:to>
      <xdr:col>1</xdr:col>
      <xdr:colOff>604520</xdr:colOff>
      <xdr:row>59</xdr:row>
      <xdr:rowOff>406400</xdr:rowOff>
    </xdr:to>
    <xdr:pic>
      <xdr:nvPicPr>
        <xdr:cNvPr id="117" name="Subgraph-UCTkm60Q8VrLYYxxTsG-IZbQ">
          <a:extLst>
            <a:ext uri="{FF2B5EF4-FFF2-40B4-BE49-F238E27FC236}">
              <a16:creationId xmlns:a16="http://schemas.microsoft.com/office/drawing/2014/main" id="{E67E9C6D-73D8-4CC1-BC25-C9FD777E2C06}"/>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4912320"/>
          <a:ext cx="579120" cy="381000"/>
        </a:xfrm>
        <a:prstGeom prst="rect">
          <a:avLst/>
        </a:prstGeom>
      </xdr:spPr>
    </xdr:pic>
    <xdr:clientData/>
  </xdr:twoCellAnchor>
  <xdr:twoCellAnchor editAs="oneCell">
    <xdr:from>
      <xdr:col>1</xdr:col>
      <xdr:colOff>25400</xdr:colOff>
      <xdr:row>60</xdr:row>
      <xdr:rowOff>25399</xdr:rowOff>
    </xdr:from>
    <xdr:to>
      <xdr:col>1</xdr:col>
      <xdr:colOff>604520</xdr:colOff>
      <xdr:row>60</xdr:row>
      <xdr:rowOff>406399</xdr:rowOff>
    </xdr:to>
    <xdr:pic>
      <xdr:nvPicPr>
        <xdr:cNvPr id="119" name="Subgraph-UCQYtP_B06zgPQ1gVJAm5vkg">
          <a:extLst>
            <a:ext uri="{FF2B5EF4-FFF2-40B4-BE49-F238E27FC236}">
              <a16:creationId xmlns:a16="http://schemas.microsoft.com/office/drawing/2014/main" id="{3BF07813-F9D2-4348-9272-06032CD2E212}"/>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5339039"/>
          <a:ext cx="579120" cy="381000"/>
        </a:xfrm>
        <a:prstGeom prst="rect">
          <a:avLst/>
        </a:prstGeom>
      </xdr:spPr>
    </xdr:pic>
    <xdr:clientData/>
  </xdr:twoCellAnchor>
  <xdr:twoCellAnchor editAs="oneCell">
    <xdr:from>
      <xdr:col>1</xdr:col>
      <xdr:colOff>25400</xdr:colOff>
      <xdr:row>61</xdr:row>
      <xdr:rowOff>25401</xdr:rowOff>
    </xdr:from>
    <xdr:to>
      <xdr:col>1</xdr:col>
      <xdr:colOff>604520</xdr:colOff>
      <xdr:row>61</xdr:row>
      <xdr:rowOff>406401</xdr:rowOff>
    </xdr:to>
    <xdr:pic>
      <xdr:nvPicPr>
        <xdr:cNvPr id="121" name="Subgraph-UCQG8usDJjq8OjMgtNDQC6fg">
          <a:extLst>
            <a:ext uri="{FF2B5EF4-FFF2-40B4-BE49-F238E27FC236}">
              <a16:creationId xmlns:a16="http://schemas.microsoft.com/office/drawing/2014/main" id="{D77698CC-E9D5-40BD-97AD-D889F59956A8}"/>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5765761"/>
          <a:ext cx="579120" cy="381000"/>
        </a:xfrm>
        <a:prstGeom prst="rect">
          <a:avLst/>
        </a:prstGeom>
      </xdr:spPr>
    </xdr:pic>
    <xdr:clientData/>
  </xdr:twoCellAnchor>
  <xdr:twoCellAnchor editAs="oneCell">
    <xdr:from>
      <xdr:col>1</xdr:col>
      <xdr:colOff>25400</xdr:colOff>
      <xdr:row>62</xdr:row>
      <xdr:rowOff>25399</xdr:rowOff>
    </xdr:from>
    <xdr:to>
      <xdr:col>1</xdr:col>
      <xdr:colOff>604520</xdr:colOff>
      <xdr:row>62</xdr:row>
      <xdr:rowOff>406399</xdr:rowOff>
    </xdr:to>
    <xdr:pic>
      <xdr:nvPicPr>
        <xdr:cNvPr id="123" name="Subgraph-UCPjVrl_JDOb1D2PN5o9j9ig">
          <a:extLst>
            <a:ext uri="{FF2B5EF4-FFF2-40B4-BE49-F238E27FC236}">
              <a16:creationId xmlns:a16="http://schemas.microsoft.com/office/drawing/2014/main" id="{A48C1828-3ED9-4632-A7D9-EB27BA3C8A63}"/>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6192479"/>
          <a:ext cx="579120" cy="381000"/>
        </a:xfrm>
        <a:prstGeom prst="rect">
          <a:avLst/>
        </a:prstGeom>
      </xdr:spPr>
    </xdr:pic>
    <xdr:clientData/>
  </xdr:twoCellAnchor>
  <xdr:twoCellAnchor editAs="oneCell">
    <xdr:from>
      <xdr:col>1</xdr:col>
      <xdr:colOff>25400</xdr:colOff>
      <xdr:row>63</xdr:row>
      <xdr:rowOff>25400</xdr:rowOff>
    </xdr:from>
    <xdr:to>
      <xdr:col>1</xdr:col>
      <xdr:colOff>604520</xdr:colOff>
      <xdr:row>63</xdr:row>
      <xdr:rowOff>406400</xdr:rowOff>
    </xdr:to>
    <xdr:pic>
      <xdr:nvPicPr>
        <xdr:cNvPr id="125" name="Subgraph-UCOqnUOb_wRaWkohfpp84zLQ">
          <a:extLst>
            <a:ext uri="{FF2B5EF4-FFF2-40B4-BE49-F238E27FC236}">
              <a16:creationId xmlns:a16="http://schemas.microsoft.com/office/drawing/2014/main" id="{7EABEAD8-7A35-4342-BC01-80726EF29090}"/>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6619200"/>
          <a:ext cx="579120" cy="381000"/>
        </a:xfrm>
        <a:prstGeom prst="rect">
          <a:avLst/>
        </a:prstGeom>
      </xdr:spPr>
    </xdr:pic>
    <xdr:clientData/>
  </xdr:twoCellAnchor>
  <xdr:twoCellAnchor editAs="oneCell">
    <xdr:from>
      <xdr:col>1</xdr:col>
      <xdr:colOff>25400</xdr:colOff>
      <xdr:row>64</xdr:row>
      <xdr:rowOff>25401</xdr:rowOff>
    </xdr:from>
    <xdr:to>
      <xdr:col>1</xdr:col>
      <xdr:colOff>604520</xdr:colOff>
      <xdr:row>64</xdr:row>
      <xdr:rowOff>406401</xdr:rowOff>
    </xdr:to>
    <xdr:pic>
      <xdr:nvPicPr>
        <xdr:cNvPr id="127" name="Subgraph-UCNfT-1X71ogTQZQVGrPHmlQ">
          <a:extLst>
            <a:ext uri="{FF2B5EF4-FFF2-40B4-BE49-F238E27FC236}">
              <a16:creationId xmlns:a16="http://schemas.microsoft.com/office/drawing/2014/main" id="{DB4FEA56-741C-4CE6-A931-B032CA0E4A66}"/>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7045921"/>
          <a:ext cx="579120" cy="381000"/>
        </a:xfrm>
        <a:prstGeom prst="rect">
          <a:avLst/>
        </a:prstGeom>
      </xdr:spPr>
    </xdr:pic>
    <xdr:clientData/>
  </xdr:twoCellAnchor>
  <xdr:twoCellAnchor editAs="oneCell">
    <xdr:from>
      <xdr:col>1</xdr:col>
      <xdr:colOff>25400</xdr:colOff>
      <xdr:row>65</xdr:row>
      <xdr:rowOff>25399</xdr:rowOff>
    </xdr:from>
    <xdr:to>
      <xdr:col>1</xdr:col>
      <xdr:colOff>604520</xdr:colOff>
      <xdr:row>65</xdr:row>
      <xdr:rowOff>406399</xdr:rowOff>
    </xdr:to>
    <xdr:pic>
      <xdr:nvPicPr>
        <xdr:cNvPr id="129" name="Subgraph-UCLD0A9LRHw6ACHHBq6FB8oQ">
          <a:extLst>
            <a:ext uri="{FF2B5EF4-FFF2-40B4-BE49-F238E27FC236}">
              <a16:creationId xmlns:a16="http://schemas.microsoft.com/office/drawing/2014/main" id="{3F5B5ADE-EDEF-4D55-97D5-534570D6BE71}"/>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7472639"/>
          <a:ext cx="579120" cy="381000"/>
        </a:xfrm>
        <a:prstGeom prst="rect">
          <a:avLst/>
        </a:prstGeom>
      </xdr:spPr>
    </xdr:pic>
    <xdr:clientData/>
  </xdr:twoCellAnchor>
  <xdr:twoCellAnchor editAs="oneCell">
    <xdr:from>
      <xdr:col>1</xdr:col>
      <xdr:colOff>25400</xdr:colOff>
      <xdr:row>66</xdr:row>
      <xdr:rowOff>25401</xdr:rowOff>
    </xdr:from>
    <xdr:to>
      <xdr:col>1</xdr:col>
      <xdr:colOff>604520</xdr:colOff>
      <xdr:row>66</xdr:row>
      <xdr:rowOff>406401</xdr:rowOff>
    </xdr:to>
    <xdr:pic>
      <xdr:nvPicPr>
        <xdr:cNvPr id="131" name="Subgraph-UCIdwa6ujSQ3DciKgzUb9HLw">
          <a:extLst>
            <a:ext uri="{FF2B5EF4-FFF2-40B4-BE49-F238E27FC236}">
              <a16:creationId xmlns:a16="http://schemas.microsoft.com/office/drawing/2014/main" id="{B391B746-1D49-4B0B-8E93-885A898EF688}"/>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7899361"/>
          <a:ext cx="579120" cy="381000"/>
        </a:xfrm>
        <a:prstGeom prst="rect">
          <a:avLst/>
        </a:prstGeom>
      </xdr:spPr>
    </xdr:pic>
    <xdr:clientData/>
  </xdr:twoCellAnchor>
  <xdr:twoCellAnchor editAs="oneCell">
    <xdr:from>
      <xdr:col>1</xdr:col>
      <xdr:colOff>25400</xdr:colOff>
      <xdr:row>67</xdr:row>
      <xdr:rowOff>25399</xdr:rowOff>
    </xdr:from>
    <xdr:to>
      <xdr:col>1</xdr:col>
      <xdr:colOff>604520</xdr:colOff>
      <xdr:row>67</xdr:row>
      <xdr:rowOff>406399</xdr:rowOff>
    </xdr:to>
    <xdr:pic>
      <xdr:nvPicPr>
        <xdr:cNvPr id="133" name="Subgraph-UCHXTAOPGEiUn-hst_H546Jw">
          <a:extLst>
            <a:ext uri="{FF2B5EF4-FFF2-40B4-BE49-F238E27FC236}">
              <a16:creationId xmlns:a16="http://schemas.microsoft.com/office/drawing/2014/main" id="{1772FA04-5744-4CEA-803C-65B80EEE4D9C}"/>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8326079"/>
          <a:ext cx="579120" cy="381000"/>
        </a:xfrm>
        <a:prstGeom prst="rect">
          <a:avLst/>
        </a:prstGeom>
      </xdr:spPr>
    </xdr:pic>
    <xdr:clientData/>
  </xdr:twoCellAnchor>
  <xdr:twoCellAnchor editAs="oneCell">
    <xdr:from>
      <xdr:col>1</xdr:col>
      <xdr:colOff>25400</xdr:colOff>
      <xdr:row>68</xdr:row>
      <xdr:rowOff>25400</xdr:rowOff>
    </xdr:from>
    <xdr:to>
      <xdr:col>1</xdr:col>
      <xdr:colOff>604520</xdr:colOff>
      <xdr:row>68</xdr:row>
      <xdr:rowOff>406400</xdr:rowOff>
    </xdr:to>
    <xdr:pic>
      <xdr:nvPicPr>
        <xdr:cNvPr id="135" name="Subgraph-UCEPmJ5s2mlg_0nDkRgvjkAw">
          <a:extLst>
            <a:ext uri="{FF2B5EF4-FFF2-40B4-BE49-F238E27FC236}">
              <a16:creationId xmlns:a16="http://schemas.microsoft.com/office/drawing/2014/main" id="{F0AA3B6D-D581-4D17-A8F5-6199AF57EC4B}"/>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8752800"/>
          <a:ext cx="579120" cy="381000"/>
        </a:xfrm>
        <a:prstGeom prst="rect">
          <a:avLst/>
        </a:prstGeom>
      </xdr:spPr>
    </xdr:pic>
    <xdr:clientData/>
  </xdr:twoCellAnchor>
  <xdr:twoCellAnchor editAs="oneCell">
    <xdr:from>
      <xdr:col>1</xdr:col>
      <xdr:colOff>25400</xdr:colOff>
      <xdr:row>69</xdr:row>
      <xdr:rowOff>25401</xdr:rowOff>
    </xdr:from>
    <xdr:to>
      <xdr:col>1</xdr:col>
      <xdr:colOff>604520</xdr:colOff>
      <xdr:row>69</xdr:row>
      <xdr:rowOff>406401</xdr:rowOff>
    </xdr:to>
    <xdr:pic>
      <xdr:nvPicPr>
        <xdr:cNvPr id="137" name="Subgraph-UCDMepdE-aYuGUe-G242z4Kw">
          <a:extLst>
            <a:ext uri="{FF2B5EF4-FFF2-40B4-BE49-F238E27FC236}">
              <a16:creationId xmlns:a16="http://schemas.microsoft.com/office/drawing/2014/main" id="{A569C9E3-73AE-4846-B619-04BD6110230C}"/>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9179521"/>
          <a:ext cx="579120" cy="381000"/>
        </a:xfrm>
        <a:prstGeom prst="rect">
          <a:avLst/>
        </a:prstGeom>
      </xdr:spPr>
    </xdr:pic>
    <xdr:clientData/>
  </xdr:twoCellAnchor>
  <xdr:twoCellAnchor editAs="oneCell">
    <xdr:from>
      <xdr:col>1</xdr:col>
      <xdr:colOff>25400</xdr:colOff>
      <xdr:row>70</xdr:row>
      <xdr:rowOff>25399</xdr:rowOff>
    </xdr:from>
    <xdr:to>
      <xdr:col>1</xdr:col>
      <xdr:colOff>604520</xdr:colOff>
      <xdr:row>70</xdr:row>
      <xdr:rowOff>406399</xdr:rowOff>
    </xdr:to>
    <xdr:pic>
      <xdr:nvPicPr>
        <xdr:cNvPr id="139" name="Subgraph-UCDEJi9HGDig2PvUlrsvugCQ">
          <a:extLst>
            <a:ext uri="{FF2B5EF4-FFF2-40B4-BE49-F238E27FC236}">
              <a16:creationId xmlns:a16="http://schemas.microsoft.com/office/drawing/2014/main" id="{A531243A-B775-42B8-9A06-3A4A88F25C2C}"/>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29606239"/>
          <a:ext cx="579120" cy="381000"/>
        </a:xfrm>
        <a:prstGeom prst="rect">
          <a:avLst/>
        </a:prstGeom>
      </xdr:spPr>
    </xdr:pic>
    <xdr:clientData/>
  </xdr:twoCellAnchor>
  <xdr:twoCellAnchor editAs="oneCell">
    <xdr:from>
      <xdr:col>1</xdr:col>
      <xdr:colOff>25400</xdr:colOff>
      <xdr:row>71</xdr:row>
      <xdr:rowOff>25401</xdr:rowOff>
    </xdr:from>
    <xdr:to>
      <xdr:col>1</xdr:col>
      <xdr:colOff>604520</xdr:colOff>
      <xdr:row>71</xdr:row>
      <xdr:rowOff>406401</xdr:rowOff>
    </xdr:to>
    <xdr:pic>
      <xdr:nvPicPr>
        <xdr:cNvPr id="141" name="Subgraph-UCCyMSf0BuLAuPADasB-zdVA">
          <a:extLst>
            <a:ext uri="{FF2B5EF4-FFF2-40B4-BE49-F238E27FC236}">
              <a16:creationId xmlns:a16="http://schemas.microsoft.com/office/drawing/2014/main" id="{5CEB124E-62EB-46DF-8706-37533E6FD9C5}"/>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0032961"/>
          <a:ext cx="579120" cy="381000"/>
        </a:xfrm>
        <a:prstGeom prst="rect">
          <a:avLst/>
        </a:prstGeom>
      </xdr:spPr>
    </xdr:pic>
    <xdr:clientData/>
  </xdr:twoCellAnchor>
  <xdr:twoCellAnchor editAs="oneCell">
    <xdr:from>
      <xdr:col>1</xdr:col>
      <xdr:colOff>25400</xdr:colOff>
      <xdr:row>72</xdr:row>
      <xdr:rowOff>25399</xdr:rowOff>
    </xdr:from>
    <xdr:to>
      <xdr:col>1</xdr:col>
      <xdr:colOff>604520</xdr:colOff>
      <xdr:row>72</xdr:row>
      <xdr:rowOff>406399</xdr:rowOff>
    </xdr:to>
    <xdr:pic>
      <xdr:nvPicPr>
        <xdr:cNvPr id="143" name="Subgraph-UCBcS4geMoYqoVFLs3sD1jcQ">
          <a:extLst>
            <a:ext uri="{FF2B5EF4-FFF2-40B4-BE49-F238E27FC236}">
              <a16:creationId xmlns:a16="http://schemas.microsoft.com/office/drawing/2014/main" id="{8F4B6A2F-F982-4896-928B-F512E2F94E35}"/>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0459679"/>
          <a:ext cx="579120" cy="381000"/>
        </a:xfrm>
        <a:prstGeom prst="rect">
          <a:avLst/>
        </a:prstGeom>
      </xdr:spPr>
    </xdr:pic>
    <xdr:clientData/>
  </xdr:twoCellAnchor>
  <xdr:twoCellAnchor editAs="oneCell">
    <xdr:from>
      <xdr:col>1</xdr:col>
      <xdr:colOff>25400</xdr:colOff>
      <xdr:row>73</xdr:row>
      <xdr:rowOff>25400</xdr:rowOff>
    </xdr:from>
    <xdr:to>
      <xdr:col>1</xdr:col>
      <xdr:colOff>604520</xdr:colOff>
      <xdr:row>73</xdr:row>
      <xdr:rowOff>406400</xdr:rowOff>
    </xdr:to>
    <xdr:pic>
      <xdr:nvPicPr>
        <xdr:cNvPr id="145" name="Subgraph-UCAHki-8bOudte1cmFelEgrQ">
          <a:extLst>
            <a:ext uri="{FF2B5EF4-FFF2-40B4-BE49-F238E27FC236}">
              <a16:creationId xmlns:a16="http://schemas.microsoft.com/office/drawing/2014/main" id="{03D694DF-5F31-41D1-86AC-909AA5D942FC}"/>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0886400"/>
          <a:ext cx="579120" cy="381000"/>
        </a:xfrm>
        <a:prstGeom prst="rect">
          <a:avLst/>
        </a:prstGeom>
      </xdr:spPr>
    </xdr:pic>
    <xdr:clientData/>
  </xdr:twoCellAnchor>
  <xdr:twoCellAnchor editAs="oneCell">
    <xdr:from>
      <xdr:col>1</xdr:col>
      <xdr:colOff>25400</xdr:colOff>
      <xdr:row>74</xdr:row>
      <xdr:rowOff>25401</xdr:rowOff>
    </xdr:from>
    <xdr:to>
      <xdr:col>1</xdr:col>
      <xdr:colOff>604520</xdr:colOff>
      <xdr:row>74</xdr:row>
      <xdr:rowOff>406401</xdr:rowOff>
    </xdr:to>
    <xdr:pic>
      <xdr:nvPicPr>
        <xdr:cNvPr id="147" name="Subgraph-UC8896qpTeFyKSnQpIzu44MQ">
          <a:extLst>
            <a:ext uri="{FF2B5EF4-FFF2-40B4-BE49-F238E27FC236}">
              <a16:creationId xmlns:a16="http://schemas.microsoft.com/office/drawing/2014/main" id="{3905AAE9-6FA6-4060-BB11-0E31C0D3F58F}"/>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1313121"/>
          <a:ext cx="579120" cy="381000"/>
        </a:xfrm>
        <a:prstGeom prst="rect">
          <a:avLst/>
        </a:prstGeom>
      </xdr:spPr>
    </xdr:pic>
    <xdr:clientData/>
  </xdr:twoCellAnchor>
  <xdr:twoCellAnchor editAs="oneCell">
    <xdr:from>
      <xdr:col>1</xdr:col>
      <xdr:colOff>25400</xdr:colOff>
      <xdr:row>75</xdr:row>
      <xdr:rowOff>25399</xdr:rowOff>
    </xdr:from>
    <xdr:to>
      <xdr:col>1</xdr:col>
      <xdr:colOff>604520</xdr:colOff>
      <xdr:row>75</xdr:row>
      <xdr:rowOff>406399</xdr:rowOff>
    </xdr:to>
    <xdr:pic>
      <xdr:nvPicPr>
        <xdr:cNvPr id="149" name="Subgraph-UC7yNkTdYv4bwutxcjMSXTAw">
          <a:extLst>
            <a:ext uri="{FF2B5EF4-FFF2-40B4-BE49-F238E27FC236}">
              <a16:creationId xmlns:a16="http://schemas.microsoft.com/office/drawing/2014/main" id="{8006C5B7-3252-4A16-9AB5-51E2E33320E8}"/>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1739839"/>
          <a:ext cx="579120" cy="381000"/>
        </a:xfrm>
        <a:prstGeom prst="rect">
          <a:avLst/>
        </a:prstGeom>
      </xdr:spPr>
    </xdr:pic>
    <xdr:clientData/>
  </xdr:twoCellAnchor>
  <xdr:twoCellAnchor editAs="oneCell">
    <xdr:from>
      <xdr:col>1</xdr:col>
      <xdr:colOff>25400</xdr:colOff>
      <xdr:row>76</xdr:row>
      <xdr:rowOff>25401</xdr:rowOff>
    </xdr:from>
    <xdr:to>
      <xdr:col>1</xdr:col>
      <xdr:colOff>604520</xdr:colOff>
      <xdr:row>76</xdr:row>
      <xdr:rowOff>406401</xdr:rowOff>
    </xdr:to>
    <xdr:pic>
      <xdr:nvPicPr>
        <xdr:cNvPr id="151" name="Subgraph-UC6ZRgQHI6_ucBafj9brrzfw">
          <a:extLst>
            <a:ext uri="{FF2B5EF4-FFF2-40B4-BE49-F238E27FC236}">
              <a16:creationId xmlns:a16="http://schemas.microsoft.com/office/drawing/2014/main" id="{816EEBAA-51EF-49ED-9587-CF333938E0D1}"/>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2166561"/>
          <a:ext cx="579120" cy="381000"/>
        </a:xfrm>
        <a:prstGeom prst="rect">
          <a:avLst/>
        </a:prstGeom>
      </xdr:spPr>
    </xdr:pic>
    <xdr:clientData/>
  </xdr:twoCellAnchor>
  <xdr:twoCellAnchor editAs="oneCell">
    <xdr:from>
      <xdr:col>1</xdr:col>
      <xdr:colOff>25400</xdr:colOff>
      <xdr:row>77</xdr:row>
      <xdr:rowOff>25399</xdr:rowOff>
    </xdr:from>
    <xdr:to>
      <xdr:col>1</xdr:col>
      <xdr:colOff>604520</xdr:colOff>
      <xdr:row>77</xdr:row>
      <xdr:rowOff>406399</xdr:rowOff>
    </xdr:to>
    <xdr:pic>
      <xdr:nvPicPr>
        <xdr:cNvPr id="153" name="Subgraph-UC69X_3kGAa81rHEj9Q-29Cg">
          <a:extLst>
            <a:ext uri="{FF2B5EF4-FFF2-40B4-BE49-F238E27FC236}">
              <a16:creationId xmlns:a16="http://schemas.microsoft.com/office/drawing/2014/main" id="{79EA7E78-2394-4876-8E80-D54901FFA269}"/>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2593279"/>
          <a:ext cx="579120" cy="381000"/>
        </a:xfrm>
        <a:prstGeom prst="rect">
          <a:avLst/>
        </a:prstGeom>
      </xdr:spPr>
    </xdr:pic>
    <xdr:clientData/>
  </xdr:twoCellAnchor>
  <xdr:twoCellAnchor editAs="oneCell">
    <xdr:from>
      <xdr:col>1</xdr:col>
      <xdr:colOff>25400</xdr:colOff>
      <xdr:row>78</xdr:row>
      <xdr:rowOff>25400</xdr:rowOff>
    </xdr:from>
    <xdr:to>
      <xdr:col>1</xdr:col>
      <xdr:colOff>604520</xdr:colOff>
      <xdr:row>78</xdr:row>
      <xdr:rowOff>406400</xdr:rowOff>
    </xdr:to>
    <xdr:pic>
      <xdr:nvPicPr>
        <xdr:cNvPr id="155" name="Subgraph-UC5H6b3FQvSoKUsOI4QhTgbw">
          <a:extLst>
            <a:ext uri="{FF2B5EF4-FFF2-40B4-BE49-F238E27FC236}">
              <a16:creationId xmlns:a16="http://schemas.microsoft.com/office/drawing/2014/main" id="{702080D0-0170-4F56-8079-8988BACD4965}"/>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3020000"/>
          <a:ext cx="579120" cy="381000"/>
        </a:xfrm>
        <a:prstGeom prst="rect">
          <a:avLst/>
        </a:prstGeom>
      </xdr:spPr>
    </xdr:pic>
    <xdr:clientData/>
  </xdr:twoCellAnchor>
  <xdr:twoCellAnchor editAs="oneCell">
    <xdr:from>
      <xdr:col>1</xdr:col>
      <xdr:colOff>25400</xdr:colOff>
      <xdr:row>79</xdr:row>
      <xdr:rowOff>25401</xdr:rowOff>
    </xdr:from>
    <xdr:to>
      <xdr:col>1</xdr:col>
      <xdr:colOff>604520</xdr:colOff>
      <xdr:row>79</xdr:row>
      <xdr:rowOff>406401</xdr:rowOff>
    </xdr:to>
    <xdr:pic>
      <xdr:nvPicPr>
        <xdr:cNvPr id="157" name="Subgraph-UC4DavrlnZOwnqU7QyBJEfWQ">
          <a:extLst>
            <a:ext uri="{FF2B5EF4-FFF2-40B4-BE49-F238E27FC236}">
              <a16:creationId xmlns:a16="http://schemas.microsoft.com/office/drawing/2014/main" id="{E348A902-499E-4DF4-9E9D-926D34D8B081}"/>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3446721"/>
          <a:ext cx="579120" cy="381000"/>
        </a:xfrm>
        <a:prstGeom prst="rect">
          <a:avLst/>
        </a:prstGeom>
      </xdr:spPr>
    </xdr:pic>
    <xdr:clientData/>
  </xdr:twoCellAnchor>
  <xdr:twoCellAnchor editAs="oneCell">
    <xdr:from>
      <xdr:col>1</xdr:col>
      <xdr:colOff>25400</xdr:colOff>
      <xdr:row>80</xdr:row>
      <xdr:rowOff>25399</xdr:rowOff>
    </xdr:from>
    <xdr:to>
      <xdr:col>1</xdr:col>
      <xdr:colOff>604520</xdr:colOff>
      <xdr:row>80</xdr:row>
      <xdr:rowOff>406399</xdr:rowOff>
    </xdr:to>
    <xdr:pic>
      <xdr:nvPicPr>
        <xdr:cNvPr id="159" name="Subgraph-UC3xqScVO3J1dU9psEhI8rnA">
          <a:extLst>
            <a:ext uri="{FF2B5EF4-FFF2-40B4-BE49-F238E27FC236}">
              <a16:creationId xmlns:a16="http://schemas.microsoft.com/office/drawing/2014/main" id="{3810C015-D180-4510-8905-AF66EA491EBC}"/>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3873439"/>
          <a:ext cx="579120" cy="381000"/>
        </a:xfrm>
        <a:prstGeom prst="rect">
          <a:avLst/>
        </a:prstGeom>
      </xdr:spPr>
    </xdr:pic>
    <xdr:clientData/>
  </xdr:twoCellAnchor>
  <xdr:twoCellAnchor editAs="oneCell">
    <xdr:from>
      <xdr:col>1</xdr:col>
      <xdr:colOff>25400</xdr:colOff>
      <xdr:row>81</xdr:row>
      <xdr:rowOff>25401</xdr:rowOff>
    </xdr:from>
    <xdr:to>
      <xdr:col>1</xdr:col>
      <xdr:colOff>604520</xdr:colOff>
      <xdr:row>81</xdr:row>
      <xdr:rowOff>406401</xdr:rowOff>
    </xdr:to>
    <xdr:pic>
      <xdr:nvPicPr>
        <xdr:cNvPr id="161" name="Subgraph-UC3bkDBRK0XctW5IiM0nLhEQ">
          <a:extLst>
            <a:ext uri="{FF2B5EF4-FFF2-40B4-BE49-F238E27FC236}">
              <a16:creationId xmlns:a16="http://schemas.microsoft.com/office/drawing/2014/main" id="{C1014E51-6F95-4DD2-8FF1-88110EAF3925}"/>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4300161"/>
          <a:ext cx="579120" cy="381000"/>
        </a:xfrm>
        <a:prstGeom prst="rect">
          <a:avLst/>
        </a:prstGeom>
      </xdr:spPr>
    </xdr:pic>
    <xdr:clientData/>
  </xdr:twoCellAnchor>
  <xdr:twoCellAnchor editAs="oneCell">
    <xdr:from>
      <xdr:col>1</xdr:col>
      <xdr:colOff>25400</xdr:colOff>
      <xdr:row>82</xdr:row>
      <xdr:rowOff>25399</xdr:rowOff>
    </xdr:from>
    <xdr:to>
      <xdr:col>1</xdr:col>
      <xdr:colOff>604520</xdr:colOff>
      <xdr:row>82</xdr:row>
      <xdr:rowOff>406399</xdr:rowOff>
    </xdr:to>
    <xdr:pic>
      <xdr:nvPicPr>
        <xdr:cNvPr id="163" name="Subgraph-UC3NxYhOtlHEqzI10SsCaxqw">
          <a:extLst>
            <a:ext uri="{FF2B5EF4-FFF2-40B4-BE49-F238E27FC236}">
              <a16:creationId xmlns:a16="http://schemas.microsoft.com/office/drawing/2014/main" id="{73777951-380E-4811-AFBD-4309A6D8AB6B}"/>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4726879"/>
          <a:ext cx="579120" cy="381000"/>
        </a:xfrm>
        <a:prstGeom prst="rect">
          <a:avLst/>
        </a:prstGeom>
      </xdr:spPr>
    </xdr:pic>
    <xdr:clientData/>
  </xdr:twoCellAnchor>
  <xdr:twoCellAnchor editAs="oneCell">
    <xdr:from>
      <xdr:col>1</xdr:col>
      <xdr:colOff>25400</xdr:colOff>
      <xdr:row>83</xdr:row>
      <xdr:rowOff>25400</xdr:rowOff>
    </xdr:from>
    <xdr:to>
      <xdr:col>1</xdr:col>
      <xdr:colOff>604520</xdr:colOff>
      <xdr:row>83</xdr:row>
      <xdr:rowOff>406400</xdr:rowOff>
    </xdr:to>
    <xdr:pic>
      <xdr:nvPicPr>
        <xdr:cNvPr id="165" name="Subgraph-UC2MOqU0AbB-3VtepIxAKUuw">
          <a:extLst>
            <a:ext uri="{FF2B5EF4-FFF2-40B4-BE49-F238E27FC236}">
              <a16:creationId xmlns:a16="http://schemas.microsoft.com/office/drawing/2014/main" id="{68B1488A-D042-48DA-A9C2-9FF82344188F}"/>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5153600"/>
          <a:ext cx="579120" cy="381000"/>
        </a:xfrm>
        <a:prstGeom prst="rect">
          <a:avLst/>
        </a:prstGeom>
      </xdr:spPr>
    </xdr:pic>
    <xdr:clientData/>
  </xdr:twoCellAnchor>
  <xdr:twoCellAnchor editAs="oneCell">
    <xdr:from>
      <xdr:col>1</xdr:col>
      <xdr:colOff>25400</xdr:colOff>
      <xdr:row>84</xdr:row>
      <xdr:rowOff>25401</xdr:rowOff>
    </xdr:from>
    <xdr:to>
      <xdr:col>1</xdr:col>
      <xdr:colOff>604520</xdr:colOff>
      <xdr:row>84</xdr:row>
      <xdr:rowOff>406401</xdr:rowOff>
    </xdr:to>
    <xdr:pic>
      <xdr:nvPicPr>
        <xdr:cNvPr id="167" name="Subgraph-UC1hnxClYuxHVy688A7Q8EwQ">
          <a:extLst>
            <a:ext uri="{FF2B5EF4-FFF2-40B4-BE49-F238E27FC236}">
              <a16:creationId xmlns:a16="http://schemas.microsoft.com/office/drawing/2014/main" id="{009B51D6-0A60-4F53-BC2F-A8F3FD8898A8}"/>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5580321"/>
          <a:ext cx="579120" cy="381000"/>
        </a:xfrm>
        <a:prstGeom prst="rect">
          <a:avLst/>
        </a:prstGeom>
      </xdr:spPr>
    </xdr:pic>
    <xdr:clientData/>
  </xdr:twoCellAnchor>
  <xdr:twoCellAnchor editAs="oneCell">
    <xdr:from>
      <xdr:col>1</xdr:col>
      <xdr:colOff>25400</xdr:colOff>
      <xdr:row>85</xdr:row>
      <xdr:rowOff>25399</xdr:rowOff>
    </xdr:from>
    <xdr:to>
      <xdr:col>1</xdr:col>
      <xdr:colOff>604520</xdr:colOff>
      <xdr:row>85</xdr:row>
      <xdr:rowOff>406399</xdr:rowOff>
    </xdr:to>
    <xdr:pic>
      <xdr:nvPicPr>
        <xdr:cNvPr id="169" name="Subgraph-UC1d-n1VroGV6OIDETBjzWnw">
          <a:extLst>
            <a:ext uri="{FF2B5EF4-FFF2-40B4-BE49-F238E27FC236}">
              <a16:creationId xmlns:a16="http://schemas.microsoft.com/office/drawing/2014/main" id="{6C49833B-7A76-43B1-856B-43651DC6F2EF}"/>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6007039"/>
          <a:ext cx="579120" cy="381000"/>
        </a:xfrm>
        <a:prstGeom prst="rect">
          <a:avLst/>
        </a:prstGeom>
      </xdr:spPr>
    </xdr:pic>
    <xdr:clientData/>
  </xdr:twoCellAnchor>
  <xdr:twoCellAnchor editAs="oneCell">
    <xdr:from>
      <xdr:col>1</xdr:col>
      <xdr:colOff>25400</xdr:colOff>
      <xdr:row>86</xdr:row>
      <xdr:rowOff>25401</xdr:rowOff>
    </xdr:from>
    <xdr:to>
      <xdr:col>1</xdr:col>
      <xdr:colOff>604520</xdr:colOff>
      <xdr:row>86</xdr:row>
      <xdr:rowOff>406401</xdr:rowOff>
    </xdr:to>
    <xdr:pic>
      <xdr:nvPicPr>
        <xdr:cNvPr id="171" name="Subgraph-UC05SRcsr7eU9KJKMIehKWKQ">
          <a:extLst>
            <a:ext uri="{FF2B5EF4-FFF2-40B4-BE49-F238E27FC236}">
              <a16:creationId xmlns:a16="http://schemas.microsoft.com/office/drawing/2014/main" id="{221BA183-E6EA-4B6D-B183-7E2D72ABC9C2}"/>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1840" y="36433761"/>
          <a:ext cx="579120" cy="381000"/>
        </a:xfrm>
        <a:prstGeom prst="rect">
          <a:avLst/>
        </a:prstGeom>
      </xdr:spPr>
    </xdr:pic>
    <xdr:clientData/>
  </xdr:twoCellAnchor>
  <xdr:twoCellAnchor editAs="oneCell">
    <xdr:from>
      <xdr:col>1</xdr:col>
      <xdr:colOff>25400</xdr:colOff>
      <xdr:row>87</xdr:row>
      <xdr:rowOff>25399</xdr:rowOff>
    </xdr:from>
    <xdr:to>
      <xdr:col>1</xdr:col>
      <xdr:colOff>604520</xdr:colOff>
      <xdr:row>87</xdr:row>
      <xdr:rowOff>406399</xdr:rowOff>
    </xdr:to>
    <xdr:pic>
      <xdr:nvPicPr>
        <xdr:cNvPr id="173" name="Subgraph-UCVrbOqQTzgzERYF8GsTomyQ">
          <a:extLst>
            <a:ext uri="{FF2B5EF4-FFF2-40B4-BE49-F238E27FC236}">
              <a16:creationId xmlns:a16="http://schemas.microsoft.com/office/drawing/2014/main" id="{7042976B-B152-4AE7-A28B-863F2CDD791C}"/>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21840" y="36860479"/>
          <a:ext cx="579120" cy="381000"/>
        </a:xfrm>
        <a:prstGeom prst="rect">
          <a:avLst/>
        </a:prstGeom>
      </xdr:spPr>
    </xdr:pic>
    <xdr:clientData/>
  </xdr:twoCellAnchor>
  <xdr:twoCellAnchor editAs="oneCell">
    <xdr:from>
      <xdr:col>1</xdr:col>
      <xdr:colOff>25400</xdr:colOff>
      <xdr:row>88</xdr:row>
      <xdr:rowOff>25400</xdr:rowOff>
    </xdr:from>
    <xdr:to>
      <xdr:col>1</xdr:col>
      <xdr:colOff>604520</xdr:colOff>
      <xdr:row>88</xdr:row>
      <xdr:rowOff>406400</xdr:rowOff>
    </xdr:to>
    <xdr:pic>
      <xdr:nvPicPr>
        <xdr:cNvPr id="175" name="Subgraph-UCWOt1BKG_4KCuu5VPEbvwWw">
          <a:extLst>
            <a:ext uri="{FF2B5EF4-FFF2-40B4-BE49-F238E27FC236}">
              <a16:creationId xmlns:a16="http://schemas.microsoft.com/office/drawing/2014/main" id="{BCC539AB-7857-452F-A6B4-D25AE1C83FF2}"/>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21840" y="37287200"/>
          <a:ext cx="579120" cy="381000"/>
        </a:xfrm>
        <a:prstGeom prst="rect">
          <a:avLst/>
        </a:prstGeom>
      </xdr:spPr>
    </xdr:pic>
    <xdr:clientData/>
  </xdr:twoCellAnchor>
  <xdr:twoCellAnchor editAs="oneCell">
    <xdr:from>
      <xdr:col>1</xdr:col>
      <xdr:colOff>25400</xdr:colOff>
      <xdr:row>89</xdr:row>
      <xdr:rowOff>25401</xdr:rowOff>
    </xdr:from>
    <xdr:to>
      <xdr:col>1</xdr:col>
      <xdr:colOff>604520</xdr:colOff>
      <xdr:row>89</xdr:row>
      <xdr:rowOff>406401</xdr:rowOff>
    </xdr:to>
    <xdr:pic>
      <xdr:nvPicPr>
        <xdr:cNvPr id="177" name="Subgraph-UCFnSoBpsKyrqUjWWmHKpH5g">
          <a:extLst>
            <a:ext uri="{FF2B5EF4-FFF2-40B4-BE49-F238E27FC236}">
              <a16:creationId xmlns:a16="http://schemas.microsoft.com/office/drawing/2014/main" id="{D7F12CF3-E637-4A43-89E6-3B5CBCE5257B}"/>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21840" y="37713921"/>
          <a:ext cx="579120" cy="381000"/>
        </a:xfrm>
        <a:prstGeom prst="rect">
          <a:avLst/>
        </a:prstGeom>
      </xdr:spPr>
    </xdr:pic>
    <xdr:clientData/>
  </xdr:twoCellAnchor>
  <xdr:twoCellAnchor editAs="oneCell">
    <xdr:from>
      <xdr:col>1</xdr:col>
      <xdr:colOff>25400</xdr:colOff>
      <xdr:row>90</xdr:row>
      <xdr:rowOff>25399</xdr:rowOff>
    </xdr:from>
    <xdr:to>
      <xdr:col>1</xdr:col>
      <xdr:colOff>604520</xdr:colOff>
      <xdr:row>90</xdr:row>
      <xdr:rowOff>406399</xdr:rowOff>
    </xdr:to>
    <xdr:pic>
      <xdr:nvPicPr>
        <xdr:cNvPr id="179" name="Subgraph-UCH_Q7vctYZCnfcyKYf3_Lbg">
          <a:extLst>
            <a:ext uri="{FF2B5EF4-FFF2-40B4-BE49-F238E27FC236}">
              <a16:creationId xmlns:a16="http://schemas.microsoft.com/office/drawing/2014/main" id="{B58D2D2F-5F98-437F-8278-1D087A6C9257}"/>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21840" y="38140639"/>
          <a:ext cx="579120" cy="381000"/>
        </a:xfrm>
        <a:prstGeom prst="rect">
          <a:avLst/>
        </a:prstGeom>
      </xdr:spPr>
    </xdr:pic>
    <xdr:clientData/>
  </xdr:twoCellAnchor>
  <xdr:twoCellAnchor editAs="oneCell">
    <xdr:from>
      <xdr:col>1</xdr:col>
      <xdr:colOff>25400</xdr:colOff>
      <xdr:row>91</xdr:row>
      <xdr:rowOff>25401</xdr:rowOff>
    </xdr:from>
    <xdr:to>
      <xdr:col>1</xdr:col>
      <xdr:colOff>604520</xdr:colOff>
      <xdr:row>91</xdr:row>
      <xdr:rowOff>406401</xdr:rowOff>
    </xdr:to>
    <xdr:pic>
      <xdr:nvPicPr>
        <xdr:cNvPr id="181" name="Subgraph-UCDwWfdREKOztzueJieWxSQA">
          <a:extLst>
            <a:ext uri="{FF2B5EF4-FFF2-40B4-BE49-F238E27FC236}">
              <a16:creationId xmlns:a16="http://schemas.microsoft.com/office/drawing/2014/main" id="{CC8FDD09-6333-4B2A-B864-DE24463FAAC2}"/>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21840" y="38567361"/>
          <a:ext cx="579120" cy="381000"/>
        </a:xfrm>
        <a:prstGeom prst="rect">
          <a:avLst/>
        </a:prstGeom>
      </xdr:spPr>
    </xdr:pic>
    <xdr:clientData/>
  </xdr:twoCellAnchor>
  <xdr:twoCellAnchor editAs="oneCell">
    <xdr:from>
      <xdr:col>1</xdr:col>
      <xdr:colOff>25400</xdr:colOff>
      <xdr:row>92</xdr:row>
      <xdr:rowOff>25399</xdr:rowOff>
    </xdr:from>
    <xdr:to>
      <xdr:col>1</xdr:col>
      <xdr:colOff>604520</xdr:colOff>
      <xdr:row>92</xdr:row>
      <xdr:rowOff>406399</xdr:rowOff>
    </xdr:to>
    <xdr:pic>
      <xdr:nvPicPr>
        <xdr:cNvPr id="183" name="Subgraph-UC7A2X5aF0NuOWTfxjTtOHTw">
          <a:extLst>
            <a:ext uri="{FF2B5EF4-FFF2-40B4-BE49-F238E27FC236}">
              <a16:creationId xmlns:a16="http://schemas.microsoft.com/office/drawing/2014/main" id="{D1C9FEE1-8F03-48C1-ABD3-4309E74BD791}"/>
            </a:ext>
          </a:extLst>
        </xdr:cNvPr>
        <xdr:cNvPicPr>
          <a:picLocks/>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840" y="38994079"/>
          <a:ext cx="579120" cy="381000"/>
        </a:xfrm>
        <a:prstGeom prst="rect">
          <a:avLst/>
        </a:prstGeom>
      </xdr:spPr>
    </xdr:pic>
    <xdr:clientData/>
  </xdr:twoCellAnchor>
  <xdr:twoCellAnchor editAs="oneCell">
    <xdr:from>
      <xdr:col>1</xdr:col>
      <xdr:colOff>25400</xdr:colOff>
      <xdr:row>93</xdr:row>
      <xdr:rowOff>25400</xdr:rowOff>
    </xdr:from>
    <xdr:to>
      <xdr:col>1</xdr:col>
      <xdr:colOff>604520</xdr:colOff>
      <xdr:row>93</xdr:row>
      <xdr:rowOff>406400</xdr:rowOff>
    </xdr:to>
    <xdr:pic>
      <xdr:nvPicPr>
        <xdr:cNvPr id="185" name="Subgraph-UCwb5SKbXtzj2QDVPhTZsYTg">
          <a:extLst>
            <a:ext uri="{FF2B5EF4-FFF2-40B4-BE49-F238E27FC236}">
              <a16:creationId xmlns:a16="http://schemas.microsoft.com/office/drawing/2014/main" id="{C13D4DC0-3A4E-49C9-85ED-ABCB64468CED}"/>
            </a:ext>
          </a:extLst>
        </xdr:cNvPr>
        <xdr:cNvPicPr>
          <a:picLocks/>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21840" y="39420800"/>
          <a:ext cx="579120" cy="381000"/>
        </a:xfrm>
        <a:prstGeom prst="rect">
          <a:avLst/>
        </a:prstGeom>
      </xdr:spPr>
    </xdr:pic>
    <xdr:clientData/>
  </xdr:twoCellAnchor>
  <xdr:twoCellAnchor editAs="oneCell">
    <xdr:from>
      <xdr:col>1</xdr:col>
      <xdr:colOff>25400</xdr:colOff>
      <xdr:row>94</xdr:row>
      <xdr:rowOff>25401</xdr:rowOff>
    </xdr:from>
    <xdr:to>
      <xdr:col>1</xdr:col>
      <xdr:colOff>604520</xdr:colOff>
      <xdr:row>94</xdr:row>
      <xdr:rowOff>406401</xdr:rowOff>
    </xdr:to>
    <xdr:pic>
      <xdr:nvPicPr>
        <xdr:cNvPr id="187" name="Subgraph-UCoimbOHLiA3S-B-_dB21dJA">
          <a:extLst>
            <a:ext uri="{FF2B5EF4-FFF2-40B4-BE49-F238E27FC236}">
              <a16:creationId xmlns:a16="http://schemas.microsoft.com/office/drawing/2014/main" id="{BE75F06B-C1C2-4498-A420-7CA306083FF5}"/>
            </a:ext>
          </a:extLst>
        </xdr:cNvPr>
        <xdr:cNvPicPr>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2021840" y="39847521"/>
          <a:ext cx="579120" cy="381000"/>
        </a:xfrm>
        <a:prstGeom prst="rect">
          <a:avLst/>
        </a:prstGeom>
      </xdr:spPr>
    </xdr:pic>
    <xdr:clientData/>
  </xdr:twoCellAnchor>
  <xdr:twoCellAnchor editAs="oneCell">
    <xdr:from>
      <xdr:col>1</xdr:col>
      <xdr:colOff>25400</xdr:colOff>
      <xdr:row>95</xdr:row>
      <xdr:rowOff>25399</xdr:rowOff>
    </xdr:from>
    <xdr:to>
      <xdr:col>1</xdr:col>
      <xdr:colOff>604520</xdr:colOff>
      <xdr:row>95</xdr:row>
      <xdr:rowOff>406399</xdr:rowOff>
    </xdr:to>
    <xdr:pic>
      <xdr:nvPicPr>
        <xdr:cNvPr id="189" name="Subgraph-UCd2xhvdOxiErQqRLI_hcfWw">
          <a:extLst>
            <a:ext uri="{FF2B5EF4-FFF2-40B4-BE49-F238E27FC236}">
              <a16:creationId xmlns:a16="http://schemas.microsoft.com/office/drawing/2014/main" id="{DBA60E43-ADE4-437A-B8C3-A14795652E96}"/>
            </a:ext>
          </a:extLst>
        </xdr:cNvPr>
        <xdr:cNvPicPr>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021840" y="40274239"/>
          <a:ext cx="579120" cy="381000"/>
        </a:xfrm>
        <a:prstGeom prst="rect">
          <a:avLst/>
        </a:prstGeom>
      </xdr:spPr>
    </xdr:pic>
    <xdr:clientData/>
  </xdr:twoCellAnchor>
  <xdr:twoCellAnchor editAs="oneCell">
    <xdr:from>
      <xdr:col>1</xdr:col>
      <xdr:colOff>25400</xdr:colOff>
      <xdr:row>96</xdr:row>
      <xdr:rowOff>25401</xdr:rowOff>
    </xdr:from>
    <xdr:to>
      <xdr:col>1</xdr:col>
      <xdr:colOff>604520</xdr:colOff>
      <xdr:row>96</xdr:row>
      <xdr:rowOff>406401</xdr:rowOff>
    </xdr:to>
    <xdr:pic>
      <xdr:nvPicPr>
        <xdr:cNvPr id="191" name="Subgraph-UCJq4hu1Mb1yDeUKEN6EZvvQ">
          <a:extLst>
            <a:ext uri="{FF2B5EF4-FFF2-40B4-BE49-F238E27FC236}">
              <a16:creationId xmlns:a16="http://schemas.microsoft.com/office/drawing/2014/main" id="{E58F7223-7F0C-4F5B-BF5A-5D7C4D3E3713}"/>
            </a:ext>
          </a:extLst>
        </xdr:cNvPr>
        <xdr:cNvPicPr>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2021840" y="40700961"/>
          <a:ext cx="579120" cy="381000"/>
        </a:xfrm>
        <a:prstGeom prst="rect">
          <a:avLst/>
        </a:prstGeom>
      </xdr:spPr>
    </xdr:pic>
    <xdr:clientData/>
  </xdr:twoCellAnchor>
  <xdr:twoCellAnchor editAs="oneCell">
    <xdr:from>
      <xdr:col>1</xdr:col>
      <xdr:colOff>25400</xdr:colOff>
      <xdr:row>97</xdr:row>
      <xdr:rowOff>25399</xdr:rowOff>
    </xdr:from>
    <xdr:to>
      <xdr:col>1</xdr:col>
      <xdr:colOff>604520</xdr:colOff>
      <xdr:row>97</xdr:row>
      <xdr:rowOff>406399</xdr:rowOff>
    </xdr:to>
    <xdr:pic>
      <xdr:nvPicPr>
        <xdr:cNvPr id="193" name="Subgraph-UC8sk4aItJsusoezSmfgOkAA">
          <a:extLst>
            <a:ext uri="{FF2B5EF4-FFF2-40B4-BE49-F238E27FC236}">
              <a16:creationId xmlns:a16="http://schemas.microsoft.com/office/drawing/2014/main" id="{75FCCE29-512C-4A9C-929F-41D46213AAA7}"/>
            </a:ext>
          </a:extLst>
        </xdr:cNvPr>
        <xdr:cNvPicPr>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021840" y="41127679"/>
          <a:ext cx="579120" cy="381000"/>
        </a:xfrm>
        <a:prstGeom prst="rect">
          <a:avLst/>
        </a:prstGeom>
      </xdr:spPr>
    </xdr:pic>
    <xdr:clientData/>
  </xdr:twoCellAnchor>
  <xdr:twoCellAnchor editAs="oneCell">
    <xdr:from>
      <xdr:col>1</xdr:col>
      <xdr:colOff>25400</xdr:colOff>
      <xdr:row>98</xdr:row>
      <xdr:rowOff>25400</xdr:rowOff>
    </xdr:from>
    <xdr:to>
      <xdr:col>1</xdr:col>
      <xdr:colOff>604520</xdr:colOff>
      <xdr:row>98</xdr:row>
      <xdr:rowOff>406400</xdr:rowOff>
    </xdr:to>
    <xdr:pic>
      <xdr:nvPicPr>
        <xdr:cNvPr id="195" name="Subgraph-UCSPUdoIIVeotX3-Co05DCZg">
          <a:extLst>
            <a:ext uri="{FF2B5EF4-FFF2-40B4-BE49-F238E27FC236}">
              <a16:creationId xmlns:a16="http://schemas.microsoft.com/office/drawing/2014/main" id="{381DE307-8210-496F-88E2-7A4DCAE6DAF1}"/>
            </a:ext>
          </a:extLst>
        </xdr:cNvPr>
        <xdr:cNvPicPr>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2021840" y="41554400"/>
          <a:ext cx="579120" cy="381000"/>
        </a:xfrm>
        <a:prstGeom prst="rect">
          <a:avLst/>
        </a:prstGeom>
      </xdr:spPr>
    </xdr:pic>
    <xdr:clientData/>
  </xdr:twoCellAnchor>
  <xdr:twoCellAnchor editAs="oneCell">
    <xdr:from>
      <xdr:col>1</xdr:col>
      <xdr:colOff>25400</xdr:colOff>
      <xdr:row>99</xdr:row>
      <xdr:rowOff>25401</xdr:rowOff>
    </xdr:from>
    <xdr:to>
      <xdr:col>1</xdr:col>
      <xdr:colOff>604520</xdr:colOff>
      <xdr:row>99</xdr:row>
      <xdr:rowOff>406401</xdr:rowOff>
    </xdr:to>
    <xdr:pic>
      <xdr:nvPicPr>
        <xdr:cNvPr id="197" name="Subgraph-UCGsH8LHShnCnmRis4Jkd_dw">
          <a:extLst>
            <a:ext uri="{FF2B5EF4-FFF2-40B4-BE49-F238E27FC236}">
              <a16:creationId xmlns:a16="http://schemas.microsoft.com/office/drawing/2014/main" id="{43062865-8E80-46AA-AAC8-67B1867CED11}"/>
            </a:ext>
          </a:extLst>
        </xdr:cNvPr>
        <xdr:cNvPicPr>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021840" y="41981121"/>
          <a:ext cx="579120" cy="381000"/>
        </a:xfrm>
        <a:prstGeom prst="rect">
          <a:avLst/>
        </a:prstGeom>
      </xdr:spPr>
    </xdr:pic>
    <xdr:clientData/>
  </xdr:twoCellAnchor>
  <xdr:twoCellAnchor editAs="oneCell">
    <xdr:from>
      <xdr:col>1</xdr:col>
      <xdr:colOff>25400</xdr:colOff>
      <xdr:row>100</xdr:row>
      <xdr:rowOff>25399</xdr:rowOff>
    </xdr:from>
    <xdr:to>
      <xdr:col>1</xdr:col>
      <xdr:colOff>604520</xdr:colOff>
      <xdr:row>100</xdr:row>
      <xdr:rowOff>406399</xdr:rowOff>
    </xdr:to>
    <xdr:pic>
      <xdr:nvPicPr>
        <xdr:cNvPr id="199" name="Subgraph-UCEua_4YJSRMzxlNrkyvwMaQ">
          <a:extLst>
            <a:ext uri="{FF2B5EF4-FFF2-40B4-BE49-F238E27FC236}">
              <a16:creationId xmlns:a16="http://schemas.microsoft.com/office/drawing/2014/main" id="{9A82686F-EA2A-4488-AE9F-E79AFFC08B53}"/>
            </a:ext>
          </a:extLst>
        </xdr:cNvPr>
        <xdr:cNvPicPr>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021840" y="42407839"/>
          <a:ext cx="579120" cy="381000"/>
        </a:xfrm>
        <a:prstGeom prst="rect">
          <a:avLst/>
        </a:prstGeom>
      </xdr:spPr>
    </xdr:pic>
    <xdr:clientData/>
  </xdr:twoCellAnchor>
  <xdr:twoCellAnchor editAs="oneCell">
    <xdr:from>
      <xdr:col>1</xdr:col>
      <xdr:colOff>25400</xdr:colOff>
      <xdr:row>101</xdr:row>
      <xdr:rowOff>25401</xdr:rowOff>
    </xdr:from>
    <xdr:to>
      <xdr:col>1</xdr:col>
      <xdr:colOff>604520</xdr:colOff>
      <xdr:row>101</xdr:row>
      <xdr:rowOff>406401</xdr:rowOff>
    </xdr:to>
    <xdr:pic>
      <xdr:nvPicPr>
        <xdr:cNvPr id="201" name="Subgraph-UC2fMl4Xc5TBqOq2M7ijJjzQ">
          <a:extLst>
            <a:ext uri="{FF2B5EF4-FFF2-40B4-BE49-F238E27FC236}">
              <a16:creationId xmlns:a16="http://schemas.microsoft.com/office/drawing/2014/main" id="{EDC9512D-251D-4AAB-852B-711E80922809}"/>
            </a:ext>
          </a:extLst>
        </xdr:cNvPr>
        <xdr:cNvPicPr>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2021840" y="42834561"/>
          <a:ext cx="579120" cy="381000"/>
        </a:xfrm>
        <a:prstGeom prst="rect">
          <a:avLst/>
        </a:prstGeom>
      </xdr:spPr>
    </xdr:pic>
    <xdr:clientData/>
  </xdr:twoCellAnchor>
  <xdr:twoCellAnchor editAs="oneCell">
    <xdr:from>
      <xdr:col>1</xdr:col>
      <xdr:colOff>25400</xdr:colOff>
      <xdr:row>102</xdr:row>
      <xdr:rowOff>25399</xdr:rowOff>
    </xdr:from>
    <xdr:to>
      <xdr:col>1</xdr:col>
      <xdr:colOff>604520</xdr:colOff>
      <xdr:row>102</xdr:row>
      <xdr:rowOff>406399</xdr:rowOff>
    </xdr:to>
    <xdr:pic>
      <xdr:nvPicPr>
        <xdr:cNvPr id="203" name="Subgraph-UC1AiSUpj6PqL13yeNOyJ20A">
          <a:extLst>
            <a:ext uri="{FF2B5EF4-FFF2-40B4-BE49-F238E27FC236}">
              <a16:creationId xmlns:a16="http://schemas.microsoft.com/office/drawing/2014/main" id="{D64A6476-03DD-4731-A22C-3A7CCFDDCDAF}"/>
            </a:ext>
          </a:extLst>
        </xdr:cNvPr>
        <xdr:cNvPicPr>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2021840" y="43261279"/>
          <a:ext cx="579120" cy="381000"/>
        </a:xfrm>
        <a:prstGeom prst="rect">
          <a:avLst/>
        </a:prstGeom>
      </xdr:spPr>
    </xdr:pic>
    <xdr:clientData/>
  </xdr:twoCellAnchor>
  <xdr:twoCellAnchor editAs="oneCell">
    <xdr:from>
      <xdr:col>1</xdr:col>
      <xdr:colOff>25400</xdr:colOff>
      <xdr:row>103</xdr:row>
      <xdr:rowOff>25400</xdr:rowOff>
    </xdr:from>
    <xdr:to>
      <xdr:col>1</xdr:col>
      <xdr:colOff>604520</xdr:colOff>
      <xdr:row>103</xdr:row>
      <xdr:rowOff>406400</xdr:rowOff>
    </xdr:to>
    <xdr:pic>
      <xdr:nvPicPr>
        <xdr:cNvPr id="205" name="Subgraph-UCLnhmTzipDj9_T6faNqSI_Q">
          <a:extLst>
            <a:ext uri="{FF2B5EF4-FFF2-40B4-BE49-F238E27FC236}">
              <a16:creationId xmlns:a16="http://schemas.microsoft.com/office/drawing/2014/main" id="{3383FA49-0BD5-4252-9848-1C3F38AD6A9E}"/>
            </a:ext>
          </a:extLst>
        </xdr:cNvPr>
        <xdr:cNvPicPr>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021840" y="43688000"/>
          <a:ext cx="579120" cy="381000"/>
        </a:xfrm>
        <a:prstGeom prst="rect">
          <a:avLst/>
        </a:prstGeom>
      </xdr:spPr>
    </xdr:pic>
    <xdr:clientData/>
  </xdr:twoCellAnchor>
  <xdr:twoCellAnchor editAs="oneCell">
    <xdr:from>
      <xdr:col>1</xdr:col>
      <xdr:colOff>25400</xdr:colOff>
      <xdr:row>104</xdr:row>
      <xdr:rowOff>25401</xdr:rowOff>
    </xdr:from>
    <xdr:to>
      <xdr:col>1</xdr:col>
      <xdr:colOff>604520</xdr:colOff>
      <xdr:row>104</xdr:row>
      <xdr:rowOff>406401</xdr:rowOff>
    </xdr:to>
    <xdr:pic>
      <xdr:nvPicPr>
        <xdr:cNvPr id="207" name="Subgraph-UC43esGt-pzMi7_SYS-jvNVg">
          <a:extLst>
            <a:ext uri="{FF2B5EF4-FFF2-40B4-BE49-F238E27FC236}">
              <a16:creationId xmlns:a16="http://schemas.microsoft.com/office/drawing/2014/main" id="{81A9341B-49C4-43AC-AB04-B44E070F13C9}"/>
            </a:ext>
          </a:extLst>
        </xdr:cNvPr>
        <xdr:cNvPicPr>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2021840" y="44114721"/>
          <a:ext cx="579120"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58</xdr:row>
      <xdr:rowOff>38100</xdr:rowOff>
    </xdr:from>
    <xdr:to>
      <xdr:col>1</xdr:col>
      <xdr:colOff>918209</xdr:colOff>
      <xdr:row>65</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72</xdr:row>
      <xdr:rowOff>38100</xdr:rowOff>
    </xdr:from>
    <xdr:to>
      <xdr:col>1</xdr:col>
      <xdr:colOff>918209</xdr:colOff>
      <xdr:row>79</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86</xdr:row>
      <xdr:rowOff>28575</xdr:rowOff>
    </xdr:from>
    <xdr:to>
      <xdr:col>1</xdr:col>
      <xdr:colOff>918209</xdr:colOff>
      <xdr:row>93</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9525</xdr:rowOff>
    </xdr:from>
    <xdr:to>
      <xdr:col>1</xdr:col>
      <xdr:colOff>918210</xdr:colOff>
      <xdr:row>107</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114</xdr:row>
      <xdr:rowOff>19050</xdr:rowOff>
    </xdr:from>
    <xdr:to>
      <xdr:col>2</xdr:col>
      <xdr:colOff>0</xdr:colOff>
      <xdr:row>121</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128</xdr:row>
      <xdr:rowOff>19050</xdr:rowOff>
    </xdr:from>
    <xdr:to>
      <xdr:col>1</xdr:col>
      <xdr:colOff>918210</xdr:colOff>
      <xdr:row>135</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156</xdr:row>
      <xdr:rowOff>9525</xdr:rowOff>
    </xdr:from>
    <xdr:to>
      <xdr:col>1</xdr:col>
      <xdr:colOff>918210</xdr:colOff>
      <xdr:row>163</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142</xdr:row>
      <xdr:rowOff>0</xdr:rowOff>
    </xdr:from>
    <xdr:to>
      <xdr:col>1</xdr:col>
      <xdr:colOff>918210</xdr:colOff>
      <xdr:row>149</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R147" totalsRowShown="0" headerRowDxfId="152" dataDxfId="92">
  <autoFilter ref="A2:R147" xr:uid="{00000000-0009-0000-0100-000001000000}"/>
  <tableColumns count="18">
    <tableColumn id="1" xr3:uid="{00000000-0010-0000-0000-000001000000}" name="Vertex 1" dataDxfId="75" dataCellStyle="NodeXL Required"/>
    <tableColumn id="2" xr3:uid="{00000000-0010-0000-0000-000002000000}" name="Vertex 2" dataDxfId="73" dataCellStyle="NodeXL Required"/>
    <tableColumn id="3" xr3:uid="{00000000-0010-0000-0000-000003000000}" name="Color" dataDxfId="74" dataCellStyle="NodeXL Visual Property"/>
    <tableColumn id="4" xr3:uid="{00000000-0010-0000-0000-000004000000}" name="Width" dataDxfId="102" dataCellStyle="NodeXL Visual Property"/>
    <tableColumn id="11" xr3:uid="{00000000-0010-0000-0000-00000B000000}" name="Style" dataDxfId="101" dataCellStyle="NodeXL Visual Property"/>
    <tableColumn id="5" xr3:uid="{00000000-0010-0000-0000-000005000000}" name="Opacity" dataDxfId="100" dataCellStyle="NodeXL Visual Property"/>
    <tableColumn id="6" xr3:uid="{00000000-0010-0000-0000-000006000000}" name="Visibility" dataDxfId="99" dataCellStyle="NodeXL Visual Property"/>
    <tableColumn id="10" xr3:uid="{00000000-0010-0000-0000-00000A000000}" name="Label" dataDxfId="98" dataCellStyle="NodeXL Label"/>
    <tableColumn id="12" xr3:uid="{00000000-0010-0000-0000-00000C000000}" name="Label Text Color" dataDxfId="97" dataCellStyle="NodeXL Label"/>
    <tableColumn id="13" xr3:uid="{00000000-0010-0000-0000-00000D000000}" name="Label Font Size" dataDxfId="96" dataCellStyle="NodeXL Label"/>
    <tableColumn id="14" xr3:uid="{00000000-0010-0000-0000-00000E000000}" name="Reciprocated?" dataDxfId="95" dataCellStyle="NodeXL Graph Metric"/>
    <tableColumn id="7" xr3:uid="{00000000-0010-0000-0000-000007000000}" name="ID" dataDxfId="94" dataCellStyle="NodeXL Do Not Edit"/>
    <tableColumn id="9" xr3:uid="{00000000-0010-0000-0000-000009000000}" name="Dynamic Filter" dataDxfId="93" dataCellStyle="NodeXL Do Not Edit"/>
    <tableColumn id="8" xr3:uid="{00000000-0010-0000-0000-000008000000}" name="Add Your Own Columns Here" dataDxfId="72" dataCellStyle="NodeXL Other Column"/>
    <tableColumn id="15" xr3:uid="{72032D9A-0F31-4D76-B2F7-C5EF93DFF48E}" name="Relationship" dataDxfId="71" dataCellStyle="Normal"/>
    <tableColumn id="16" xr3:uid="{5130EE3B-5679-4448-B487-D2468B2F248A}" name="Subscribed At" dataDxfId="70" dataCellStyle="Normal"/>
    <tableColumn id="17" xr3:uid="{78181AB3-5AED-484C-8CC8-4190A6B1EA27}" name="Total Items Count" dataDxfId="69" dataCellStyle="Normal"/>
    <tableColumn id="18" xr3:uid="{540ED9CF-B9DE-43B5-9534-6758EE15FCBE}" name="New Items Count" dataDxfId="68"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03">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B0A7DFB-1C46-4AA1-82F1-C82CB9C09D76}" name="ExportOptions" displayName="ExportOptions" ref="A1:B7" totalsRowShown="0" headerRowDxfId="57" dataDxfId="56" dataCellStyle="Normal">
  <autoFilter ref="A1:B7" xr:uid="{3B0A7DFB-1C46-4AA1-82F1-C82CB9C09D76}"/>
  <tableColumns count="2">
    <tableColumn id="1" xr3:uid="{FA8C3E9F-86F1-4BF0-8D1C-F8A6441EBB3A}" name="Key" dataDxfId="25" dataCellStyle="Normal"/>
    <tableColumn id="2" xr3:uid="{9397E750-19FB-4FFB-87A6-124C67051E25}" name="Value" dataDxfId="24" dataCellStyle="Normal"/>
  </tableColumns>
  <tableStyleInfo name="NodeX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BD9DA6D-CDF4-4C06-9338-433A4181298D}" name="NetworkTopItems_1" displayName="NetworkTopItems_1" ref="A1:B2" totalsRowShown="0" headerRowDxfId="48" dataDxfId="47" dataCellStyle="Normal">
  <autoFilter ref="A1:B2" xr:uid="{9BD9DA6D-CDF4-4C06-9338-433A4181298D}"/>
  <tableColumns count="2">
    <tableColumn id="1" xr3:uid="{EC7F37D6-D6F6-43B0-A51C-874C764C7416}" name="Top URLs in Tweet in Entire Graph" dataDxfId="46" dataCellStyle="Normal"/>
    <tableColumn id="2" xr3:uid="{AE42F81F-8F3F-4739-BE35-EAB99C44EB3D}" name="Entire Graph Count" dataDxfId="45" dataCellStyle="Normal"/>
  </tableColumns>
  <tableStyleInfo name="NodeXL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85C1864-554D-4FE0-BF55-8D3ACFA85A04}" name="NetworkTopItems_2" displayName="NetworkTopItems_2" ref="A4:B5" totalsRowShown="0" headerRowDxfId="43" dataDxfId="42" dataCellStyle="Normal">
  <autoFilter ref="A4:B5" xr:uid="{085C1864-554D-4FE0-BF55-8D3ACFA85A04}"/>
  <tableColumns count="2">
    <tableColumn id="1" xr3:uid="{224C6854-E81C-4DA4-8C1F-D96F486BFA9A}" name="Top Words in Tweet in Entire Graph" dataDxfId="41" dataCellStyle="Normal"/>
    <tableColumn id="2" xr3:uid="{AEBA8BF8-84A3-4C9E-A391-C1CFD71961A3}" name="Entire Graph Count" dataDxfId="40" dataCellStyle="Normal"/>
  </tableColumns>
  <tableStyleInfo name="NodeX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D882A1-F499-4530-80E0-30C78A2DD233}" name="NetworkTopItems_3" displayName="NetworkTopItems_3" ref="A7:B8" totalsRowShown="0" headerRowDxfId="38" dataDxfId="37" dataCellStyle="Normal">
  <autoFilter ref="A7:B8" xr:uid="{52D882A1-F499-4530-80E0-30C78A2DD233}"/>
  <tableColumns count="2">
    <tableColumn id="1" xr3:uid="{1327A4DB-59C3-44CC-A776-4D4852924FF1}" name="Top Word Pairs in Tweet in Entire Graph" dataDxfId="36" dataCellStyle="Normal"/>
    <tableColumn id="2" xr3:uid="{6FFD484C-7E04-40FE-9481-36AF5ADE8D77}" name="Entire Graph Count" dataDxfId="35" dataCellStyle="Normal"/>
  </tableColumns>
  <tableStyleInfo name="NodeX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6D6B6EB-F02B-418B-87A9-033FB7C19347}" name="TopItems_1" displayName="TopItems_1" ref="A1:B11" totalsRowShown="0" headerRowDxfId="23" dataDxfId="22" dataCellStyle="Normal">
  <autoFilter ref="A1:B11" xr:uid="{46D6B6EB-F02B-418B-87A9-033FB7C19347}"/>
  <tableColumns count="2">
    <tableColumn id="1" xr3:uid="{DDF9346D-5BB4-4E37-833C-4EF770AD1185}" name="Top 10 Vertices, Ranked by In-Degree" dataDxfId="21" dataCellStyle="Normal"/>
    <tableColumn id="2" xr3:uid="{F8ED1EDA-F88C-4913-9073-360BEDDBD01F}" name="In-Degree" dataDxfId="20" dataCellStyle="Normal"/>
  </tableColumns>
  <tableStyleInfo name="NodeX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95B06BF-7A09-4BEC-A87A-DFFB20A3F805}" name="TopItems_2" displayName="TopItems_2" ref="A14:B24" totalsRowShown="0" headerRowDxfId="19" dataDxfId="18" dataCellStyle="Normal">
  <autoFilter ref="A14:B24" xr:uid="{A95B06BF-7A09-4BEC-A87A-DFFB20A3F805}"/>
  <tableColumns count="2">
    <tableColumn id="1" xr3:uid="{3128799C-D255-448D-AD13-B0C02CC67CFC}" name="Top 10 Vertices, Ranked by Out-Degree" dataDxfId="17" dataCellStyle="Normal"/>
    <tableColumn id="2" xr3:uid="{7D716E8B-1EDF-4D38-9A19-E55F9D69FCA5}" name="Out-Degree" dataDxfId="16" dataCellStyle="Normal"/>
  </tableColumns>
  <tableStyleInfo name="NodeX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AFF65B2-A98F-4D33-8ADF-E4B2B41D5001}" name="TopItems_3" displayName="TopItems_3" ref="A27:B37" totalsRowShown="0" headerRowDxfId="15" dataDxfId="14" dataCellStyle="Normal">
  <autoFilter ref="A27:B37" xr:uid="{6AFF65B2-A98F-4D33-8ADF-E4B2B41D5001}"/>
  <tableColumns count="2">
    <tableColumn id="1" xr3:uid="{4BDEC659-892E-45CB-A4D9-E120FF6A05CD}" name="Top 10 Vertices, Ranked by Eigenvector Centrality" dataDxfId="13" dataCellStyle="Normal"/>
    <tableColumn id="2" xr3:uid="{ECAE4864-D304-43BD-9F17-AC712BCE7CCA}" name="Eigenvector Centrality" dataDxfId="12" dataCellStyle="Normal"/>
  </tableColumns>
  <tableStyleInfo name="NodeX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0E8F816-BA9E-4C56-B23C-D10D82D424FF}" name="TopItems_4" displayName="TopItems_4" ref="A40:B50" totalsRowShown="0" headerRowDxfId="11" dataDxfId="10" dataCellStyle="Normal">
  <autoFilter ref="A40:B50" xr:uid="{F0E8F816-BA9E-4C56-B23C-D10D82D424FF}"/>
  <tableColumns count="2">
    <tableColumn id="1" xr3:uid="{7DFF5FAC-48C9-488D-800B-032B21F75261}" name="Top 10 Vertices, Ranked by Betweenness Centrality" dataDxfId="9" dataCellStyle="Normal"/>
    <tableColumn id="2" xr3:uid="{EF84E6F5-BAA1-47AC-AA8E-977DC53AD57A}" name="Betweenness Centrality" dataDxfId="8" dataCellStyle="Normal"/>
  </tableColumns>
  <tableStyleInfo name="NodeXL Tab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195BB71-CFEA-455A-AF07-562A7A9BD25C}" name="TopItems_5" displayName="TopItems_5" ref="A53:B54" totalsRowShown="0" headerRowDxfId="7" dataDxfId="6" dataCellStyle="Normal">
  <autoFilter ref="A53:B54" xr:uid="{4195BB71-CFEA-455A-AF07-562A7A9BD25C}"/>
  <tableColumns count="2">
    <tableColumn id="1" xr3:uid="{FF74DDFE-FF7B-4B85-BA68-42248AE9D8FC}" name="Top 10 Vertices, Ranked by PageRank" dataDxfId="5" dataCellStyle="Normal"/>
    <tableColumn id="2" xr3:uid="{0753BBA6-747E-46E3-811A-C55E8989EF31}" name="PageRank" dataDxfId="4"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N105" totalsRowShown="0" headerRowDxfId="151" dataDxfId="76">
  <autoFilter ref="A2:AN105" xr:uid="{00000000-0009-0000-0100-000002000000}"/>
  <tableColumns count="40">
    <tableColumn id="1" xr3:uid="{00000000-0010-0000-0100-000001000000}" name="Vertex" dataDxfId="91" dataCellStyle="NodeXL Required"/>
    <tableColumn id="40" xr3:uid="{F3979455-1F83-4391-9AE7-6768D3AC4FF0}" name="Subgraph" dataCellStyle="Normal"/>
    <tableColumn id="2" xr3:uid="{00000000-0010-0000-0100-000002000000}" name="Color" dataDxfId="90" dataCellStyle="NodeXL Visual Property"/>
    <tableColumn id="5" xr3:uid="{00000000-0010-0000-0100-000005000000}" name="Shape" dataDxfId="89" dataCellStyle="NodeXL Visual Property"/>
    <tableColumn id="6" xr3:uid="{00000000-0010-0000-0100-000006000000}" name="Size" dataDxfId="88" dataCellStyle="NodeXL Visual Property"/>
    <tableColumn id="4" xr3:uid="{00000000-0010-0000-0100-000004000000}" name="Opacity" dataDxfId="65" dataCellStyle="NodeXL Visual Property"/>
    <tableColumn id="7" xr3:uid="{00000000-0010-0000-0100-000007000000}" name="Image File" dataDxfId="63" dataCellStyle="NodeXL Visual Property"/>
    <tableColumn id="3" xr3:uid="{00000000-0010-0000-0100-000003000000}" name="Visibility" dataDxfId="64" dataCellStyle="NodeXL Visual Property"/>
    <tableColumn id="10" xr3:uid="{00000000-0010-0000-0100-00000A000000}" name="Label" dataDxfId="87" dataCellStyle="NodeXL Label"/>
    <tableColumn id="16" xr3:uid="{00000000-0010-0000-0100-000010000000}" name="Label Fill Color" dataDxfId="86" dataCellStyle="NodeXL Label"/>
    <tableColumn id="9" xr3:uid="{00000000-0010-0000-0100-000009000000}" name="Label Position" dataDxfId="60" dataCellStyle="NodeXL Label"/>
    <tableColumn id="8" xr3:uid="{00000000-0010-0000-0100-000008000000}" name="Tooltip" dataDxfId="58" dataCellStyle="NodeXL Label"/>
    <tableColumn id="18" xr3:uid="{00000000-0010-0000-0100-000012000000}" name="Layout Order" dataDxfId="59" dataCellStyle="NodeXL Layout"/>
    <tableColumn id="13" xr3:uid="{00000000-0010-0000-0100-00000D000000}" name="X" dataDxfId="85" dataCellStyle="NodeXL Layout"/>
    <tableColumn id="14" xr3:uid="{00000000-0010-0000-0100-00000E000000}" name="Y" dataDxfId="84" dataCellStyle="NodeXL Layout"/>
    <tableColumn id="12" xr3:uid="{00000000-0010-0000-0100-00000C000000}" name="Locked?" dataDxfId="83" dataCellStyle="NodeXL Layout"/>
    <tableColumn id="19" xr3:uid="{00000000-0010-0000-0100-000013000000}" name="Polar R" dataDxfId="82" dataCellStyle="NodeXL Layout"/>
    <tableColumn id="20" xr3:uid="{00000000-0010-0000-0100-000014000000}" name="Polar Angle" dataDxfId="81" dataCellStyle="NodeXL Layout"/>
    <tableColumn id="21" xr3:uid="{00000000-0010-0000-0100-000015000000}" name="Degree" dataDxfId="52" dataCellStyle="NodeXL Graph Metric"/>
    <tableColumn id="22" xr3:uid="{00000000-0010-0000-0100-000016000000}" name="In-Degree" dataDxfId="51" dataCellStyle="NodeXL Graph Metric"/>
    <tableColumn id="23" xr3:uid="{00000000-0010-0000-0100-000017000000}" name="Out-Degree" dataDxfId="49" dataCellStyle="NodeXL Graph Metric"/>
    <tableColumn id="24" xr3:uid="{00000000-0010-0000-0100-000018000000}" name="Betweenness Centrality" dataDxfId="50" dataCellStyle="NodeXL Graph Metric"/>
    <tableColumn id="25" xr3:uid="{00000000-0010-0000-0100-000019000000}" name="Closeness Centrality" dataDxfId="53" dataCellStyle="NodeXL Graph Metric"/>
    <tableColumn id="26" xr3:uid="{00000000-0010-0000-0100-00001A000000}" name="Eigenvector Centrality" dataDxfId="54" dataCellStyle="NodeXL Graph Metric"/>
    <tableColumn id="15" xr3:uid="{00000000-0010-0000-0100-00000F000000}" name="PageRank" dataDxfId="55" dataCellStyle="NodeXL Graph Metric"/>
    <tableColumn id="27" xr3:uid="{00000000-0010-0000-0100-00001B000000}" name="Clustering Coefficient" dataDxfId="80" dataCellStyle="NodeXL Graph Metric"/>
    <tableColumn id="29" xr3:uid="{00000000-0010-0000-0100-00001D000000}" name="Reciprocated Vertex Pair Ratio" dataDxfId="79" dataCellStyle="NodeXL Graph Metric"/>
    <tableColumn id="11" xr3:uid="{00000000-0010-0000-0100-00000B000000}" name="ID" dataDxfId="78" dataCellStyle="NodeXL Do Not Edit"/>
    <tableColumn id="28" xr3:uid="{00000000-0010-0000-0100-00001C000000}" name="Dynamic Filter" dataDxfId="77" dataCellStyle="NodeXL Do Not Edit"/>
    <tableColumn id="17" xr3:uid="{00000000-0010-0000-0100-000011000000}" name="Add Your Own Columns Here" dataDxfId="67" dataCellStyle="NodeXL Other Column"/>
    <tableColumn id="30" xr3:uid="{38E473E1-9148-4AE2-94DE-1FA1665B53AC}" name="Custom Menu Item Text" dataDxfId="66" dataCellStyle="Normal"/>
    <tableColumn id="31" xr3:uid="{785765ED-E2A5-4229-BBEB-294E2C3CAAB8}" name="Custom Menu Item Action" dataDxfId="62" dataCellStyle="Normal"/>
    <tableColumn id="32" xr3:uid="{9EDB079D-FBE5-4A7A-A798-C3FD0C489D30}" name="Title" dataDxfId="61" dataCellStyle="Normal"/>
    <tableColumn id="33" xr3:uid="{6FE5F7A0-2112-44FE-A327-20598DCB7871}" name="Description" dataDxfId="32" dataCellStyle="Normal"/>
    <tableColumn id="34" xr3:uid="{A9FED7A9-A045-4896-8411-C6A8A5D05DEF}" name="URLs in Tweet by Count" dataDxfId="31" dataCellStyle="NodeXL Graph Metric"/>
    <tableColumn id="35" xr3:uid="{877E1CA6-2239-45C3-8385-DD4F75B563EB}" name="URLs in Tweet by Salience" dataDxfId="30" dataCellStyle="NodeXL Graph Metric"/>
    <tableColumn id="36" xr3:uid="{68717A07-8574-4BA8-AD7B-182DFD6BA77B}" name="Top Words in Tweet by Count" dataDxfId="29" dataCellStyle="NodeXL Graph Metric"/>
    <tableColumn id="37" xr3:uid="{091F23DD-F840-4533-99C8-3F9AE5ED5803}" name="Top Words in Tweet by Salience" dataDxfId="28" dataCellStyle="NodeXL Graph Metric"/>
    <tableColumn id="38" xr3:uid="{DB395AD8-3910-4954-B225-997613FD4E3F}" name="Top Word Pairs in Tweet by Count" dataDxfId="27" dataCellStyle="NodeXL Graph Metric"/>
    <tableColumn id="39" xr3:uid="{D4D23224-6658-4CD9-86D9-82728086E654}" name="Top Word Pairs in Tweet by Salience" dataDxfId="26" dataCellStyle="NodeXL Graph Metric"/>
  </tableColumns>
  <tableStyleInfo name="NodeXL Tab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4712ADA-31F8-402E-A81F-9013C8698357}" name="TopItems_6" displayName="TopItems_6" ref="A56:B57" totalsRowShown="0" headerRowDxfId="3" dataDxfId="2" dataCellStyle="Normal">
  <autoFilter ref="A56:B57" xr:uid="{94712ADA-31F8-402E-A81F-9013C8698357}"/>
  <tableColumns count="2">
    <tableColumn id="1" xr3:uid="{52032EE5-908B-4D57-A6D1-DE294FCA44FC}" name="Top 10 Vertices, Ranked by Description" dataDxfId="1" dataCellStyle="Normal"/>
    <tableColumn id="2" xr3:uid="{04F87DD9-5EDB-4EAC-8101-A7A1132D6FDF}" name="Description" dataDxfId="0" dataCellStyle="Normal"/>
  </tableColumns>
  <tableStyleInfo name="NodeXL 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AA3" insertRow="1" totalsRowShown="0" headerRowDxfId="150">
  <autoFilter ref="A2:AA3" xr:uid="{00000000-0009-0000-0100-000004000000}"/>
  <tableColumns count="27">
    <tableColumn id="1" xr3:uid="{00000000-0010-0000-0200-000001000000}" name="Group" dataDxfId="149" dataCellStyle="NodeXL Required"/>
    <tableColumn id="2" xr3:uid="{00000000-0010-0000-0200-000002000000}" name="Vertex Color" dataDxfId="148" dataCellStyle="NodeXL Visual Property"/>
    <tableColumn id="3" xr3:uid="{00000000-0010-0000-0200-000003000000}" name="Vertex Shape" dataDxfId="147" dataCellStyle="NodeXL Visual Property"/>
    <tableColumn id="22" xr3:uid="{00000000-0010-0000-0200-000016000000}" name="Visibility" dataDxfId="146" dataCellStyle="NodeXL Visual Property"/>
    <tableColumn id="4" xr3:uid="{00000000-0010-0000-0200-000004000000}" name="Collapsed?" dataCellStyle="NodeXL Visual Property"/>
    <tableColumn id="18" xr3:uid="{00000000-0010-0000-0200-000012000000}" name="Label" dataDxfId="145"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44" dataCellStyle="NodeXL Do Not Edit"/>
    <tableColumn id="19" xr3:uid="{00000000-0010-0000-0200-000013000000}" name="Collapsed Properties" dataDxfId="143" dataCellStyle="NodeXL Do Not Edit"/>
    <tableColumn id="5" xr3:uid="{00000000-0010-0000-0200-000005000000}" name="Vertices" dataDxfId="142" dataCellStyle="NodeXL Graph Metric"/>
    <tableColumn id="7" xr3:uid="{00000000-0010-0000-0200-000007000000}" name="Unique Edges" dataDxfId="141" dataCellStyle="NodeXL Graph Metric"/>
    <tableColumn id="8" xr3:uid="{00000000-0010-0000-0200-000008000000}" name="Edges With Duplicates" dataDxfId="140" dataCellStyle="NodeXL Graph Metric"/>
    <tableColumn id="9" xr3:uid="{00000000-0010-0000-0200-000009000000}" name="Total Edges" dataDxfId="139" dataCellStyle="NodeXL Graph Metric"/>
    <tableColumn id="10" xr3:uid="{00000000-0010-0000-0200-00000A000000}" name="Self-Loops" dataDxfId="138" dataCellStyle="NodeXL Graph Metric"/>
    <tableColumn id="24" xr3:uid="{00000000-0010-0000-0200-000018000000}" name="Reciprocated Vertex Pair Ratio" dataDxfId="137" dataCellStyle="NodeXL Graph Metric"/>
    <tableColumn id="25" xr3:uid="{00000000-0010-0000-0200-000019000000}" name="Reciprocated Edge Ratio" dataDxfId="136" dataCellStyle="NodeXL Graph Metric"/>
    <tableColumn id="11" xr3:uid="{00000000-0010-0000-0200-00000B000000}" name="Connected Components" dataDxfId="135" dataCellStyle="NodeXL Graph Metric"/>
    <tableColumn id="12" xr3:uid="{00000000-0010-0000-0200-00000C000000}" name="Single-Vertex Connected Components" dataDxfId="134" dataCellStyle="NodeXL Graph Metric"/>
    <tableColumn id="13" xr3:uid="{00000000-0010-0000-0200-00000D000000}" name="Maximum Vertices in a Connected Component" dataDxfId="133" dataCellStyle="NodeXL Graph Metric"/>
    <tableColumn id="14" xr3:uid="{00000000-0010-0000-0200-00000E000000}" name="Maximum Edges in a Connected Component" dataDxfId="132" dataCellStyle="NodeXL Graph Metric"/>
    <tableColumn id="15" xr3:uid="{00000000-0010-0000-0200-00000F000000}" name="Maximum Geodesic Distance (Diameter)" dataDxfId="131" dataCellStyle="NodeXL Graph Metric"/>
    <tableColumn id="16" xr3:uid="{00000000-0010-0000-0200-000010000000}" name="Average Geodesic Distance" dataDxfId="130" dataCellStyle="NodeXL Graph Metric"/>
    <tableColumn id="17" xr3:uid="{00000000-0010-0000-0200-000011000000}" name="Graph Density" dataDxfId="44" dataCellStyle="NodeXL Graph Metric"/>
    <tableColumn id="23" xr3:uid="{6F883C6C-8196-4F1A-B38A-BECE86673085}" name="Top URLs in Tweet" dataDxfId="39" dataCellStyle="Normal"/>
    <tableColumn id="26" xr3:uid="{00E5323F-B832-4A37-A57F-FC6DFEE294C2}" name="Top Words in Tweet" dataDxfId="34" dataCellStyle="Normal"/>
    <tableColumn id="27" xr3:uid="{1A70CD44-0E0B-4DB8-9125-5C881FC9B441}" name="Top Word Pairs in Tweet" dataDxfId="33" dataCellStyle="Normal"/>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129" dataDxfId="128">
  <autoFilter ref="A1:C2" xr:uid="{00000000-0009-0000-0100-000005000000}"/>
  <tableColumns count="3">
    <tableColumn id="1" xr3:uid="{00000000-0010-0000-0300-000001000000}" name="Group" dataDxfId="127"/>
    <tableColumn id="2" xr3:uid="{00000000-0010-0000-0300-000002000000}" name="Vertex" dataDxfId="126"/>
    <tableColumn id="3" xr3:uid="{00000000-0010-0000-0300-000003000000}" name="Vertex ID" dataDxfId="12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124" dataCellStyle="NodeXL Graph Metric"/>
    <tableColumn id="2" xr3:uid="{00000000-0010-0000-0400-000002000000}" name="Value" dataDxfId="123"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22"/>
    <tableColumn id="2" xr3:uid="{00000000-0010-0000-0500-000002000000}" name="Degree Frequency" dataDxfId="121">
      <calculatedColumnFormula>COUNTIF(Vertices[Degree], "&gt;= " &amp; D2) - COUNTIF(Vertices[Degree], "&gt;=" &amp; D3)</calculatedColumnFormula>
    </tableColumn>
    <tableColumn id="3" xr3:uid="{00000000-0010-0000-0500-000003000000}" name="In-Degree Bin" dataDxfId="120"/>
    <tableColumn id="4" xr3:uid="{00000000-0010-0000-0500-000004000000}" name="In-Degree Frequency" dataDxfId="119">
      <calculatedColumnFormula>COUNTIF(Vertices[In-Degree], "&gt;= " &amp; F2) - COUNTIF(Vertices[In-Degree], "&gt;=" &amp; F3)</calculatedColumnFormula>
    </tableColumn>
    <tableColumn id="5" xr3:uid="{00000000-0010-0000-0500-000005000000}" name="Out-Degree Bin" dataDxfId="118"/>
    <tableColumn id="6" xr3:uid="{00000000-0010-0000-0500-000006000000}" name="Out-Degree Frequency" dataDxfId="117">
      <calculatedColumnFormula>COUNTIF(Vertices[Out-Degree], "&gt;= " &amp; H2) - COUNTIF(Vertices[Out-Degree], "&gt;=" &amp; H3)</calculatedColumnFormula>
    </tableColumn>
    <tableColumn id="7" xr3:uid="{00000000-0010-0000-0500-000007000000}" name="Betweenness Centrality Bin" dataDxfId="116"/>
    <tableColumn id="8" xr3:uid="{00000000-0010-0000-0500-000008000000}" name="Betweenness Centrality Frequency" dataDxfId="115">
      <calculatedColumnFormula>COUNTIF(Vertices[Betweenness Centrality], "&gt;= " &amp; J2) - COUNTIF(Vertices[Betweenness Centrality], "&gt;=" &amp; J3)</calculatedColumnFormula>
    </tableColumn>
    <tableColumn id="9" xr3:uid="{00000000-0010-0000-0500-000009000000}" name="Closeness Centrality Bin" dataDxfId="114"/>
    <tableColumn id="10" xr3:uid="{00000000-0010-0000-0500-00000A000000}" name="Closeness Centrality Frequency" dataDxfId="113">
      <calculatedColumnFormula>COUNTIF(Vertices[Closeness Centrality], "&gt;= " &amp; L2) - COUNTIF(Vertices[Closeness Centrality], "&gt;=" &amp; L3)</calculatedColumnFormula>
    </tableColumn>
    <tableColumn id="11" xr3:uid="{00000000-0010-0000-0500-00000B000000}" name="Eigenvector Centrality Bin" dataDxfId="112"/>
    <tableColumn id="12" xr3:uid="{00000000-0010-0000-0500-00000C000000}" name="Eigenvector Centrality Frequency" dataDxfId="111">
      <calculatedColumnFormula>COUNTIF(Vertices[Eigenvector Centrality], "&gt;= " &amp; N2) - COUNTIF(Vertices[Eigenvector Centrality], "&gt;=" &amp; N3)</calculatedColumnFormula>
    </tableColumn>
    <tableColumn id="18" xr3:uid="{00000000-0010-0000-0500-000012000000}" name="PageRank Bin" dataDxfId="110"/>
    <tableColumn id="17" xr3:uid="{00000000-0010-0000-0500-000011000000}" name="PageRank Frequency" dataDxfId="109">
      <calculatedColumnFormula>COUNTIF(Vertices[Eigenvector Centrality], "&gt;= " &amp; P2) - COUNTIF(Vertices[Eigenvector Centrality], "&gt;=" &amp; P3)</calculatedColumnFormula>
    </tableColumn>
    <tableColumn id="13" xr3:uid="{00000000-0010-0000-0500-00000D000000}" name="Clustering Coefficient Bin" dataDxfId="108"/>
    <tableColumn id="14" xr3:uid="{00000000-0010-0000-0500-00000E000000}" name="Clustering Coefficient Frequency" dataDxfId="107">
      <calculatedColumnFormula>COUNTIF(Vertices[Clustering Coefficient], "&gt;= " &amp; R2) - COUNTIF(Vertices[Clustering Coefficient], "&gt;=" &amp; R3)</calculatedColumnFormula>
    </tableColumn>
    <tableColumn id="15" xr3:uid="{00000000-0010-0000-0500-00000F000000}" name="Dynamic Filter Bin" dataDxfId="106"/>
    <tableColumn id="16" xr3:uid="{00000000-0010-0000-0500-000010000000}"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3:B54" insertRow="1" totalsRowShown="0" dataCellStyle="NodeXL Graph Metric">
  <autoFilter ref="A53:B54"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22" totalsRowShown="0" headerRowDxfId="104">
  <autoFilter ref="J1:K22"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147"/>
  <sheetViews>
    <sheetView workbookViewId="0">
      <pane xSplit="2" ySplit="2" topLeftCell="C125" activePane="bottomRight" state="frozen"/>
      <selection pane="topRight" activeCell="C1" sqref="C1"/>
      <selection pane="bottomLeft" activeCell="A3" sqref="A3"/>
      <selection pane="bottomRight" activeCell="A103" sqref="A103:R119 A99:R99 A94:R94 A91:R91 A85:R85 A27:R33 A23:R25 A13:R21"/>
    </sheetView>
  </sheetViews>
  <sheetFormatPr defaultRowHeight="14.4" x14ac:dyDescent="0.3"/>
  <cols>
    <col min="1" max="1" width="28.77734375" style="1" bestFit="1" customWidth="1"/>
    <col min="2" max="2" width="29.109375" style="1" bestFit="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customWidth="1"/>
    <col min="12" max="12" width="11" hidden="1" customWidth="1"/>
    <col min="13" max="13" width="10.88671875" hidden="1" customWidth="1"/>
    <col min="14" max="14" width="16" bestFit="1" customWidth="1"/>
    <col min="15" max="15" width="12.21875" bestFit="1" customWidth="1"/>
    <col min="16" max="16" width="12.33203125" bestFit="1" customWidth="1"/>
    <col min="17" max="17" width="12.88671875" bestFit="1" customWidth="1"/>
    <col min="18" max="18" width="12.44140625" bestFit="1" customWidth="1"/>
  </cols>
  <sheetData>
    <row r="1" spans="1:18" x14ac:dyDescent="0.3">
      <c r="C1" s="18" t="s">
        <v>39</v>
      </c>
      <c r="D1" s="19"/>
      <c r="E1" s="19"/>
      <c r="F1" s="19"/>
      <c r="G1" s="18"/>
      <c r="H1" s="16" t="s">
        <v>43</v>
      </c>
      <c r="I1" s="54"/>
      <c r="J1" s="54"/>
      <c r="K1" s="35" t="s">
        <v>42</v>
      </c>
      <c r="L1" s="20" t="s">
        <v>40</v>
      </c>
      <c r="M1" s="20"/>
      <c r="N1" s="17" t="s">
        <v>41</v>
      </c>
    </row>
    <row r="2" spans="1:18" ht="30" customHeight="1" x14ac:dyDescent="0.3">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192</v>
      </c>
      <c r="P2" s="13" t="s">
        <v>193</v>
      </c>
      <c r="Q2" s="13" t="s">
        <v>194</v>
      </c>
      <c r="R2" s="13" t="s">
        <v>195</v>
      </c>
    </row>
    <row r="3" spans="1:18" ht="15" customHeight="1" x14ac:dyDescent="0.3">
      <c r="A3" s="66" t="s">
        <v>196</v>
      </c>
      <c r="B3" s="66" t="s">
        <v>298</v>
      </c>
      <c r="C3" s="67"/>
      <c r="D3" s="68"/>
      <c r="E3" s="69"/>
      <c r="F3" s="70"/>
      <c r="G3" s="67"/>
      <c r="H3" s="71"/>
      <c r="I3" s="72"/>
      <c r="J3" s="72"/>
      <c r="K3" s="36"/>
      <c r="L3" s="73">
        <v>3</v>
      </c>
      <c r="M3" s="73"/>
      <c r="N3" s="74"/>
      <c r="O3" s="80" t="s">
        <v>299</v>
      </c>
      <c r="P3" s="82">
        <v>43852.413807870369</v>
      </c>
      <c r="Q3" s="80">
        <v>315</v>
      </c>
      <c r="R3" s="80">
        <v>0</v>
      </c>
    </row>
    <row r="4" spans="1:18" ht="15" customHeight="1" x14ac:dyDescent="0.3">
      <c r="A4" s="66" t="s">
        <v>196</v>
      </c>
      <c r="B4" s="66" t="s">
        <v>204</v>
      </c>
      <c r="C4" s="67"/>
      <c r="D4" s="68"/>
      <c r="E4" s="69"/>
      <c r="F4" s="70"/>
      <c r="G4" s="67"/>
      <c r="H4" s="71"/>
      <c r="I4" s="72"/>
      <c r="J4" s="72"/>
      <c r="K4" s="36"/>
      <c r="L4" s="79">
        <v>4</v>
      </c>
      <c r="M4" s="79"/>
      <c r="N4" s="74"/>
      <c r="O4" s="81" t="s">
        <v>299</v>
      </c>
      <c r="P4" s="83">
        <v>39645.797291666669</v>
      </c>
      <c r="Q4" s="81">
        <v>0</v>
      </c>
      <c r="R4" s="81">
        <v>0</v>
      </c>
    </row>
    <row r="5" spans="1:18" x14ac:dyDescent="0.3">
      <c r="A5" s="66" t="s">
        <v>196</v>
      </c>
      <c r="B5" s="66" t="s">
        <v>205</v>
      </c>
      <c r="C5" s="67"/>
      <c r="D5" s="68"/>
      <c r="E5" s="69"/>
      <c r="F5" s="70"/>
      <c r="G5" s="67"/>
      <c r="H5" s="71"/>
      <c r="I5" s="72"/>
      <c r="J5" s="72"/>
      <c r="K5" s="36"/>
      <c r="L5" s="79">
        <v>5</v>
      </c>
      <c r="M5" s="79"/>
      <c r="N5" s="74"/>
      <c r="O5" s="81" t="s">
        <v>299</v>
      </c>
      <c r="P5" s="83">
        <v>40477.099826388891</v>
      </c>
      <c r="Q5" s="81">
        <v>245</v>
      </c>
      <c r="R5" s="81">
        <v>0</v>
      </c>
    </row>
    <row r="6" spans="1:18" x14ac:dyDescent="0.3">
      <c r="A6" s="66" t="s">
        <v>197</v>
      </c>
      <c r="B6" s="66" t="s">
        <v>206</v>
      </c>
      <c r="C6" s="67"/>
      <c r="D6" s="68"/>
      <c r="E6" s="69"/>
      <c r="F6" s="70"/>
      <c r="G6" s="67"/>
      <c r="H6" s="71"/>
      <c r="I6" s="72"/>
      <c r="J6" s="72"/>
      <c r="K6" s="36"/>
      <c r="L6" s="79">
        <v>6</v>
      </c>
      <c r="M6" s="79"/>
      <c r="N6" s="74"/>
      <c r="O6" s="81" t="s">
        <v>299</v>
      </c>
      <c r="P6" s="83">
        <v>39847.576458333337</v>
      </c>
      <c r="Q6" s="81">
        <v>42</v>
      </c>
      <c r="R6" s="81">
        <v>0</v>
      </c>
    </row>
    <row r="7" spans="1:18" x14ac:dyDescent="0.3">
      <c r="A7" s="66" t="s">
        <v>197</v>
      </c>
      <c r="B7" s="66" t="s">
        <v>207</v>
      </c>
      <c r="C7" s="67"/>
      <c r="D7" s="68"/>
      <c r="E7" s="69"/>
      <c r="F7" s="70"/>
      <c r="G7" s="67"/>
      <c r="H7" s="71"/>
      <c r="I7" s="72"/>
      <c r="J7" s="72"/>
      <c r="K7" s="36"/>
      <c r="L7" s="79">
        <v>7</v>
      </c>
      <c r="M7" s="79"/>
      <c r="N7" s="74"/>
      <c r="O7" s="81" t="s">
        <v>299</v>
      </c>
      <c r="P7" s="83">
        <v>40043.569791666669</v>
      </c>
      <c r="Q7" s="81">
        <v>2</v>
      </c>
      <c r="R7" s="81">
        <v>0</v>
      </c>
    </row>
    <row r="8" spans="1:18" x14ac:dyDescent="0.3">
      <c r="A8" s="66" t="s">
        <v>197</v>
      </c>
      <c r="B8" s="66" t="s">
        <v>208</v>
      </c>
      <c r="C8" s="67"/>
      <c r="D8" s="68"/>
      <c r="E8" s="69"/>
      <c r="F8" s="70"/>
      <c r="G8" s="67"/>
      <c r="H8" s="71"/>
      <c r="I8" s="72"/>
      <c r="J8" s="72"/>
      <c r="K8" s="36"/>
      <c r="L8" s="79">
        <v>8</v>
      </c>
      <c r="M8" s="79"/>
      <c r="N8" s="74"/>
      <c r="O8" s="81" t="s">
        <v>299</v>
      </c>
      <c r="P8" s="83">
        <v>39855.622557870367</v>
      </c>
      <c r="Q8" s="81">
        <v>140</v>
      </c>
      <c r="R8" s="81">
        <v>0</v>
      </c>
    </row>
    <row r="9" spans="1:18" x14ac:dyDescent="0.3">
      <c r="A9" s="66" t="s">
        <v>197</v>
      </c>
      <c r="B9" s="66" t="s">
        <v>209</v>
      </c>
      <c r="C9" s="67"/>
      <c r="D9" s="68"/>
      <c r="E9" s="69"/>
      <c r="F9" s="70"/>
      <c r="G9" s="67"/>
      <c r="H9" s="71"/>
      <c r="I9" s="72"/>
      <c r="J9" s="72"/>
      <c r="K9" s="36"/>
      <c r="L9" s="79">
        <v>9</v>
      </c>
      <c r="M9" s="79"/>
      <c r="N9" s="74"/>
      <c r="O9" s="81" t="s">
        <v>299</v>
      </c>
      <c r="P9" s="83">
        <v>39997.454236111109</v>
      </c>
      <c r="Q9" s="81">
        <v>1</v>
      </c>
      <c r="R9" s="81">
        <v>0</v>
      </c>
    </row>
    <row r="10" spans="1:18" x14ac:dyDescent="0.3">
      <c r="A10" s="66" t="s">
        <v>197</v>
      </c>
      <c r="B10" s="66" t="s">
        <v>210</v>
      </c>
      <c r="C10" s="67"/>
      <c r="D10" s="68"/>
      <c r="E10" s="69"/>
      <c r="F10" s="70"/>
      <c r="G10" s="67"/>
      <c r="H10" s="71"/>
      <c r="I10" s="72"/>
      <c r="J10" s="72"/>
      <c r="K10" s="36"/>
      <c r="L10" s="79">
        <v>10</v>
      </c>
      <c r="M10" s="79"/>
      <c r="N10" s="74"/>
      <c r="O10" s="81" t="s">
        <v>299</v>
      </c>
      <c r="P10" s="83">
        <v>39997.453923611109</v>
      </c>
      <c r="Q10" s="81">
        <v>10</v>
      </c>
      <c r="R10" s="81">
        <v>0</v>
      </c>
    </row>
    <row r="11" spans="1:18" x14ac:dyDescent="0.3">
      <c r="A11" s="66" t="s">
        <v>197</v>
      </c>
      <c r="B11" s="66" t="s">
        <v>211</v>
      </c>
      <c r="C11" s="67"/>
      <c r="D11" s="68"/>
      <c r="E11" s="69"/>
      <c r="F11" s="70"/>
      <c r="G11" s="67"/>
      <c r="H11" s="71"/>
      <c r="I11" s="72"/>
      <c r="J11" s="72"/>
      <c r="K11" s="36"/>
      <c r="L11" s="79">
        <v>11</v>
      </c>
      <c r="M11" s="79"/>
      <c r="N11" s="74"/>
      <c r="O11" s="81" t="s">
        <v>299</v>
      </c>
      <c r="P11" s="83">
        <v>39997.458726851852</v>
      </c>
      <c r="Q11" s="81">
        <v>75</v>
      </c>
      <c r="R11" s="81">
        <v>0</v>
      </c>
    </row>
    <row r="12" spans="1:18" x14ac:dyDescent="0.3">
      <c r="A12" s="66" t="s">
        <v>197</v>
      </c>
      <c r="B12" s="66" t="s">
        <v>212</v>
      </c>
      <c r="C12" s="67"/>
      <c r="D12" s="68"/>
      <c r="E12" s="69"/>
      <c r="F12" s="70"/>
      <c r="G12" s="67"/>
      <c r="H12" s="71"/>
      <c r="I12" s="72"/>
      <c r="J12" s="72"/>
      <c r="K12" s="36"/>
      <c r="L12" s="79">
        <v>12</v>
      </c>
      <c r="M12" s="79"/>
      <c r="N12" s="74"/>
      <c r="O12" s="81" t="s">
        <v>299</v>
      </c>
      <c r="P12" s="83">
        <v>39773.597916666666</v>
      </c>
      <c r="Q12" s="81">
        <v>91</v>
      </c>
      <c r="R12" s="81">
        <v>0</v>
      </c>
    </row>
    <row r="13" spans="1:18" x14ac:dyDescent="0.3">
      <c r="A13" s="66" t="s">
        <v>198</v>
      </c>
      <c r="B13" s="66" t="s">
        <v>213</v>
      </c>
      <c r="C13" s="67"/>
      <c r="D13" s="68"/>
      <c r="E13" s="69"/>
      <c r="F13" s="70"/>
      <c r="G13" s="67"/>
      <c r="H13" s="71"/>
      <c r="I13" s="72"/>
      <c r="J13" s="72"/>
      <c r="K13" s="36"/>
      <c r="L13" s="79">
        <v>13</v>
      </c>
      <c r="M13" s="79"/>
      <c r="N13" s="74"/>
      <c r="O13" s="81" t="s">
        <v>299</v>
      </c>
      <c r="P13" s="83">
        <v>40884.428148148145</v>
      </c>
      <c r="Q13" s="81">
        <v>13</v>
      </c>
      <c r="R13" s="81">
        <v>0</v>
      </c>
    </row>
    <row r="14" spans="1:18" x14ac:dyDescent="0.3">
      <c r="A14" s="66" t="s">
        <v>198</v>
      </c>
      <c r="B14" s="66" t="s">
        <v>214</v>
      </c>
      <c r="C14" s="67"/>
      <c r="D14" s="68"/>
      <c r="E14" s="69"/>
      <c r="F14" s="70"/>
      <c r="G14" s="67"/>
      <c r="H14" s="71"/>
      <c r="I14" s="72"/>
      <c r="J14" s="72"/>
      <c r="K14" s="36"/>
      <c r="L14" s="79">
        <v>14</v>
      </c>
      <c r="M14" s="79"/>
      <c r="N14" s="74"/>
      <c r="O14" s="81" t="s">
        <v>299</v>
      </c>
      <c r="P14" s="83">
        <v>43760.655648148146</v>
      </c>
      <c r="Q14" s="81">
        <v>18</v>
      </c>
      <c r="R14" s="81">
        <v>0</v>
      </c>
    </row>
    <row r="15" spans="1:18" x14ac:dyDescent="0.3">
      <c r="A15" s="66" t="s">
        <v>198</v>
      </c>
      <c r="B15" s="66" t="s">
        <v>215</v>
      </c>
      <c r="C15" s="67"/>
      <c r="D15" s="68"/>
      <c r="E15" s="69"/>
      <c r="F15" s="70"/>
      <c r="G15" s="67"/>
      <c r="H15" s="71"/>
      <c r="I15" s="72"/>
      <c r="J15" s="72"/>
      <c r="K15" s="36"/>
      <c r="L15" s="79">
        <v>15</v>
      </c>
      <c r="M15" s="79"/>
      <c r="N15" s="74"/>
      <c r="O15" s="81" t="s">
        <v>299</v>
      </c>
      <c r="P15" s="83">
        <v>44480.536898148152</v>
      </c>
      <c r="Q15" s="81">
        <v>10</v>
      </c>
      <c r="R15" s="81">
        <v>0</v>
      </c>
    </row>
    <row r="16" spans="1:18" x14ac:dyDescent="0.3">
      <c r="A16" s="66" t="s">
        <v>198</v>
      </c>
      <c r="B16" s="66" t="s">
        <v>216</v>
      </c>
      <c r="C16" s="67"/>
      <c r="D16" s="68"/>
      <c r="E16" s="69"/>
      <c r="F16" s="70"/>
      <c r="G16" s="67"/>
      <c r="H16" s="71"/>
      <c r="I16" s="72"/>
      <c r="J16" s="72"/>
      <c r="K16" s="36"/>
      <c r="L16" s="79">
        <v>16</v>
      </c>
      <c r="M16" s="79"/>
      <c r="N16" s="74"/>
      <c r="O16" s="81" t="s">
        <v>299</v>
      </c>
      <c r="P16" s="83">
        <v>41673.659537037034</v>
      </c>
      <c r="Q16" s="81">
        <v>37</v>
      </c>
      <c r="R16" s="81">
        <v>0</v>
      </c>
    </row>
    <row r="17" spans="1:18" x14ac:dyDescent="0.3">
      <c r="A17" s="66" t="s">
        <v>198</v>
      </c>
      <c r="B17" s="66" t="s">
        <v>217</v>
      </c>
      <c r="C17" s="67"/>
      <c r="D17" s="68"/>
      <c r="E17" s="69"/>
      <c r="F17" s="70"/>
      <c r="G17" s="67"/>
      <c r="H17" s="71"/>
      <c r="I17" s="72"/>
      <c r="J17" s="72"/>
      <c r="K17" s="36"/>
      <c r="L17" s="79">
        <v>17</v>
      </c>
      <c r="M17" s="79"/>
      <c r="N17" s="74"/>
      <c r="O17" s="81" t="s">
        <v>299</v>
      </c>
      <c r="P17" s="83">
        <v>40429.472708333335</v>
      </c>
      <c r="Q17" s="81">
        <v>13</v>
      </c>
      <c r="R17" s="81">
        <v>0</v>
      </c>
    </row>
    <row r="18" spans="1:18" x14ac:dyDescent="0.3">
      <c r="A18" s="66" t="s">
        <v>198</v>
      </c>
      <c r="B18" s="66" t="s">
        <v>218</v>
      </c>
      <c r="C18" s="67"/>
      <c r="D18" s="68"/>
      <c r="E18" s="69"/>
      <c r="F18" s="70"/>
      <c r="G18" s="67"/>
      <c r="H18" s="71"/>
      <c r="I18" s="72"/>
      <c r="J18" s="72"/>
      <c r="K18" s="36"/>
      <c r="L18" s="79">
        <v>18</v>
      </c>
      <c r="M18" s="79"/>
      <c r="N18" s="74"/>
      <c r="O18" s="81" t="s">
        <v>299</v>
      </c>
      <c r="P18" s="83">
        <v>40235.387187499997</v>
      </c>
      <c r="Q18" s="81">
        <v>13</v>
      </c>
      <c r="R18" s="81">
        <v>0</v>
      </c>
    </row>
    <row r="19" spans="1:18" x14ac:dyDescent="0.3">
      <c r="A19" s="66" t="s">
        <v>198</v>
      </c>
      <c r="B19" s="66" t="s">
        <v>219</v>
      </c>
      <c r="C19" s="67"/>
      <c r="D19" s="68"/>
      <c r="E19" s="69"/>
      <c r="F19" s="70"/>
      <c r="G19" s="67"/>
      <c r="H19" s="71"/>
      <c r="I19" s="72"/>
      <c r="J19" s="72"/>
      <c r="K19" s="36"/>
      <c r="L19" s="79">
        <v>19</v>
      </c>
      <c r="M19" s="79"/>
      <c r="N19" s="74"/>
      <c r="O19" s="81" t="s">
        <v>299</v>
      </c>
      <c r="P19" s="83">
        <v>43761.455613425926</v>
      </c>
      <c r="Q19" s="81">
        <v>10</v>
      </c>
      <c r="R19" s="81">
        <v>0</v>
      </c>
    </row>
    <row r="20" spans="1:18" x14ac:dyDescent="0.3">
      <c r="A20" s="66" t="s">
        <v>198</v>
      </c>
      <c r="B20" s="66" t="s">
        <v>220</v>
      </c>
      <c r="C20" s="67"/>
      <c r="D20" s="68"/>
      <c r="E20" s="69"/>
      <c r="F20" s="70"/>
      <c r="G20" s="67"/>
      <c r="H20" s="71"/>
      <c r="I20" s="72"/>
      <c r="J20" s="72"/>
      <c r="K20" s="36"/>
      <c r="L20" s="79">
        <v>20</v>
      </c>
      <c r="M20" s="79"/>
      <c r="N20" s="74"/>
      <c r="O20" s="81" t="s">
        <v>299</v>
      </c>
      <c r="P20" s="83">
        <v>40127.450381944444</v>
      </c>
      <c r="Q20" s="81">
        <v>11</v>
      </c>
      <c r="R20" s="81">
        <v>0</v>
      </c>
    </row>
    <row r="21" spans="1:18" x14ac:dyDescent="0.3">
      <c r="A21" s="66" t="s">
        <v>198</v>
      </c>
      <c r="B21" s="66" t="s">
        <v>221</v>
      </c>
      <c r="C21" s="67"/>
      <c r="D21" s="68"/>
      <c r="E21" s="69"/>
      <c r="F21" s="70"/>
      <c r="G21" s="67"/>
      <c r="H21" s="71"/>
      <c r="I21" s="72"/>
      <c r="J21" s="72"/>
      <c r="K21" s="36"/>
      <c r="L21" s="79">
        <v>21</v>
      </c>
      <c r="M21" s="79"/>
      <c r="N21" s="74"/>
      <c r="O21" s="81" t="s">
        <v>299</v>
      </c>
      <c r="P21" s="83">
        <v>41885.574548611112</v>
      </c>
      <c r="Q21" s="81">
        <v>12</v>
      </c>
      <c r="R21" s="81">
        <v>0</v>
      </c>
    </row>
    <row r="22" spans="1:18" x14ac:dyDescent="0.3">
      <c r="A22" s="66" t="s">
        <v>197</v>
      </c>
      <c r="B22" s="66" t="s">
        <v>222</v>
      </c>
      <c r="C22" s="67"/>
      <c r="D22" s="68"/>
      <c r="E22" s="69"/>
      <c r="F22" s="70"/>
      <c r="G22" s="67"/>
      <c r="H22" s="71"/>
      <c r="I22" s="72"/>
      <c r="J22" s="72"/>
      <c r="K22" s="36"/>
      <c r="L22" s="79">
        <v>22</v>
      </c>
      <c r="M22" s="79"/>
      <c r="N22" s="74"/>
      <c r="O22" s="81" t="s">
        <v>299</v>
      </c>
      <c r="P22" s="83">
        <v>39847.576180555552</v>
      </c>
      <c r="Q22" s="81">
        <v>239</v>
      </c>
      <c r="R22" s="81">
        <v>0</v>
      </c>
    </row>
    <row r="23" spans="1:18" x14ac:dyDescent="0.3">
      <c r="A23" s="66" t="s">
        <v>198</v>
      </c>
      <c r="B23" s="66" t="s">
        <v>222</v>
      </c>
      <c r="C23" s="67"/>
      <c r="D23" s="68"/>
      <c r="E23" s="69"/>
      <c r="F23" s="70"/>
      <c r="G23" s="67"/>
      <c r="H23" s="71"/>
      <c r="I23" s="72"/>
      <c r="J23" s="72"/>
      <c r="K23" s="36"/>
      <c r="L23" s="79">
        <v>23</v>
      </c>
      <c r="M23" s="79"/>
      <c r="N23" s="74"/>
      <c r="O23" s="81" t="s">
        <v>299</v>
      </c>
      <c r="P23" s="83">
        <v>40658.371608796297</v>
      </c>
      <c r="Q23" s="81">
        <v>239</v>
      </c>
      <c r="R23" s="81">
        <v>0</v>
      </c>
    </row>
    <row r="24" spans="1:18" x14ac:dyDescent="0.3">
      <c r="A24" s="66" t="s">
        <v>198</v>
      </c>
      <c r="B24" s="66" t="s">
        <v>223</v>
      </c>
      <c r="C24" s="67"/>
      <c r="D24" s="68"/>
      <c r="E24" s="69"/>
      <c r="F24" s="70"/>
      <c r="G24" s="67"/>
      <c r="H24" s="71"/>
      <c r="I24" s="72"/>
      <c r="J24" s="72"/>
      <c r="K24" s="36"/>
      <c r="L24" s="79">
        <v>24</v>
      </c>
      <c r="M24" s="79"/>
      <c r="N24" s="74"/>
      <c r="O24" s="81" t="s">
        <v>299</v>
      </c>
      <c r="P24" s="83">
        <v>44175.719155092593</v>
      </c>
      <c r="Q24" s="81">
        <v>1365</v>
      </c>
      <c r="R24" s="81">
        <v>0</v>
      </c>
    </row>
    <row r="25" spans="1:18" x14ac:dyDescent="0.3">
      <c r="A25" s="66" t="s">
        <v>198</v>
      </c>
      <c r="B25" s="66" t="s">
        <v>224</v>
      </c>
      <c r="C25" s="67"/>
      <c r="D25" s="68"/>
      <c r="E25" s="69"/>
      <c r="F25" s="70"/>
      <c r="G25" s="67"/>
      <c r="H25" s="71"/>
      <c r="I25" s="72"/>
      <c r="J25" s="72"/>
      <c r="K25" s="36"/>
      <c r="L25" s="79">
        <v>25</v>
      </c>
      <c r="M25" s="79"/>
      <c r="N25" s="74"/>
      <c r="O25" s="81" t="s">
        <v>299</v>
      </c>
      <c r="P25" s="83">
        <v>44480.535266203704</v>
      </c>
      <c r="Q25" s="81">
        <v>0</v>
      </c>
      <c r="R25" s="81">
        <v>0</v>
      </c>
    </row>
    <row r="26" spans="1:18" x14ac:dyDescent="0.3">
      <c r="A26" s="66" t="s">
        <v>197</v>
      </c>
      <c r="B26" s="66" t="s">
        <v>225</v>
      </c>
      <c r="C26" s="67"/>
      <c r="D26" s="68"/>
      <c r="E26" s="69"/>
      <c r="F26" s="70"/>
      <c r="G26" s="67"/>
      <c r="H26" s="71"/>
      <c r="I26" s="72"/>
      <c r="J26" s="72"/>
      <c r="K26" s="36"/>
      <c r="L26" s="79">
        <v>26</v>
      </c>
      <c r="M26" s="79"/>
      <c r="N26" s="74"/>
      <c r="O26" s="81" t="s">
        <v>299</v>
      </c>
      <c r="P26" s="83">
        <v>39849.615682870368</v>
      </c>
      <c r="Q26" s="81">
        <v>16</v>
      </c>
      <c r="R26" s="81">
        <v>0</v>
      </c>
    </row>
    <row r="27" spans="1:18" x14ac:dyDescent="0.3">
      <c r="A27" s="66" t="s">
        <v>198</v>
      </c>
      <c r="B27" s="66" t="s">
        <v>225</v>
      </c>
      <c r="C27" s="67"/>
      <c r="D27" s="68"/>
      <c r="E27" s="69"/>
      <c r="F27" s="70"/>
      <c r="G27" s="67"/>
      <c r="H27" s="71"/>
      <c r="I27" s="72"/>
      <c r="J27" s="72"/>
      <c r="K27" s="36"/>
      <c r="L27" s="79">
        <v>27</v>
      </c>
      <c r="M27" s="79"/>
      <c r="N27" s="74"/>
      <c r="O27" s="81" t="s">
        <v>299</v>
      </c>
      <c r="P27" s="83">
        <v>40521.651655092595</v>
      </c>
      <c r="Q27" s="81">
        <v>16</v>
      </c>
      <c r="R27" s="81">
        <v>0</v>
      </c>
    </row>
    <row r="28" spans="1:18" x14ac:dyDescent="0.3">
      <c r="A28" s="66" t="s">
        <v>198</v>
      </c>
      <c r="B28" s="66" t="s">
        <v>226</v>
      </c>
      <c r="C28" s="67"/>
      <c r="D28" s="68"/>
      <c r="E28" s="69"/>
      <c r="F28" s="70"/>
      <c r="G28" s="67"/>
      <c r="H28" s="71"/>
      <c r="I28" s="72"/>
      <c r="J28" s="72"/>
      <c r="K28" s="36"/>
      <c r="L28" s="79">
        <v>28</v>
      </c>
      <c r="M28" s="79"/>
      <c r="N28" s="74"/>
      <c r="O28" s="81" t="s">
        <v>299</v>
      </c>
      <c r="P28" s="83">
        <v>40786.462604166663</v>
      </c>
      <c r="Q28" s="81">
        <v>3579</v>
      </c>
      <c r="R28" s="81">
        <v>0</v>
      </c>
    </row>
    <row r="29" spans="1:18" x14ac:dyDescent="0.3">
      <c r="A29" s="66" t="s">
        <v>198</v>
      </c>
      <c r="B29" s="66" t="s">
        <v>227</v>
      </c>
      <c r="C29" s="67"/>
      <c r="D29" s="68"/>
      <c r="E29" s="69"/>
      <c r="F29" s="70"/>
      <c r="G29" s="67"/>
      <c r="H29" s="71"/>
      <c r="I29" s="72"/>
      <c r="J29" s="72"/>
      <c r="K29" s="36"/>
      <c r="L29" s="79">
        <v>29</v>
      </c>
      <c r="M29" s="79"/>
      <c r="N29" s="74"/>
      <c r="O29" s="81" t="s">
        <v>299</v>
      </c>
      <c r="P29" s="83">
        <v>40786.46266203704</v>
      </c>
      <c r="Q29" s="81">
        <v>361</v>
      </c>
      <c r="R29" s="81">
        <v>0</v>
      </c>
    </row>
    <row r="30" spans="1:18" x14ac:dyDescent="0.3">
      <c r="A30" s="66" t="s">
        <v>198</v>
      </c>
      <c r="B30" s="66" t="s">
        <v>228</v>
      </c>
      <c r="C30" s="67"/>
      <c r="D30" s="68"/>
      <c r="E30" s="69"/>
      <c r="F30" s="70"/>
      <c r="G30" s="67"/>
      <c r="H30" s="71"/>
      <c r="I30" s="72"/>
      <c r="J30" s="72"/>
      <c r="K30" s="36"/>
      <c r="L30" s="79">
        <v>30</v>
      </c>
      <c r="M30" s="79"/>
      <c r="N30" s="74"/>
      <c r="O30" s="81" t="s">
        <v>299</v>
      </c>
      <c r="P30" s="83">
        <v>44568.429432870369</v>
      </c>
      <c r="Q30" s="81">
        <v>39</v>
      </c>
      <c r="R30" s="81">
        <v>0</v>
      </c>
    </row>
    <row r="31" spans="1:18" x14ac:dyDescent="0.3">
      <c r="A31" s="66" t="s">
        <v>198</v>
      </c>
      <c r="B31" s="66" t="s">
        <v>229</v>
      </c>
      <c r="C31" s="67"/>
      <c r="D31" s="68"/>
      <c r="E31" s="69"/>
      <c r="F31" s="70"/>
      <c r="G31" s="67"/>
      <c r="H31" s="71"/>
      <c r="I31" s="72"/>
      <c r="J31" s="72"/>
      <c r="K31" s="36"/>
      <c r="L31" s="79">
        <v>31</v>
      </c>
      <c r="M31" s="79"/>
      <c r="N31" s="74"/>
      <c r="O31" s="81" t="s">
        <v>299</v>
      </c>
      <c r="P31" s="83">
        <v>43997.569247685184</v>
      </c>
      <c r="Q31" s="81">
        <v>28</v>
      </c>
      <c r="R31" s="81">
        <v>0</v>
      </c>
    </row>
    <row r="32" spans="1:18" x14ac:dyDescent="0.3">
      <c r="A32" s="66" t="s">
        <v>198</v>
      </c>
      <c r="B32" s="66" t="s">
        <v>230</v>
      </c>
      <c r="C32" s="67"/>
      <c r="D32" s="68"/>
      <c r="E32" s="69"/>
      <c r="F32" s="70"/>
      <c r="G32" s="67"/>
      <c r="H32" s="71"/>
      <c r="I32" s="72"/>
      <c r="J32" s="72"/>
      <c r="K32" s="36"/>
      <c r="L32" s="79">
        <v>32</v>
      </c>
      <c r="M32" s="79"/>
      <c r="N32" s="74"/>
      <c r="O32" s="81" t="s">
        <v>299</v>
      </c>
      <c r="P32" s="83">
        <v>44480.535416666666</v>
      </c>
      <c r="Q32" s="81">
        <v>10</v>
      </c>
      <c r="R32" s="81">
        <v>0</v>
      </c>
    </row>
    <row r="33" spans="1:18" x14ac:dyDescent="0.3">
      <c r="A33" s="66" t="s">
        <v>198</v>
      </c>
      <c r="B33" s="66" t="s">
        <v>231</v>
      </c>
      <c r="C33" s="67"/>
      <c r="D33" s="68"/>
      <c r="E33" s="69"/>
      <c r="F33" s="70"/>
      <c r="G33" s="67"/>
      <c r="H33" s="71"/>
      <c r="I33" s="72"/>
      <c r="J33" s="72"/>
      <c r="K33" s="36"/>
      <c r="L33" s="79">
        <v>33</v>
      </c>
      <c r="M33" s="79"/>
      <c r="N33" s="74"/>
      <c r="O33" s="81" t="s">
        <v>299</v>
      </c>
      <c r="P33" s="83">
        <v>43760.669374999998</v>
      </c>
      <c r="Q33" s="81">
        <v>68</v>
      </c>
      <c r="R33" s="81">
        <v>0</v>
      </c>
    </row>
    <row r="34" spans="1:18" x14ac:dyDescent="0.3">
      <c r="A34" s="66" t="s">
        <v>199</v>
      </c>
      <c r="B34" s="66" t="s">
        <v>232</v>
      </c>
      <c r="C34" s="67"/>
      <c r="D34" s="68"/>
      <c r="E34" s="69"/>
      <c r="F34" s="70"/>
      <c r="G34" s="67"/>
      <c r="H34" s="71"/>
      <c r="I34" s="72"/>
      <c r="J34" s="72"/>
      <c r="K34" s="36"/>
      <c r="L34" s="79">
        <v>34</v>
      </c>
      <c r="M34" s="79"/>
      <c r="N34" s="74"/>
      <c r="O34" s="81" t="s">
        <v>299</v>
      </c>
      <c r="P34" s="83">
        <v>41506.420694444445</v>
      </c>
      <c r="Q34" s="81">
        <v>2574</v>
      </c>
      <c r="R34" s="81">
        <v>0</v>
      </c>
    </row>
    <row r="35" spans="1:18" x14ac:dyDescent="0.3">
      <c r="A35" s="66" t="s">
        <v>200</v>
      </c>
      <c r="B35" s="66" t="s">
        <v>233</v>
      </c>
      <c r="C35" s="67"/>
      <c r="D35" s="68"/>
      <c r="E35" s="69"/>
      <c r="F35" s="70"/>
      <c r="G35" s="67"/>
      <c r="H35" s="71"/>
      <c r="I35" s="72"/>
      <c r="J35" s="72"/>
      <c r="K35" s="36"/>
      <c r="L35" s="79">
        <v>35</v>
      </c>
      <c r="M35" s="79"/>
      <c r="N35" s="74"/>
      <c r="O35" s="81" t="s">
        <v>299</v>
      </c>
      <c r="P35" s="83">
        <v>40618.488356481481</v>
      </c>
      <c r="Q35" s="81">
        <v>501</v>
      </c>
      <c r="R35" s="81">
        <v>0</v>
      </c>
    </row>
    <row r="36" spans="1:18" x14ac:dyDescent="0.3">
      <c r="A36" s="66" t="s">
        <v>200</v>
      </c>
      <c r="B36" s="66" t="s">
        <v>234</v>
      </c>
      <c r="C36" s="67"/>
      <c r="D36" s="68"/>
      <c r="E36" s="69"/>
      <c r="F36" s="70"/>
      <c r="G36" s="67"/>
      <c r="H36" s="71"/>
      <c r="I36" s="72"/>
      <c r="J36" s="72"/>
      <c r="K36" s="36"/>
      <c r="L36" s="79">
        <v>36</v>
      </c>
      <c r="M36" s="79"/>
      <c r="N36" s="74"/>
      <c r="O36" s="81" t="s">
        <v>299</v>
      </c>
      <c r="P36" s="83">
        <v>40611.436574074076</v>
      </c>
      <c r="Q36" s="81">
        <v>248</v>
      </c>
      <c r="R36" s="81">
        <v>0</v>
      </c>
    </row>
    <row r="37" spans="1:18" x14ac:dyDescent="0.3">
      <c r="A37" s="66" t="s">
        <v>200</v>
      </c>
      <c r="B37" s="66" t="s">
        <v>235</v>
      </c>
      <c r="C37" s="67"/>
      <c r="D37" s="68"/>
      <c r="E37" s="69"/>
      <c r="F37" s="70"/>
      <c r="G37" s="67"/>
      <c r="H37" s="71"/>
      <c r="I37" s="72"/>
      <c r="J37" s="72"/>
      <c r="K37" s="36"/>
      <c r="L37" s="79">
        <v>37</v>
      </c>
      <c r="M37" s="79"/>
      <c r="N37" s="74"/>
      <c r="O37" s="81" t="s">
        <v>299</v>
      </c>
      <c r="P37" s="83">
        <v>40060.099965277775</v>
      </c>
      <c r="Q37" s="81">
        <v>1067</v>
      </c>
      <c r="R37" s="81">
        <v>0</v>
      </c>
    </row>
    <row r="38" spans="1:18" x14ac:dyDescent="0.3">
      <c r="A38" s="66" t="s">
        <v>200</v>
      </c>
      <c r="B38" s="66" t="s">
        <v>236</v>
      </c>
      <c r="C38" s="67"/>
      <c r="D38" s="68"/>
      <c r="E38" s="69"/>
      <c r="F38" s="70"/>
      <c r="G38" s="67"/>
      <c r="H38" s="71"/>
      <c r="I38" s="72"/>
      <c r="J38" s="72"/>
      <c r="K38" s="36"/>
      <c r="L38" s="79">
        <v>38</v>
      </c>
      <c r="M38" s="79"/>
      <c r="N38" s="74"/>
      <c r="O38" s="81" t="s">
        <v>299</v>
      </c>
      <c r="P38" s="83">
        <v>40133.697222222225</v>
      </c>
      <c r="Q38" s="81">
        <v>581</v>
      </c>
      <c r="R38" s="81">
        <v>0</v>
      </c>
    </row>
    <row r="39" spans="1:18" x14ac:dyDescent="0.3">
      <c r="A39" s="66" t="s">
        <v>200</v>
      </c>
      <c r="B39" s="66" t="s">
        <v>237</v>
      </c>
      <c r="C39" s="67"/>
      <c r="D39" s="68"/>
      <c r="E39" s="69"/>
      <c r="F39" s="70"/>
      <c r="G39" s="67"/>
      <c r="H39" s="71"/>
      <c r="I39" s="72"/>
      <c r="J39" s="72"/>
      <c r="K39" s="36"/>
      <c r="L39" s="79">
        <v>39</v>
      </c>
      <c r="M39" s="79"/>
      <c r="N39" s="74"/>
      <c r="O39" s="81" t="s">
        <v>299</v>
      </c>
      <c r="P39" s="83">
        <v>40154.503888888888</v>
      </c>
      <c r="Q39" s="81">
        <v>701</v>
      </c>
      <c r="R39" s="81">
        <v>0</v>
      </c>
    </row>
    <row r="40" spans="1:18" x14ac:dyDescent="0.3">
      <c r="A40" s="66" t="s">
        <v>200</v>
      </c>
      <c r="B40" s="66" t="s">
        <v>238</v>
      </c>
      <c r="C40" s="67"/>
      <c r="D40" s="68"/>
      <c r="E40" s="69"/>
      <c r="F40" s="70"/>
      <c r="G40" s="67"/>
      <c r="H40" s="71"/>
      <c r="I40" s="72"/>
      <c r="J40" s="72"/>
      <c r="K40" s="36"/>
      <c r="L40" s="79">
        <v>40</v>
      </c>
      <c r="M40" s="79"/>
      <c r="N40" s="74"/>
      <c r="O40" s="81" t="s">
        <v>299</v>
      </c>
      <c r="P40" s="83">
        <v>41330.573171296295</v>
      </c>
      <c r="Q40" s="81">
        <v>1815</v>
      </c>
      <c r="R40" s="81">
        <v>0</v>
      </c>
    </row>
    <row r="41" spans="1:18" x14ac:dyDescent="0.3">
      <c r="A41" s="66" t="s">
        <v>200</v>
      </c>
      <c r="B41" s="66" t="s">
        <v>239</v>
      </c>
      <c r="C41" s="67"/>
      <c r="D41" s="68"/>
      <c r="E41" s="69"/>
      <c r="F41" s="70"/>
      <c r="G41" s="67"/>
      <c r="H41" s="71"/>
      <c r="I41" s="72"/>
      <c r="J41" s="72"/>
      <c r="K41" s="36"/>
      <c r="L41" s="79">
        <v>41</v>
      </c>
      <c r="M41" s="79"/>
      <c r="N41" s="74"/>
      <c r="O41" s="81" t="s">
        <v>299</v>
      </c>
      <c r="P41" s="83">
        <v>40154.638993055552</v>
      </c>
      <c r="Q41" s="81">
        <v>417</v>
      </c>
      <c r="R41" s="81">
        <v>0</v>
      </c>
    </row>
    <row r="42" spans="1:18" x14ac:dyDescent="0.3">
      <c r="A42" s="66" t="s">
        <v>200</v>
      </c>
      <c r="B42" s="66" t="s">
        <v>240</v>
      </c>
      <c r="C42" s="67"/>
      <c r="D42" s="68"/>
      <c r="E42" s="69"/>
      <c r="F42" s="70"/>
      <c r="G42" s="67"/>
      <c r="H42" s="71"/>
      <c r="I42" s="72"/>
      <c r="J42" s="72"/>
      <c r="K42" s="36"/>
      <c r="L42" s="79">
        <v>42</v>
      </c>
      <c r="M42" s="79"/>
      <c r="N42" s="74"/>
      <c r="O42" s="81" t="s">
        <v>299</v>
      </c>
      <c r="P42" s="83">
        <v>40154.513842592591</v>
      </c>
      <c r="Q42" s="81">
        <v>353</v>
      </c>
      <c r="R42" s="81">
        <v>0</v>
      </c>
    </row>
    <row r="43" spans="1:18" x14ac:dyDescent="0.3">
      <c r="A43" s="66" t="s">
        <v>200</v>
      </c>
      <c r="B43" s="66" t="s">
        <v>241</v>
      </c>
      <c r="C43" s="67"/>
      <c r="D43" s="68"/>
      <c r="E43" s="69"/>
      <c r="F43" s="70"/>
      <c r="G43" s="67"/>
      <c r="H43" s="71"/>
      <c r="I43" s="72"/>
      <c r="J43" s="72"/>
      <c r="K43" s="36"/>
      <c r="L43" s="79">
        <v>43</v>
      </c>
      <c r="M43" s="79"/>
      <c r="N43" s="74"/>
      <c r="O43" s="81" t="s">
        <v>299</v>
      </c>
      <c r="P43" s="83">
        <v>40154.64880787037</v>
      </c>
      <c r="Q43" s="81">
        <v>7</v>
      </c>
      <c r="R43" s="81">
        <v>0</v>
      </c>
    </row>
    <row r="44" spans="1:18" x14ac:dyDescent="0.3">
      <c r="A44" s="66" t="s">
        <v>200</v>
      </c>
      <c r="B44" s="66" t="s">
        <v>242</v>
      </c>
      <c r="C44" s="67"/>
      <c r="D44" s="68"/>
      <c r="E44" s="69"/>
      <c r="F44" s="70"/>
      <c r="G44" s="67"/>
      <c r="H44" s="71"/>
      <c r="I44" s="72"/>
      <c r="J44" s="72"/>
      <c r="K44" s="36"/>
      <c r="L44" s="79">
        <v>44</v>
      </c>
      <c r="M44" s="79"/>
      <c r="N44" s="74"/>
      <c r="O44" s="81" t="s">
        <v>299</v>
      </c>
      <c r="P44" s="83">
        <v>40198.682835648149</v>
      </c>
      <c r="Q44" s="81">
        <v>81</v>
      </c>
      <c r="R44" s="81">
        <v>0</v>
      </c>
    </row>
    <row r="45" spans="1:18" x14ac:dyDescent="0.3">
      <c r="A45" s="66" t="s">
        <v>200</v>
      </c>
      <c r="B45" s="66" t="s">
        <v>243</v>
      </c>
      <c r="C45" s="67"/>
      <c r="D45" s="68"/>
      <c r="E45" s="69"/>
      <c r="F45" s="70"/>
      <c r="G45" s="67"/>
      <c r="H45" s="71"/>
      <c r="I45" s="72"/>
      <c r="J45" s="72"/>
      <c r="K45" s="36"/>
      <c r="L45" s="79">
        <v>45</v>
      </c>
      <c r="M45" s="79"/>
      <c r="N45" s="74"/>
      <c r="O45" s="81" t="s">
        <v>299</v>
      </c>
      <c r="P45" s="83">
        <v>40133.699386574073</v>
      </c>
      <c r="Q45" s="81">
        <v>155</v>
      </c>
      <c r="R45" s="81">
        <v>0</v>
      </c>
    </row>
    <row r="46" spans="1:18" x14ac:dyDescent="0.3">
      <c r="A46" s="66" t="s">
        <v>200</v>
      </c>
      <c r="B46" s="66" t="s">
        <v>244</v>
      </c>
      <c r="C46" s="67"/>
      <c r="D46" s="68"/>
      <c r="E46" s="69"/>
      <c r="F46" s="70"/>
      <c r="G46" s="67"/>
      <c r="H46" s="71"/>
      <c r="I46" s="72"/>
      <c r="J46" s="72"/>
      <c r="K46" s="36"/>
      <c r="L46" s="79">
        <v>46</v>
      </c>
      <c r="M46" s="79"/>
      <c r="N46" s="74"/>
      <c r="O46" s="81" t="s">
        <v>299</v>
      </c>
      <c r="P46" s="83">
        <v>40611.558356481481</v>
      </c>
      <c r="Q46" s="81">
        <v>0</v>
      </c>
      <c r="R46" s="81">
        <v>0</v>
      </c>
    </row>
    <row r="47" spans="1:18" x14ac:dyDescent="0.3">
      <c r="A47" s="66" t="s">
        <v>200</v>
      </c>
      <c r="B47" s="66" t="s">
        <v>245</v>
      </c>
      <c r="C47" s="67"/>
      <c r="D47" s="68"/>
      <c r="E47" s="69"/>
      <c r="F47" s="70"/>
      <c r="G47" s="67"/>
      <c r="H47" s="71"/>
      <c r="I47" s="72"/>
      <c r="J47" s="72"/>
      <c r="K47" s="36"/>
      <c r="L47" s="79">
        <v>47</v>
      </c>
      <c r="M47" s="79"/>
      <c r="N47" s="74"/>
      <c r="O47" s="81" t="s">
        <v>299</v>
      </c>
      <c r="P47" s="83">
        <v>40611.523900462962</v>
      </c>
      <c r="Q47" s="81">
        <v>4</v>
      </c>
      <c r="R47" s="81">
        <v>0</v>
      </c>
    </row>
    <row r="48" spans="1:18" x14ac:dyDescent="0.3">
      <c r="A48" s="66" t="s">
        <v>200</v>
      </c>
      <c r="B48" s="66" t="s">
        <v>246</v>
      </c>
      <c r="C48" s="67"/>
      <c r="D48" s="68"/>
      <c r="E48" s="69"/>
      <c r="F48" s="70"/>
      <c r="G48" s="67"/>
      <c r="H48" s="71"/>
      <c r="I48" s="72"/>
      <c r="J48" s="72"/>
      <c r="K48" s="36"/>
      <c r="L48" s="79">
        <v>48</v>
      </c>
      <c r="M48" s="79"/>
      <c r="N48" s="74"/>
      <c r="O48" s="81" t="s">
        <v>299</v>
      </c>
      <c r="P48" s="83">
        <v>40154.525266203702</v>
      </c>
      <c r="Q48" s="81">
        <v>402</v>
      </c>
      <c r="R48" s="81">
        <v>0</v>
      </c>
    </row>
    <row r="49" spans="1:18" x14ac:dyDescent="0.3">
      <c r="A49" s="66" t="s">
        <v>200</v>
      </c>
      <c r="B49" s="66" t="s">
        <v>247</v>
      </c>
      <c r="C49" s="67"/>
      <c r="D49" s="68"/>
      <c r="E49" s="69"/>
      <c r="F49" s="70"/>
      <c r="G49" s="67"/>
      <c r="H49" s="71"/>
      <c r="I49" s="72"/>
      <c r="J49" s="72"/>
      <c r="K49" s="36"/>
      <c r="L49" s="79">
        <v>49</v>
      </c>
      <c r="M49" s="79"/>
      <c r="N49" s="74"/>
      <c r="O49" s="81" t="s">
        <v>299</v>
      </c>
      <c r="P49" s="83">
        <v>40133.697928240741</v>
      </c>
      <c r="Q49" s="81">
        <v>180</v>
      </c>
      <c r="R49" s="81">
        <v>0</v>
      </c>
    </row>
    <row r="50" spans="1:18" x14ac:dyDescent="0.3">
      <c r="A50" s="66" t="s">
        <v>200</v>
      </c>
      <c r="B50" s="66" t="s">
        <v>248</v>
      </c>
      <c r="C50" s="67"/>
      <c r="D50" s="68"/>
      <c r="E50" s="69"/>
      <c r="F50" s="70"/>
      <c r="G50" s="67"/>
      <c r="H50" s="71"/>
      <c r="I50" s="72"/>
      <c r="J50" s="72"/>
      <c r="K50" s="36"/>
      <c r="L50" s="79">
        <v>50</v>
      </c>
      <c r="M50" s="79"/>
      <c r="N50" s="74"/>
      <c r="O50" s="81" t="s">
        <v>299</v>
      </c>
      <c r="P50" s="83">
        <v>40133.699745370373</v>
      </c>
      <c r="Q50" s="81">
        <v>1</v>
      </c>
      <c r="R50" s="81">
        <v>0</v>
      </c>
    </row>
    <row r="51" spans="1:18" x14ac:dyDescent="0.3">
      <c r="A51" s="66" t="s">
        <v>200</v>
      </c>
      <c r="B51" s="66" t="s">
        <v>249</v>
      </c>
      <c r="C51" s="67"/>
      <c r="D51" s="68"/>
      <c r="E51" s="69"/>
      <c r="F51" s="70"/>
      <c r="G51" s="67"/>
      <c r="H51" s="71"/>
      <c r="I51" s="72"/>
      <c r="J51" s="72"/>
      <c r="K51" s="36"/>
      <c r="L51" s="79">
        <v>51</v>
      </c>
      <c r="M51" s="79"/>
      <c r="N51" s="74"/>
      <c r="O51" s="81" t="s">
        <v>299</v>
      </c>
      <c r="P51" s="83">
        <v>42900.636932870373</v>
      </c>
      <c r="Q51" s="81">
        <v>1804</v>
      </c>
      <c r="R51" s="81">
        <v>0</v>
      </c>
    </row>
    <row r="52" spans="1:18" x14ac:dyDescent="0.3">
      <c r="A52" s="66" t="s">
        <v>200</v>
      </c>
      <c r="B52" s="66" t="s">
        <v>250</v>
      </c>
      <c r="C52" s="67"/>
      <c r="D52" s="68"/>
      <c r="E52" s="69"/>
      <c r="F52" s="70"/>
      <c r="G52" s="67"/>
      <c r="H52" s="71"/>
      <c r="I52" s="72"/>
      <c r="J52" s="72"/>
      <c r="K52" s="36"/>
      <c r="L52" s="79">
        <v>52</v>
      </c>
      <c r="M52" s="79"/>
      <c r="N52" s="74"/>
      <c r="O52" s="81" t="s">
        <v>299</v>
      </c>
      <c r="P52" s="83">
        <v>40154.502314814818</v>
      </c>
      <c r="Q52" s="81">
        <v>4</v>
      </c>
      <c r="R52" s="81">
        <v>0</v>
      </c>
    </row>
    <row r="53" spans="1:18" x14ac:dyDescent="0.3">
      <c r="A53" s="66" t="s">
        <v>200</v>
      </c>
      <c r="B53" s="66" t="s">
        <v>251</v>
      </c>
      <c r="C53" s="67"/>
      <c r="D53" s="68"/>
      <c r="E53" s="69"/>
      <c r="F53" s="70"/>
      <c r="G53" s="67"/>
      <c r="H53" s="71"/>
      <c r="I53" s="72"/>
      <c r="J53" s="72"/>
      <c r="K53" s="36"/>
      <c r="L53" s="79">
        <v>53</v>
      </c>
      <c r="M53" s="79"/>
      <c r="N53" s="74"/>
      <c r="O53" s="81" t="s">
        <v>299</v>
      </c>
      <c r="P53" s="83">
        <v>40611.553784722222</v>
      </c>
      <c r="Q53" s="81">
        <v>154</v>
      </c>
      <c r="R53" s="81">
        <v>0</v>
      </c>
    </row>
    <row r="54" spans="1:18" x14ac:dyDescent="0.3">
      <c r="A54" s="66" t="s">
        <v>200</v>
      </c>
      <c r="B54" s="66" t="s">
        <v>252</v>
      </c>
      <c r="C54" s="67"/>
      <c r="D54" s="68"/>
      <c r="E54" s="69"/>
      <c r="F54" s="70"/>
      <c r="G54" s="67"/>
      <c r="H54" s="71"/>
      <c r="I54" s="72"/>
      <c r="J54" s="72"/>
      <c r="K54" s="36"/>
      <c r="L54" s="79">
        <v>54</v>
      </c>
      <c r="M54" s="79"/>
      <c r="N54" s="74"/>
      <c r="O54" s="81" t="s">
        <v>299</v>
      </c>
      <c r="P54" s="83">
        <v>40154.639513888891</v>
      </c>
      <c r="Q54" s="81">
        <v>5</v>
      </c>
      <c r="R54" s="81">
        <v>0</v>
      </c>
    </row>
    <row r="55" spans="1:18" x14ac:dyDescent="0.3">
      <c r="A55" s="66" t="s">
        <v>200</v>
      </c>
      <c r="B55" s="66" t="s">
        <v>253</v>
      </c>
      <c r="C55" s="67"/>
      <c r="D55" s="68"/>
      <c r="E55" s="69"/>
      <c r="F55" s="70"/>
      <c r="G55" s="67"/>
      <c r="H55" s="71"/>
      <c r="I55" s="72"/>
      <c r="J55" s="72"/>
      <c r="K55" s="36"/>
      <c r="L55" s="79">
        <v>55</v>
      </c>
      <c r="M55" s="79"/>
      <c r="N55" s="74"/>
      <c r="O55" s="81" t="s">
        <v>299</v>
      </c>
      <c r="P55" s="83">
        <v>40133.700023148151</v>
      </c>
      <c r="Q55" s="81">
        <v>179</v>
      </c>
      <c r="R55" s="81">
        <v>0</v>
      </c>
    </row>
    <row r="56" spans="1:18" x14ac:dyDescent="0.3">
      <c r="A56" s="66" t="s">
        <v>200</v>
      </c>
      <c r="B56" s="66" t="s">
        <v>254</v>
      </c>
      <c r="C56" s="67"/>
      <c r="D56" s="68"/>
      <c r="E56" s="69"/>
      <c r="F56" s="70"/>
      <c r="G56" s="67"/>
      <c r="H56" s="71"/>
      <c r="I56" s="72"/>
      <c r="J56" s="72"/>
      <c r="K56" s="36"/>
      <c r="L56" s="79">
        <v>56</v>
      </c>
      <c r="M56" s="79"/>
      <c r="N56" s="74"/>
      <c r="O56" s="81" t="s">
        <v>299</v>
      </c>
      <c r="P56" s="83">
        <v>40154.637824074074</v>
      </c>
      <c r="Q56" s="81">
        <v>261</v>
      </c>
      <c r="R56" s="81">
        <v>0</v>
      </c>
    </row>
    <row r="57" spans="1:18" x14ac:dyDescent="0.3">
      <c r="A57" s="66" t="s">
        <v>200</v>
      </c>
      <c r="B57" s="66" t="s">
        <v>255</v>
      </c>
      <c r="C57" s="67"/>
      <c r="D57" s="68"/>
      <c r="E57" s="69"/>
      <c r="F57" s="70"/>
      <c r="G57" s="67"/>
      <c r="H57" s="71"/>
      <c r="I57" s="72"/>
      <c r="J57" s="72"/>
      <c r="K57" s="36"/>
      <c r="L57" s="79">
        <v>57</v>
      </c>
      <c r="M57" s="79"/>
      <c r="N57" s="74"/>
      <c r="O57" s="81" t="s">
        <v>299</v>
      </c>
      <c r="P57" s="83">
        <v>40154.503159722219</v>
      </c>
      <c r="Q57" s="81">
        <v>142</v>
      </c>
      <c r="R57" s="81">
        <v>0</v>
      </c>
    </row>
    <row r="58" spans="1:18" x14ac:dyDescent="0.3">
      <c r="A58" s="66" t="s">
        <v>200</v>
      </c>
      <c r="B58" s="66" t="s">
        <v>256</v>
      </c>
      <c r="C58" s="67"/>
      <c r="D58" s="68"/>
      <c r="E58" s="69"/>
      <c r="F58" s="70"/>
      <c r="G58" s="67"/>
      <c r="H58" s="71"/>
      <c r="I58" s="72"/>
      <c r="J58" s="72"/>
      <c r="K58" s="36"/>
      <c r="L58" s="79">
        <v>58</v>
      </c>
      <c r="M58" s="79"/>
      <c r="N58" s="74"/>
      <c r="O58" s="81" t="s">
        <v>299</v>
      </c>
      <c r="P58" s="83">
        <v>40610.630162037036</v>
      </c>
      <c r="Q58" s="81">
        <v>463</v>
      </c>
      <c r="R58" s="81">
        <v>0</v>
      </c>
    </row>
    <row r="59" spans="1:18" x14ac:dyDescent="0.3">
      <c r="A59" s="66" t="s">
        <v>200</v>
      </c>
      <c r="B59" s="66" t="s">
        <v>257</v>
      </c>
      <c r="C59" s="67"/>
      <c r="D59" s="68"/>
      <c r="E59" s="69"/>
      <c r="F59" s="70"/>
      <c r="G59" s="67"/>
      <c r="H59" s="71"/>
      <c r="I59" s="72"/>
      <c r="J59" s="72"/>
      <c r="K59" s="36"/>
      <c r="L59" s="79">
        <v>59</v>
      </c>
      <c r="M59" s="79"/>
      <c r="N59" s="74"/>
      <c r="O59" s="81" t="s">
        <v>299</v>
      </c>
      <c r="P59" s="83">
        <v>40133.696226851855</v>
      </c>
      <c r="Q59" s="81">
        <v>238</v>
      </c>
      <c r="R59" s="81">
        <v>0</v>
      </c>
    </row>
    <row r="60" spans="1:18" x14ac:dyDescent="0.3">
      <c r="A60" s="66" t="s">
        <v>200</v>
      </c>
      <c r="B60" s="66" t="s">
        <v>258</v>
      </c>
      <c r="C60" s="67"/>
      <c r="D60" s="68"/>
      <c r="E60" s="69"/>
      <c r="F60" s="70"/>
      <c r="G60" s="67"/>
      <c r="H60" s="71"/>
      <c r="I60" s="72"/>
      <c r="J60" s="72"/>
      <c r="K60" s="36"/>
      <c r="L60" s="79">
        <v>60</v>
      </c>
      <c r="M60" s="79"/>
      <c r="N60" s="74"/>
      <c r="O60" s="81" t="s">
        <v>299</v>
      </c>
      <c r="P60" s="83">
        <v>40610.673113425924</v>
      </c>
      <c r="Q60" s="81">
        <v>205</v>
      </c>
      <c r="R60" s="81">
        <v>0</v>
      </c>
    </row>
    <row r="61" spans="1:18" x14ac:dyDescent="0.3">
      <c r="A61" s="66" t="s">
        <v>200</v>
      </c>
      <c r="B61" s="66" t="s">
        <v>259</v>
      </c>
      <c r="C61" s="67"/>
      <c r="D61" s="68"/>
      <c r="E61" s="69"/>
      <c r="F61" s="70"/>
      <c r="G61" s="67"/>
      <c r="H61" s="71"/>
      <c r="I61" s="72"/>
      <c r="J61" s="72"/>
      <c r="K61" s="36"/>
      <c r="L61" s="79">
        <v>61</v>
      </c>
      <c r="M61" s="79"/>
      <c r="N61" s="74"/>
      <c r="O61" s="81" t="s">
        <v>299</v>
      </c>
      <c r="P61" s="83">
        <v>40611.513888888891</v>
      </c>
      <c r="Q61" s="81">
        <v>163</v>
      </c>
      <c r="R61" s="81">
        <v>0</v>
      </c>
    </row>
    <row r="62" spans="1:18" x14ac:dyDescent="0.3">
      <c r="A62" s="66" t="s">
        <v>200</v>
      </c>
      <c r="B62" s="66" t="s">
        <v>260</v>
      </c>
      <c r="C62" s="67"/>
      <c r="D62" s="68"/>
      <c r="E62" s="69"/>
      <c r="F62" s="70"/>
      <c r="G62" s="67"/>
      <c r="H62" s="71"/>
      <c r="I62" s="72"/>
      <c r="J62" s="72"/>
      <c r="K62" s="36"/>
      <c r="L62" s="79">
        <v>62</v>
      </c>
      <c r="M62" s="79"/>
      <c r="N62" s="74"/>
      <c r="O62" s="81" t="s">
        <v>299</v>
      </c>
      <c r="P62" s="83">
        <v>40133.697013888886</v>
      </c>
      <c r="Q62" s="81">
        <v>1006</v>
      </c>
      <c r="R62" s="81">
        <v>0</v>
      </c>
    </row>
    <row r="63" spans="1:18" x14ac:dyDescent="0.3">
      <c r="A63" s="66" t="s">
        <v>200</v>
      </c>
      <c r="B63" s="66" t="s">
        <v>261</v>
      </c>
      <c r="C63" s="67"/>
      <c r="D63" s="68"/>
      <c r="E63" s="69"/>
      <c r="F63" s="70"/>
      <c r="G63" s="67"/>
      <c r="H63" s="71"/>
      <c r="I63" s="72"/>
      <c r="J63" s="72"/>
      <c r="K63" s="36"/>
      <c r="L63" s="79">
        <v>63</v>
      </c>
      <c r="M63" s="79"/>
      <c r="N63" s="74"/>
      <c r="O63" s="81" t="s">
        <v>299</v>
      </c>
      <c r="P63" s="83">
        <v>40611.437662037039</v>
      </c>
      <c r="Q63" s="81">
        <v>305</v>
      </c>
      <c r="R63" s="81">
        <v>0</v>
      </c>
    </row>
    <row r="64" spans="1:18" x14ac:dyDescent="0.3">
      <c r="A64" s="66" t="s">
        <v>200</v>
      </c>
      <c r="B64" s="66" t="s">
        <v>262</v>
      </c>
      <c r="C64" s="67"/>
      <c r="D64" s="68"/>
      <c r="E64" s="69"/>
      <c r="F64" s="70"/>
      <c r="G64" s="67"/>
      <c r="H64" s="71"/>
      <c r="I64" s="72"/>
      <c r="J64" s="72"/>
      <c r="K64" s="36"/>
      <c r="L64" s="79">
        <v>64</v>
      </c>
      <c r="M64" s="79"/>
      <c r="N64" s="74"/>
      <c r="O64" s="81" t="s">
        <v>299</v>
      </c>
      <c r="P64" s="83">
        <v>40611.487696759257</v>
      </c>
      <c r="Q64" s="81">
        <v>3</v>
      </c>
      <c r="R64" s="81">
        <v>0</v>
      </c>
    </row>
    <row r="65" spans="1:18" x14ac:dyDescent="0.3">
      <c r="A65" s="66" t="s">
        <v>200</v>
      </c>
      <c r="B65" s="66" t="s">
        <v>263</v>
      </c>
      <c r="C65" s="67"/>
      <c r="D65" s="68"/>
      <c r="E65" s="69"/>
      <c r="F65" s="70"/>
      <c r="G65" s="67"/>
      <c r="H65" s="71"/>
      <c r="I65" s="72"/>
      <c r="J65" s="72"/>
      <c r="K65" s="36"/>
      <c r="L65" s="79">
        <v>65</v>
      </c>
      <c r="M65" s="79"/>
      <c r="N65" s="74"/>
      <c r="O65" s="81" t="s">
        <v>299</v>
      </c>
      <c r="P65" s="83">
        <v>40611.443495370368</v>
      </c>
      <c r="Q65" s="81">
        <v>351</v>
      </c>
      <c r="R65" s="81">
        <v>0</v>
      </c>
    </row>
    <row r="66" spans="1:18" x14ac:dyDescent="0.3">
      <c r="A66" s="66" t="s">
        <v>200</v>
      </c>
      <c r="B66" s="66" t="s">
        <v>264</v>
      </c>
      <c r="C66" s="67"/>
      <c r="D66" s="68"/>
      <c r="E66" s="69"/>
      <c r="F66" s="70"/>
      <c r="G66" s="67"/>
      <c r="H66" s="71"/>
      <c r="I66" s="72"/>
      <c r="J66" s="72"/>
      <c r="K66" s="36"/>
      <c r="L66" s="79">
        <v>66</v>
      </c>
      <c r="M66" s="79"/>
      <c r="N66" s="74"/>
      <c r="O66" s="81" t="s">
        <v>299</v>
      </c>
      <c r="P66" s="83">
        <v>40060.100104166668</v>
      </c>
      <c r="Q66" s="81">
        <v>544</v>
      </c>
      <c r="R66" s="81">
        <v>0</v>
      </c>
    </row>
    <row r="67" spans="1:18" x14ac:dyDescent="0.3">
      <c r="A67" s="66" t="s">
        <v>200</v>
      </c>
      <c r="B67" s="66" t="s">
        <v>265</v>
      </c>
      <c r="C67" s="67"/>
      <c r="D67" s="68"/>
      <c r="E67" s="69"/>
      <c r="F67" s="70"/>
      <c r="G67" s="67"/>
      <c r="H67" s="71"/>
      <c r="I67" s="72"/>
      <c r="J67" s="72"/>
      <c r="K67" s="36"/>
      <c r="L67" s="79">
        <v>67</v>
      </c>
      <c r="M67" s="79"/>
      <c r="N67" s="74"/>
      <c r="O67" s="81" t="s">
        <v>299</v>
      </c>
      <c r="P67" s="83">
        <v>40665.443182870367</v>
      </c>
      <c r="Q67" s="81">
        <v>218</v>
      </c>
      <c r="R67" s="81">
        <v>0</v>
      </c>
    </row>
    <row r="68" spans="1:18" x14ac:dyDescent="0.3">
      <c r="A68" s="66" t="s">
        <v>200</v>
      </c>
      <c r="B68" s="66" t="s">
        <v>266</v>
      </c>
      <c r="C68" s="67"/>
      <c r="D68" s="68"/>
      <c r="E68" s="69"/>
      <c r="F68" s="70"/>
      <c r="G68" s="67"/>
      <c r="H68" s="71"/>
      <c r="I68" s="72"/>
      <c r="J68" s="72"/>
      <c r="K68" s="36"/>
      <c r="L68" s="79">
        <v>68</v>
      </c>
      <c r="M68" s="79"/>
      <c r="N68" s="74"/>
      <c r="O68" s="81" t="s">
        <v>299</v>
      </c>
      <c r="P68" s="83">
        <v>40611.515717592592</v>
      </c>
      <c r="Q68" s="81">
        <v>368</v>
      </c>
      <c r="R68" s="81">
        <v>0</v>
      </c>
    </row>
    <row r="69" spans="1:18" x14ac:dyDescent="0.3">
      <c r="A69" s="66" t="s">
        <v>200</v>
      </c>
      <c r="B69" s="66" t="s">
        <v>267</v>
      </c>
      <c r="C69" s="67"/>
      <c r="D69" s="68"/>
      <c r="E69" s="69"/>
      <c r="F69" s="70"/>
      <c r="G69" s="67"/>
      <c r="H69" s="71"/>
      <c r="I69" s="72"/>
      <c r="J69" s="72"/>
      <c r="K69" s="36"/>
      <c r="L69" s="79">
        <v>69</v>
      </c>
      <c r="M69" s="79"/>
      <c r="N69" s="74"/>
      <c r="O69" s="81" t="s">
        <v>299</v>
      </c>
      <c r="P69" s="83">
        <v>40133.700381944444</v>
      </c>
      <c r="Q69" s="81">
        <v>197</v>
      </c>
      <c r="R69" s="81">
        <v>0</v>
      </c>
    </row>
    <row r="70" spans="1:18" x14ac:dyDescent="0.3">
      <c r="A70" s="66" t="s">
        <v>200</v>
      </c>
      <c r="B70" s="66" t="s">
        <v>268</v>
      </c>
      <c r="C70" s="67"/>
      <c r="D70" s="68"/>
      <c r="E70" s="69"/>
      <c r="F70" s="70"/>
      <c r="G70" s="67"/>
      <c r="H70" s="71"/>
      <c r="I70" s="72"/>
      <c r="J70" s="72"/>
      <c r="K70" s="36"/>
      <c r="L70" s="79">
        <v>70</v>
      </c>
      <c r="M70" s="79"/>
      <c r="N70" s="74"/>
      <c r="O70" s="81" t="s">
        <v>299</v>
      </c>
      <c r="P70" s="83">
        <v>40133.697650462964</v>
      </c>
      <c r="Q70" s="81">
        <v>75</v>
      </c>
      <c r="R70" s="81">
        <v>0</v>
      </c>
    </row>
    <row r="71" spans="1:18" x14ac:dyDescent="0.3">
      <c r="A71" s="66" t="s">
        <v>200</v>
      </c>
      <c r="B71" s="66" t="s">
        <v>269</v>
      </c>
      <c r="C71" s="67"/>
      <c r="D71" s="68"/>
      <c r="E71" s="69"/>
      <c r="F71" s="70"/>
      <c r="G71" s="67"/>
      <c r="H71" s="71"/>
      <c r="I71" s="72"/>
      <c r="J71" s="72"/>
      <c r="K71" s="36"/>
      <c r="L71" s="79">
        <v>71</v>
      </c>
      <c r="M71" s="79"/>
      <c r="N71" s="74"/>
      <c r="O71" s="81" t="s">
        <v>299</v>
      </c>
      <c r="P71" s="83">
        <v>40154.637152777781</v>
      </c>
      <c r="Q71" s="81">
        <v>440</v>
      </c>
      <c r="R71" s="81">
        <v>0</v>
      </c>
    </row>
    <row r="72" spans="1:18" x14ac:dyDescent="0.3">
      <c r="A72" s="66" t="s">
        <v>200</v>
      </c>
      <c r="B72" s="66" t="s">
        <v>270</v>
      </c>
      <c r="C72" s="67"/>
      <c r="D72" s="68"/>
      <c r="E72" s="69"/>
      <c r="F72" s="70"/>
      <c r="G72" s="67"/>
      <c r="H72" s="71"/>
      <c r="I72" s="72"/>
      <c r="J72" s="72"/>
      <c r="K72" s="36"/>
      <c r="L72" s="79">
        <v>72</v>
      </c>
      <c r="M72" s="79"/>
      <c r="N72" s="74"/>
      <c r="O72" s="81" t="s">
        <v>299</v>
      </c>
      <c r="P72" s="83">
        <v>40133.700185185182</v>
      </c>
      <c r="Q72" s="81">
        <v>1814</v>
      </c>
      <c r="R72" s="81">
        <v>0</v>
      </c>
    </row>
    <row r="73" spans="1:18" x14ac:dyDescent="0.3">
      <c r="A73" s="66" t="s">
        <v>200</v>
      </c>
      <c r="B73" s="66" t="s">
        <v>271</v>
      </c>
      <c r="C73" s="67"/>
      <c r="D73" s="68"/>
      <c r="E73" s="69"/>
      <c r="F73" s="70"/>
      <c r="G73" s="67"/>
      <c r="H73" s="71"/>
      <c r="I73" s="72"/>
      <c r="J73" s="72"/>
      <c r="K73" s="36"/>
      <c r="L73" s="79">
        <v>73</v>
      </c>
      <c r="M73" s="79"/>
      <c r="N73" s="74"/>
      <c r="O73" s="81" t="s">
        <v>299</v>
      </c>
      <c r="P73" s="83">
        <v>40133.697523148148</v>
      </c>
      <c r="Q73" s="81">
        <v>425</v>
      </c>
      <c r="R73" s="81">
        <v>0</v>
      </c>
    </row>
    <row r="74" spans="1:18" x14ac:dyDescent="0.3">
      <c r="A74" s="66" t="s">
        <v>200</v>
      </c>
      <c r="B74" s="66" t="s">
        <v>272</v>
      </c>
      <c r="C74" s="67"/>
      <c r="D74" s="68"/>
      <c r="E74" s="69"/>
      <c r="F74" s="70"/>
      <c r="G74" s="67"/>
      <c r="H74" s="71"/>
      <c r="I74" s="72"/>
      <c r="J74" s="72"/>
      <c r="K74" s="36"/>
      <c r="L74" s="79">
        <v>74</v>
      </c>
      <c r="M74" s="79"/>
      <c r="N74" s="74"/>
      <c r="O74" s="81" t="s">
        <v>299</v>
      </c>
      <c r="P74" s="83">
        <v>40133.696782407409</v>
      </c>
      <c r="Q74" s="81">
        <v>137</v>
      </c>
      <c r="R74" s="81">
        <v>0</v>
      </c>
    </row>
    <row r="75" spans="1:18" x14ac:dyDescent="0.3">
      <c r="A75" s="66" t="s">
        <v>200</v>
      </c>
      <c r="B75" s="66" t="s">
        <v>273</v>
      </c>
      <c r="C75" s="67"/>
      <c r="D75" s="68"/>
      <c r="E75" s="69"/>
      <c r="F75" s="70"/>
      <c r="G75" s="67"/>
      <c r="H75" s="71"/>
      <c r="I75" s="72"/>
      <c r="J75" s="72"/>
      <c r="K75" s="36"/>
      <c r="L75" s="79">
        <v>75</v>
      </c>
      <c r="M75" s="79"/>
      <c r="N75" s="74"/>
      <c r="O75" s="81" t="s">
        <v>299</v>
      </c>
      <c r="P75" s="83">
        <v>40154.63658564815</v>
      </c>
      <c r="Q75" s="81">
        <v>335</v>
      </c>
      <c r="R75" s="81">
        <v>0</v>
      </c>
    </row>
    <row r="76" spans="1:18" x14ac:dyDescent="0.3">
      <c r="A76" s="66" t="s">
        <v>200</v>
      </c>
      <c r="B76" s="66" t="s">
        <v>274</v>
      </c>
      <c r="C76" s="67"/>
      <c r="D76" s="68"/>
      <c r="E76" s="69"/>
      <c r="F76" s="70"/>
      <c r="G76" s="67"/>
      <c r="H76" s="71"/>
      <c r="I76" s="72"/>
      <c r="J76" s="72"/>
      <c r="K76" s="36"/>
      <c r="L76" s="79">
        <v>76</v>
      </c>
      <c r="M76" s="79"/>
      <c r="N76" s="74"/>
      <c r="O76" s="81" t="s">
        <v>299</v>
      </c>
      <c r="P76" s="83">
        <v>40154.649212962962</v>
      </c>
      <c r="Q76" s="81">
        <v>137</v>
      </c>
      <c r="R76" s="81">
        <v>0</v>
      </c>
    </row>
    <row r="77" spans="1:18" x14ac:dyDescent="0.3">
      <c r="A77" s="66" t="s">
        <v>200</v>
      </c>
      <c r="B77" s="66" t="s">
        <v>275</v>
      </c>
      <c r="C77" s="67"/>
      <c r="D77" s="68"/>
      <c r="E77" s="69"/>
      <c r="F77" s="70"/>
      <c r="G77" s="67"/>
      <c r="H77" s="71"/>
      <c r="I77" s="72"/>
      <c r="J77" s="72"/>
      <c r="K77" s="36"/>
      <c r="L77" s="79">
        <v>77</v>
      </c>
      <c r="M77" s="79"/>
      <c r="N77" s="74"/>
      <c r="O77" s="81" t="s">
        <v>299</v>
      </c>
      <c r="P77" s="83">
        <v>43898.600034722222</v>
      </c>
      <c r="Q77" s="81">
        <v>202</v>
      </c>
      <c r="R77" s="81">
        <v>0</v>
      </c>
    </row>
    <row r="78" spans="1:18" x14ac:dyDescent="0.3">
      <c r="A78" s="66" t="s">
        <v>200</v>
      </c>
      <c r="B78" s="66" t="s">
        <v>276</v>
      </c>
      <c r="C78" s="67"/>
      <c r="D78" s="68"/>
      <c r="E78" s="69"/>
      <c r="F78" s="70"/>
      <c r="G78" s="67"/>
      <c r="H78" s="71"/>
      <c r="I78" s="72"/>
      <c r="J78" s="72"/>
      <c r="K78" s="36"/>
      <c r="L78" s="79">
        <v>78</v>
      </c>
      <c r="M78" s="79"/>
      <c r="N78" s="74"/>
      <c r="O78" s="81" t="s">
        <v>299</v>
      </c>
      <c r="P78" s="83">
        <v>40151.521018518521</v>
      </c>
      <c r="Q78" s="81">
        <v>33</v>
      </c>
      <c r="R78" s="81">
        <v>0</v>
      </c>
    </row>
    <row r="79" spans="1:18" x14ac:dyDescent="0.3">
      <c r="A79" s="66" t="s">
        <v>200</v>
      </c>
      <c r="B79" s="66" t="s">
        <v>277</v>
      </c>
      <c r="C79" s="67"/>
      <c r="D79" s="68"/>
      <c r="E79" s="69"/>
      <c r="F79" s="70"/>
      <c r="G79" s="67"/>
      <c r="H79" s="71"/>
      <c r="I79" s="72"/>
      <c r="J79" s="72"/>
      <c r="K79" s="36"/>
      <c r="L79" s="79">
        <v>79</v>
      </c>
      <c r="M79" s="79"/>
      <c r="N79" s="74"/>
      <c r="O79" s="81" t="s">
        <v>299</v>
      </c>
      <c r="P79" s="83">
        <v>40154.503668981481</v>
      </c>
      <c r="Q79" s="81">
        <v>1864</v>
      </c>
      <c r="R79" s="81">
        <v>0</v>
      </c>
    </row>
    <row r="80" spans="1:18" x14ac:dyDescent="0.3">
      <c r="A80" s="66" t="s">
        <v>200</v>
      </c>
      <c r="B80" s="66" t="s">
        <v>278</v>
      </c>
      <c r="C80" s="67"/>
      <c r="D80" s="68"/>
      <c r="E80" s="69"/>
      <c r="F80" s="70"/>
      <c r="G80" s="67"/>
      <c r="H80" s="71"/>
      <c r="I80" s="72"/>
      <c r="J80" s="72"/>
      <c r="K80" s="36"/>
      <c r="L80" s="79">
        <v>80</v>
      </c>
      <c r="M80" s="79"/>
      <c r="N80" s="74"/>
      <c r="O80" s="81" t="s">
        <v>299</v>
      </c>
      <c r="P80" s="83">
        <v>40060.100532407407</v>
      </c>
      <c r="Q80" s="81">
        <v>1168</v>
      </c>
      <c r="R80" s="81">
        <v>0</v>
      </c>
    </row>
    <row r="81" spans="1:18" x14ac:dyDescent="0.3">
      <c r="A81" s="66" t="s">
        <v>200</v>
      </c>
      <c r="B81" s="66" t="s">
        <v>279</v>
      </c>
      <c r="C81" s="67"/>
      <c r="D81" s="68"/>
      <c r="E81" s="69"/>
      <c r="F81" s="70"/>
      <c r="G81" s="67"/>
      <c r="H81" s="71"/>
      <c r="I81" s="72"/>
      <c r="J81" s="72"/>
      <c r="K81" s="36"/>
      <c r="L81" s="79">
        <v>81</v>
      </c>
      <c r="M81" s="79"/>
      <c r="N81" s="74"/>
      <c r="O81" s="81" t="s">
        <v>299</v>
      </c>
      <c r="P81" s="83">
        <v>40315.611759259256</v>
      </c>
      <c r="Q81" s="81">
        <v>359</v>
      </c>
      <c r="R81" s="81">
        <v>0</v>
      </c>
    </row>
    <row r="82" spans="1:18" x14ac:dyDescent="0.3">
      <c r="A82" s="66" t="s">
        <v>200</v>
      </c>
      <c r="B82" s="66" t="s">
        <v>280</v>
      </c>
      <c r="C82" s="67"/>
      <c r="D82" s="68"/>
      <c r="E82" s="69"/>
      <c r="F82" s="70"/>
      <c r="G82" s="67"/>
      <c r="H82" s="71"/>
      <c r="I82" s="72"/>
      <c r="J82" s="72"/>
      <c r="K82" s="36"/>
      <c r="L82" s="79">
        <v>82</v>
      </c>
      <c r="M82" s="79"/>
      <c r="N82" s="74"/>
      <c r="O82" s="81" t="s">
        <v>299</v>
      </c>
      <c r="P82" s="83">
        <v>40154.509097222224</v>
      </c>
      <c r="Q82" s="81">
        <v>172</v>
      </c>
      <c r="R82" s="81">
        <v>0</v>
      </c>
    </row>
    <row r="83" spans="1:18" x14ac:dyDescent="0.3">
      <c r="A83" s="66" t="s">
        <v>200</v>
      </c>
      <c r="B83" s="66" t="s">
        <v>281</v>
      </c>
      <c r="C83" s="67"/>
      <c r="D83" s="68"/>
      <c r="E83" s="69"/>
      <c r="F83" s="70"/>
      <c r="G83" s="67"/>
      <c r="H83" s="71"/>
      <c r="I83" s="72"/>
      <c r="J83" s="72"/>
      <c r="K83" s="36"/>
      <c r="L83" s="79">
        <v>83</v>
      </c>
      <c r="M83" s="79"/>
      <c r="N83" s="74"/>
      <c r="O83" s="81" t="s">
        <v>299</v>
      </c>
      <c r="P83" s="83">
        <v>40612.524305555555</v>
      </c>
      <c r="Q83" s="81">
        <v>876</v>
      </c>
      <c r="R83" s="81">
        <v>0</v>
      </c>
    </row>
    <row r="84" spans="1:18" x14ac:dyDescent="0.3">
      <c r="A84" s="66" t="s">
        <v>200</v>
      </c>
      <c r="B84" s="66" t="s">
        <v>282</v>
      </c>
      <c r="C84" s="67"/>
      <c r="D84" s="68"/>
      <c r="E84" s="69"/>
      <c r="F84" s="70"/>
      <c r="G84" s="67"/>
      <c r="H84" s="71"/>
      <c r="I84" s="72"/>
      <c r="J84" s="72"/>
      <c r="K84" s="36"/>
      <c r="L84" s="79">
        <v>84</v>
      </c>
      <c r="M84" s="79"/>
      <c r="N84" s="74"/>
      <c r="O84" s="81" t="s">
        <v>299</v>
      </c>
      <c r="P84" s="83">
        <v>40612.509965277779</v>
      </c>
      <c r="Q84" s="81">
        <v>149</v>
      </c>
      <c r="R84" s="81">
        <v>0</v>
      </c>
    </row>
    <row r="85" spans="1:18" x14ac:dyDescent="0.3">
      <c r="A85" s="66" t="s">
        <v>198</v>
      </c>
      <c r="B85" s="66" t="s">
        <v>283</v>
      </c>
      <c r="C85" s="67"/>
      <c r="D85" s="68"/>
      <c r="E85" s="69"/>
      <c r="F85" s="70"/>
      <c r="G85" s="67"/>
      <c r="H85" s="71"/>
      <c r="I85" s="72"/>
      <c r="J85" s="72"/>
      <c r="K85" s="36"/>
      <c r="L85" s="79">
        <v>85</v>
      </c>
      <c r="M85" s="79"/>
      <c r="N85" s="74"/>
      <c r="O85" s="81" t="s">
        <v>299</v>
      </c>
      <c r="P85" s="83">
        <v>40365.679062499999</v>
      </c>
      <c r="Q85" s="81">
        <v>145</v>
      </c>
      <c r="R85" s="81">
        <v>0</v>
      </c>
    </row>
    <row r="86" spans="1:18" x14ac:dyDescent="0.3">
      <c r="A86" s="66" t="s">
        <v>201</v>
      </c>
      <c r="B86" s="66" t="s">
        <v>283</v>
      </c>
      <c r="C86" s="67"/>
      <c r="D86" s="68"/>
      <c r="E86" s="69"/>
      <c r="F86" s="70"/>
      <c r="G86" s="67"/>
      <c r="H86" s="71"/>
      <c r="I86" s="72"/>
      <c r="J86" s="72"/>
      <c r="K86" s="36"/>
      <c r="L86" s="79">
        <v>86</v>
      </c>
      <c r="M86" s="79"/>
      <c r="N86" s="74"/>
      <c r="O86" s="81" t="s">
        <v>299</v>
      </c>
      <c r="P86" s="83">
        <v>40366.373645833337</v>
      </c>
      <c r="Q86" s="81">
        <v>145</v>
      </c>
      <c r="R86" s="81">
        <v>0</v>
      </c>
    </row>
    <row r="87" spans="1:18" x14ac:dyDescent="0.3">
      <c r="A87" s="66" t="s">
        <v>202</v>
      </c>
      <c r="B87" s="66" t="s">
        <v>284</v>
      </c>
      <c r="C87" s="67"/>
      <c r="D87" s="68"/>
      <c r="E87" s="69"/>
      <c r="F87" s="70"/>
      <c r="G87" s="67"/>
      <c r="H87" s="71"/>
      <c r="I87" s="72"/>
      <c r="J87" s="72"/>
      <c r="K87" s="36"/>
      <c r="L87" s="79">
        <v>87</v>
      </c>
      <c r="M87" s="79"/>
      <c r="N87" s="74"/>
      <c r="O87" s="81" t="s">
        <v>299</v>
      </c>
      <c r="P87" s="83">
        <v>41591.676377314812</v>
      </c>
      <c r="Q87" s="81">
        <v>14</v>
      </c>
      <c r="R87" s="81">
        <v>0</v>
      </c>
    </row>
    <row r="88" spans="1:18" x14ac:dyDescent="0.3">
      <c r="A88" s="66" t="s">
        <v>202</v>
      </c>
      <c r="B88" s="66" t="s">
        <v>285</v>
      </c>
      <c r="C88" s="67"/>
      <c r="D88" s="68"/>
      <c r="E88" s="69"/>
      <c r="F88" s="70"/>
      <c r="G88" s="67"/>
      <c r="H88" s="71"/>
      <c r="I88" s="72"/>
      <c r="J88" s="72"/>
      <c r="K88" s="36"/>
      <c r="L88" s="79">
        <v>88</v>
      </c>
      <c r="M88" s="79"/>
      <c r="N88" s="74"/>
      <c r="O88" s="81" t="s">
        <v>299</v>
      </c>
      <c r="P88" s="83">
        <v>40191.583796296298</v>
      </c>
      <c r="Q88" s="81">
        <v>558</v>
      </c>
      <c r="R88" s="81">
        <v>0</v>
      </c>
    </row>
    <row r="89" spans="1:18" x14ac:dyDescent="0.3">
      <c r="A89" s="66" t="s">
        <v>203</v>
      </c>
      <c r="B89" s="66" t="s">
        <v>286</v>
      </c>
      <c r="C89" s="67"/>
      <c r="D89" s="68"/>
      <c r="E89" s="69"/>
      <c r="F89" s="70"/>
      <c r="G89" s="67"/>
      <c r="H89" s="71"/>
      <c r="I89" s="72"/>
      <c r="J89" s="72"/>
      <c r="K89" s="36"/>
      <c r="L89" s="79">
        <v>89</v>
      </c>
      <c r="M89" s="79"/>
      <c r="N89" s="74"/>
      <c r="O89" s="81" t="s">
        <v>299</v>
      </c>
      <c r="P89" s="83">
        <v>42405.688113425924</v>
      </c>
      <c r="Q89" s="81">
        <v>0</v>
      </c>
      <c r="R89" s="81">
        <v>0</v>
      </c>
    </row>
    <row r="90" spans="1:18" x14ac:dyDescent="0.3">
      <c r="A90" s="66" t="s">
        <v>203</v>
      </c>
      <c r="B90" s="66" t="s">
        <v>196</v>
      </c>
      <c r="C90" s="67"/>
      <c r="D90" s="68"/>
      <c r="E90" s="69"/>
      <c r="F90" s="70"/>
      <c r="G90" s="67"/>
      <c r="H90" s="71"/>
      <c r="I90" s="72"/>
      <c r="J90" s="72"/>
      <c r="K90" s="36"/>
      <c r="L90" s="79">
        <v>90</v>
      </c>
      <c r="M90" s="79"/>
      <c r="N90" s="74"/>
      <c r="O90" s="81" t="s">
        <v>299</v>
      </c>
      <c r="P90" s="83">
        <v>42405.687534722223</v>
      </c>
      <c r="Q90" s="81">
        <v>41</v>
      </c>
      <c r="R90" s="81">
        <v>0</v>
      </c>
    </row>
    <row r="91" spans="1:18" x14ac:dyDescent="0.3">
      <c r="A91" s="66" t="s">
        <v>198</v>
      </c>
      <c r="B91" s="66" t="s">
        <v>287</v>
      </c>
      <c r="C91" s="67"/>
      <c r="D91" s="68"/>
      <c r="E91" s="69"/>
      <c r="F91" s="70"/>
      <c r="G91" s="67"/>
      <c r="H91" s="71"/>
      <c r="I91" s="72"/>
      <c r="J91" s="72"/>
      <c r="K91" s="36"/>
      <c r="L91" s="79">
        <v>91</v>
      </c>
      <c r="M91" s="79"/>
      <c r="N91" s="74"/>
      <c r="O91" s="81" t="s">
        <v>299</v>
      </c>
      <c r="P91" s="83">
        <v>40060.414398148147</v>
      </c>
      <c r="Q91" s="81">
        <v>8</v>
      </c>
      <c r="R91" s="81">
        <v>0</v>
      </c>
    </row>
    <row r="92" spans="1:18" x14ac:dyDescent="0.3">
      <c r="A92" s="66" t="s">
        <v>200</v>
      </c>
      <c r="B92" s="66" t="s">
        <v>287</v>
      </c>
      <c r="C92" s="67"/>
      <c r="D92" s="68"/>
      <c r="E92" s="69"/>
      <c r="F92" s="70"/>
      <c r="G92" s="67"/>
      <c r="H92" s="71"/>
      <c r="I92" s="72"/>
      <c r="J92" s="72"/>
      <c r="K92" s="36"/>
      <c r="L92" s="79">
        <v>92</v>
      </c>
      <c r="M92" s="79"/>
      <c r="N92" s="74"/>
      <c r="O92" s="81" t="s">
        <v>299</v>
      </c>
      <c r="P92" s="83">
        <v>40196.523101851853</v>
      </c>
      <c r="Q92" s="81">
        <v>8</v>
      </c>
      <c r="R92" s="81">
        <v>0</v>
      </c>
    </row>
    <row r="93" spans="1:18" x14ac:dyDescent="0.3">
      <c r="A93" s="66" t="s">
        <v>203</v>
      </c>
      <c r="B93" s="66" t="s">
        <v>287</v>
      </c>
      <c r="C93" s="67"/>
      <c r="D93" s="68"/>
      <c r="E93" s="69"/>
      <c r="F93" s="70"/>
      <c r="G93" s="67"/>
      <c r="H93" s="71"/>
      <c r="I93" s="72"/>
      <c r="J93" s="72"/>
      <c r="K93" s="36"/>
      <c r="L93" s="79">
        <v>93</v>
      </c>
      <c r="M93" s="79"/>
      <c r="N93" s="74"/>
      <c r="O93" s="81" t="s">
        <v>299</v>
      </c>
      <c r="P93" s="83">
        <v>40434.504629629628</v>
      </c>
      <c r="Q93" s="81">
        <v>8</v>
      </c>
      <c r="R93" s="81">
        <v>0</v>
      </c>
    </row>
    <row r="94" spans="1:18" x14ac:dyDescent="0.3">
      <c r="A94" s="66" t="s">
        <v>197</v>
      </c>
      <c r="B94" s="66" t="s">
        <v>198</v>
      </c>
      <c r="C94" s="67"/>
      <c r="D94" s="68"/>
      <c r="E94" s="69"/>
      <c r="F94" s="70"/>
      <c r="G94" s="67"/>
      <c r="H94" s="71"/>
      <c r="I94" s="72"/>
      <c r="J94" s="72"/>
      <c r="K94" s="36"/>
      <c r="L94" s="79">
        <v>94</v>
      </c>
      <c r="M94" s="79"/>
      <c r="N94" s="74"/>
      <c r="O94" s="81" t="s">
        <v>299</v>
      </c>
      <c r="P94" s="83">
        <v>40064.367673611108</v>
      </c>
      <c r="Q94" s="81">
        <v>32</v>
      </c>
      <c r="R94" s="81">
        <v>0</v>
      </c>
    </row>
    <row r="95" spans="1:18" x14ac:dyDescent="0.3">
      <c r="A95" s="66" t="s">
        <v>197</v>
      </c>
      <c r="B95" s="66" t="s">
        <v>288</v>
      </c>
      <c r="C95" s="67"/>
      <c r="D95" s="68"/>
      <c r="E95" s="69"/>
      <c r="F95" s="70"/>
      <c r="G95" s="67"/>
      <c r="H95" s="71"/>
      <c r="I95" s="72"/>
      <c r="J95" s="72"/>
      <c r="K95" s="36"/>
      <c r="L95" s="79">
        <v>95</v>
      </c>
      <c r="M95" s="79"/>
      <c r="N95" s="74"/>
      <c r="O95" s="81" t="s">
        <v>299</v>
      </c>
      <c r="P95" s="83">
        <v>39756.67465277778</v>
      </c>
      <c r="Q95" s="81">
        <v>792</v>
      </c>
      <c r="R95" s="81">
        <v>0</v>
      </c>
    </row>
    <row r="96" spans="1:18" x14ac:dyDescent="0.3">
      <c r="A96" s="66" t="s">
        <v>197</v>
      </c>
      <c r="B96" s="66" t="s">
        <v>289</v>
      </c>
      <c r="C96" s="67"/>
      <c r="D96" s="68"/>
      <c r="E96" s="69"/>
      <c r="F96" s="70"/>
      <c r="G96" s="67"/>
      <c r="H96" s="71"/>
      <c r="I96" s="72"/>
      <c r="J96" s="72"/>
      <c r="K96" s="36"/>
      <c r="L96" s="79">
        <v>96</v>
      </c>
      <c r="M96" s="79"/>
      <c r="N96" s="74"/>
      <c r="O96" s="81" t="s">
        <v>299</v>
      </c>
      <c r="P96" s="83">
        <v>39849.615243055552</v>
      </c>
      <c r="Q96" s="81">
        <v>151</v>
      </c>
      <c r="R96" s="81">
        <v>0</v>
      </c>
    </row>
    <row r="97" spans="1:18" x14ac:dyDescent="0.3">
      <c r="A97" s="66" t="s">
        <v>197</v>
      </c>
      <c r="B97" s="66" t="s">
        <v>290</v>
      </c>
      <c r="C97" s="67"/>
      <c r="D97" s="68"/>
      <c r="E97" s="69"/>
      <c r="F97" s="70"/>
      <c r="G97" s="67"/>
      <c r="H97" s="71"/>
      <c r="I97" s="72"/>
      <c r="J97" s="72"/>
      <c r="K97" s="36"/>
      <c r="L97" s="79">
        <v>97</v>
      </c>
      <c r="M97" s="79"/>
      <c r="N97" s="74"/>
      <c r="O97" s="81" t="s">
        <v>299</v>
      </c>
      <c r="P97" s="83">
        <v>44334.474918981483</v>
      </c>
      <c r="Q97" s="81">
        <v>1195</v>
      </c>
      <c r="R97" s="81">
        <v>0</v>
      </c>
    </row>
    <row r="98" spans="1:18" x14ac:dyDescent="0.3">
      <c r="A98" s="66" t="s">
        <v>197</v>
      </c>
      <c r="B98" s="66" t="s">
        <v>203</v>
      </c>
      <c r="C98" s="67"/>
      <c r="D98" s="68"/>
      <c r="E98" s="69"/>
      <c r="F98" s="70"/>
      <c r="G98" s="67"/>
      <c r="H98" s="71"/>
      <c r="I98" s="72"/>
      <c r="J98" s="72"/>
      <c r="K98" s="36"/>
      <c r="L98" s="79">
        <v>98</v>
      </c>
      <c r="M98" s="79"/>
      <c r="N98" s="74"/>
      <c r="O98" s="81" t="s">
        <v>299</v>
      </c>
      <c r="P98" s="83">
        <v>40227.670682870368</v>
      </c>
      <c r="Q98" s="81">
        <v>178</v>
      </c>
      <c r="R98" s="81">
        <v>0</v>
      </c>
    </row>
    <row r="99" spans="1:18" x14ac:dyDescent="0.3">
      <c r="A99" s="66" t="s">
        <v>198</v>
      </c>
      <c r="B99" s="66" t="s">
        <v>197</v>
      </c>
      <c r="C99" s="67"/>
      <c r="D99" s="68"/>
      <c r="E99" s="69"/>
      <c r="F99" s="70"/>
      <c r="G99" s="67"/>
      <c r="H99" s="71"/>
      <c r="I99" s="72"/>
      <c r="J99" s="72"/>
      <c r="K99" s="36"/>
      <c r="L99" s="79">
        <v>99</v>
      </c>
      <c r="M99" s="79"/>
      <c r="N99" s="74"/>
      <c r="O99" s="81" t="s">
        <v>299</v>
      </c>
      <c r="P99" s="83">
        <v>40060.413784722223</v>
      </c>
      <c r="Q99" s="81">
        <v>3</v>
      </c>
      <c r="R99" s="81">
        <v>0</v>
      </c>
    </row>
    <row r="100" spans="1:18" x14ac:dyDescent="0.3">
      <c r="A100" s="66" t="s">
        <v>199</v>
      </c>
      <c r="B100" s="66" t="s">
        <v>197</v>
      </c>
      <c r="C100" s="67"/>
      <c r="D100" s="68"/>
      <c r="E100" s="69"/>
      <c r="F100" s="70"/>
      <c r="G100" s="67"/>
      <c r="H100" s="71"/>
      <c r="I100" s="72"/>
      <c r="J100" s="72"/>
      <c r="K100" s="36"/>
      <c r="L100" s="79">
        <v>100</v>
      </c>
      <c r="M100" s="79"/>
      <c r="N100" s="74"/>
      <c r="O100" s="81" t="s">
        <v>299</v>
      </c>
      <c r="P100" s="83">
        <v>41466.584988425922</v>
      </c>
      <c r="Q100" s="81">
        <v>3</v>
      </c>
      <c r="R100" s="81">
        <v>0</v>
      </c>
    </row>
    <row r="101" spans="1:18" x14ac:dyDescent="0.3">
      <c r="A101" s="66" t="s">
        <v>200</v>
      </c>
      <c r="B101" s="66" t="s">
        <v>197</v>
      </c>
      <c r="C101" s="67"/>
      <c r="D101" s="68"/>
      <c r="E101" s="69"/>
      <c r="F101" s="70"/>
      <c r="G101" s="67"/>
      <c r="H101" s="71"/>
      <c r="I101" s="72"/>
      <c r="J101" s="72"/>
      <c r="K101" s="36"/>
      <c r="L101" s="79">
        <v>101</v>
      </c>
      <c r="M101" s="79"/>
      <c r="N101" s="74"/>
      <c r="O101" s="81" t="s">
        <v>299</v>
      </c>
      <c r="P101" s="83">
        <v>40196.520590277774</v>
      </c>
      <c r="Q101" s="81">
        <v>3</v>
      </c>
      <c r="R101" s="81">
        <v>0</v>
      </c>
    </row>
    <row r="102" spans="1:18" x14ac:dyDescent="0.3">
      <c r="A102" s="66" t="s">
        <v>203</v>
      </c>
      <c r="B102" s="66" t="s">
        <v>197</v>
      </c>
      <c r="C102" s="67"/>
      <c r="D102" s="68"/>
      <c r="E102" s="69"/>
      <c r="F102" s="70"/>
      <c r="G102" s="67"/>
      <c r="H102" s="71"/>
      <c r="I102" s="72"/>
      <c r="J102" s="72"/>
      <c r="K102" s="36"/>
      <c r="L102" s="79">
        <v>102</v>
      </c>
      <c r="M102" s="79"/>
      <c r="N102" s="74"/>
      <c r="O102" s="81" t="s">
        <v>299</v>
      </c>
      <c r="P102" s="83">
        <v>40227.415208333332</v>
      </c>
      <c r="Q102" s="81">
        <v>3</v>
      </c>
      <c r="R102" s="81">
        <v>0</v>
      </c>
    </row>
    <row r="103" spans="1:18" x14ac:dyDescent="0.3">
      <c r="A103" s="66" t="s">
        <v>198</v>
      </c>
      <c r="B103" s="66" t="s">
        <v>200</v>
      </c>
      <c r="C103" s="67"/>
      <c r="D103" s="68"/>
      <c r="E103" s="69"/>
      <c r="F103" s="70"/>
      <c r="G103" s="67"/>
      <c r="H103" s="71"/>
      <c r="I103" s="72"/>
      <c r="J103" s="72"/>
      <c r="K103" s="36"/>
      <c r="L103" s="79">
        <v>103</v>
      </c>
      <c r="M103" s="79"/>
      <c r="N103" s="74"/>
      <c r="O103" s="81" t="s">
        <v>299</v>
      </c>
      <c r="P103" s="83">
        <v>40193.680567129632</v>
      </c>
      <c r="Q103" s="81">
        <v>396</v>
      </c>
      <c r="R103" s="81">
        <v>0</v>
      </c>
    </row>
    <row r="104" spans="1:18" x14ac:dyDescent="0.3">
      <c r="A104" s="66" t="s">
        <v>198</v>
      </c>
      <c r="B104" s="66" t="s">
        <v>288</v>
      </c>
      <c r="C104" s="67"/>
      <c r="D104" s="68"/>
      <c r="E104" s="69"/>
      <c r="F104" s="70"/>
      <c r="G104" s="67"/>
      <c r="H104" s="71"/>
      <c r="I104" s="72"/>
      <c r="J104" s="72"/>
      <c r="K104" s="36"/>
      <c r="L104" s="79">
        <v>104</v>
      </c>
      <c r="M104" s="79"/>
      <c r="N104" s="74"/>
      <c r="O104" s="81" t="s">
        <v>299</v>
      </c>
      <c r="P104" s="83">
        <v>40037.421006944445</v>
      </c>
      <c r="Q104" s="81">
        <v>792</v>
      </c>
      <c r="R104" s="81">
        <v>0</v>
      </c>
    </row>
    <row r="105" spans="1:18" x14ac:dyDescent="0.3">
      <c r="A105" s="66" t="s">
        <v>198</v>
      </c>
      <c r="B105" s="66" t="s">
        <v>201</v>
      </c>
      <c r="C105" s="67"/>
      <c r="D105" s="68"/>
      <c r="E105" s="69"/>
      <c r="F105" s="70"/>
      <c r="G105" s="67"/>
      <c r="H105" s="71"/>
      <c r="I105" s="72"/>
      <c r="J105" s="72"/>
      <c r="K105" s="36"/>
      <c r="L105" s="79">
        <v>105</v>
      </c>
      <c r="M105" s="79"/>
      <c r="N105" s="74"/>
      <c r="O105" s="81" t="s">
        <v>299</v>
      </c>
      <c r="P105" s="83">
        <v>40060.411724537036</v>
      </c>
      <c r="Q105" s="81">
        <v>34</v>
      </c>
      <c r="R105" s="81">
        <v>0</v>
      </c>
    </row>
    <row r="106" spans="1:18" x14ac:dyDescent="0.3">
      <c r="A106" s="66" t="s">
        <v>198</v>
      </c>
      <c r="B106" s="66" t="s">
        <v>291</v>
      </c>
      <c r="C106" s="67"/>
      <c r="D106" s="68"/>
      <c r="E106" s="69"/>
      <c r="F106" s="70"/>
      <c r="G106" s="67"/>
      <c r="H106" s="71"/>
      <c r="I106" s="72"/>
      <c r="J106" s="72"/>
      <c r="K106" s="36"/>
      <c r="L106" s="79">
        <v>106</v>
      </c>
      <c r="M106" s="79"/>
      <c r="N106" s="74"/>
      <c r="O106" s="81" t="s">
        <v>299</v>
      </c>
      <c r="P106" s="83">
        <v>40030.642060185186</v>
      </c>
      <c r="Q106" s="81">
        <v>58</v>
      </c>
      <c r="R106" s="81">
        <v>0</v>
      </c>
    </row>
    <row r="107" spans="1:18" x14ac:dyDescent="0.3">
      <c r="A107" s="66" t="s">
        <v>198</v>
      </c>
      <c r="B107" s="66" t="s">
        <v>289</v>
      </c>
      <c r="C107" s="67"/>
      <c r="D107" s="68"/>
      <c r="E107" s="69"/>
      <c r="F107" s="70"/>
      <c r="G107" s="67"/>
      <c r="H107" s="71"/>
      <c r="I107" s="72"/>
      <c r="J107" s="72"/>
      <c r="K107" s="36"/>
      <c r="L107" s="79">
        <v>107</v>
      </c>
      <c r="M107" s="79"/>
      <c r="N107" s="74"/>
      <c r="O107" s="81" t="s">
        <v>299</v>
      </c>
      <c r="P107" s="83">
        <v>40060.413622685184</v>
      </c>
      <c r="Q107" s="81">
        <v>151</v>
      </c>
      <c r="R107" s="81">
        <v>0</v>
      </c>
    </row>
    <row r="108" spans="1:18" x14ac:dyDescent="0.3">
      <c r="A108" s="66" t="s">
        <v>198</v>
      </c>
      <c r="B108" s="66" t="s">
        <v>292</v>
      </c>
      <c r="C108" s="67"/>
      <c r="D108" s="68"/>
      <c r="E108" s="69"/>
      <c r="F108" s="70"/>
      <c r="G108" s="67"/>
      <c r="H108" s="71"/>
      <c r="I108" s="72"/>
      <c r="J108" s="72"/>
      <c r="K108" s="36"/>
      <c r="L108" s="79">
        <v>108</v>
      </c>
      <c r="M108" s="79"/>
      <c r="N108" s="74"/>
      <c r="O108" s="81" t="s">
        <v>299</v>
      </c>
      <c r="P108" s="83">
        <v>40060.414687500001</v>
      </c>
      <c r="Q108" s="81">
        <v>370</v>
      </c>
      <c r="R108" s="81">
        <v>0</v>
      </c>
    </row>
    <row r="109" spans="1:18" x14ac:dyDescent="0.3">
      <c r="A109" s="66" t="s">
        <v>198</v>
      </c>
      <c r="B109" s="66" t="s">
        <v>202</v>
      </c>
      <c r="C109" s="67"/>
      <c r="D109" s="68"/>
      <c r="E109" s="69"/>
      <c r="F109" s="70"/>
      <c r="G109" s="67"/>
      <c r="H109" s="71"/>
      <c r="I109" s="72"/>
      <c r="J109" s="72"/>
      <c r="K109" s="36"/>
      <c r="L109" s="79">
        <v>109</v>
      </c>
      <c r="M109" s="79"/>
      <c r="N109" s="74"/>
      <c r="O109" s="81" t="s">
        <v>299</v>
      </c>
      <c r="P109" s="83">
        <v>40037.420902777776</v>
      </c>
      <c r="Q109" s="81">
        <v>0</v>
      </c>
      <c r="R109" s="81">
        <v>0</v>
      </c>
    </row>
    <row r="110" spans="1:18" x14ac:dyDescent="0.3">
      <c r="A110" s="66" t="s">
        <v>198</v>
      </c>
      <c r="B110" s="66" t="s">
        <v>293</v>
      </c>
      <c r="C110" s="67"/>
      <c r="D110" s="68"/>
      <c r="E110" s="69"/>
      <c r="F110" s="70"/>
      <c r="G110" s="67"/>
      <c r="H110" s="71"/>
      <c r="I110" s="72"/>
      <c r="J110" s="72"/>
      <c r="K110" s="36"/>
      <c r="L110" s="79">
        <v>110</v>
      </c>
      <c r="M110" s="79"/>
      <c r="N110" s="74"/>
      <c r="O110" s="81" t="s">
        <v>299</v>
      </c>
      <c r="P110" s="83">
        <v>43195.641747685186</v>
      </c>
      <c r="Q110" s="81">
        <v>6</v>
      </c>
      <c r="R110" s="81">
        <v>0</v>
      </c>
    </row>
    <row r="111" spans="1:18" x14ac:dyDescent="0.3">
      <c r="A111" s="66" t="s">
        <v>198</v>
      </c>
      <c r="B111" s="66" t="s">
        <v>290</v>
      </c>
      <c r="C111" s="67"/>
      <c r="D111" s="68"/>
      <c r="E111" s="69"/>
      <c r="F111" s="70"/>
      <c r="G111" s="67"/>
      <c r="H111" s="71"/>
      <c r="I111" s="72"/>
      <c r="J111" s="72"/>
      <c r="K111" s="36"/>
      <c r="L111" s="79">
        <v>111</v>
      </c>
      <c r="M111" s="79"/>
      <c r="N111" s="74"/>
      <c r="O111" s="81" t="s">
        <v>299</v>
      </c>
      <c r="P111" s="83">
        <v>40632.571215277778</v>
      </c>
      <c r="Q111" s="81">
        <v>1195</v>
      </c>
      <c r="R111" s="81">
        <v>0</v>
      </c>
    </row>
    <row r="112" spans="1:18" x14ac:dyDescent="0.3">
      <c r="A112" s="66" t="s">
        <v>198</v>
      </c>
      <c r="B112" s="66" t="s">
        <v>203</v>
      </c>
      <c r="C112" s="67"/>
      <c r="D112" s="68"/>
      <c r="E112" s="69"/>
      <c r="F112" s="70"/>
      <c r="G112" s="67"/>
      <c r="H112" s="71"/>
      <c r="I112" s="72"/>
      <c r="J112" s="72"/>
      <c r="K112" s="36"/>
      <c r="L112" s="79">
        <v>112</v>
      </c>
      <c r="M112" s="79"/>
      <c r="N112" s="74"/>
      <c r="O112" s="81" t="s">
        <v>299</v>
      </c>
      <c r="P112" s="83">
        <v>40519.593043981484</v>
      </c>
      <c r="Q112" s="81">
        <v>178</v>
      </c>
      <c r="R112" s="81">
        <v>0</v>
      </c>
    </row>
    <row r="113" spans="1:18" x14ac:dyDescent="0.3">
      <c r="A113" s="66" t="s">
        <v>198</v>
      </c>
      <c r="B113" s="66" t="s">
        <v>294</v>
      </c>
      <c r="C113" s="67"/>
      <c r="D113" s="68"/>
      <c r="E113" s="69"/>
      <c r="F113" s="70"/>
      <c r="G113" s="67"/>
      <c r="H113" s="71"/>
      <c r="I113" s="72"/>
      <c r="J113" s="72"/>
      <c r="K113" s="36"/>
      <c r="L113" s="79">
        <v>113</v>
      </c>
      <c r="M113" s="79"/>
      <c r="N113" s="74"/>
      <c r="O113" s="81" t="s">
        <v>299</v>
      </c>
      <c r="P113" s="83">
        <v>43761.624548611115</v>
      </c>
      <c r="Q113" s="81">
        <v>2220</v>
      </c>
      <c r="R113" s="81">
        <v>0</v>
      </c>
    </row>
    <row r="114" spans="1:18" x14ac:dyDescent="0.3">
      <c r="A114" s="66" t="s">
        <v>198</v>
      </c>
      <c r="B114" s="66" t="s">
        <v>295</v>
      </c>
      <c r="C114" s="67"/>
      <c r="D114" s="68"/>
      <c r="E114" s="69"/>
      <c r="F114" s="70"/>
      <c r="G114" s="67"/>
      <c r="H114" s="71"/>
      <c r="I114" s="72"/>
      <c r="J114" s="72"/>
      <c r="K114" s="36"/>
      <c r="L114" s="79">
        <v>114</v>
      </c>
      <c r="M114" s="79"/>
      <c r="N114" s="74"/>
      <c r="O114" s="81" t="s">
        <v>299</v>
      </c>
      <c r="P114" s="83">
        <v>40030.64340277778</v>
      </c>
      <c r="Q114" s="81">
        <v>0</v>
      </c>
      <c r="R114" s="81">
        <v>0</v>
      </c>
    </row>
    <row r="115" spans="1:18" x14ac:dyDescent="0.3">
      <c r="A115" s="66" t="s">
        <v>199</v>
      </c>
      <c r="B115" s="66" t="s">
        <v>198</v>
      </c>
      <c r="C115" s="67"/>
      <c r="D115" s="68"/>
      <c r="E115" s="69"/>
      <c r="F115" s="70"/>
      <c r="G115" s="67"/>
      <c r="H115" s="71"/>
      <c r="I115" s="72"/>
      <c r="J115" s="72"/>
      <c r="K115" s="36"/>
      <c r="L115" s="79">
        <v>115</v>
      </c>
      <c r="M115" s="79"/>
      <c r="N115" s="74"/>
      <c r="O115" s="81" t="s">
        <v>299</v>
      </c>
      <c r="P115" s="83">
        <v>41466.582465277781</v>
      </c>
      <c r="Q115" s="81">
        <v>32</v>
      </c>
      <c r="R115" s="81">
        <v>0</v>
      </c>
    </row>
    <row r="116" spans="1:18" x14ac:dyDescent="0.3">
      <c r="A116" s="66" t="s">
        <v>200</v>
      </c>
      <c r="B116" s="66" t="s">
        <v>198</v>
      </c>
      <c r="C116" s="67"/>
      <c r="D116" s="68"/>
      <c r="E116" s="69"/>
      <c r="F116" s="70"/>
      <c r="G116" s="67"/>
      <c r="H116" s="71"/>
      <c r="I116" s="72"/>
      <c r="J116" s="72"/>
      <c r="K116" s="36"/>
      <c r="L116" s="79">
        <v>116</v>
      </c>
      <c r="M116" s="79"/>
      <c r="N116" s="74"/>
      <c r="O116" s="81" t="s">
        <v>299</v>
      </c>
      <c r="P116" s="83">
        <v>40196.522499999999</v>
      </c>
      <c r="Q116" s="81">
        <v>32</v>
      </c>
      <c r="R116" s="81">
        <v>0</v>
      </c>
    </row>
    <row r="117" spans="1:18" x14ac:dyDescent="0.3">
      <c r="A117" s="66" t="s">
        <v>201</v>
      </c>
      <c r="B117" s="66" t="s">
        <v>198</v>
      </c>
      <c r="C117" s="67"/>
      <c r="D117" s="68"/>
      <c r="E117" s="69"/>
      <c r="F117" s="70"/>
      <c r="G117" s="67"/>
      <c r="H117" s="71"/>
      <c r="I117" s="72"/>
      <c r="J117" s="72"/>
      <c r="K117" s="36"/>
      <c r="L117" s="79">
        <v>117</v>
      </c>
      <c r="M117" s="79"/>
      <c r="N117" s="74"/>
      <c r="O117" s="81" t="s">
        <v>299</v>
      </c>
      <c r="P117" s="83">
        <v>41772.597812499997</v>
      </c>
      <c r="Q117" s="81">
        <v>32</v>
      </c>
      <c r="R117" s="81">
        <v>0</v>
      </c>
    </row>
    <row r="118" spans="1:18" x14ac:dyDescent="0.3">
      <c r="A118" s="66" t="s">
        <v>202</v>
      </c>
      <c r="B118" s="66" t="s">
        <v>198</v>
      </c>
      <c r="C118" s="67"/>
      <c r="D118" s="68"/>
      <c r="E118" s="69"/>
      <c r="F118" s="70"/>
      <c r="G118" s="67"/>
      <c r="H118" s="71"/>
      <c r="I118" s="72"/>
      <c r="J118" s="72"/>
      <c r="K118" s="36"/>
      <c r="L118" s="79">
        <v>118</v>
      </c>
      <c r="M118" s="79"/>
      <c r="N118" s="74"/>
      <c r="O118" s="81" t="s">
        <v>299</v>
      </c>
      <c r="P118" s="83">
        <v>41591.676354166666</v>
      </c>
      <c r="Q118" s="81">
        <v>32</v>
      </c>
      <c r="R118" s="81">
        <v>0</v>
      </c>
    </row>
    <row r="119" spans="1:18" x14ac:dyDescent="0.3">
      <c r="A119" s="66" t="s">
        <v>203</v>
      </c>
      <c r="B119" s="66" t="s">
        <v>198</v>
      </c>
      <c r="C119" s="67"/>
      <c r="D119" s="68"/>
      <c r="E119" s="69"/>
      <c r="F119" s="70"/>
      <c r="G119" s="67"/>
      <c r="H119" s="71"/>
      <c r="I119" s="72"/>
      <c r="J119" s="72"/>
      <c r="K119" s="36"/>
      <c r="L119" s="79">
        <v>119</v>
      </c>
      <c r="M119" s="79"/>
      <c r="N119" s="74"/>
      <c r="O119" s="81" t="s">
        <v>299</v>
      </c>
      <c r="P119" s="83">
        <v>40227.415555555555</v>
      </c>
      <c r="Q119" s="81">
        <v>32</v>
      </c>
      <c r="R119" s="81">
        <v>0</v>
      </c>
    </row>
    <row r="120" spans="1:18" x14ac:dyDescent="0.3">
      <c r="A120" s="66" t="s">
        <v>199</v>
      </c>
      <c r="B120" s="66" t="s">
        <v>288</v>
      </c>
      <c r="C120" s="67"/>
      <c r="D120" s="68"/>
      <c r="E120" s="69"/>
      <c r="F120" s="70"/>
      <c r="G120" s="67"/>
      <c r="H120" s="71"/>
      <c r="I120" s="72"/>
      <c r="J120" s="72"/>
      <c r="K120" s="36"/>
      <c r="L120" s="79">
        <v>120</v>
      </c>
      <c r="M120" s="79"/>
      <c r="N120" s="74"/>
      <c r="O120" s="81" t="s">
        <v>299</v>
      </c>
      <c r="P120" s="83">
        <v>41466.582453703704</v>
      </c>
      <c r="Q120" s="81">
        <v>792</v>
      </c>
      <c r="R120" s="81">
        <v>0</v>
      </c>
    </row>
    <row r="121" spans="1:18" x14ac:dyDescent="0.3">
      <c r="A121" s="66" t="s">
        <v>199</v>
      </c>
      <c r="B121" s="66" t="s">
        <v>202</v>
      </c>
      <c r="C121" s="67"/>
      <c r="D121" s="68"/>
      <c r="E121" s="69"/>
      <c r="F121" s="70"/>
      <c r="G121" s="67"/>
      <c r="H121" s="71"/>
      <c r="I121" s="72"/>
      <c r="J121" s="72"/>
      <c r="K121" s="36"/>
      <c r="L121" s="79">
        <v>121</v>
      </c>
      <c r="M121" s="79"/>
      <c r="N121" s="74"/>
      <c r="O121" s="81" t="s">
        <v>299</v>
      </c>
      <c r="P121" s="83">
        <v>41466.582476851851</v>
      </c>
      <c r="Q121" s="81">
        <v>0</v>
      </c>
      <c r="R121" s="81">
        <v>0</v>
      </c>
    </row>
    <row r="122" spans="1:18" x14ac:dyDescent="0.3">
      <c r="A122" s="66" t="s">
        <v>199</v>
      </c>
      <c r="B122" s="66" t="s">
        <v>290</v>
      </c>
      <c r="C122" s="67"/>
      <c r="D122" s="68"/>
      <c r="E122" s="69"/>
      <c r="F122" s="70"/>
      <c r="G122" s="67"/>
      <c r="H122" s="71"/>
      <c r="I122" s="72"/>
      <c r="J122" s="72"/>
      <c r="K122" s="36"/>
      <c r="L122" s="79">
        <v>122</v>
      </c>
      <c r="M122" s="79"/>
      <c r="N122" s="74"/>
      <c r="O122" s="81" t="s">
        <v>299</v>
      </c>
      <c r="P122" s="83">
        <v>41466.582407407404</v>
      </c>
      <c r="Q122" s="81">
        <v>1195</v>
      </c>
      <c r="R122" s="81">
        <v>0</v>
      </c>
    </row>
    <row r="123" spans="1:18" x14ac:dyDescent="0.3">
      <c r="A123" s="66" t="s">
        <v>199</v>
      </c>
      <c r="B123" s="66" t="s">
        <v>203</v>
      </c>
      <c r="C123" s="67"/>
      <c r="D123" s="68"/>
      <c r="E123" s="69"/>
      <c r="F123" s="70"/>
      <c r="G123" s="67"/>
      <c r="H123" s="71"/>
      <c r="I123" s="72"/>
      <c r="J123" s="72"/>
      <c r="K123" s="36"/>
      <c r="L123" s="79">
        <v>123</v>
      </c>
      <c r="M123" s="79"/>
      <c r="N123" s="74"/>
      <c r="O123" s="81" t="s">
        <v>299</v>
      </c>
      <c r="P123" s="83">
        <v>41466.582488425927</v>
      </c>
      <c r="Q123" s="81">
        <v>178</v>
      </c>
      <c r="R123" s="81">
        <v>0</v>
      </c>
    </row>
    <row r="124" spans="1:18" x14ac:dyDescent="0.3">
      <c r="A124" s="66" t="s">
        <v>199</v>
      </c>
      <c r="B124" s="66" t="s">
        <v>295</v>
      </c>
      <c r="C124" s="67"/>
      <c r="D124" s="68"/>
      <c r="E124" s="69"/>
      <c r="F124" s="70"/>
      <c r="G124" s="67"/>
      <c r="H124" s="71"/>
      <c r="I124" s="72"/>
      <c r="J124" s="72"/>
      <c r="K124" s="36"/>
      <c r="L124" s="79">
        <v>124</v>
      </c>
      <c r="M124" s="79"/>
      <c r="N124" s="74"/>
      <c r="O124" s="81" t="s">
        <v>299</v>
      </c>
      <c r="P124" s="83">
        <v>41151.407268518517</v>
      </c>
      <c r="Q124" s="81">
        <v>0</v>
      </c>
      <c r="R124" s="81">
        <v>0</v>
      </c>
    </row>
    <row r="125" spans="1:18" x14ac:dyDescent="0.3">
      <c r="A125" s="66" t="s">
        <v>203</v>
      </c>
      <c r="B125" s="66" t="s">
        <v>199</v>
      </c>
      <c r="C125" s="67"/>
      <c r="D125" s="68"/>
      <c r="E125" s="69"/>
      <c r="F125" s="70"/>
      <c r="G125" s="67"/>
      <c r="H125" s="71"/>
      <c r="I125" s="72"/>
      <c r="J125" s="72"/>
      <c r="K125" s="36"/>
      <c r="L125" s="79">
        <v>125</v>
      </c>
      <c r="M125" s="79"/>
      <c r="N125" s="74"/>
      <c r="O125" s="81" t="s">
        <v>299</v>
      </c>
      <c r="P125" s="83">
        <v>41444.38616898148</v>
      </c>
      <c r="Q125" s="81">
        <v>66</v>
      </c>
      <c r="R125" s="81">
        <v>0</v>
      </c>
    </row>
    <row r="126" spans="1:18" x14ac:dyDescent="0.3">
      <c r="A126" s="66" t="s">
        <v>200</v>
      </c>
      <c r="B126" s="66" t="s">
        <v>288</v>
      </c>
      <c r="C126" s="67"/>
      <c r="D126" s="68"/>
      <c r="E126" s="69"/>
      <c r="F126" s="70"/>
      <c r="G126" s="67"/>
      <c r="H126" s="71"/>
      <c r="I126" s="72"/>
      <c r="J126" s="72"/>
      <c r="K126" s="36"/>
      <c r="L126" s="79">
        <v>126</v>
      </c>
      <c r="M126" s="79"/>
      <c r="N126" s="74"/>
      <c r="O126" s="81" t="s">
        <v>299</v>
      </c>
      <c r="P126" s="83">
        <v>40060.100312499999</v>
      </c>
      <c r="Q126" s="81">
        <v>792</v>
      </c>
      <c r="R126" s="81">
        <v>0</v>
      </c>
    </row>
    <row r="127" spans="1:18" x14ac:dyDescent="0.3">
      <c r="A127" s="66" t="s">
        <v>200</v>
      </c>
      <c r="B127" s="66" t="s">
        <v>201</v>
      </c>
      <c r="C127" s="67"/>
      <c r="D127" s="68"/>
      <c r="E127" s="69"/>
      <c r="F127" s="70"/>
      <c r="G127" s="67"/>
      <c r="H127" s="71"/>
      <c r="I127" s="72"/>
      <c r="J127" s="72"/>
      <c r="K127" s="36"/>
      <c r="L127" s="79">
        <v>127</v>
      </c>
      <c r="M127" s="79"/>
      <c r="N127" s="74"/>
      <c r="O127" s="81" t="s">
        <v>299</v>
      </c>
      <c r="P127" s="83">
        <v>40196.522499999999</v>
      </c>
      <c r="Q127" s="81">
        <v>34</v>
      </c>
      <c r="R127" s="81">
        <v>0</v>
      </c>
    </row>
    <row r="128" spans="1:18" x14ac:dyDescent="0.3">
      <c r="A128" s="66" t="s">
        <v>200</v>
      </c>
      <c r="B128" s="66" t="s">
        <v>291</v>
      </c>
      <c r="C128" s="67"/>
      <c r="D128" s="68"/>
      <c r="E128" s="69"/>
      <c r="F128" s="70"/>
      <c r="G128" s="67"/>
      <c r="H128" s="71"/>
      <c r="I128" s="72"/>
      <c r="J128" s="72"/>
      <c r="K128" s="36"/>
      <c r="L128" s="79">
        <v>128</v>
      </c>
      <c r="M128" s="79"/>
      <c r="N128" s="74"/>
      <c r="O128" s="81" t="s">
        <v>299</v>
      </c>
      <c r="P128" s="83">
        <v>40196.521724537037</v>
      </c>
      <c r="Q128" s="81">
        <v>58</v>
      </c>
      <c r="R128" s="81">
        <v>0</v>
      </c>
    </row>
    <row r="129" spans="1:18" x14ac:dyDescent="0.3">
      <c r="A129" s="66" t="s">
        <v>200</v>
      </c>
      <c r="B129" s="66" t="s">
        <v>289</v>
      </c>
      <c r="C129" s="67"/>
      <c r="D129" s="68"/>
      <c r="E129" s="69"/>
      <c r="F129" s="70"/>
      <c r="G129" s="67"/>
      <c r="H129" s="71"/>
      <c r="I129" s="72"/>
      <c r="J129" s="72"/>
      <c r="K129" s="36"/>
      <c r="L129" s="79">
        <v>129</v>
      </c>
      <c r="M129" s="79"/>
      <c r="N129" s="74"/>
      <c r="O129" s="81" t="s">
        <v>299</v>
      </c>
      <c r="P129" s="83">
        <v>40196.522314814814</v>
      </c>
      <c r="Q129" s="81">
        <v>151</v>
      </c>
      <c r="R129" s="81">
        <v>0</v>
      </c>
    </row>
    <row r="130" spans="1:18" x14ac:dyDescent="0.3">
      <c r="A130" s="66" t="s">
        <v>203</v>
      </c>
      <c r="B130" s="66" t="s">
        <v>200</v>
      </c>
      <c r="C130" s="67"/>
      <c r="D130" s="68"/>
      <c r="E130" s="69"/>
      <c r="F130" s="70"/>
      <c r="G130" s="67"/>
      <c r="H130" s="71"/>
      <c r="I130" s="72"/>
      <c r="J130" s="72"/>
      <c r="K130" s="36"/>
      <c r="L130" s="79">
        <v>130</v>
      </c>
      <c r="M130" s="79"/>
      <c r="N130" s="74"/>
      <c r="O130" s="81" t="s">
        <v>299</v>
      </c>
      <c r="P130" s="83">
        <v>40434.50409722222</v>
      </c>
      <c r="Q130" s="81">
        <v>396</v>
      </c>
      <c r="R130" s="81">
        <v>0</v>
      </c>
    </row>
    <row r="131" spans="1:18" x14ac:dyDescent="0.3">
      <c r="A131" s="66" t="s">
        <v>201</v>
      </c>
      <c r="B131" s="66" t="s">
        <v>288</v>
      </c>
      <c r="C131" s="67"/>
      <c r="D131" s="68"/>
      <c r="E131" s="69"/>
      <c r="F131" s="70"/>
      <c r="G131" s="67"/>
      <c r="H131" s="71"/>
      <c r="I131" s="72"/>
      <c r="J131" s="72"/>
      <c r="K131" s="36"/>
      <c r="L131" s="79">
        <v>131</v>
      </c>
      <c r="M131" s="79"/>
      <c r="N131" s="74"/>
      <c r="O131" s="81" t="s">
        <v>299</v>
      </c>
      <c r="P131" s="83">
        <v>41768.410428240742</v>
      </c>
      <c r="Q131" s="81">
        <v>792</v>
      </c>
      <c r="R131" s="81">
        <v>0</v>
      </c>
    </row>
    <row r="132" spans="1:18" x14ac:dyDescent="0.3">
      <c r="A132" s="66" t="s">
        <v>202</v>
      </c>
      <c r="B132" s="66" t="s">
        <v>288</v>
      </c>
      <c r="C132" s="67"/>
      <c r="D132" s="68"/>
      <c r="E132" s="69"/>
      <c r="F132" s="70"/>
      <c r="G132" s="67"/>
      <c r="H132" s="71"/>
      <c r="I132" s="72"/>
      <c r="J132" s="72"/>
      <c r="K132" s="36"/>
      <c r="L132" s="79">
        <v>132</v>
      </c>
      <c r="M132" s="79"/>
      <c r="N132" s="74"/>
      <c r="O132" s="81" t="s">
        <v>299</v>
      </c>
      <c r="P132" s="83">
        <v>41591.676319444443</v>
      </c>
      <c r="Q132" s="81">
        <v>792</v>
      </c>
      <c r="R132" s="81">
        <v>0</v>
      </c>
    </row>
    <row r="133" spans="1:18" x14ac:dyDescent="0.3">
      <c r="A133" s="66" t="s">
        <v>203</v>
      </c>
      <c r="B133" s="66" t="s">
        <v>288</v>
      </c>
      <c r="C133" s="67"/>
      <c r="D133" s="68"/>
      <c r="E133" s="69"/>
      <c r="F133" s="70"/>
      <c r="G133" s="67"/>
      <c r="H133" s="71"/>
      <c r="I133" s="72"/>
      <c r="J133" s="72"/>
      <c r="K133" s="36"/>
      <c r="L133" s="79">
        <v>133</v>
      </c>
      <c r="M133" s="79"/>
      <c r="N133" s="74"/>
      <c r="O133" s="81" t="s">
        <v>299</v>
      </c>
      <c r="P133" s="83">
        <v>39862.5778587963</v>
      </c>
      <c r="Q133" s="81">
        <v>792</v>
      </c>
      <c r="R133" s="81">
        <v>0</v>
      </c>
    </row>
    <row r="134" spans="1:18" x14ac:dyDescent="0.3">
      <c r="A134" s="66" t="s">
        <v>203</v>
      </c>
      <c r="B134" s="66" t="s">
        <v>201</v>
      </c>
      <c r="C134" s="67"/>
      <c r="D134" s="68"/>
      <c r="E134" s="69"/>
      <c r="F134" s="70"/>
      <c r="G134" s="67"/>
      <c r="H134" s="71"/>
      <c r="I134" s="72"/>
      <c r="J134" s="72"/>
      <c r="K134" s="36"/>
      <c r="L134" s="79">
        <v>134</v>
      </c>
      <c r="M134" s="79"/>
      <c r="N134" s="74"/>
      <c r="O134" s="81" t="s">
        <v>299</v>
      </c>
      <c r="P134" s="83">
        <v>40227.415555555555</v>
      </c>
      <c r="Q134" s="81">
        <v>34</v>
      </c>
      <c r="R134" s="81">
        <v>0</v>
      </c>
    </row>
    <row r="135" spans="1:18" x14ac:dyDescent="0.3">
      <c r="A135" s="66" t="s">
        <v>203</v>
      </c>
      <c r="B135" s="66" t="s">
        <v>291</v>
      </c>
      <c r="C135" s="67"/>
      <c r="D135" s="68"/>
      <c r="E135" s="69"/>
      <c r="F135" s="70"/>
      <c r="G135" s="67"/>
      <c r="H135" s="71"/>
      <c r="I135" s="72"/>
      <c r="J135" s="72"/>
      <c r="K135" s="36"/>
      <c r="L135" s="79">
        <v>135</v>
      </c>
      <c r="M135" s="79"/>
      <c r="N135" s="74"/>
      <c r="O135" s="81" t="s">
        <v>299</v>
      </c>
      <c r="P135" s="83">
        <v>39980.577581018515</v>
      </c>
      <c r="Q135" s="81">
        <v>58</v>
      </c>
      <c r="R135" s="81">
        <v>0</v>
      </c>
    </row>
    <row r="136" spans="1:18" x14ac:dyDescent="0.3">
      <c r="A136" s="66" t="s">
        <v>203</v>
      </c>
      <c r="B136" s="66" t="s">
        <v>296</v>
      </c>
      <c r="C136" s="67"/>
      <c r="D136" s="68"/>
      <c r="E136" s="69"/>
      <c r="F136" s="70"/>
      <c r="G136" s="67"/>
      <c r="H136" s="71"/>
      <c r="I136" s="72"/>
      <c r="J136" s="72"/>
      <c r="K136" s="36"/>
      <c r="L136" s="79">
        <v>136</v>
      </c>
      <c r="M136" s="79"/>
      <c r="N136" s="74"/>
      <c r="O136" s="81" t="s">
        <v>299</v>
      </c>
      <c r="P136" s="83">
        <v>42212.485138888886</v>
      </c>
      <c r="Q136" s="81">
        <v>74</v>
      </c>
      <c r="R136" s="81">
        <v>0</v>
      </c>
    </row>
    <row r="137" spans="1:18" x14ac:dyDescent="0.3">
      <c r="A137" s="66" t="s">
        <v>203</v>
      </c>
      <c r="B137" s="66" t="s">
        <v>289</v>
      </c>
      <c r="C137" s="67"/>
      <c r="D137" s="68"/>
      <c r="E137" s="69"/>
      <c r="F137" s="70"/>
      <c r="G137" s="67"/>
      <c r="H137" s="71"/>
      <c r="I137" s="72"/>
      <c r="J137" s="72"/>
      <c r="K137" s="36"/>
      <c r="L137" s="79">
        <v>137</v>
      </c>
      <c r="M137" s="79"/>
      <c r="N137" s="74"/>
      <c r="O137" s="81" t="s">
        <v>299</v>
      </c>
      <c r="P137" s="83">
        <v>40227.415416666663</v>
      </c>
      <c r="Q137" s="81">
        <v>151</v>
      </c>
      <c r="R137" s="81">
        <v>0</v>
      </c>
    </row>
    <row r="138" spans="1:18" x14ac:dyDescent="0.3">
      <c r="A138" s="66" t="s">
        <v>202</v>
      </c>
      <c r="B138" s="66" t="s">
        <v>292</v>
      </c>
      <c r="C138" s="67"/>
      <c r="D138" s="68"/>
      <c r="E138" s="69"/>
      <c r="F138" s="70"/>
      <c r="G138" s="67"/>
      <c r="H138" s="71"/>
      <c r="I138" s="72"/>
      <c r="J138" s="72"/>
      <c r="K138" s="36"/>
      <c r="L138" s="79">
        <v>138</v>
      </c>
      <c r="M138" s="79"/>
      <c r="N138" s="74"/>
      <c r="O138" s="81" t="s">
        <v>299</v>
      </c>
      <c r="P138" s="83">
        <v>41591.676342592589</v>
      </c>
      <c r="Q138" s="81">
        <v>370</v>
      </c>
      <c r="R138" s="81">
        <v>0</v>
      </c>
    </row>
    <row r="139" spans="1:18" x14ac:dyDescent="0.3">
      <c r="A139" s="66" t="s">
        <v>203</v>
      </c>
      <c r="B139" s="66" t="s">
        <v>292</v>
      </c>
      <c r="C139" s="67"/>
      <c r="D139" s="68"/>
      <c r="E139" s="69"/>
      <c r="F139" s="70"/>
      <c r="G139" s="67"/>
      <c r="H139" s="71"/>
      <c r="I139" s="72"/>
      <c r="J139" s="72"/>
      <c r="K139" s="36"/>
      <c r="L139" s="79">
        <v>139</v>
      </c>
      <c r="M139" s="79"/>
      <c r="N139" s="74"/>
      <c r="O139" s="81" t="s">
        <v>299</v>
      </c>
      <c r="P139" s="83">
        <v>42405.640474537038</v>
      </c>
      <c r="Q139" s="81">
        <v>370</v>
      </c>
      <c r="R139" s="81">
        <v>0</v>
      </c>
    </row>
    <row r="140" spans="1:18" x14ac:dyDescent="0.3">
      <c r="A140" s="66" t="s">
        <v>202</v>
      </c>
      <c r="B140" s="66" t="s">
        <v>203</v>
      </c>
      <c r="C140" s="67"/>
      <c r="D140" s="68"/>
      <c r="E140" s="69"/>
      <c r="F140" s="70"/>
      <c r="G140" s="67"/>
      <c r="H140" s="71"/>
      <c r="I140" s="72"/>
      <c r="J140" s="72"/>
      <c r="K140" s="36"/>
      <c r="L140" s="79">
        <v>140</v>
      </c>
      <c r="M140" s="79"/>
      <c r="N140" s="74"/>
      <c r="O140" s="81" t="s">
        <v>299</v>
      </c>
      <c r="P140" s="83">
        <v>41591.676365740743</v>
      </c>
      <c r="Q140" s="81">
        <v>178</v>
      </c>
      <c r="R140" s="81">
        <v>0</v>
      </c>
    </row>
    <row r="141" spans="1:18" x14ac:dyDescent="0.3">
      <c r="A141" s="66" t="s">
        <v>202</v>
      </c>
      <c r="B141" s="66" t="s">
        <v>295</v>
      </c>
      <c r="C141" s="67"/>
      <c r="D141" s="68"/>
      <c r="E141" s="69"/>
      <c r="F141" s="70"/>
      <c r="G141" s="67"/>
      <c r="H141" s="71"/>
      <c r="I141" s="72"/>
      <c r="J141" s="72"/>
      <c r="K141" s="36"/>
      <c r="L141" s="79">
        <v>141</v>
      </c>
      <c r="M141" s="79"/>
      <c r="N141" s="74"/>
      <c r="O141" s="81" t="s">
        <v>299</v>
      </c>
      <c r="P141" s="83">
        <v>41591.67633101852</v>
      </c>
      <c r="Q141" s="81">
        <v>0</v>
      </c>
      <c r="R141" s="81">
        <v>0</v>
      </c>
    </row>
    <row r="142" spans="1:18" x14ac:dyDescent="0.3">
      <c r="A142" s="66" t="s">
        <v>203</v>
      </c>
      <c r="B142" s="66" t="s">
        <v>202</v>
      </c>
      <c r="C142" s="67"/>
      <c r="D142" s="68"/>
      <c r="E142" s="69"/>
      <c r="F142" s="70"/>
      <c r="G142" s="67"/>
      <c r="H142" s="71"/>
      <c r="I142" s="72"/>
      <c r="J142" s="72"/>
      <c r="K142" s="36"/>
      <c r="L142" s="79">
        <v>142</v>
      </c>
      <c r="M142" s="79"/>
      <c r="N142" s="74"/>
      <c r="O142" s="81" t="s">
        <v>299</v>
      </c>
      <c r="P142" s="83">
        <v>41444.38658564815</v>
      </c>
      <c r="Q142" s="81">
        <v>0</v>
      </c>
      <c r="R142" s="81">
        <v>0</v>
      </c>
    </row>
    <row r="143" spans="1:18" x14ac:dyDescent="0.3">
      <c r="A143" s="66" t="s">
        <v>203</v>
      </c>
      <c r="B143" s="66" t="s">
        <v>293</v>
      </c>
      <c r="C143" s="67"/>
      <c r="D143" s="68"/>
      <c r="E143" s="69"/>
      <c r="F143" s="70"/>
      <c r="G143" s="67"/>
      <c r="H143" s="71"/>
      <c r="I143" s="72"/>
      <c r="J143" s="72"/>
      <c r="K143" s="36"/>
      <c r="L143" s="79">
        <v>143</v>
      </c>
      <c r="M143" s="79"/>
      <c r="N143" s="74"/>
      <c r="O143" s="81" t="s">
        <v>299</v>
      </c>
      <c r="P143" s="83">
        <v>42405.685532407406</v>
      </c>
      <c r="Q143" s="81">
        <v>6</v>
      </c>
      <c r="R143" s="81">
        <v>0</v>
      </c>
    </row>
    <row r="144" spans="1:18" x14ac:dyDescent="0.3">
      <c r="A144" s="66" t="s">
        <v>203</v>
      </c>
      <c r="B144" s="66" t="s">
        <v>290</v>
      </c>
      <c r="C144" s="67"/>
      <c r="D144" s="68"/>
      <c r="E144" s="69"/>
      <c r="F144" s="70"/>
      <c r="G144" s="67"/>
      <c r="H144" s="71"/>
      <c r="I144" s="72"/>
      <c r="J144" s="72"/>
      <c r="K144" s="36"/>
      <c r="L144" s="79">
        <v>144</v>
      </c>
      <c r="M144" s="79"/>
      <c r="N144" s="74"/>
      <c r="O144" s="81" t="s">
        <v>299</v>
      </c>
      <c r="P144" s="83">
        <v>40372.607395833336</v>
      </c>
      <c r="Q144" s="81">
        <v>1195</v>
      </c>
      <c r="R144" s="81">
        <v>0</v>
      </c>
    </row>
    <row r="145" spans="1:18" x14ac:dyDescent="0.3">
      <c r="A145" s="66" t="s">
        <v>203</v>
      </c>
      <c r="B145" s="66" t="s">
        <v>297</v>
      </c>
      <c r="C145" s="67"/>
      <c r="D145" s="68"/>
      <c r="E145" s="69"/>
      <c r="F145" s="70"/>
      <c r="G145" s="67"/>
      <c r="H145" s="71"/>
      <c r="I145" s="72"/>
      <c r="J145" s="72"/>
      <c r="K145" s="36"/>
      <c r="L145" s="79">
        <v>145</v>
      </c>
      <c r="M145" s="79"/>
      <c r="N145" s="74"/>
      <c r="O145" s="81" t="s">
        <v>299</v>
      </c>
      <c r="P145" s="83">
        <v>39934.377083333333</v>
      </c>
      <c r="Q145" s="81">
        <v>6</v>
      </c>
      <c r="R145" s="81">
        <v>0</v>
      </c>
    </row>
    <row r="146" spans="1:18" x14ac:dyDescent="0.3">
      <c r="A146" s="66" t="s">
        <v>203</v>
      </c>
      <c r="B146" s="66" t="s">
        <v>294</v>
      </c>
      <c r="C146" s="67"/>
      <c r="D146" s="68"/>
      <c r="E146" s="69"/>
      <c r="F146" s="70"/>
      <c r="G146" s="67"/>
      <c r="H146" s="71"/>
      <c r="I146" s="72"/>
      <c r="J146" s="72"/>
      <c r="K146" s="36"/>
      <c r="L146" s="79">
        <v>146</v>
      </c>
      <c r="M146" s="79"/>
      <c r="N146" s="74"/>
      <c r="O146" s="81" t="s">
        <v>299</v>
      </c>
      <c r="P146" s="83">
        <v>42405.686261574076</v>
      </c>
      <c r="Q146" s="81">
        <v>2220</v>
      </c>
      <c r="R146" s="81">
        <v>0</v>
      </c>
    </row>
    <row r="147" spans="1:18" x14ac:dyDescent="0.3">
      <c r="A147" s="66" t="s">
        <v>203</v>
      </c>
      <c r="B147" s="66" t="s">
        <v>295</v>
      </c>
      <c r="C147" s="67"/>
      <c r="D147" s="68"/>
      <c r="E147" s="69"/>
      <c r="F147" s="70"/>
      <c r="G147" s="67"/>
      <c r="H147" s="71"/>
      <c r="I147" s="72"/>
      <c r="J147" s="72"/>
      <c r="K147" s="36"/>
      <c r="L147" s="79">
        <v>147</v>
      </c>
      <c r="M147" s="79"/>
      <c r="N147" s="74"/>
      <c r="O147" s="81" t="s">
        <v>299</v>
      </c>
      <c r="P147" s="83">
        <v>40318.588368055556</v>
      </c>
      <c r="Q147" s="81">
        <v>0</v>
      </c>
      <c r="R147" s="81">
        <v>0</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47"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47" xr:uid="{00000000-0002-0000-0000-000001000000}"/>
    <dataValidation allowBlank="1" showErrorMessage="1" sqref="N2:N147"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47"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47" xr:uid="{00000000-0002-0000-0000-000004000000}"/>
    <dataValidation allowBlank="1" showInputMessage="1" promptTitle="Edge Color" prompt="To select an optional edge color, right-click and select Select Color on the right-click menu." sqref="C3:C147" xr:uid="{00000000-0002-0000-0000-000005000000}"/>
    <dataValidation allowBlank="1" showInputMessage="1" errorTitle="Invalid Edge Width" error="The optional edge width must be a whole number between 1 and 10." promptTitle="Edge Width" prompt="Enter an optional edge width between 1 and 10." sqref="D3:D147"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47"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47" xr:uid="{00000000-0002-0000-0000-000008000000}">
      <formula1>ValidEdgeVisibilities</formula1>
    </dataValidation>
    <dataValidation allowBlank="1" showInputMessage="1" showErrorMessage="1" promptTitle="Vertex 1 Name" prompt="Enter the name of the edge's first vertex." sqref="A3:A147" xr:uid="{00000000-0002-0000-0000-000009000000}"/>
    <dataValidation allowBlank="1" showInputMessage="1" showErrorMessage="1" promptTitle="Vertex 2 Name" prompt="Enter the name of the edge's second vertex." sqref="B3:B147"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47"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47"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47" xr:uid="{00000000-0002-0000-0000-00000D000000}"/>
  </dataValidations>
  <pageMargins left="0.7" right="0.7" top="0.75" bottom="0.75" header="0.3" footer="0.3"/>
  <pageSetup orientation="portrait" verticalDpi="0"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42FF5-6F35-450A-A2EF-082CFB43D2A4}">
  <dimension ref="A1:B57"/>
  <sheetViews>
    <sheetView workbookViewId="0"/>
  </sheetViews>
  <sheetFormatPr defaultRowHeight="14.4" x14ac:dyDescent="0.3"/>
  <cols>
    <col min="1" max="1" width="45.44140625" bestFit="1" customWidth="1"/>
    <col min="2" max="2" width="22.5546875" bestFit="1" customWidth="1"/>
  </cols>
  <sheetData>
    <row r="1" spans="1:2" ht="14.4" customHeight="1" x14ac:dyDescent="0.3">
      <c r="A1" s="13" t="s">
        <v>628</v>
      </c>
      <c r="B1" s="13" t="s">
        <v>32</v>
      </c>
    </row>
    <row r="2" spans="1:2" x14ac:dyDescent="0.3">
      <c r="A2" s="106" t="s">
        <v>288</v>
      </c>
      <c r="B2" s="80">
        <v>7</v>
      </c>
    </row>
    <row r="3" spans="1:2" x14ac:dyDescent="0.3">
      <c r="A3" s="103" t="s">
        <v>198</v>
      </c>
      <c r="B3" s="80">
        <v>6</v>
      </c>
    </row>
    <row r="4" spans="1:2" x14ac:dyDescent="0.3">
      <c r="A4" s="103" t="s">
        <v>289</v>
      </c>
      <c r="B4" s="80">
        <v>4</v>
      </c>
    </row>
    <row r="5" spans="1:2" x14ac:dyDescent="0.3">
      <c r="A5" s="103" t="s">
        <v>290</v>
      </c>
      <c r="B5" s="80">
        <v>4</v>
      </c>
    </row>
    <row r="6" spans="1:2" x14ac:dyDescent="0.3">
      <c r="A6" s="103" t="s">
        <v>197</v>
      </c>
      <c r="B6" s="80">
        <v>4</v>
      </c>
    </row>
    <row r="7" spans="1:2" x14ac:dyDescent="0.3">
      <c r="A7" s="103" t="s">
        <v>295</v>
      </c>
      <c r="B7" s="80">
        <v>4</v>
      </c>
    </row>
    <row r="8" spans="1:2" x14ac:dyDescent="0.3">
      <c r="A8" s="103" t="s">
        <v>203</v>
      </c>
      <c r="B8" s="80">
        <v>4</v>
      </c>
    </row>
    <row r="9" spans="1:2" x14ac:dyDescent="0.3">
      <c r="A9" s="103" t="s">
        <v>201</v>
      </c>
      <c r="B9" s="80">
        <v>3</v>
      </c>
    </row>
    <row r="10" spans="1:2" x14ac:dyDescent="0.3">
      <c r="A10" s="103" t="s">
        <v>287</v>
      </c>
      <c r="B10" s="80">
        <v>3</v>
      </c>
    </row>
    <row r="11" spans="1:2" x14ac:dyDescent="0.3">
      <c r="A11" s="103" t="s">
        <v>202</v>
      </c>
      <c r="B11" s="80">
        <v>3</v>
      </c>
    </row>
    <row r="14" spans="1:2" ht="14.4" customHeight="1" x14ac:dyDescent="0.3">
      <c r="A14" s="13" t="s">
        <v>629</v>
      </c>
      <c r="B14" s="13" t="s">
        <v>33</v>
      </c>
    </row>
    <row r="15" spans="1:2" x14ac:dyDescent="0.3">
      <c r="A15" s="106" t="s">
        <v>200</v>
      </c>
      <c r="B15" s="80">
        <v>57</v>
      </c>
    </row>
    <row r="16" spans="1:2" x14ac:dyDescent="0.3">
      <c r="A16" s="103" t="s">
        <v>198</v>
      </c>
      <c r="B16" s="80">
        <v>34</v>
      </c>
    </row>
    <row r="17" spans="1:2" x14ac:dyDescent="0.3">
      <c r="A17" s="103" t="s">
        <v>203</v>
      </c>
      <c r="B17" s="80">
        <v>19</v>
      </c>
    </row>
    <row r="18" spans="1:2" x14ac:dyDescent="0.3">
      <c r="A18" s="103" t="s">
        <v>197</v>
      </c>
      <c r="B18" s="80">
        <v>14</v>
      </c>
    </row>
    <row r="19" spans="1:2" x14ac:dyDescent="0.3">
      <c r="A19" s="103" t="s">
        <v>199</v>
      </c>
      <c r="B19" s="80">
        <v>8</v>
      </c>
    </row>
    <row r="20" spans="1:2" x14ac:dyDescent="0.3">
      <c r="A20" s="103" t="s">
        <v>202</v>
      </c>
      <c r="B20" s="80">
        <v>7</v>
      </c>
    </row>
    <row r="21" spans="1:2" x14ac:dyDescent="0.3">
      <c r="A21" s="103" t="s">
        <v>201</v>
      </c>
      <c r="B21" s="80">
        <v>3</v>
      </c>
    </row>
    <row r="22" spans="1:2" x14ac:dyDescent="0.3">
      <c r="A22" s="103" t="s">
        <v>196</v>
      </c>
      <c r="B22" s="80">
        <v>3</v>
      </c>
    </row>
    <row r="23" spans="1:2" x14ac:dyDescent="0.3">
      <c r="A23" s="103" t="s">
        <v>266</v>
      </c>
      <c r="B23" s="80">
        <v>0</v>
      </c>
    </row>
    <row r="24" spans="1:2" x14ac:dyDescent="0.3">
      <c r="A24" s="103" t="s">
        <v>265</v>
      </c>
      <c r="B24" s="80">
        <v>0</v>
      </c>
    </row>
    <row r="27" spans="1:2" ht="14.4" customHeight="1" x14ac:dyDescent="0.3">
      <c r="A27" s="13" t="s">
        <v>630</v>
      </c>
      <c r="B27" s="13" t="s">
        <v>36</v>
      </c>
    </row>
    <row r="28" spans="1:2" x14ac:dyDescent="0.3">
      <c r="A28" s="106" t="s">
        <v>200</v>
      </c>
      <c r="B28" s="80">
        <v>0.49192200000000003</v>
      </c>
    </row>
    <row r="29" spans="1:2" x14ac:dyDescent="0.3">
      <c r="A29" s="103" t="s">
        <v>198</v>
      </c>
      <c r="B29" s="80">
        <v>0.39813999999999999</v>
      </c>
    </row>
    <row r="30" spans="1:2" x14ac:dyDescent="0.3">
      <c r="A30" s="103" t="s">
        <v>203</v>
      </c>
      <c r="B30" s="80">
        <v>0.31815900000000003</v>
      </c>
    </row>
    <row r="31" spans="1:2" x14ac:dyDescent="0.3">
      <c r="A31" s="103" t="s">
        <v>197</v>
      </c>
      <c r="B31" s="80">
        <v>0.24305299999999999</v>
      </c>
    </row>
    <row r="32" spans="1:2" x14ac:dyDescent="0.3">
      <c r="A32" s="103" t="s">
        <v>288</v>
      </c>
      <c r="B32" s="80">
        <v>0.21314900000000001</v>
      </c>
    </row>
    <row r="33" spans="1:2" x14ac:dyDescent="0.3">
      <c r="A33" s="103" t="s">
        <v>199</v>
      </c>
      <c r="B33" s="80">
        <v>0.17377799999999999</v>
      </c>
    </row>
    <row r="34" spans="1:2" x14ac:dyDescent="0.3">
      <c r="A34" s="103" t="s">
        <v>201</v>
      </c>
      <c r="B34" s="80">
        <v>0.16325899999999999</v>
      </c>
    </row>
    <row r="35" spans="1:2" x14ac:dyDescent="0.3">
      <c r="A35" s="103" t="s">
        <v>289</v>
      </c>
      <c r="B35" s="80">
        <v>0.159749</v>
      </c>
    </row>
    <row r="36" spans="1:2" x14ac:dyDescent="0.3">
      <c r="A36" s="103" t="s">
        <v>202</v>
      </c>
      <c r="B36" s="80">
        <v>0.14807899999999999</v>
      </c>
    </row>
    <row r="37" spans="1:2" x14ac:dyDescent="0.3">
      <c r="A37" s="103" t="s">
        <v>287</v>
      </c>
      <c r="B37" s="80">
        <v>0.132995</v>
      </c>
    </row>
    <row r="40" spans="1:2" ht="14.4" customHeight="1" x14ac:dyDescent="0.3">
      <c r="A40" s="13" t="s">
        <v>631</v>
      </c>
      <c r="B40" s="13" t="s">
        <v>34</v>
      </c>
    </row>
    <row r="41" spans="1:2" x14ac:dyDescent="0.3">
      <c r="A41" s="106" t="s">
        <v>200</v>
      </c>
      <c r="B41" s="80">
        <v>7670.5</v>
      </c>
    </row>
    <row r="42" spans="1:2" x14ac:dyDescent="0.3">
      <c r="A42" s="103" t="s">
        <v>198</v>
      </c>
      <c r="B42" s="80">
        <v>3953.5</v>
      </c>
    </row>
    <row r="43" spans="1:2" x14ac:dyDescent="0.3">
      <c r="A43" s="103" t="s">
        <v>203</v>
      </c>
      <c r="B43" s="80">
        <v>1876.5</v>
      </c>
    </row>
    <row r="44" spans="1:2" x14ac:dyDescent="0.3">
      <c r="A44" s="103" t="s">
        <v>197</v>
      </c>
      <c r="B44" s="80">
        <v>1589</v>
      </c>
    </row>
    <row r="45" spans="1:2" x14ac:dyDescent="0.3">
      <c r="A45" s="103" t="s">
        <v>196</v>
      </c>
      <c r="B45" s="80">
        <v>600</v>
      </c>
    </row>
    <row r="46" spans="1:2" x14ac:dyDescent="0.3">
      <c r="A46" s="103" t="s">
        <v>202</v>
      </c>
      <c r="B46" s="80">
        <v>405.16666700000002</v>
      </c>
    </row>
    <row r="47" spans="1:2" x14ac:dyDescent="0.3">
      <c r="A47" s="103" t="s">
        <v>199</v>
      </c>
      <c r="B47" s="80">
        <v>223</v>
      </c>
    </row>
    <row r="48" spans="1:2" x14ac:dyDescent="0.3">
      <c r="A48" s="103" t="s">
        <v>288</v>
      </c>
      <c r="B48" s="80">
        <v>172.33333300000001</v>
      </c>
    </row>
    <row r="49" spans="1:2" x14ac:dyDescent="0.3">
      <c r="A49" s="103" t="s">
        <v>201</v>
      </c>
      <c r="B49" s="80">
        <v>60</v>
      </c>
    </row>
    <row r="50" spans="1:2" x14ac:dyDescent="0.3">
      <c r="A50" s="103" t="s">
        <v>272</v>
      </c>
      <c r="B50" s="80">
        <v>0</v>
      </c>
    </row>
    <row r="53" spans="1:2" ht="14.4" customHeight="1" x14ac:dyDescent="0.3">
      <c r="A53" s="80" t="s">
        <v>632</v>
      </c>
      <c r="B53" s="80" t="s">
        <v>137</v>
      </c>
    </row>
    <row r="54" spans="1:2" x14ac:dyDescent="0.3">
      <c r="A54" s="106"/>
      <c r="B54" s="80"/>
    </row>
    <row r="56" spans="1:2" ht="14.4" customHeight="1" x14ac:dyDescent="0.3">
      <c r="A56" s="80" t="s">
        <v>633</v>
      </c>
      <c r="B56" s="80" t="s">
        <v>303</v>
      </c>
    </row>
    <row r="57" spans="1:2" x14ac:dyDescent="0.3">
      <c r="A57" s="106"/>
      <c r="B57" s="80"/>
    </row>
  </sheetData>
  <pageMargins left="0.7" right="0.7" top="0.75" bottom="0.75" header="0.3" footer="0.3"/>
  <tableParts count="6">
    <tablePart r:id="rId1"/>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S105"/>
  <sheetViews>
    <sheetView tabSelected="1" workbookViewId="0">
      <pane xSplit="1" ySplit="2" topLeftCell="B3" activePane="bottomRight" state="frozen"/>
      <selection pane="topRight" activeCell="B1" sqref="B1"/>
      <selection pane="bottomLeft" activeCell="A3" sqref="A3"/>
      <selection pane="bottomRight" activeCell="A2" sqref="A2:AN2"/>
    </sheetView>
  </sheetViews>
  <sheetFormatPr defaultRowHeight="14.4" x14ac:dyDescent="0.3"/>
  <cols>
    <col min="1" max="1" width="29.109375" style="1" bestFit="1" customWidth="1"/>
    <col min="2" max="2" width="11.77734375" customWidth="1"/>
    <col min="3" max="3" width="7.88671875" customWidth="1"/>
    <col min="4" max="4" width="8.5546875" customWidth="1"/>
    <col min="5" max="5" width="6.6640625" customWidth="1"/>
    <col min="6" max="6" width="9.88671875" customWidth="1"/>
    <col min="7" max="7" width="7.6640625" customWidth="1"/>
    <col min="8" max="8" width="11" customWidth="1"/>
    <col min="9" max="9" width="8.5546875" customWidth="1"/>
    <col min="10" max="10" width="9.6640625" style="3" customWidth="1"/>
    <col min="11" max="11" width="10.5546875" customWidth="1"/>
    <col min="12" max="12" width="9.109375" customWidth="1"/>
    <col min="13" max="13" width="9.109375" hidden="1" customWidth="1"/>
    <col min="14" max="15" width="4.33203125" hidden="1" customWidth="1"/>
    <col min="16" max="16" width="10.33203125" hidden="1" customWidth="1"/>
    <col min="17" max="17" width="6.44140625" hidden="1" customWidth="1"/>
    <col min="18" max="18" width="8.33203125" hidden="1" customWidth="1"/>
    <col min="19" max="19" width="9.5546875" customWidth="1"/>
    <col min="20" max="20" width="9.33203125" customWidth="1"/>
    <col min="21" max="21" width="9.5546875" customWidth="1"/>
    <col min="22" max="24" width="14.33203125" customWidth="1"/>
    <col min="25" max="25" width="11.88671875" customWidth="1"/>
    <col min="26" max="26" width="14.44140625" customWidth="1"/>
    <col min="27" max="27" width="18.33203125" style="3" customWidth="1"/>
    <col min="28" max="28" width="5" style="3" hidden="1" customWidth="1"/>
    <col min="29" max="29" width="16" style="6" hidden="1" customWidth="1"/>
    <col min="30" max="30" width="16" style="2" customWidth="1"/>
    <col min="31" max="32" width="15" style="3" customWidth="1"/>
    <col min="33" max="33" width="6.77734375" style="3" customWidth="1"/>
    <col min="34" max="34" width="12.44140625" style="3" customWidth="1"/>
    <col min="35" max="36" width="15.33203125" customWidth="1"/>
    <col min="37" max="37" width="16.109375" customWidth="1"/>
    <col min="38" max="38" width="17.88671875" customWidth="1"/>
    <col min="39" max="39" width="18" customWidth="1"/>
    <col min="40" max="40" width="18.109375" customWidth="1"/>
  </cols>
  <sheetData>
    <row r="1" spans="1:45" x14ac:dyDescent="0.3">
      <c r="B1" s="1"/>
      <c r="C1" s="25" t="s">
        <v>39</v>
      </c>
      <c r="D1" s="18"/>
      <c r="E1" s="18"/>
      <c r="F1" s="18"/>
      <c r="G1" s="18"/>
      <c r="H1" s="18"/>
      <c r="I1" s="27" t="s">
        <v>43</v>
      </c>
      <c r="J1" s="26"/>
      <c r="K1" s="26"/>
      <c r="L1" s="26"/>
      <c r="M1" s="29" t="s">
        <v>44</v>
      </c>
      <c r="N1" s="28"/>
      <c r="O1" s="28"/>
      <c r="P1" s="28"/>
      <c r="Q1" s="28"/>
      <c r="R1" s="28"/>
      <c r="S1" s="24" t="s">
        <v>42</v>
      </c>
      <c r="T1" s="21"/>
      <c r="U1" s="22"/>
      <c r="V1" s="23"/>
      <c r="W1" s="21"/>
      <c r="X1" s="21"/>
      <c r="Y1" s="21"/>
      <c r="Z1" s="21"/>
      <c r="AA1" s="21"/>
      <c r="AB1" s="30" t="s">
        <v>40</v>
      </c>
      <c r="AC1" s="20"/>
      <c r="AD1" s="31" t="s">
        <v>41</v>
      </c>
      <c r="AE1"/>
      <c r="AF1"/>
      <c r="AG1"/>
      <c r="AH1"/>
    </row>
    <row r="2" spans="1:45" ht="30" customHeight="1" x14ac:dyDescent="0.3">
      <c r="A2" s="11" t="s">
        <v>5</v>
      </c>
      <c r="B2" t="s">
        <v>634</v>
      </c>
      <c r="C2" s="8" t="s">
        <v>2</v>
      </c>
      <c r="D2" s="8" t="s">
        <v>8</v>
      </c>
      <c r="E2" s="9" t="s">
        <v>45</v>
      </c>
      <c r="F2" s="10" t="s">
        <v>4</v>
      </c>
      <c r="G2" s="8" t="s">
        <v>48</v>
      </c>
      <c r="H2" s="8" t="s">
        <v>11</v>
      </c>
      <c r="I2" s="8" t="s">
        <v>46</v>
      </c>
      <c r="J2" s="8" t="s">
        <v>47</v>
      </c>
      <c r="K2" s="8" t="s">
        <v>77</v>
      </c>
      <c r="L2" s="8" t="s">
        <v>10</v>
      </c>
      <c r="M2" s="8" t="s">
        <v>27</v>
      </c>
      <c r="N2" s="8" t="s">
        <v>15</v>
      </c>
      <c r="O2" s="8" t="s">
        <v>16</v>
      </c>
      <c r="P2" s="8" t="s">
        <v>13</v>
      </c>
      <c r="Q2" s="8" t="s">
        <v>28</v>
      </c>
      <c r="R2" s="8" t="s">
        <v>29</v>
      </c>
      <c r="S2" s="13" t="s">
        <v>31</v>
      </c>
      <c r="T2" s="13" t="s">
        <v>32</v>
      </c>
      <c r="U2" s="13" t="s">
        <v>33</v>
      </c>
      <c r="V2" s="13" t="s">
        <v>34</v>
      </c>
      <c r="W2" s="13" t="s">
        <v>35</v>
      </c>
      <c r="X2" s="13" t="s">
        <v>36</v>
      </c>
      <c r="Y2" s="13" t="s">
        <v>137</v>
      </c>
      <c r="Z2" s="13" t="s">
        <v>37</v>
      </c>
      <c r="AA2" s="13" t="s">
        <v>170</v>
      </c>
      <c r="AB2" s="11" t="s">
        <v>12</v>
      </c>
      <c r="AC2" s="11" t="s">
        <v>38</v>
      </c>
      <c r="AD2" s="8" t="s">
        <v>26</v>
      </c>
      <c r="AE2" s="13" t="s">
        <v>300</v>
      </c>
      <c r="AF2" s="13" t="s">
        <v>301</v>
      </c>
      <c r="AG2" s="13" t="s">
        <v>302</v>
      </c>
      <c r="AH2" s="13" t="s">
        <v>303</v>
      </c>
      <c r="AI2" s="104" t="s">
        <v>608</v>
      </c>
      <c r="AJ2" s="104" t="s">
        <v>609</v>
      </c>
      <c r="AK2" s="104" t="s">
        <v>610</v>
      </c>
      <c r="AL2" s="104" t="s">
        <v>612</v>
      </c>
      <c r="AM2" s="104" t="s">
        <v>613</v>
      </c>
      <c r="AN2" s="104" t="s">
        <v>614</v>
      </c>
      <c r="AO2" s="3"/>
      <c r="AP2" s="3"/>
    </row>
    <row r="3" spans="1:45" ht="34.049999999999997" customHeight="1" x14ac:dyDescent="0.3">
      <c r="A3" s="66" t="s">
        <v>196</v>
      </c>
      <c r="C3" s="67" t="s">
        <v>635</v>
      </c>
      <c r="D3" s="67"/>
      <c r="E3" s="68"/>
      <c r="F3" s="70"/>
      <c r="G3" s="101" t="str">
        <f>HYPERLINK("https://yt3.ggpht.com/ytc/AKedOLQRwBYcnc_3pXa2fpcKb1VMXky3-Dh8FrVeVlZV=s88-c-k-c0x00ffffff-no-rj")</f>
        <v>https://yt3.ggpht.com/ytc/AKedOLQRwBYcnc_3pXa2fpcKb1VMXky3-Dh8FrVeVlZV=s88-c-k-c0x00ffffff-no-rj</v>
      </c>
      <c r="H3" s="67"/>
      <c r="I3" s="71"/>
      <c r="J3" s="72"/>
      <c r="K3" s="72"/>
      <c r="L3" s="71" t="s">
        <v>590</v>
      </c>
      <c r="M3" s="75"/>
      <c r="N3" s="76">
        <v>3553.23583984375</v>
      </c>
      <c r="O3" s="76">
        <v>5222.49755859375</v>
      </c>
      <c r="P3" s="77"/>
      <c r="Q3" s="78"/>
      <c r="R3" s="78"/>
      <c r="S3" s="50"/>
      <c r="T3" s="50">
        <v>1</v>
      </c>
      <c r="U3" s="50">
        <v>3</v>
      </c>
      <c r="V3" s="51">
        <v>600</v>
      </c>
      <c r="W3" s="51">
        <v>0.364286</v>
      </c>
      <c r="X3" s="51">
        <v>3.6343E-2</v>
      </c>
      <c r="Y3" s="52"/>
      <c r="Z3" s="51"/>
      <c r="AA3" s="51"/>
      <c r="AB3" s="73">
        <v>3</v>
      </c>
      <c r="AC3" s="73"/>
      <c r="AD3" s="74"/>
      <c r="AE3" s="80" t="s">
        <v>304</v>
      </c>
      <c r="AF3" s="100" t="str">
        <f>HYPERLINK("http://www.youtube.com/channel/UCp5Z-MCwvP4LBH8AJ4oXk-g")</f>
        <v>http://www.youtube.com/channel/UCp5Z-MCwvP4LBH8AJ4oXk-g</v>
      </c>
      <c r="AG3" s="80" t="s">
        <v>407</v>
      </c>
      <c r="AH3" s="80" t="s">
        <v>487</v>
      </c>
      <c r="AI3" s="50"/>
      <c r="AJ3" s="50"/>
      <c r="AK3" s="105" t="s">
        <v>611</v>
      </c>
      <c r="AL3" s="105" t="s">
        <v>611</v>
      </c>
      <c r="AM3" s="105" t="s">
        <v>611</v>
      </c>
      <c r="AN3" s="105" t="s">
        <v>611</v>
      </c>
      <c r="AO3" s="3"/>
      <c r="AP3" s="3"/>
    </row>
    <row r="4" spans="1:45" ht="34.049999999999997" customHeight="1" x14ac:dyDescent="0.3">
      <c r="A4" s="66" t="s">
        <v>298</v>
      </c>
      <c r="C4" s="67"/>
      <c r="D4" s="67"/>
      <c r="E4" s="68"/>
      <c r="F4" s="70"/>
      <c r="G4" s="101" t="str">
        <f>HYPERLINK("https://yt3.ggpht.com/ytc/AKedOLTceUc_WvP6uj65n5QS6Qq7J4Yy4STwjS8NP7Vs7Q=s88-c-k-c0x00ffffff-no-rj")</f>
        <v>https://yt3.ggpht.com/ytc/AKedOLTceUc_WvP6uj65n5QS6Qq7J4Yy4STwjS8NP7Vs7Q=s88-c-k-c0x00ffffff-no-rj</v>
      </c>
      <c r="H4" s="67"/>
      <c r="I4" s="71"/>
      <c r="J4" s="72"/>
      <c r="K4" s="72"/>
      <c r="L4" s="71" t="s">
        <v>488</v>
      </c>
      <c r="M4" s="75"/>
      <c r="N4" s="76">
        <v>4181.4326171875</v>
      </c>
      <c r="O4" s="76">
        <v>1737.095703125</v>
      </c>
      <c r="P4" s="77"/>
      <c r="Q4" s="78"/>
      <c r="R4" s="78"/>
      <c r="S4" s="84"/>
      <c r="T4" s="50">
        <v>1</v>
      </c>
      <c r="U4" s="50">
        <v>0</v>
      </c>
      <c r="V4" s="51">
        <v>0</v>
      </c>
      <c r="W4" s="51">
        <v>0.26771699999999998</v>
      </c>
      <c r="X4" s="51">
        <v>4.0000000000000001E-3</v>
      </c>
      <c r="Y4" s="52"/>
      <c r="Z4" s="52"/>
      <c r="AA4" s="51"/>
      <c r="AB4" s="73">
        <v>4</v>
      </c>
      <c r="AC4" s="73"/>
      <c r="AD4" s="74"/>
      <c r="AE4" s="80" t="s">
        <v>304</v>
      </c>
      <c r="AF4" s="100" t="str">
        <f>HYPERLINK("http://www.youtube.com/channel/UCudx6plmpbs5WtWvsvu-EdQ")</f>
        <v>http://www.youtube.com/channel/UCudx6plmpbs5WtWvsvu-EdQ</v>
      </c>
      <c r="AG4" s="80" t="s">
        <v>305</v>
      </c>
      <c r="AH4" s="80" t="s">
        <v>408</v>
      </c>
      <c r="AI4" s="50"/>
      <c r="AJ4" s="50"/>
      <c r="AK4" s="50"/>
      <c r="AL4" s="50"/>
      <c r="AM4" s="50"/>
      <c r="AN4" s="50"/>
      <c r="AO4" s="2"/>
      <c r="AP4" s="3"/>
      <c r="AQ4" s="3"/>
      <c r="AR4" s="3"/>
      <c r="AS4" s="3"/>
    </row>
    <row r="5" spans="1:45" ht="34.049999999999997" customHeight="1" x14ac:dyDescent="0.3">
      <c r="A5" s="66" t="s">
        <v>204</v>
      </c>
      <c r="C5" s="67"/>
      <c r="D5" s="67"/>
      <c r="E5" s="68"/>
      <c r="F5" s="70"/>
      <c r="G5" s="101" t="str">
        <f>HYPERLINK("https://yt3.ggpht.com/ytc/AKedOLSYtbgsVJFkBkJPurRZAOastebGSx53uj8n2Q=s88-c-k-c0x00ffffff-no-rj")</f>
        <v>https://yt3.ggpht.com/ytc/AKedOLSYtbgsVJFkBkJPurRZAOastebGSx53uj8n2Q=s88-c-k-c0x00ffffff-no-rj</v>
      </c>
      <c r="H5" s="67"/>
      <c r="I5" s="71"/>
      <c r="J5" s="72"/>
      <c r="K5" s="72"/>
      <c r="L5" s="71" t="s">
        <v>489</v>
      </c>
      <c r="M5" s="75"/>
      <c r="N5" s="76">
        <v>6139.873046875</v>
      </c>
      <c r="O5" s="76">
        <v>6359.076171875</v>
      </c>
      <c r="P5" s="77"/>
      <c r="Q5" s="78"/>
      <c r="R5" s="78"/>
      <c r="S5" s="84"/>
      <c r="T5" s="50">
        <v>1</v>
      </c>
      <c r="U5" s="50">
        <v>0</v>
      </c>
      <c r="V5" s="51">
        <v>0</v>
      </c>
      <c r="W5" s="51">
        <v>0.26771699999999998</v>
      </c>
      <c r="X5" s="51">
        <v>4.0000000000000001E-3</v>
      </c>
      <c r="Y5" s="52"/>
      <c r="Z5" s="52"/>
      <c r="AA5" s="51"/>
      <c r="AB5" s="73">
        <v>5</v>
      </c>
      <c r="AC5" s="73"/>
      <c r="AD5" s="74"/>
      <c r="AE5" s="80" t="s">
        <v>304</v>
      </c>
      <c r="AF5" s="100" t="str">
        <f>HYPERLINK("http://www.youtube.com/channel/UClEMcSd07fHiEfLRDX8KG3Q")</f>
        <v>http://www.youtube.com/channel/UClEMcSd07fHiEfLRDX8KG3Q</v>
      </c>
      <c r="AG5" s="80" t="s">
        <v>306</v>
      </c>
      <c r="AH5" s="80" t="s">
        <v>409</v>
      </c>
      <c r="AI5" s="50"/>
      <c r="AJ5" s="50"/>
      <c r="AK5" s="50"/>
      <c r="AL5" s="50"/>
      <c r="AM5" s="50"/>
      <c r="AN5" s="50"/>
      <c r="AO5" s="2"/>
      <c r="AP5" s="3"/>
      <c r="AQ5" s="3"/>
      <c r="AR5" s="3"/>
      <c r="AS5" s="3"/>
    </row>
    <row r="6" spans="1:45" ht="34.049999999999997" customHeight="1" x14ac:dyDescent="0.3">
      <c r="A6" s="66" t="s">
        <v>205</v>
      </c>
      <c r="C6" s="67"/>
      <c r="D6" s="67"/>
      <c r="E6" s="68"/>
      <c r="F6" s="70"/>
      <c r="G6" s="101" t="str">
        <f>HYPERLINK("https://yt3.ggpht.com/ytc/AKedOLShFFf5uVEQLOQkEYG31iK__BY2FhI2me91IqzHkA=s88-c-k-c0x00ffffff-no-rj")</f>
        <v>https://yt3.ggpht.com/ytc/AKedOLShFFf5uVEQLOQkEYG31iK__BY2FhI2me91IqzHkA=s88-c-k-c0x00ffffff-no-rj</v>
      </c>
      <c r="H6" s="67"/>
      <c r="I6" s="71"/>
      <c r="J6" s="72"/>
      <c r="K6" s="72"/>
      <c r="L6" s="71" t="s">
        <v>490</v>
      </c>
      <c r="M6" s="75"/>
      <c r="N6" s="76">
        <v>3255.54833984375</v>
      </c>
      <c r="O6" s="76">
        <v>732.6629638671875</v>
      </c>
      <c r="P6" s="77"/>
      <c r="Q6" s="78"/>
      <c r="R6" s="78"/>
      <c r="S6" s="84"/>
      <c r="T6" s="50">
        <v>1</v>
      </c>
      <c r="U6" s="50">
        <v>0</v>
      </c>
      <c r="V6" s="51">
        <v>0</v>
      </c>
      <c r="W6" s="51">
        <v>0.26771699999999998</v>
      </c>
      <c r="X6" s="51">
        <v>4.0000000000000001E-3</v>
      </c>
      <c r="Y6" s="52"/>
      <c r="Z6" s="52"/>
      <c r="AA6" s="51"/>
      <c r="AB6" s="73">
        <v>6</v>
      </c>
      <c r="AC6" s="73"/>
      <c r="AD6" s="74"/>
      <c r="AE6" s="80" t="s">
        <v>304</v>
      </c>
      <c r="AF6" s="100" t="str">
        <f>HYPERLINK("http://www.youtube.com/channel/UCNYrK4tc5i1-eL8TXesH2pg")</f>
        <v>http://www.youtube.com/channel/UCNYrK4tc5i1-eL8TXesH2pg</v>
      </c>
      <c r="AG6" s="80" t="s">
        <v>307</v>
      </c>
      <c r="AH6" s="80" t="s">
        <v>410</v>
      </c>
      <c r="AI6" s="50"/>
      <c r="AJ6" s="50"/>
      <c r="AK6" s="50"/>
      <c r="AL6" s="50"/>
      <c r="AM6" s="50"/>
      <c r="AN6" s="50"/>
      <c r="AO6" s="2"/>
      <c r="AP6" s="3"/>
      <c r="AQ6" s="3"/>
      <c r="AR6" s="3"/>
      <c r="AS6" s="3"/>
    </row>
    <row r="7" spans="1:45" ht="34.049999999999997" customHeight="1" x14ac:dyDescent="0.3">
      <c r="A7" s="66" t="s">
        <v>197</v>
      </c>
      <c r="C7" s="67" t="s">
        <v>636</v>
      </c>
      <c r="D7" s="67"/>
      <c r="E7" s="68"/>
      <c r="F7" s="70"/>
      <c r="G7" s="101" t="str">
        <f>HYPERLINK("https://yt3.ggpht.com/ytc/AKedOLQUipINsLES1FC8GbHE892DO2ALFndSv1bgo8PN=s88-c-k-c0x00ffffff-no-rj")</f>
        <v>https://yt3.ggpht.com/ytc/AKedOLQUipINsLES1FC8GbHE892DO2ALFndSv1bgo8PN=s88-c-k-c0x00ffffff-no-rj</v>
      </c>
      <c r="H7" s="67"/>
      <c r="I7" s="71"/>
      <c r="J7" s="72"/>
      <c r="K7" s="72"/>
      <c r="L7" s="71" t="s">
        <v>491</v>
      </c>
      <c r="M7" s="75"/>
      <c r="N7" s="76">
        <v>4067.76708984375</v>
      </c>
      <c r="O7" s="76">
        <v>4368.4853515625</v>
      </c>
      <c r="P7" s="77"/>
      <c r="Q7" s="78"/>
      <c r="R7" s="78"/>
      <c r="S7" s="84"/>
      <c r="T7" s="50">
        <v>4</v>
      </c>
      <c r="U7" s="50">
        <v>14</v>
      </c>
      <c r="V7" s="51">
        <v>1589</v>
      </c>
      <c r="W7" s="51">
        <v>0.52849699999999999</v>
      </c>
      <c r="X7" s="51">
        <v>0.24305299999999999</v>
      </c>
      <c r="Y7" s="52"/>
      <c r="Z7" s="52"/>
      <c r="AA7" s="51"/>
      <c r="AB7" s="73">
        <v>7</v>
      </c>
      <c r="AC7" s="73"/>
      <c r="AD7" s="74"/>
      <c r="AE7" s="80" t="s">
        <v>304</v>
      </c>
      <c r="AF7" s="100" t="str">
        <f>HYPERLINK("http://www.youtube.com/channel/UCm2XzK8LwInDPP7H9NGoG2g")</f>
        <v>http://www.youtube.com/channel/UCm2XzK8LwInDPP7H9NGoG2g</v>
      </c>
      <c r="AG7" s="80" t="s">
        <v>308</v>
      </c>
      <c r="AH7" s="80" t="s">
        <v>411</v>
      </c>
      <c r="AI7" s="50"/>
      <c r="AJ7" s="50"/>
      <c r="AK7" s="105" t="s">
        <v>611</v>
      </c>
      <c r="AL7" s="105" t="s">
        <v>611</v>
      </c>
      <c r="AM7" s="105" t="s">
        <v>611</v>
      </c>
      <c r="AN7" s="105" t="s">
        <v>611</v>
      </c>
      <c r="AO7" s="2"/>
      <c r="AP7" s="3"/>
      <c r="AQ7" s="3"/>
      <c r="AR7" s="3"/>
      <c r="AS7" s="3"/>
    </row>
    <row r="8" spans="1:45" ht="34.049999999999997" customHeight="1" x14ac:dyDescent="0.3">
      <c r="A8" s="66" t="s">
        <v>206</v>
      </c>
      <c r="C8" s="67"/>
      <c r="D8" s="67"/>
      <c r="E8" s="68"/>
      <c r="F8" s="70"/>
      <c r="G8" s="101" t="str">
        <f>HYPERLINK("https://yt3.ggpht.com/ytc/AKedOLTos2WCCXTQ1wORdcpBwTh4wA9s43f7D_CtBA=s88-c-k-c0x00ffffff-no-rj")</f>
        <v>https://yt3.ggpht.com/ytc/AKedOLTos2WCCXTQ1wORdcpBwTh4wA9s43f7D_CtBA=s88-c-k-c0x00ffffff-no-rj</v>
      </c>
      <c r="H8" s="67"/>
      <c r="I8" s="71"/>
      <c r="J8" s="72"/>
      <c r="K8" s="72"/>
      <c r="L8" s="71" t="s">
        <v>492</v>
      </c>
      <c r="M8" s="75"/>
      <c r="N8" s="76">
        <v>198.90484619140625</v>
      </c>
      <c r="O8" s="76">
        <v>6367.54638671875</v>
      </c>
      <c r="P8" s="77"/>
      <c r="Q8" s="78"/>
      <c r="R8" s="78"/>
      <c r="S8" s="84"/>
      <c r="T8" s="50">
        <v>1</v>
      </c>
      <c r="U8" s="50">
        <v>0</v>
      </c>
      <c r="V8" s="51">
        <v>0</v>
      </c>
      <c r="W8" s="51">
        <v>0.346939</v>
      </c>
      <c r="X8" s="51">
        <v>2.6754E-2</v>
      </c>
      <c r="Y8" s="52"/>
      <c r="Z8" s="52"/>
      <c r="AA8" s="51"/>
      <c r="AB8" s="73">
        <v>8</v>
      </c>
      <c r="AC8" s="73"/>
      <c r="AD8" s="74"/>
      <c r="AE8" s="80" t="s">
        <v>304</v>
      </c>
      <c r="AF8" s="100" t="str">
        <f>HYPERLINK("http://www.youtube.com/channel/UCnR6NPn9ODoaUO8R9gKm2rQ")</f>
        <v>http://www.youtube.com/channel/UCnR6NPn9ODoaUO8R9gKm2rQ</v>
      </c>
      <c r="AG8" s="80" t="s">
        <v>309</v>
      </c>
      <c r="AH8" s="80"/>
      <c r="AI8" s="50"/>
      <c r="AJ8" s="50"/>
      <c r="AK8" s="50"/>
      <c r="AL8" s="50"/>
      <c r="AM8" s="50"/>
      <c r="AN8" s="50"/>
      <c r="AO8" s="2"/>
      <c r="AP8" s="3"/>
      <c r="AQ8" s="3"/>
      <c r="AR8" s="3"/>
      <c r="AS8" s="3"/>
    </row>
    <row r="9" spans="1:45" ht="34.049999999999997" customHeight="1" x14ac:dyDescent="0.3">
      <c r="A9" s="66" t="s">
        <v>207</v>
      </c>
      <c r="C9" s="67"/>
      <c r="D9" s="67"/>
      <c r="E9" s="68"/>
      <c r="F9" s="70"/>
      <c r="G9" s="101" t="str">
        <f>HYPERLINK("https://yt3.ggpht.com/ytc/AKedOLSCROwxJBHZq5nvTh6AgSfwZ_tEr5XXBg9v5jgF=s88-c-k-c0x00ffffff-no-rj")</f>
        <v>https://yt3.ggpht.com/ytc/AKedOLSCROwxJBHZq5nvTh6AgSfwZ_tEr5XXBg9v5jgF=s88-c-k-c0x00ffffff-no-rj</v>
      </c>
      <c r="H9" s="67"/>
      <c r="I9" s="71"/>
      <c r="J9" s="72"/>
      <c r="K9" s="72"/>
      <c r="L9" s="71" t="s">
        <v>493</v>
      </c>
      <c r="M9" s="75"/>
      <c r="N9" s="76">
        <v>3295.028564453125</v>
      </c>
      <c r="O9" s="76">
        <v>338.71337890625</v>
      </c>
      <c r="P9" s="77"/>
      <c r="Q9" s="78"/>
      <c r="R9" s="78"/>
      <c r="S9" s="84"/>
      <c r="T9" s="50">
        <v>1</v>
      </c>
      <c r="U9" s="50">
        <v>0</v>
      </c>
      <c r="V9" s="51">
        <v>0</v>
      </c>
      <c r="W9" s="51">
        <v>0.346939</v>
      </c>
      <c r="X9" s="51">
        <v>2.6754E-2</v>
      </c>
      <c r="Y9" s="52"/>
      <c r="Z9" s="52"/>
      <c r="AA9" s="51"/>
      <c r="AB9" s="73">
        <v>9</v>
      </c>
      <c r="AC9" s="73"/>
      <c r="AD9" s="74"/>
      <c r="AE9" s="80" t="s">
        <v>304</v>
      </c>
      <c r="AF9" s="100" t="str">
        <f>HYPERLINK("http://www.youtube.com/channel/UCbH7wEhicSduhLLoUmPOtbw")</f>
        <v>http://www.youtube.com/channel/UCbH7wEhicSduhLLoUmPOtbw</v>
      </c>
      <c r="AG9" s="80" t="s">
        <v>310</v>
      </c>
      <c r="AH9" s="80"/>
      <c r="AI9" s="50"/>
      <c r="AJ9" s="50"/>
      <c r="AK9" s="50"/>
      <c r="AL9" s="50"/>
      <c r="AM9" s="50"/>
      <c r="AN9" s="50"/>
      <c r="AO9" s="2"/>
      <c r="AP9" s="3"/>
      <c r="AQ9" s="3"/>
      <c r="AR9" s="3"/>
      <c r="AS9" s="3"/>
    </row>
    <row r="10" spans="1:45" ht="34.049999999999997" customHeight="1" x14ac:dyDescent="0.3">
      <c r="A10" s="66" t="s">
        <v>208</v>
      </c>
      <c r="C10" s="67"/>
      <c r="D10" s="67"/>
      <c r="E10" s="68"/>
      <c r="F10" s="70"/>
      <c r="G10" s="101" t="str">
        <f>HYPERLINK("https://yt3.ggpht.com/ytc/AKedOLTVQsQ753Xa41b2VZImXte1uh2-UTN4GUR2DqxCbw=s88-c-k-c0x00ffffff-no-rj")</f>
        <v>https://yt3.ggpht.com/ytc/AKedOLTVQsQ753Xa41b2VZImXte1uh2-UTN4GUR2DqxCbw=s88-c-k-c0x00ffffff-no-rj</v>
      </c>
      <c r="H10" s="67"/>
      <c r="I10" s="71"/>
      <c r="J10" s="72"/>
      <c r="K10" s="72"/>
      <c r="L10" s="71" t="s">
        <v>494</v>
      </c>
      <c r="M10" s="75"/>
      <c r="N10" s="76">
        <v>6224.00341796875</v>
      </c>
      <c r="O10" s="76">
        <v>1210.1409912109375</v>
      </c>
      <c r="P10" s="77"/>
      <c r="Q10" s="78"/>
      <c r="R10" s="78"/>
      <c r="S10" s="84"/>
      <c r="T10" s="50">
        <v>1</v>
      </c>
      <c r="U10" s="50">
        <v>0</v>
      </c>
      <c r="V10" s="51">
        <v>0</v>
      </c>
      <c r="W10" s="51">
        <v>0.346939</v>
      </c>
      <c r="X10" s="51">
        <v>2.6754E-2</v>
      </c>
      <c r="Y10" s="52"/>
      <c r="Z10" s="52"/>
      <c r="AA10" s="51"/>
      <c r="AB10" s="73">
        <v>10</v>
      </c>
      <c r="AC10" s="73"/>
      <c r="AD10" s="74"/>
      <c r="AE10" s="80" t="s">
        <v>304</v>
      </c>
      <c r="AF10" s="100" t="str">
        <f>HYPERLINK("http://www.youtube.com/channel/UCXz3MIy-LiTvLjjqT9Cr33A")</f>
        <v>http://www.youtube.com/channel/UCXz3MIy-LiTvLjjqT9Cr33A</v>
      </c>
      <c r="AG10" s="80" t="s">
        <v>311</v>
      </c>
      <c r="AH10" s="80" t="s">
        <v>412</v>
      </c>
      <c r="AI10" s="50"/>
      <c r="AJ10" s="50"/>
      <c r="AK10" s="50"/>
      <c r="AL10" s="50"/>
      <c r="AM10" s="50"/>
      <c r="AN10" s="50"/>
      <c r="AO10" s="2"/>
      <c r="AP10" s="3"/>
      <c r="AQ10" s="3"/>
      <c r="AR10" s="3"/>
      <c r="AS10" s="3"/>
    </row>
    <row r="11" spans="1:45" ht="34.049999999999997" customHeight="1" x14ac:dyDescent="0.3">
      <c r="A11" s="66" t="s">
        <v>209</v>
      </c>
      <c r="C11" s="67"/>
      <c r="D11" s="67"/>
      <c r="E11" s="68"/>
      <c r="F11" s="70"/>
      <c r="G11" s="101" t="str">
        <f>HYPERLINK("https://yt3.ggpht.com/ytc/AKedOLSuAudfwAkwyl8L_rPXkstmuFcD-TA5bQ5MkG_K=s88-c-k-c0x00ffffff-no-rj")</f>
        <v>https://yt3.ggpht.com/ytc/AKedOLSuAudfwAkwyl8L_rPXkstmuFcD-TA5bQ5MkG_K=s88-c-k-c0x00ffffff-no-rj</v>
      </c>
      <c r="H11" s="67"/>
      <c r="I11" s="71"/>
      <c r="J11" s="72"/>
      <c r="K11" s="72"/>
      <c r="L11" s="71" t="s">
        <v>495</v>
      </c>
      <c r="M11" s="75"/>
      <c r="N11" s="76">
        <v>1368.4952392578125</v>
      </c>
      <c r="O11" s="76">
        <v>3669.0595703125</v>
      </c>
      <c r="P11" s="77"/>
      <c r="Q11" s="78"/>
      <c r="R11" s="78"/>
      <c r="S11" s="84"/>
      <c r="T11" s="50">
        <v>1</v>
      </c>
      <c r="U11" s="50">
        <v>0</v>
      </c>
      <c r="V11" s="51">
        <v>0</v>
      </c>
      <c r="W11" s="51">
        <v>0.346939</v>
      </c>
      <c r="X11" s="51">
        <v>2.6754E-2</v>
      </c>
      <c r="Y11" s="52"/>
      <c r="Z11" s="52"/>
      <c r="AA11" s="51"/>
      <c r="AB11" s="73">
        <v>11</v>
      </c>
      <c r="AC11" s="73"/>
      <c r="AD11" s="74"/>
      <c r="AE11" s="80" t="s">
        <v>304</v>
      </c>
      <c r="AF11" s="100" t="str">
        <f>HYPERLINK("http://www.youtube.com/channel/UCWovCqBTBpzolUjWb9lzuvA")</f>
        <v>http://www.youtube.com/channel/UCWovCqBTBpzolUjWb9lzuvA</v>
      </c>
      <c r="AG11" s="80" t="s">
        <v>312</v>
      </c>
      <c r="AH11" s="80"/>
      <c r="AI11" s="50"/>
      <c r="AJ11" s="50"/>
      <c r="AK11" s="50"/>
      <c r="AL11" s="50"/>
      <c r="AM11" s="50"/>
      <c r="AN11" s="50"/>
      <c r="AO11" s="2"/>
      <c r="AP11" s="3"/>
      <c r="AQ11" s="3"/>
      <c r="AR11" s="3"/>
      <c r="AS11" s="3"/>
    </row>
    <row r="12" spans="1:45" ht="34.049999999999997" customHeight="1" x14ac:dyDescent="0.3">
      <c r="A12" s="66" t="s">
        <v>210</v>
      </c>
      <c r="C12" s="67"/>
      <c r="D12" s="67"/>
      <c r="E12" s="68"/>
      <c r="F12" s="70"/>
      <c r="G12" s="101" t="str">
        <f>HYPERLINK("https://yt3.ggpht.com/ytc/AKedOLT5FlEBrqI2NytBlAs9K6P9inlBhdCcu-PPdDyV7A=s88-c-k-c0x00ffffff-no-rj")</f>
        <v>https://yt3.ggpht.com/ytc/AKedOLT5FlEBrqI2NytBlAs9K6P9inlBhdCcu-PPdDyV7A=s88-c-k-c0x00ffffff-no-rj</v>
      </c>
      <c r="H12" s="67"/>
      <c r="I12" s="71"/>
      <c r="J12" s="72"/>
      <c r="K12" s="72"/>
      <c r="L12" s="71" t="s">
        <v>496</v>
      </c>
      <c r="M12" s="75"/>
      <c r="N12" s="76">
        <v>6799.52978515625</v>
      </c>
      <c r="O12" s="76">
        <v>1230.18212890625</v>
      </c>
      <c r="P12" s="77"/>
      <c r="Q12" s="78"/>
      <c r="R12" s="78"/>
      <c r="S12" s="84"/>
      <c r="T12" s="50">
        <v>1</v>
      </c>
      <c r="U12" s="50">
        <v>0</v>
      </c>
      <c r="V12" s="51">
        <v>0</v>
      </c>
      <c r="W12" s="51">
        <v>0.346939</v>
      </c>
      <c r="X12" s="51">
        <v>2.6754E-2</v>
      </c>
      <c r="Y12" s="52"/>
      <c r="Z12" s="52"/>
      <c r="AA12" s="51"/>
      <c r="AB12" s="73">
        <v>12</v>
      </c>
      <c r="AC12" s="73"/>
      <c r="AD12" s="74"/>
      <c r="AE12" s="80" t="s">
        <v>304</v>
      </c>
      <c r="AF12" s="100" t="str">
        <f>HYPERLINK("http://www.youtube.com/channel/UCKs8oXxRKyNjHJVuiXF8XXQ")</f>
        <v>http://www.youtube.com/channel/UCKs8oXxRKyNjHJVuiXF8XXQ</v>
      </c>
      <c r="AG12" s="80" t="s">
        <v>313</v>
      </c>
      <c r="AH12" s="80" t="s">
        <v>413</v>
      </c>
      <c r="AI12" s="50"/>
      <c r="AJ12" s="50"/>
      <c r="AK12" s="50"/>
      <c r="AL12" s="50"/>
      <c r="AM12" s="50"/>
      <c r="AN12" s="50"/>
      <c r="AO12" s="2"/>
      <c r="AP12" s="3"/>
      <c r="AQ12" s="3"/>
      <c r="AR12" s="3"/>
      <c r="AS12" s="3"/>
    </row>
    <row r="13" spans="1:45" ht="34.049999999999997" customHeight="1" x14ac:dyDescent="0.3">
      <c r="A13" s="66" t="s">
        <v>211</v>
      </c>
      <c r="C13" s="67"/>
      <c r="D13" s="67"/>
      <c r="E13" s="68"/>
      <c r="F13" s="70"/>
      <c r="G13" s="101" t="str">
        <f>HYPERLINK("https://yt3.ggpht.com/ytc/AKedOLRujDjEDLZX16ZATWApszt8LlXKwLa9hbB8o23hmQ=s88-c-k-c0x00ffffff-no-rj")</f>
        <v>https://yt3.ggpht.com/ytc/AKedOLRujDjEDLZX16ZATWApszt8LlXKwLa9hbB8o23hmQ=s88-c-k-c0x00ffffff-no-rj</v>
      </c>
      <c r="H13" s="67"/>
      <c r="I13" s="71"/>
      <c r="J13" s="72"/>
      <c r="K13" s="72"/>
      <c r="L13" s="71" t="s">
        <v>497</v>
      </c>
      <c r="M13" s="75"/>
      <c r="N13" s="76">
        <v>7813.2119140625</v>
      </c>
      <c r="O13" s="76">
        <v>7121.73388671875</v>
      </c>
      <c r="P13" s="77"/>
      <c r="Q13" s="78"/>
      <c r="R13" s="78"/>
      <c r="S13" s="84"/>
      <c r="T13" s="50">
        <v>1</v>
      </c>
      <c r="U13" s="50">
        <v>0</v>
      </c>
      <c r="V13" s="51">
        <v>0</v>
      </c>
      <c r="W13" s="51">
        <v>0.346939</v>
      </c>
      <c r="X13" s="51">
        <v>2.6754E-2</v>
      </c>
      <c r="Y13" s="52"/>
      <c r="Z13" s="52"/>
      <c r="AA13" s="51"/>
      <c r="AB13" s="73">
        <v>13</v>
      </c>
      <c r="AC13" s="73"/>
      <c r="AD13" s="74"/>
      <c r="AE13" s="80" t="s">
        <v>304</v>
      </c>
      <c r="AF13" s="100" t="str">
        <f>HYPERLINK("http://www.youtube.com/channel/UCClWZFPC7yXHYYwpjNhFt5Q")</f>
        <v>http://www.youtube.com/channel/UCClWZFPC7yXHYYwpjNhFt5Q</v>
      </c>
      <c r="AG13" s="80" t="s">
        <v>314</v>
      </c>
      <c r="AH13" s="80" t="s">
        <v>414</v>
      </c>
      <c r="AI13" s="50"/>
      <c r="AJ13" s="50"/>
      <c r="AK13" s="50"/>
      <c r="AL13" s="50"/>
      <c r="AM13" s="50"/>
      <c r="AN13" s="50"/>
      <c r="AO13" s="2"/>
      <c r="AP13" s="3"/>
      <c r="AQ13" s="3"/>
      <c r="AR13" s="3"/>
      <c r="AS13" s="3"/>
    </row>
    <row r="14" spans="1:45" ht="34.049999999999997" customHeight="1" x14ac:dyDescent="0.3">
      <c r="A14" s="66" t="s">
        <v>212</v>
      </c>
      <c r="C14" s="67"/>
      <c r="D14" s="67"/>
      <c r="E14" s="68"/>
      <c r="F14" s="70"/>
      <c r="G14" s="101" t="str">
        <f>HYPERLINK("https://yt3.ggpht.com/ytc/AKedOLS7AvtibT0p6Gkklebkb7hZLfL_YNkNxC8wMkYU=s88-c-k-c0x00ffffff-no-rj")</f>
        <v>https://yt3.ggpht.com/ytc/AKedOLS7AvtibT0p6Gkklebkb7hZLfL_YNkNxC8wMkYU=s88-c-k-c0x00ffffff-no-rj</v>
      </c>
      <c r="H14" s="67"/>
      <c r="I14" s="71"/>
      <c r="J14" s="72"/>
      <c r="K14" s="72"/>
      <c r="L14" s="71" t="s">
        <v>498</v>
      </c>
      <c r="M14" s="75"/>
      <c r="N14" s="76">
        <v>720.15350341796875</v>
      </c>
      <c r="O14" s="76">
        <v>5935.62841796875</v>
      </c>
      <c r="P14" s="77"/>
      <c r="Q14" s="78"/>
      <c r="R14" s="78"/>
      <c r="S14" s="84"/>
      <c r="T14" s="50">
        <v>1</v>
      </c>
      <c r="U14" s="50">
        <v>0</v>
      </c>
      <c r="V14" s="51">
        <v>0</v>
      </c>
      <c r="W14" s="51">
        <v>0.346939</v>
      </c>
      <c r="X14" s="51">
        <v>2.6754E-2</v>
      </c>
      <c r="Y14" s="52"/>
      <c r="Z14" s="52"/>
      <c r="AA14" s="51"/>
      <c r="AB14" s="73">
        <v>14</v>
      </c>
      <c r="AC14" s="73"/>
      <c r="AD14" s="74"/>
      <c r="AE14" s="80" t="s">
        <v>304</v>
      </c>
      <c r="AF14" s="100" t="str">
        <f>HYPERLINK("http://www.youtube.com/channel/UC4PIyZ9QeDgRjTS1g35EH2g")</f>
        <v>http://www.youtube.com/channel/UC4PIyZ9QeDgRjTS1g35EH2g</v>
      </c>
      <c r="AG14" s="80" t="s">
        <v>315</v>
      </c>
      <c r="AH14" s="80"/>
      <c r="AI14" s="50"/>
      <c r="AJ14" s="50"/>
      <c r="AK14" s="50"/>
      <c r="AL14" s="50"/>
      <c r="AM14" s="50"/>
      <c r="AN14" s="50"/>
      <c r="AO14" s="2"/>
      <c r="AP14" s="3"/>
      <c r="AQ14" s="3"/>
      <c r="AR14" s="3"/>
      <c r="AS14" s="3"/>
    </row>
    <row r="15" spans="1:45" ht="34.049999999999997" customHeight="1" x14ac:dyDescent="0.3">
      <c r="A15" s="66" t="s">
        <v>198</v>
      </c>
      <c r="C15" s="67"/>
      <c r="D15" s="67"/>
      <c r="E15" s="68"/>
      <c r="F15" s="70"/>
      <c r="G15" s="101" t="str">
        <f>HYPERLINK("https://yt3.ggpht.com/ytc/AKedOLTxfcIE1m7eChHGa857MyBgjXGzkCDkEYGWkWijug=s88-c-k-c0x00ffffff-no-rj")</f>
        <v>https://yt3.ggpht.com/ytc/AKedOLTxfcIE1m7eChHGa857MyBgjXGzkCDkEYGWkWijug=s88-c-k-c0x00ffffff-no-rj</v>
      </c>
      <c r="H15" s="67"/>
      <c r="I15" s="71"/>
      <c r="J15" s="72"/>
      <c r="K15" s="72"/>
      <c r="L15" s="71" t="s">
        <v>499</v>
      </c>
      <c r="M15" s="75"/>
      <c r="N15" s="76">
        <v>5661.1103515625</v>
      </c>
      <c r="O15" s="76">
        <v>4939.74755859375</v>
      </c>
      <c r="P15" s="77"/>
      <c r="Q15" s="78"/>
      <c r="R15" s="78"/>
      <c r="S15" s="84"/>
      <c r="T15" s="50">
        <v>6</v>
      </c>
      <c r="U15" s="50">
        <v>34</v>
      </c>
      <c r="V15" s="51">
        <v>3953.5</v>
      </c>
      <c r="W15" s="51">
        <v>0.59302299999999997</v>
      </c>
      <c r="X15" s="51">
        <v>0.39813999999999999</v>
      </c>
      <c r="Y15" s="52"/>
      <c r="Z15" s="52"/>
      <c r="AA15" s="51"/>
      <c r="AB15" s="73">
        <v>15</v>
      </c>
      <c r="AC15" s="73"/>
      <c r="AD15" s="74"/>
      <c r="AE15" s="80" t="s">
        <v>304</v>
      </c>
      <c r="AF15" s="100" t="str">
        <f>HYPERLINK("http://www.youtube.com/channel/UCguyHOb3ojHY3bGoDJ48OZg")</f>
        <v>http://www.youtube.com/channel/UCguyHOb3ojHY3bGoDJ48OZg</v>
      </c>
      <c r="AG15" s="80" t="s">
        <v>316</v>
      </c>
      <c r="AH15" s="80" t="s">
        <v>415</v>
      </c>
      <c r="AI15" s="50"/>
      <c r="AJ15" s="50"/>
      <c r="AK15" s="105" t="s">
        <v>611</v>
      </c>
      <c r="AL15" s="105" t="s">
        <v>611</v>
      </c>
      <c r="AM15" s="105" t="s">
        <v>611</v>
      </c>
      <c r="AN15" s="105" t="s">
        <v>611</v>
      </c>
      <c r="AO15" s="2"/>
      <c r="AP15" s="3"/>
      <c r="AQ15" s="3"/>
      <c r="AR15" s="3"/>
      <c r="AS15" s="3"/>
    </row>
    <row r="16" spans="1:45" ht="34.049999999999997" customHeight="1" x14ac:dyDescent="0.3">
      <c r="A16" s="66" t="s">
        <v>213</v>
      </c>
      <c r="C16" s="67"/>
      <c r="D16" s="67"/>
      <c r="E16" s="68"/>
      <c r="F16" s="70"/>
      <c r="G16" s="101" t="str">
        <f>HYPERLINK("https://yt3.ggpht.com/ytc/AKedOLQNI40AQAt3Nc9TeW3QUSdC-F9ybDf-SeCn-Q=s88-c-k-c0x00ffffff-no-rj")</f>
        <v>https://yt3.ggpht.com/ytc/AKedOLQNI40AQAt3Nc9TeW3QUSdC-F9ybDf-SeCn-Q=s88-c-k-c0x00ffffff-no-rj</v>
      </c>
      <c r="H16" s="67"/>
      <c r="I16" s="71"/>
      <c r="J16" s="72"/>
      <c r="K16" s="72"/>
      <c r="L16" s="71" t="s">
        <v>500</v>
      </c>
      <c r="M16" s="75"/>
      <c r="N16" s="76">
        <v>8931.673828125</v>
      </c>
      <c r="O16" s="76">
        <v>5566.1396484375</v>
      </c>
      <c r="P16" s="77"/>
      <c r="Q16" s="78"/>
      <c r="R16" s="78"/>
      <c r="S16" s="84"/>
      <c r="T16" s="50">
        <v>1</v>
      </c>
      <c r="U16" s="50">
        <v>0</v>
      </c>
      <c r="V16" s="51">
        <v>0</v>
      </c>
      <c r="W16" s="51">
        <v>0.37362600000000001</v>
      </c>
      <c r="X16" s="51">
        <v>4.3825999999999997E-2</v>
      </c>
      <c r="Y16" s="52"/>
      <c r="Z16" s="52"/>
      <c r="AA16" s="51"/>
      <c r="AB16" s="73">
        <v>16</v>
      </c>
      <c r="AC16" s="73"/>
      <c r="AD16" s="74"/>
      <c r="AE16" s="80" t="s">
        <v>304</v>
      </c>
      <c r="AF16" s="100" t="str">
        <f>HYPERLINK("http://www.youtube.com/channel/UCwLRiiWovyFCLqN0iI1qU_Q")</f>
        <v>http://www.youtube.com/channel/UCwLRiiWovyFCLqN0iI1qU_Q</v>
      </c>
      <c r="AG16" s="80" t="s">
        <v>317</v>
      </c>
      <c r="AH16" s="80"/>
      <c r="AI16" s="50"/>
      <c r="AJ16" s="50"/>
      <c r="AK16" s="50"/>
      <c r="AL16" s="50"/>
      <c r="AM16" s="50"/>
      <c r="AN16" s="50"/>
      <c r="AO16" s="2"/>
      <c r="AP16" s="3"/>
      <c r="AQ16" s="3"/>
      <c r="AR16" s="3"/>
      <c r="AS16" s="3"/>
    </row>
    <row r="17" spans="1:45" ht="34.049999999999997" customHeight="1" x14ac:dyDescent="0.3">
      <c r="A17" s="66" t="s">
        <v>214</v>
      </c>
      <c r="C17" s="67"/>
      <c r="D17" s="67"/>
      <c r="E17" s="68"/>
      <c r="F17" s="70"/>
      <c r="G17" s="101" t="str">
        <f>HYPERLINK("https://yt3.ggpht.com/ytc/AKedOLQY8r--6-PTTNXorqlI_21R1MD7M3hkNkYRC5vUqQ=s88-c-k-c0x00ffffff-no-rj")</f>
        <v>https://yt3.ggpht.com/ytc/AKedOLQY8r--6-PTTNXorqlI_21R1MD7M3hkNkYRC5vUqQ=s88-c-k-c0x00ffffff-no-rj</v>
      </c>
      <c r="H17" s="67"/>
      <c r="I17" s="71"/>
      <c r="J17" s="72"/>
      <c r="K17" s="72"/>
      <c r="L17" s="71" t="s">
        <v>501</v>
      </c>
      <c r="M17" s="75"/>
      <c r="N17" s="76">
        <v>7413.64794921875</v>
      </c>
      <c r="O17" s="76">
        <v>535.478271484375</v>
      </c>
      <c r="P17" s="77"/>
      <c r="Q17" s="78"/>
      <c r="R17" s="78"/>
      <c r="S17" s="84"/>
      <c r="T17" s="50">
        <v>1</v>
      </c>
      <c r="U17" s="50">
        <v>0</v>
      </c>
      <c r="V17" s="51">
        <v>0</v>
      </c>
      <c r="W17" s="51">
        <v>0.37362600000000001</v>
      </c>
      <c r="X17" s="51">
        <v>4.3825999999999997E-2</v>
      </c>
      <c r="Y17" s="52"/>
      <c r="Z17" s="52"/>
      <c r="AA17" s="51"/>
      <c r="AB17" s="73">
        <v>17</v>
      </c>
      <c r="AC17" s="73"/>
      <c r="AD17" s="74"/>
      <c r="AE17" s="80" t="s">
        <v>304</v>
      </c>
      <c r="AF17" s="100" t="str">
        <f>HYPERLINK("http://www.youtube.com/channel/UCvVYhjD_h8foCbohQbZhR2g")</f>
        <v>http://www.youtube.com/channel/UCvVYhjD_h8foCbohQbZhR2g</v>
      </c>
      <c r="AG17" s="80" t="s">
        <v>318</v>
      </c>
      <c r="AH17" s="80"/>
      <c r="AI17" s="50"/>
      <c r="AJ17" s="50"/>
      <c r="AK17" s="50"/>
      <c r="AL17" s="50"/>
      <c r="AM17" s="50"/>
      <c r="AN17" s="50"/>
      <c r="AO17" s="2"/>
      <c r="AP17" s="3"/>
      <c r="AQ17" s="3"/>
      <c r="AR17" s="3"/>
      <c r="AS17" s="3"/>
    </row>
    <row r="18" spans="1:45" ht="34.049999999999997" customHeight="1" x14ac:dyDescent="0.3">
      <c r="A18" s="66" t="s">
        <v>215</v>
      </c>
      <c r="C18" s="67"/>
      <c r="D18" s="67"/>
      <c r="E18" s="68"/>
      <c r="F18" s="70"/>
      <c r="G18" s="101" t="str">
        <f>HYPERLINK("https://yt3.ggpht.com/ytc/AKedOLSeaBEaLx06k0FuIVZ_jEQgBHTFQIbAs2fGek-qvg=s88-c-k-c0x00ffffff-no-rj")</f>
        <v>https://yt3.ggpht.com/ytc/AKedOLSeaBEaLx06k0FuIVZ_jEQgBHTFQIbAs2fGek-qvg=s88-c-k-c0x00ffffff-no-rj</v>
      </c>
      <c r="H18" s="67"/>
      <c r="I18" s="71"/>
      <c r="J18" s="72"/>
      <c r="K18" s="72"/>
      <c r="L18" s="71" t="s">
        <v>502</v>
      </c>
      <c r="M18" s="75"/>
      <c r="N18" s="76">
        <v>5800.22119140625</v>
      </c>
      <c r="O18" s="76">
        <v>1032.336181640625</v>
      </c>
      <c r="P18" s="77"/>
      <c r="Q18" s="78"/>
      <c r="R18" s="78"/>
      <c r="S18" s="84"/>
      <c r="T18" s="50">
        <v>1</v>
      </c>
      <c r="U18" s="50">
        <v>0</v>
      </c>
      <c r="V18" s="51">
        <v>0</v>
      </c>
      <c r="W18" s="51">
        <v>0.37362600000000001</v>
      </c>
      <c r="X18" s="51">
        <v>4.3825999999999997E-2</v>
      </c>
      <c r="Y18" s="52"/>
      <c r="Z18" s="52"/>
      <c r="AA18" s="51"/>
      <c r="AB18" s="73">
        <v>18</v>
      </c>
      <c r="AC18" s="73"/>
      <c r="AD18" s="74"/>
      <c r="AE18" s="80" t="s">
        <v>304</v>
      </c>
      <c r="AF18" s="100" t="str">
        <f>HYPERLINK("http://www.youtube.com/channel/UCtcCemTJwwDS48p369ObKLg")</f>
        <v>http://www.youtube.com/channel/UCtcCemTJwwDS48p369ObKLg</v>
      </c>
      <c r="AG18" s="80" t="s">
        <v>319</v>
      </c>
      <c r="AH18" s="80"/>
      <c r="AI18" s="50"/>
      <c r="AJ18" s="50"/>
      <c r="AK18" s="50"/>
      <c r="AL18" s="50"/>
      <c r="AM18" s="50"/>
      <c r="AN18" s="50"/>
      <c r="AO18" s="2"/>
      <c r="AP18" s="3"/>
      <c r="AQ18" s="3"/>
      <c r="AR18" s="3"/>
      <c r="AS18" s="3"/>
    </row>
    <row r="19" spans="1:45" ht="34.049999999999997" customHeight="1" x14ac:dyDescent="0.3">
      <c r="A19" s="66" t="s">
        <v>216</v>
      </c>
      <c r="C19" s="67"/>
      <c r="D19" s="67"/>
      <c r="E19" s="68"/>
      <c r="F19" s="70"/>
      <c r="G19" s="101" t="str">
        <f>HYPERLINK("https://yt3.ggpht.com/ytc/AKedOLTt6xXW9T-OFZH7QOjz3Edu4O1jZ6MXKSZoSWEr=s88-c-k-c0x00ffffff-no-rj")</f>
        <v>https://yt3.ggpht.com/ytc/AKedOLTt6xXW9T-OFZH7QOjz3Edu4O1jZ6MXKSZoSWEr=s88-c-k-c0x00ffffff-no-rj</v>
      </c>
      <c r="H19" s="67"/>
      <c r="I19" s="71"/>
      <c r="J19" s="72"/>
      <c r="K19" s="72"/>
      <c r="L19" s="71" t="s">
        <v>503</v>
      </c>
      <c r="M19" s="75"/>
      <c r="N19" s="76">
        <v>6473.34814453125</v>
      </c>
      <c r="O19" s="76">
        <v>9655.6474609375</v>
      </c>
      <c r="P19" s="77"/>
      <c r="Q19" s="78"/>
      <c r="R19" s="78"/>
      <c r="S19" s="84"/>
      <c r="T19" s="50">
        <v>1</v>
      </c>
      <c r="U19" s="50">
        <v>0</v>
      </c>
      <c r="V19" s="51">
        <v>0</v>
      </c>
      <c r="W19" s="51">
        <v>0.37362600000000001</v>
      </c>
      <c r="X19" s="51">
        <v>4.3825999999999997E-2</v>
      </c>
      <c r="Y19" s="52"/>
      <c r="Z19" s="52"/>
      <c r="AA19" s="51"/>
      <c r="AB19" s="73">
        <v>19</v>
      </c>
      <c r="AC19" s="73"/>
      <c r="AD19" s="74"/>
      <c r="AE19" s="80" t="s">
        <v>304</v>
      </c>
      <c r="AF19" s="100" t="str">
        <f>HYPERLINK("http://www.youtube.com/channel/UCs41Z32AWG2b3scm3a9Y-xQ")</f>
        <v>http://www.youtube.com/channel/UCs41Z32AWG2b3scm3a9Y-xQ</v>
      </c>
      <c r="AG19" s="80" t="s">
        <v>320</v>
      </c>
      <c r="AH19" s="80" t="s">
        <v>416</v>
      </c>
      <c r="AI19" s="50"/>
      <c r="AJ19" s="50"/>
      <c r="AK19" s="50"/>
      <c r="AL19" s="50"/>
      <c r="AM19" s="50"/>
      <c r="AN19" s="50"/>
      <c r="AO19" s="2"/>
      <c r="AP19" s="3"/>
      <c r="AQ19" s="3"/>
      <c r="AR19" s="3"/>
      <c r="AS19" s="3"/>
    </row>
    <row r="20" spans="1:45" ht="34.049999999999997" customHeight="1" x14ac:dyDescent="0.3">
      <c r="A20" s="66" t="s">
        <v>217</v>
      </c>
      <c r="C20" s="67"/>
      <c r="D20" s="67"/>
      <c r="E20" s="68"/>
      <c r="F20" s="70"/>
      <c r="G20" s="101" t="str">
        <f>HYPERLINK("https://yt3.ggpht.com/ytc/AKedOLSkxKr2DnKGkCxXC4LQzTFAoyhgEbjg4PU7FMyE=s88-c-k-c0x00ffffff-no-rj")</f>
        <v>https://yt3.ggpht.com/ytc/AKedOLSkxKr2DnKGkCxXC4LQzTFAoyhgEbjg4PU7FMyE=s88-c-k-c0x00ffffff-no-rj</v>
      </c>
      <c r="H20" s="67"/>
      <c r="I20" s="71"/>
      <c r="J20" s="72"/>
      <c r="K20" s="72"/>
      <c r="L20" s="71" t="s">
        <v>504</v>
      </c>
      <c r="M20" s="75"/>
      <c r="N20" s="76">
        <v>9580.544921875</v>
      </c>
      <c r="O20" s="76">
        <v>2292.787109375</v>
      </c>
      <c r="P20" s="77"/>
      <c r="Q20" s="78"/>
      <c r="R20" s="78"/>
      <c r="S20" s="84"/>
      <c r="T20" s="50">
        <v>1</v>
      </c>
      <c r="U20" s="50">
        <v>0</v>
      </c>
      <c r="V20" s="51">
        <v>0</v>
      </c>
      <c r="W20" s="51">
        <v>0.37362600000000001</v>
      </c>
      <c r="X20" s="51">
        <v>4.3825999999999997E-2</v>
      </c>
      <c r="Y20" s="52"/>
      <c r="Z20" s="52"/>
      <c r="AA20" s="51"/>
      <c r="AB20" s="73">
        <v>20</v>
      </c>
      <c r="AC20" s="73"/>
      <c r="AD20" s="74"/>
      <c r="AE20" s="80" t="s">
        <v>304</v>
      </c>
      <c r="AF20" s="100" t="str">
        <f>HYPERLINK("http://www.youtube.com/channel/UCojtK1hCkqu8HMFy-hBcUXg")</f>
        <v>http://www.youtube.com/channel/UCojtK1hCkqu8HMFy-hBcUXg</v>
      </c>
      <c r="AG20" s="80" t="s">
        <v>321</v>
      </c>
      <c r="AH20" s="80"/>
      <c r="AI20" s="50"/>
      <c r="AJ20" s="50"/>
      <c r="AK20" s="50"/>
      <c r="AL20" s="50"/>
      <c r="AM20" s="50"/>
      <c r="AN20" s="50"/>
      <c r="AO20" s="2"/>
      <c r="AP20" s="3"/>
      <c r="AQ20" s="3"/>
      <c r="AR20" s="3"/>
      <c r="AS20" s="3"/>
    </row>
    <row r="21" spans="1:45" ht="34.049999999999997" customHeight="1" x14ac:dyDescent="0.3">
      <c r="A21" s="66" t="s">
        <v>218</v>
      </c>
      <c r="C21" s="67"/>
      <c r="D21" s="67"/>
      <c r="E21" s="68"/>
      <c r="F21" s="70"/>
      <c r="G21" s="101" t="str">
        <f>HYPERLINK("https://yt3.ggpht.com/ytc/AKedOLT51KnoxHrbsXpcz59EMtcGLB_QmoWIdGlml1l3=s88-c-k-c0x00ffffff-no-rj")</f>
        <v>https://yt3.ggpht.com/ytc/AKedOLT51KnoxHrbsXpcz59EMtcGLB_QmoWIdGlml1l3=s88-c-k-c0x00ffffff-no-rj</v>
      </c>
      <c r="H21" s="67"/>
      <c r="I21" s="71"/>
      <c r="J21" s="72"/>
      <c r="K21" s="72"/>
      <c r="L21" s="71" t="s">
        <v>505</v>
      </c>
      <c r="M21" s="75"/>
      <c r="N21" s="76">
        <v>7459.61083984375</v>
      </c>
      <c r="O21" s="76">
        <v>9534.28125</v>
      </c>
      <c r="P21" s="77"/>
      <c r="Q21" s="78"/>
      <c r="R21" s="78"/>
      <c r="S21" s="84"/>
      <c r="T21" s="50">
        <v>1</v>
      </c>
      <c r="U21" s="50">
        <v>0</v>
      </c>
      <c r="V21" s="51">
        <v>0</v>
      </c>
      <c r="W21" s="51">
        <v>0.37362600000000001</v>
      </c>
      <c r="X21" s="51">
        <v>4.3825999999999997E-2</v>
      </c>
      <c r="Y21" s="52"/>
      <c r="Z21" s="52"/>
      <c r="AA21" s="51"/>
      <c r="AB21" s="73">
        <v>21</v>
      </c>
      <c r="AC21" s="73"/>
      <c r="AD21" s="74"/>
      <c r="AE21" s="80" t="s">
        <v>304</v>
      </c>
      <c r="AF21" s="100" t="str">
        <f>HYPERLINK("http://www.youtube.com/channel/UCoITC9WHgz-Tay15z_0si9Q")</f>
        <v>http://www.youtube.com/channel/UCoITC9WHgz-Tay15z_0si9Q</v>
      </c>
      <c r="AG21" s="80" t="s">
        <v>322</v>
      </c>
      <c r="AH21" s="80"/>
      <c r="AI21" s="50"/>
      <c r="AJ21" s="50"/>
      <c r="AK21" s="50"/>
      <c r="AL21" s="50"/>
      <c r="AM21" s="50"/>
      <c r="AN21" s="50"/>
      <c r="AO21" s="2"/>
      <c r="AP21" s="3"/>
      <c r="AQ21" s="3"/>
      <c r="AR21" s="3"/>
      <c r="AS21" s="3"/>
    </row>
    <row r="22" spans="1:45" ht="34.049999999999997" customHeight="1" x14ac:dyDescent="0.3">
      <c r="A22" s="66" t="s">
        <v>219</v>
      </c>
      <c r="C22" s="67"/>
      <c r="D22" s="67"/>
      <c r="E22" s="68"/>
      <c r="F22" s="70"/>
      <c r="G22" s="101" t="str">
        <f>HYPERLINK("https://yt3.ggpht.com/ytc/AKedOLSZaWXz-_cSiEAdZxr_woUoLrjQFRxme18f3pOTZso=s88-c-k-c0x00ffffff-no-rj")</f>
        <v>https://yt3.ggpht.com/ytc/AKedOLSZaWXz-_cSiEAdZxr_woUoLrjQFRxme18f3pOTZso=s88-c-k-c0x00ffffff-no-rj</v>
      </c>
      <c r="H22" s="67"/>
      <c r="I22" s="71"/>
      <c r="J22" s="72"/>
      <c r="K22" s="72"/>
      <c r="L22" s="71" t="s">
        <v>506</v>
      </c>
      <c r="M22" s="75"/>
      <c r="N22" s="76">
        <v>6527.21630859375</v>
      </c>
      <c r="O22" s="76">
        <v>2288.4130859375</v>
      </c>
      <c r="P22" s="77"/>
      <c r="Q22" s="78"/>
      <c r="R22" s="78"/>
      <c r="S22" s="84"/>
      <c r="T22" s="50">
        <v>1</v>
      </c>
      <c r="U22" s="50">
        <v>0</v>
      </c>
      <c r="V22" s="51">
        <v>0</v>
      </c>
      <c r="W22" s="51">
        <v>0.37362600000000001</v>
      </c>
      <c r="X22" s="51">
        <v>4.3825999999999997E-2</v>
      </c>
      <c r="Y22" s="52"/>
      <c r="Z22" s="52"/>
      <c r="AA22" s="51"/>
      <c r="AB22" s="73">
        <v>22</v>
      </c>
      <c r="AC22" s="73"/>
      <c r="AD22" s="74"/>
      <c r="AE22" s="80" t="s">
        <v>304</v>
      </c>
      <c r="AF22" s="100" t="str">
        <f>HYPERLINK("http://www.youtube.com/channel/UCdpipWH8IVrFaOK0HsYy1rg")</f>
        <v>http://www.youtube.com/channel/UCdpipWH8IVrFaOK0HsYy1rg</v>
      </c>
      <c r="AG22" s="80" t="s">
        <v>323</v>
      </c>
      <c r="AH22" s="80"/>
      <c r="AI22" s="50"/>
      <c r="AJ22" s="50"/>
      <c r="AK22" s="50"/>
      <c r="AL22" s="50"/>
      <c r="AM22" s="50"/>
      <c r="AN22" s="50"/>
      <c r="AO22" s="2"/>
      <c r="AP22" s="3"/>
      <c r="AQ22" s="3"/>
      <c r="AR22" s="3"/>
      <c r="AS22" s="3"/>
    </row>
    <row r="23" spans="1:45" ht="34.049999999999997" customHeight="1" x14ac:dyDescent="0.3">
      <c r="A23" s="66" t="s">
        <v>220</v>
      </c>
      <c r="C23" s="67"/>
      <c r="D23" s="67"/>
      <c r="E23" s="68"/>
      <c r="F23" s="70"/>
      <c r="G23" s="101" t="str">
        <f>HYPERLINK("https://yt3.ggpht.com/ytc/AKedOLQPWLPgjJdNuos5IY7xplv-uEt6bnHRhU9r5-87=s88-c-k-c0x00ffffff-no-rj")</f>
        <v>https://yt3.ggpht.com/ytc/AKedOLQPWLPgjJdNuos5IY7xplv-uEt6bnHRhU9r5-87=s88-c-k-c0x00ffffff-no-rj</v>
      </c>
      <c r="H23" s="67"/>
      <c r="I23" s="71"/>
      <c r="J23" s="72"/>
      <c r="K23" s="72"/>
      <c r="L23" s="71" t="s">
        <v>507</v>
      </c>
      <c r="M23" s="75"/>
      <c r="N23" s="76">
        <v>3032.509765625</v>
      </c>
      <c r="O23" s="76">
        <v>338.71337890625</v>
      </c>
      <c r="P23" s="77"/>
      <c r="Q23" s="78"/>
      <c r="R23" s="78"/>
      <c r="S23" s="84"/>
      <c r="T23" s="50">
        <v>1</v>
      </c>
      <c r="U23" s="50">
        <v>0</v>
      </c>
      <c r="V23" s="51">
        <v>0</v>
      </c>
      <c r="W23" s="51">
        <v>0.37362600000000001</v>
      </c>
      <c r="X23" s="51">
        <v>4.3825999999999997E-2</v>
      </c>
      <c r="Y23" s="52"/>
      <c r="Z23" s="52"/>
      <c r="AA23" s="51"/>
      <c r="AB23" s="73">
        <v>23</v>
      </c>
      <c r="AC23" s="73"/>
      <c r="AD23" s="74"/>
      <c r="AE23" s="80" t="s">
        <v>304</v>
      </c>
      <c r="AF23" s="100" t="str">
        <f>HYPERLINK("http://www.youtube.com/channel/UCdfk_7PLmqVHMUWWyGNatRA")</f>
        <v>http://www.youtube.com/channel/UCdfk_7PLmqVHMUWWyGNatRA</v>
      </c>
      <c r="AG23" s="80" t="s">
        <v>324</v>
      </c>
      <c r="AH23" s="80" t="s">
        <v>417</v>
      </c>
      <c r="AI23" s="50"/>
      <c r="AJ23" s="50"/>
      <c r="AK23" s="50"/>
      <c r="AL23" s="50"/>
      <c r="AM23" s="50"/>
      <c r="AN23" s="50"/>
      <c r="AO23" s="2"/>
      <c r="AP23" s="3"/>
      <c r="AQ23" s="3"/>
      <c r="AR23" s="3"/>
      <c r="AS23" s="3"/>
    </row>
    <row r="24" spans="1:45" ht="34.049999999999997" customHeight="1" x14ac:dyDescent="0.3">
      <c r="A24" s="66" t="s">
        <v>221</v>
      </c>
      <c r="C24" s="67"/>
      <c r="D24" s="67"/>
      <c r="E24" s="68"/>
      <c r="F24" s="70"/>
      <c r="G24" s="101" t="str">
        <f>HYPERLINK("https://yt3.ggpht.com/ytc/AKedOLQn-CEc8p2OjesHz9TclzGu21fHkL7fsHA96ToH=s88-c-k-c0x00ffffff-no-rj")</f>
        <v>https://yt3.ggpht.com/ytc/AKedOLQn-CEc8p2OjesHz9TclzGu21fHkL7fsHA96ToH=s88-c-k-c0x00ffffff-no-rj</v>
      </c>
      <c r="H24" s="67"/>
      <c r="I24" s="71"/>
      <c r="J24" s="72"/>
      <c r="K24" s="72"/>
      <c r="L24" s="71" t="s">
        <v>508</v>
      </c>
      <c r="M24" s="75"/>
      <c r="N24" s="76">
        <v>8402.0859375</v>
      </c>
      <c r="O24" s="76">
        <v>5246.04296875</v>
      </c>
      <c r="P24" s="77"/>
      <c r="Q24" s="78"/>
      <c r="R24" s="78"/>
      <c r="S24" s="84"/>
      <c r="T24" s="50">
        <v>1</v>
      </c>
      <c r="U24" s="50">
        <v>0</v>
      </c>
      <c r="V24" s="51">
        <v>0</v>
      </c>
      <c r="W24" s="51">
        <v>0.37362600000000001</v>
      </c>
      <c r="X24" s="51">
        <v>4.3825999999999997E-2</v>
      </c>
      <c r="Y24" s="52"/>
      <c r="Z24" s="52"/>
      <c r="AA24" s="51"/>
      <c r="AB24" s="73">
        <v>24</v>
      </c>
      <c r="AC24" s="73"/>
      <c r="AD24" s="74"/>
      <c r="AE24" s="80" t="s">
        <v>304</v>
      </c>
      <c r="AF24" s="100" t="str">
        <f>HYPERLINK("http://www.youtube.com/channel/UCag58YusU664ZCCzwjMEMTw")</f>
        <v>http://www.youtube.com/channel/UCag58YusU664ZCCzwjMEMTw</v>
      </c>
      <c r="AG24" s="80" t="s">
        <v>325</v>
      </c>
      <c r="AH24" s="80" t="s">
        <v>418</v>
      </c>
      <c r="AI24" s="50"/>
      <c r="AJ24" s="50"/>
      <c r="AK24" s="50"/>
      <c r="AL24" s="50"/>
      <c r="AM24" s="50"/>
      <c r="AN24" s="50"/>
      <c r="AO24" s="2"/>
      <c r="AP24" s="3"/>
      <c r="AQ24" s="3"/>
      <c r="AR24" s="3"/>
      <c r="AS24" s="3"/>
    </row>
    <row r="25" spans="1:45" ht="34.049999999999997" customHeight="1" x14ac:dyDescent="0.3">
      <c r="A25" s="66" t="s">
        <v>222</v>
      </c>
      <c r="C25" s="67"/>
      <c r="D25" s="67"/>
      <c r="E25" s="68"/>
      <c r="F25" s="70"/>
      <c r="G25" s="101" t="str">
        <f>HYPERLINK("https://yt3.ggpht.com/ytc/AKedOLTJ8Fw6Le2uSB9ijGqJaWvHh8Osh7ProwD8xOgP=s88-c-k-c0x00ffffff-no-rj")</f>
        <v>https://yt3.ggpht.com/ytc/AKedOLTJ8Fw6Le2uSB9ijGqJaWvHh8Osh7ProwD8xOgP=s88-c-k-c0x00ffffff-no-rj</v>
      </c>
      <c r="H25" s="67"/>
      <c r="I25" s="71"/>
      <c r="J25" s="72"/>
      <c r="K25" s="72"/>
      <c r="L25" s="71" t="s">
        <v>509</v>
      </c>
      <c r="M25" s="75"/>
      <c r="N25" s="76">
        <v>3868.130126953125</v>
      </c>
      <c r="O25" s="76">
        <v>2132.23828125</v>
      </c>
      <c r="P25" s="77"/>
      <c r="Q25" s="78"/>
      <c r="R25" s="78"/>
      <c r="S25" s="84"/>
      <c r="T25" s="50">
        <v>2</v>
      </c>
      <c r="U25" s="50">
        <v>0</v>
      </c>
      <c r="V25" s="51">
        <v>0</v>
      </c>
      <c r="W25" s="51">
        <v>0.38490600000000003</v>
      </c>
      <c r="X25" s="51">
        <v>7.0580000000000004E-2</v>
      </c>
      <c r="Y25" s="52"/>
      <c r="Z25" s="52"/>
      <c r="AA25" s="51"/>
      <c r="AB25" s="73">
        <v>25</v>
      </c>
      <c r="AC25" s="73"/>
      <c r="AD25" s="74"/>
      <c r="AE25" s="80" t="s">
        <v>304</v>
      </c>
      <c r="AF25" s="100" t="str">
        <f>HYPERLINK("http://www.youtube.com/channel/UC_dyxb4s8mId59-B2PNNiNA")</f>
        <v>http://www.youtube.com/channel/UC_dyxb4s8mId59-B2PNNiNA</v>
      </c>
      <c r="AG25" s="80" t="s">
        <v>326</v>
      </c>
      <c r="AH25" s="80" t="s">
        <v>419</v>
      </c>
      <c r="AI25" s="50"/>
      <c r="AJ25" s="50"/>
      <c r="AK25" s="50"/>
      <c r="AL25" s="50"/>
      <c r="AM25" s="50"/>
      <c r="AN25" s="50"/>
      <c r="AO25" s="2"/>
      <c r="AP25" s="3"/>
      <c r="AQ25" s="3"/>
      <c r="AR25" s="3"/>
      <c r="AS25" s="3"/>
    </row>
    <row r="26" spans="1:45" ht="34.049999999999997" customHeight="1" x14ac:dyDescent="0.3">
      <c r="A26" s="66" t="s">
        <v>223</v>
      </c>
      <c r="C26" s="67"/>
      <c r="D26" s="67"/>
      <c r="E26" s="68"/>
      <c r="F26" s="70"/>
      <c r="G26" s="101" t="str">
        <f>HYPERLINK("https://yt3.ggpht.com/ytc/AKedOLTTWrvgIqBBa4n5hF-HRBMbDqnT-Mhe2-GIMIgReg=s88-c-k-c0x00ffffff-no-rj")</f>
        <v>https://yt3.ggpht.com/ytc/AKedOLTTWrvgIqBBa4n5hF-HRBMbDqnT-Mhe2-GIMIgReg=s88-c-k-c0x00ffffff-no-rj</v>
      </c>
      <c r="H26" s="67"/>
      <c r="I26" s="71"/>
      <c r="J26" s="72"/>
      <c r="K26" s="72"/>
      <c r="L26" s="71" t="s">
        <v>510</v>
      </c>
      <c r="M26" s="75"/>
      <c r="N26" s="76">
        <v>8028.41796875</v>
      </c>
      <c r="O26" s="76">
        <v>3530.801025390625</v>
      </c>
      <c r="P26" s="77"/>
      <c r="Q26" s="78"/>
      <c r="R26" s="78"/>
      <c r="S26" s="84"/>
      <c r="T26" s="50">
        <v>1</v>
      </c>
      <c r="U26" s="50">
        <v>0</v>
      </c>
      <c r="V26" s="51">
        <v>0</v>
      </c>
      <c r="W26" s="51">
        <v>0.37362600000000001</v>
      </c>
      <c r="X26" s="51">
        <v>4.3825999999999997E-2</v>
      </c>
      <c r="Y26" s="52"/>
      <c r="Z26" s="52"/>
      <c r="AA26" s="51"/>
      <c r="AB26" s="73">
        <v>26</v>
      </c>
      <c r="AC26" s="73"/>
      <c r="AD26" s="74"/>
      <c r="AE26" s="80" t="s">
        <v>304</v>
      </c>
      <c r="AF26" s="100" t="str">
        <f>HYPERLINK("http://www.youtube.com/channel/UCZuh3ejTqTXIhr6MaFqwArw")</f>
        <v>http://www.youtube.com/channel/UCZuh3ejTqTXIhr6MaFqwArw</v>
      </c>
      <c r="AG26" s="80" t="s">
        <v>327</v>
      </c>
      <c r="AH26" s="80" t="s">
        <v>420</v>
      </c>
      <c r="AI26" s="50"/>
      <c r="AJ26" s="50"/>
      <c r="AK26" s="50"/>
      <c r="AL26" s="50"/>
      <c r="AM26" s="50"/>
      <c r="AN26" s="50"/>
      <c r="AO26" s="2"/>
      <c r="AP26" s="3"/>
      <c r="AQ26" s="3"/>
      <c r="AR26" s="3"/>
      <c r="AS26" s="3"/>
    </row>
    <row r="27" spans="1:45" ht="34.049999999999997" customHeight="1" x14ac:dyDescent="0.3">
      <c r="A27" s="66" t="s">
        <v>224</v>
      </c>
      <c r="C27" s="67"/>
      <c r="D27" s="67"/>
      <c r="E27" s="68"/>
      <c r="F27" s="70"/>
      <c r="G27" s="101" t="str">
        <f>HYPERLINK("https://yt3.ggpht.com/iIX36UoQIaHLObF0RKC6QO6ayqroT7CMbgjFKkdmTCC-YfSdvLhQ9nuzZ13Mei5VkRcdN9po8g=s88-c-k-c0x00ffffff-no-rj")</f>
        <v>https://yt3.ggpht.com/iIX36UoQIaHLObF0RKC6QO6ayqroT7CMbgjFKkdmTCC-YfSdvLhQ9nuzZ13Mei5VkRcdN9po8g=s88-c-k-c0x00ffffff-no-rj</v>
      </c>
      <c r="H27" s="67"/>
      <c r="I27" s="71"/>
      <c r="J27" s="72"/>
      <c r="K27" s="72"/>
      <c r="L27" s="71" t="s">
        <v>511</v>
      </c>
      <c r="M27" s="75"/>
      <c r="N27" s="76">
        <v>2187.900634765625</v>
      </c>
      <c r="O27" s="76">
        <v>6478.09375</v>
      </c>
      <c r="P27" s="77"/>
      <c r="Q27" s="78"/>
      <c r="R27" s="78"/>
      <c r="S27" s="84"/>
      <c r="T27" s="50">
        <v>1</v>
      </c>
      <c r="U27" s="50">
        <v>0</v>
      </c>
      <c r="V27" s="51">
        <v>0</v>
      </c>
      <c r="W27" s="51">
        <v>0.37362600000000001</v>
      </c>
      <c r="X27" s="51">
        <v>4.3825999999999997E-2</v>
      </c>
      <c r="Y27" s="52"/>
      <c r="Z27" s="52"/>
      <c r="AA27" s="51"/>
      <c r="AB27" s="73">
        <v>27</v>
      </c>
      <c r="AC27" s="73"/>
      <c r="AD27" s="74"/>
      <c r="AE27" s="80" t="s">
        <v>304</v>
      </c>
      <c r="AF27" s="100" t="str">
        <f>HYPERLINK("http://www.youtube.com/channel/UCYXD7lDcm-2tgdv09yfL6lA")</f>
        <v>http://www.youtube.com/channel/UCYXD7lDcm-2tgdv09yfL6lA</v>
      </c>
      <c r="AG27" s="80" t="s">
        <v>328</v>
      </c>
      <c r="AH27" s="80" t="s">
        <v>421</v>
      </c>
      <c r="AI27" s="50"/>
      <c r="AJ27" s="50"/>
      <c r="AK27" s="50"/>
      <c r="AL27" s="50"/>
      <c r="AM27" s="50"/>
      <c r="AN27" s="50"/>
      <c r="AO27" s="2"/>
      <c r="AP27" s="3"/>
      <c r="AQ27" s="3"/>
      <c r="AR27" s="3"/>
      <c r="AS27" s="3"/>
    </row>
    <row r="28" spans="1:45" ht="34.049999999999997" customHeight="1" x14ac:dyDescent="0.3">
      <c r="A28" s="66" t="s">
        <v>225</v>
      </c>
      <c r="C28" s="67"/>
      <c r="D28" s="67"/>
      <c r="E28" s="68"/>
      <c r="F28" s="70"/>
      <c r="G28" s="101" t="str">
        <f>HYPERLINK("https://yt3.ggpht.com/ytc/AKedOLSdWpt-Kd2DzH0dqptmIzYWauPavfbI5D0qhbPc=s88-c-k-c0x00ffffff-no-rj")</f>
        <v>https://yt3.ggpht.com/ytc/AKedOLSdWpt-Kd2DzH0dqptmIzYWauPavfbI5D0qhbPc=s88-c-k-c0x00ffffff-no-rj</v>
      </c>
      <c r="H28" s="67"/>
      <c r="I28" s="71"/>
      <c r="J28" s="72"/>
      <c r="K28" s="72"/>
      <c r="L28" s="71" t="s">
        <v>512</v>
      </c>
      <c r="M28" s="75"/>
      <c r="N28" s="76">
        <v>4877.4375</v>
      </c>
      <c r="O28" s="76">
        <v>8191.7275390625</v>
      </c>
      <c r="P28" s="77"/>
      <c r="Q28" s="78"/>
      <c r="R28" s="78"/>
      <c r="S28" s="84"/>
      <c r="T28" s="50">
        <v>2</v>
      </c>
      <c r="U28" s="50">
        <v>0</v>
      </c>
      <c r="V28" s="51">
        <v>0</v>
      </c>
      <c r="W28" s="51">
        <v>0.38490600000000003</v>
      </c>
      <c r="X28" s="51">
        <v>7.0580000000000004E-2</v>
      </c>
      <c r="Y28" s="52"/>
      <c r="Z28" s="52"/>
      <c r="AA28" s="51"/>
      <c r="AB28" s="73">
        <v>28</v>
      </c>
      <c r="AC28" s="73"/>
      <c r="AD28" s="74"/>
      <c r="AE28" s="80" t="s">
        <v>304</v>
      </c>
      <c r="AF28" s="100" t="str">
        <f>HYPERLINK("http://www.youtube.com/channel/UCWxE5s109EIHYsPKOh1z3oA")</f>
        <v>http://www.youtube.com/channel/UCWxE5s109EIHYsPKOh1z3oA</v>
      </c>
      <c r="AG28" s="80" t="s">
        <v>329</v>
      </c>
      <c r="AH28" s="80"/>
      <c r="AI28" s="50"/>
      <c r="AJ28" s="50"/>
      <c r="AK28" s="50"/>
      <c r="AL28" s="50"/>
      <c r="AM28" s="50"/>
      <c r="AN28" s="50"/>
      <c r="AO28" s="2"/>
      <c r="AP28" s="3"/>
      <c r="AQ28" s="3"/>
      <c r="AR28" s="3"/>
      <c r="AS28" s="3"/>
    </row>
    <row r="29" spans="1:45" ht="34.049999999999997" customHeight="1" x14ac:dyDescent="0.3">
      <c r="A29" s="66" t="s">
        <v>226</v>
      </c>
      <c r="C29" s="67"/>
      <c r="D29" s="67"/>
      <c r="E29" s="68"/>
      <c r="F29" s="70"/>
      <c r="G29" s="101" t="str">
        <f>HYPERLINK("https://yt3.ggpht.com/ytc/AKedOLTlPJ5x9QVqk3orp1Snb1st12vvViyCXVq0C95E=s88-c-k-c0x00ffffff-no-rj")</f>
        <v>https://yt3.ggpht.com/ytc/AKedOLTlPJ5x9QVqk3orp1Snb1st12vvViyCXVq0C95E=s88-c-k-c0x00ffffff-no-rj</v>
      </c>
      <c r="H29" s="67"/>
      <c r="I29" s="71"/>
      <c r="J29" s="72"/>
      <c r="K29" s="72"/>
      <c r="L29" s="71" t="s">
        <v>513</v>
      </c>
      <c r="M29" s="75"/>
      <c r="N29" s="76">
        <v>3114.203369140625</v>
      </c>
      <c r="O29" s="76">
        <v>1341.3116455078125</v>
      </c>
      <c r="P29" s="77"/>
      <c r="Q29" s="78"/>
      <c r="R29" s="78"/>
      <c r="S29" s="84"/>
      <c r="T29" s="50">
        <v>1</v>
      </c>
      <c r="U29" s="50">
        <v>0</v>
      </c>
      <c r="V29" s="51">
        <v>0</v>
      </c>
      <c r="W29" s="51">
        <v>0.37362600000000001</v>
      </c>
      <c r="X29" s="51">
        <v>4.3825999999999997E-2</v>
      </c>
      <c r="Y29" s="52"/>
      <c r="Z29" s="52"/>
      <c r="AA29" s="51"/>
      <c r="AB29" s="73">
        <v>29</v>
      </c>
      <c r="AC29" s="73"/>
      <c r="AD29" s="74"/>
      <c r="AE29" s="80" t="s">
        <v>304</v>
      </c>
      <c r="AF29" s="100" t="str">
        <f>HYPERLINK("http://www.youtube.com/channel/UCPpw6jRIL1B9nU0k7-GujOQ")</f>
        <v>http://www.youtube.com/channel/UCPpw6jRIL1B9nU0k7-GujOQ</v>
      </c>
      <c r="AG29" s="80" t="s">
        <v>330</v>
      </c>
      <c r="AH29" s="80" t="s">
        <v>422</v>
      </c>
      <c r="AI29" s="50"/>
      <c r="AJ29" s="50"/>
      <c r="AK29" s="50"/>
      <c r="AL29" s="50"/>
      <c r="AM29" s="50"/>
      <c r="AN29" s="50"/>
      <c r="AO29" s="2"/>
      <c r="AP29" s="3"/>
      <c r="AQ29" s="3"/>
      <c r="AR29" s="3"/>
      <c r="AS29" s="3"/>
    </row>
    <row r="30" spans="1:45" ht="34.049999999999997" customHeight="1" x14ac:dyDescent="0.3">
      <c r="A30" s="66" t="s">
        <v>227</v>
      </c>
      <c r="C30" s="67"/>
      <c r="D30" s="67"/>
      <c r="E30" s="68"/>
      <c r="F30" s="70"/>
      <c r="G30" s="101" t="str">
        <f>HYPERLINK("https://yt3.ggpht.com/ytc/AKedOLQjsSTZcmeYsqG_MljD41epOssg8HvYxUuKW9i6=s88-c-k-c0x00ffffff-no-rj")</f>
        <v>https://yt3.ggpht.com/ytc/AKedOLQjsSTZcmeYsqG_MljD41epOssg8HvYxUuKW9i6=s88-c-k-c0x00ffffff-no-rj</v>
      </c>
      <c r="H30" s="67"/>
      <c r="I30" s="71"/>
      <c r="J30" s="72"/>
      <c r="K30" s="72"/>
      <c r="L30" s="71" t="s">
        <v>514</v>
      </c>
      <c r="M30" s="75"/>
      <c r="N30" s="76">
        <v>4650.326171875</v>
      </c>
      <c r="O30" s="76">
        <v>9285.2939453125</v>
      </c>
      <c r="P30" s="77"/>
      <c r="Q30" s="78"/>
      <c r="R30" s="78"/>
      <c r="S30" s="84"/>
      <c r="T30" s="50">
        <v>1</v>
      </c>
      <c r="U30" s="50">
        <v>0</v>
      </c>
      <c r="V30" s="51">
        <v>0</v>
      </c>
      <c r="W30" s="51">
        <v>0.37362600000000001</v>
      </c>
      <c r="X30" s="51">
        <v>4.3825999999999997E-2</v>
      </c>
      <c r="Y30" s="52"/>
      <c r="Z30" s="52"/>
      <c r="AA30" s="51"/>
      <c r="AB30" s="73">
        <v>30</v>
      </c>
      <c r="AC30" s="73"/>
      <c r="AD30" s="74"/>
      <c r="AE30" s="80" t="s">
        <v>304</v>
      </c>
      <c r="AF30" s="100" t="str">
        <f>HYPERLINK("http://www.youtube.com/channel/UCHeUMKhN5l4n-VWGGswvUCw")</f>
        <v>http://www.youtube.com/channel/UCHeUMKhN5l4n-VWGGswvUCw</v>
      </c>
      <c r="AG30" s="80" t="s">
        <v>331</v>
      </c>
      <c r="AH30" s="80" t="s">
        <v>423</v>
      </c>
      <c r="AI30" s="50"/>
      <c r="AJ30" s="50"/>
      <c r="AK30" s="50"/>
      <c r="AL30" s="50"/>
      <c r="AM30" s="50"/>
      <c r="AN30" s="50"/>
      <c r="AO30" s="2"/>
      <c r="AP30" s="3"/>
      <c r="AQ30" s="3"/>
      <c r="AR30" s="3"/>
      <c r="AS30" s="3"/>
    </row>
    <row r="31" spans="1:45" ht="34.049999999999997" customHeight="1" x14ac:dyDescent="0.3">
      <c r="A31" s="66" t="s">
        <v>228</v>
      </c>
      <c r="C31" s="67"/>
      <c r="D31" s="67"/>
      <c r="E31" s="68"/>
      <c r="F31" s="70"/>
      <c r="G31" s="101" t="str">
        <f>HYPERLINK("https://yt3.ggpht.com/ytc/AKedOLRJkkCJiuPY8uvXjGb-8CIuJahQN2edl7qi74tZjQ=s88-c-k-c0x00ffffff-no-rj")</f>
        <v>https://yt3.ggpht.com/ytc/AKedOLRJkkCJiuPY8uvXjGb-8CIuJahQN2edl7qi74tZjQ=s88-c-k-c0x00ffffff-no-rj</v>
      </c>
      <c r="H31" s="67"/>
      <c r="I31" s="71"/>
      <c r="J31" s="72"/>
      <c r="K31" s="72"/>
      <c r="L31" s="71" t="s">
        <v>515</v>
      </c>
      <c r="M31" s="75"/>
      <c r="N31" s="76">
        <v>9142.01953125</v>
      </c>
      <c r="O31" s="76">
        <v>8274.03125</v>
      </c>
      <c r="P31" s="77"/>
      <c r="Q31" s="78"/>
      <c r="R31" s="78"/>
      <c r="S31" s="84"/>
      <c r="T31" s="50">
        <v>1</v>
      </c>
      <c r="U31" s="50">
        <v>0</v>
      </c>
      <c r="V31" s="51">
        <v>0</v>
      </c>
      <c r="W31" s="51">
        <v>0.37362600000000001</v>
      </c>
      <c r="X31" s="51">
        <v>4.3825999999999997E-2</v>
      </c>
      <c r="Y31" s="52"/>
      <c r="Z31" s="52"/>
      <c r="AA31" s="51"/>
      <c r="AB31" s="73">
        <v>31</v>
      </c>
      <c r="AC31" s="73"/>
      <c r="AD31" s="74"/>
      <c r="AE31" s="80" t="s">
        <v>304</v>
      </c>
      <c r="AF31" s="100" t="str">
        <f>HYPERLINK("http://www.youtube.com/channel/UCEnu3BHoR9IYgBnCkqQdgmA")</f>
        <v>http://www.youtube.com/channel/UCEnu3BHoR9IYgBnCkqQdgmA</v>
      </c>
      <c r="AG31" s="80" t="s">
        <v>332</v>
      </c>
      <c r="AH31" s="80" t="s">
        <v>424</v>
      </c>
      <c r="AI31" s="50"/>
      <c r="AJ31" s="50"/>
      <c r="AK31" s="50"/>
      <c r="AL31" s="50"/>
      <c r="AM31" s="50"/>
      <c r="AN31" s="50"/>
      <c r="AO31" s="2"/>
      <c r="AP31" s="3"/>
      <c r="AQ31" s="3"/>
      <c r="AR31" s="3"/>
      <c r="AS31" s="3"/>
    </row>
    <row r="32" spans="1:45" ht="34.049999999999997" customHeight="1" x14ac:dyDescent="0.3">
      <c r="A32" s="66" t="s">
        <v>229</v>
      </c>
      <c r="C32" s="67"/>
      <c r="D32" s="67"/>
      <c r="E32" s="68"/>
      <c r="F32" s="70"/>
      <c r="G32" s="101" t="str">
        <f>HYPERLINK("https://yt3.ggpht.com/ytc/AKedOLR2_rXFXMVbyn2_NdoSsmKBf0LnjVW_xoYEn2SjUQ=s88-c-k-c0x00ffffff-no-rj")</f>
        <v>https://yt3.ggpht.com/ytc/AKedOLR2_rXFXMVbyn2_NdoSsmKBf0LnjVW_xoYEn2SjUQ=s88-c-k-c0x00ffffff-no-rj</v>
      </c>
      <c r="H32" s="67"/>
      <c r="I32" s="71"/>
      <c r="J32" s="72"/>
      <c r="K32" s="72"/>
      <c r="L32" s="71" t="s">
        <v>516</v>
      </c>
      <c r="M32" s="75"/>
      <c r="N32" s="76">
        <v>9810.8466796875</v>
      </c>
      <c r="O32" s="76">
        <v>4761.57958984375</v>
      </c>
      <c r="P32" s="77"/>
      <c r="Q32" s="78"/>
      <c r="R32" s="78"/>
      <c r="S32" s="84"/>
      <c r="T32" s="50">
        <v>1</v>
      </c>
      <c r="U32" s="50">
        <v>0</v>
      </c>
      <c r="V32" s="51">
        <v>0</v>
      </c>
      <c r="W32" s="51">
        <v>0.37362600000000001</v>
      </c>
      <c r="X32" s="51">
        <v>4.3825999999999997E-2</v>
      </c>
      <c r="Y32" s="52"/>
      <c r="Z32" s="52"/>
      <c r="AA32" s="51"/>
      <c r="AB32" s="73">
        <v>32</v>
      </c>
      <c r="AC32" s="73"/>
      <c r="AD32" s="74"/>
      <c r="AE32" s="80" t="s">
        <v>304</v>
      </c>
      <c r="AF32" s="100" t="str">
        <f>HYPERLINK("http://www.youtube.com/channel/UC7wNYrjuRM_7e0MOplkLDyw")</f>
        <v>http://www.youtube.com/channel/UC7wNYrjuRM_7e0MOplkLDyw</v>
      </c>
      <c r="AG32" s="80" t="s">
        <v>333</v>
      </c>
      <c r="AH32" s="80" t="s">
        <v>425</v>
      </c>
      <c r="AI32" s="50"/>
      <c r="AJ32" s="50"/>
      <c r="AK32" s="50"/>
      <c r="AL32" s="50"/>
      <c r="AM32" s="50"/>
      <c r="AN32" s="50"/>
      <c r="AO32" s="2"/>
      <c r="AP32" s="3"/>
      <c r="AQ32" s="3"/>
      <c r="AR32" s="3"/>
      <c r="AS32" s="3"/>
    </row>
    <row r="33" spans="1:45" ht="34.049999999999997" customHeight="1" x14ac:dyDescent="0.3">
      <c r="A33" s="66" t="s">
        <v>230</v>
      </c>
      <c r="C33" s="67"/>
      <c r="D33" s="67"/>
      <c r="E33" s="68"/>
      <c r="F33" s="70"/>
      <c r="G33" s="101" t="str">
        <f>HYPERLINK("https://yt3.ggpht.com/ytc/AKedOLSwK0TkQw4JJeb3CCNiGDBHnjVo_E0Zym4uqKYLWg=s88-c-k-c0x00ffffff-no-rj")</f>
        <v>https://yt3.ggpht.com/ytc/AKedOLSwK0TkQw4JJeb3CCNiGDBHnjVo_E0Zym4uqKYLWg=s88-c-k-c0x00ffffff-no-rj</v>
      </c>
      <c r="H33" s="67"/>
      <c r="I33" s="71"/>
      <c r="J33" s="72"/>
      <c r="K33" s="72"/>
      <c r="L33" s="71" t="s">
        <v>517</v>
      </c>
      <c r="M33" s="75"/>
      <c r="N33" s="76">
        <v>5656.35693359375</v>
      </c>
      <c r="O33" s="76">
        <v>9655.6474609375</v>
      </c>
      <c r="P33" s="77"/>
      <c r="Q33" s="78"/>
      <c r="R33" s="78"/>
      <c r="S33" s="84"/>
      <c r="T33" s="50">
        <v>1</v>
      </c>
      <c r="U33" s="50">
        <v>0</v>
      </c>
      <c r="V33" s="51">
        <v>0</v>
      </c>
      <c r="W33" s="51">
        <v>0.37362600000000001</v>
      </c>
      <c r="X33" s="51">
        <v>4.3825999999999997E-2</v>
      </c>
      <c r="Y33" s="52"/>
      <c r="Z33" s="52"/>
      <c r="AA33" s="51"/>
      <c r="AB33" s="73">
        <v>33</v>
      </c>
      <c r="AC33" s="73"/>
      <c r="AD33" s="74"/>
      <c r="AE33" s="80" t="s">
        <v>304</v>
      </c>
      <c r="AF33" s="100" t="str">
        <f>HYPERLINK("http://www.youtube.com/channel/UC12dcMYnqa3yGZ_pUaSBnZw")</f>
        <v>http://www.youtube.com/channel/UC12dcMYnqa3yGZ_pUaSBnZw</v>
      </c>
      <c r="AG33" s="80" t="s">
        <v>334</v>
      </c>
      <c r="AH33" s="80" t="s">
        <v>426</v>
      </c>
      <c r="AI33" s="50"/>
      <c r="AJ33" s="50"/>
      <c r="AK33" s="50"/>
      <c r="AL33" s="50"/>
      <c r="AM33" s="50"/>
      <c r="AN33" s="50"/>
      <c r="AO33" s="2"/>
      <c r="AP33" s="3"/>
      <c r="AQ33" s="3"/>
      <c r="AR33" s="3"/>
      <c r="AS33" s="3"/>
    </row>
    <row r="34" spans="1:45" ht="34.049999999999997" customHeight="1" x14ac:dyDescent="0.3">
      <c r="A34" s="66" t="s">
        <v>231</v>
      </c>
      <c r="C34" s="67"/>
      <c r="D34" s="67"/>
      <c r="E34" s="68"/>
      <c r="F34" s="70"/>
      <c r="G34" s="101" t="str">
        <f>HYPERLINK("https://yt3.ggpht.com/ytc/AKedOLSDRJa1fAqdpz1U_57XSjSGe-O2OVikK2lz9xKmoA=s88-c-k-c0x00ffffff-no-rj")</f>
        <v>https://yt3.ggpht.com/ytc/AKedOLSDRJa1fAqdpz1U_57XSjSGe-O2OVikK2lz9xKmoA=s88-c-k-c0x00ffffff-no-rj</v>
      </c>
      <c r="H34" s="67"/>
      <c r="I34" s="71"/>
      <c r="J34" s="72"/>
      <c r="K34" s="72"/>
      <c r="L34" s="71" t="s">
        <v>518</v>
      </c>
      <c r="M34" s="75"/>
      <c r="N34" s="76">
        <v>1577.180908203125</v>
      </c>
      <c r="O34" s="76">
        <v>7738.83642578125</v>
      </c>
      <c r="P34" s="77"/>
      <c r="Q34" s="78"/>
      <c r="R34" s="78"/>
      <c r="S34" s="84"/>
      <c r="T34" s="50">
        <v>1</v>
      </c>
      <c r="U34" s="50">
        <v>0</v>
      </c>
      <c r="V34" s="51">
        <v>0</v>
      </c>
      <c r="W34" s="51">
        <v>0.37362600000000001</v>
      </c>
      <c r="X34" s="51">
        <v>4.3825999999999997E-2</v>
      </c>
      <c r="Y34" s="52"/>
      <c r="Z34" s="52"/>
      <c r="AA34" s="51"/>
      <c r="AB34" s="73">
        <v>34</v>
      </c>
      <c r="AC34" s="73"/>
      <c r="AD34" s="74"/>
      <c r="AE34" s="80" t="s">
        <v>304</v>
      </c>
      <c r="AF34" s="100" t="str">
        <f>HYPERLINK("http://www.youtube.com/channel/UC0TP_s71CvInU-CmRtgyiAQ")</f>
        <v>http://www.youtube.com/channel/UC0TP_s71CvInU-CmRtgyiAQ</v>
      </c>
      <c r="AG34" s="80" t="s">
        <v>335</v>
      </c>
      <c r="AH34" s="80"/>
      <c r="AI34" s="50"/>
      <c r="AJ34" s="50"/>
      <c r="AK34" s="50"/>
      <c r="AL34" s="50"/>
      <c r="AM34" s="50"/>
      <c r="AN34" s="50"/>
      <c r="AO34" s="2"/>
      <c r="AP34" s="3"/>
      <c r="AQ34" s="3"/>
      <c r="AR34" s="3"/>
      <c r="AS34" s="3"/>
    </row>
    <row r="35" spans="1:45" ht="34.049999999999997" customHeight="1" x14ac:dyDescent="0.3">
      <c r="A35" s="66" t="s">
        <v>199</v>
      </c>
      <c r="C35" s="67"/>
      <c r="D35" s="67"/>
      <c r="E35" s="68"/>
      <c r="F35" s="70"/>
      <c r="G35" s="101" t="str">
        <f>HYPERLINK("https://yt3.ggpht.com/ytc/AKedOLSxG8zATpTnoF_wUfY3s7ueJgTqRXC8A-VjQyzp=s88-c-k-c0x00ffffff-no-rj")</f>
        <v>https://yt3.ggpht.com/ytc/AKedOLSxG8zATpTnoF_wUfY3s7ueJgTqRXC8A-VjQyzp=s88-c-k-c0x00ffffff-no-rj</v>
      </c>
      <c r="H35" s="67"/>
      <c r="I35" s="71"/>
      <c r="J35" s="72"/>
      <c r="K35" s="72"/>
      <c r="L35" s="71" t="s">
        <v>519</v>
      </c>
      <c r="M35" s="75"/>
      <c r="N35" s="76">
        <v>4369.83203125</v>
      </c>
      <c r="O35" s="76">
        <v>5225.39111328125</v>
      </c>
      <c r="P35" s="77"/>
      <c r="Q35" s="78"/>
      <c r="R35" s="78"/>
      <c r="S35" s="84"/>
      <c r="T35" s="50">
        <v>1</v>
      </c>
      <c r="U35" s="50">
        <v>8</v>
      </c>
      <c r="V35" s="51">
        <v>223</v>
      </c>
      <c r="W35" s="51">
        <v>0.40963899999999998</v>
      </c>
      <c r="X35" s="51">
        <v>0.17377799999999999</v>
      </c>
      <c r="Y35" s="52"/>
      <c r="Z35" s="52"/>
      <c r="AA35" s="51"/>
      <c r="AB35" s="73">
        <v>35</v>
      </c>
      <c r="AC35" s="73"/>
      <c r="AD35" s="74"/>
      <c r="AE35" s="80" t="s">
        <v>304</v>
      </c>
      <c r="AF35" s="100" t="str">
        <f>HYPERLINK("http://www.youtube.com/channel/UCeaEzOMnOJheOUwZkCon0rw")</f>
        <v>http://www.youtube.com/channel/UCeaEzOMnOJheOUwZkCon0rw</v>
      </c>
      <c r="AG35" s="80" t="s">
        <v>336</v>
      </c>
      <c r="AH35" s="80" t="s">
        <v>427</v>
      </c>
      <c r="AI35" s="50"/>
      <c r="AJ35" s="50"/>
      <c r="AK35" s="105" t="s">
        <v>611</v>
      </c>
      <c r="AL35" s="105" t="s">
        <v>611</v>
      </c>
      <c r="AM35" s="105" t="s">
        <v>611</v>
      </c>
      <c r="AN35" s="105" t="s">
        <v>611</v>
      </c>
      <c r="AO35" s="2"/>
      <c r="AP35" s="3"/>
      <c r="AQ35" s="3"/>
      <c r="AR35" s="3"/>
      <c r="AS35" s="3"/>
    </row>
    <row r="36" spans="1:45" ht="34.049999999999997" customHeight="1" x14ac:dyDescent="0.3">
      <c r="A36" s="66" t="s">
        <v>232</v>
      </c>
      <c r="C36" s="67"/>
      <c r="D36" s="67"/>
      <c r="E36" s="68"/>
      <c r="F36" s="70"/>
      <c r="G36" s="101" t="str">
        <f>HYPERLINK("https://yt3.ggpht.com/ytc/AKedOLQl4vxOdVJ1ifCdT8-IasHkjT9UkugDZWCN1Yy4=s88-c-k-c0x00ffffff-no-rj")</f>
        <v>https://yt3.ggpht.com/ytc/AKedOLQl4vxOdVJ1ifCdT8-IasHkjT9UkugDZWCN1Yy4=s88-c-k-c0x00ffffff-no-rj</v>
      </c>
      <c r="H36" s="67"/>
      <c r="I36" s="71"/>
      <c r="J36" s="72"/>
      <c r="K36" s="72"/>
      <c r="L36" s="71" t="s">
        <v>520</v>
      </c>
      <c r="M36" s="75"/>
      <c r="N36" s="76">
        <v>3251.044921875</v>
      </c>
      <c r="O36" s="76">
        <v>7770.75537109375</v>
      </c>
      <c r="P36" s="77"/>
      <c r="Q36" s="78"/>
      <c r="R36" s="78"/>
      <c r="S36" s="84"/>
      <c r="T36" s="50">
        <v>1</v>
      </c>
      <c r="U36" s="50">
        <v>0</v>
      </c>
      <c r="V36" s="51">
        <v>0</v>
      </c>
      <c r="W36" s="51">
        <v>0.29142899999999999</v>
      </c>
      <c r="X36" s="51">
        <v>1.9129E-2</v>
      </c>
      <c r="Y36" s="52"/>
      <c r="Z36" s="52"/>
      <c r="AA36" s="51"/>
      <c r="AB36" s="73">
        <v>36</v>
      </c>
      <c r="AC36" s="73"/>
      <c r="AD36" s="74"/>
      <c r="AE36" s="80" t="s">
        <v>304</v>
      </c>
      <c r="AF36" s="100" t="str">
        <f>HYPERLINK("http://www.youtube.com/channel/UCQVfY-ask5eSxnoFxVLHsBw")</f>
        <v>http://www.youtube.com/channel/UCQVfY-ask5eSxnoFxVLHsBw</v>
      </c>
      <c r="AG36" s="80" t="s">
        <v>337</v>
      </c>
      <c r="AH36" s="80" t="s">
        <v>428</v>
      </c>
      <c r="AI36" s="50"/>
      <c r="AJ36" s="50"/>
      <c r="AK36" s="50"/>
      <c r="AL36" s="50"/>
      <c r="AM36" s="50"/>
      <c r="AN36" s="50"/>
      <c r="AO36" s="2"/>
      <c r="AP36" s="3"/>
      <c r="AQ36" s="3"/>
      <c r="AR36" s="3"/>
      <c r="AS36" s="3"/>
    </row>
    <row r="37" spans="1:45" ht="34.049999999999997" customHeight="1" x14ac:dyDescent="0.3">
      <c r="A37" s="66" t="s">
        <v>200</v>
      </c>
      <c r="C37" s="67"/>
      <c r="D37" s="67"/>
      <c r="E37" s="68"/>
      <c r="F37" s="70"/>
      <c r="G37" s="101" t="str">
        <f>HYPERLINK("https://yt3.ggpht.com/ytc/AKedOLRTwQG5lEX9PP4UQU89e4zhyiMYrDFpRTDBADmL=s88-c-k-c0x00ffffff-no-rj")</f>
        <v>https://yt3.ggpht.com/ytc/AKedOLRTwQG5lEX9PP4UQU89e4zhyiMYrDFpRTDBADmL=s88-c-k-c0x00ffffff-no-rj</v>
      </c>
      <c r="H37" s="67"/>
      <c r="I37" s="71"/>
      <c r="J37" s="72"/>
      <c r="K37" s="72"/>
      <c r="L37" s="71" t="s">
        <v>521</v>
      </c>
      <c r="M37" s="75"/>
      <c r="N37" s="76">
        <v>5193.1787109375</v>
      </c>
      <c r="O37" s="76">
        <v>5246.02685546875</v>
      </c>
      <c r="P37" s="77"/>
      <c r="Q37" s="78"/>
      <c r="R37" s="78"/>
      <c r="S37" s="84"/>
      <c r="T37" s="50">
        <v>2</v>
      </c>
      <c r="U37" s="50">
        <v>57</v>
      </c>
      <c r="V37" s="51">
        <v>7670.5</v>
      </c>
      <c r="W37" s="51">
        <v>0.67105300000000001</v>
      </c>
      <c r="X37" s="51">
        <v>0.49192200000000003</v>
      </c>
      <c r="Y37" s="52"/>
      <c r="Z37" s="52"/>
      <c r="AA37" s="51"/>
      <c r="AB37" s="73">
        <v>37</v>
      </c>
      <c r="AC37" s="73"/>
      <c r="AD37" s="74"/>
      <c r="AE37" s="80" t="s">
        <v>304</v>
      </c>
      <c r="AF37" s="100" t="str">
        <f>HYPERLINK("http://www.youtube.com/channel/UCe8kAyDcuYDCDqjBI6MuNkA")</f>
        <v>http://www.youtube.com/channel/UCe8kAyDcuYDCDqjBI6MuNkA</v>
      </c>
      <c r="AG37" s="80" t="s">
        <v>338</v>
      </c>
      <c r="AH37" s="80" t="s">
        <v>429</v>
      </c>
      <c r="AI37" s="50"/>
      <c r="AJ37" s="50"/>
      <c r="AK37" s="105" t="s">
        <v>611</v>
      </c>
      <c r="AL37" s="105" t="s">
        <v>611</v>
      </c>
      <c r="AM37" s="105" t="s">
        <v>611</v>
      </c>
      <c r="AN37" s="105" t="s">
        <v>611</v>
      </c>
      <c r="AO37" s="2"/>
      <c r="AP37" s="3"/>
      <c r="AQ37" s="3"/>
      <c r="AR37" s="3"/>
      <c r="AS37" s="3"/>
    </row>
    <row r="38" spans="1:45" ht="34.049999999999997" customHeight="1" x14ac:dyDescent="0.3">
      <c r="A38" s="66" t="s">
        <v>233</v>
      </c>
      <c r="C38" s="67"/>
      <c r="D38" s="67"/>
      <c r="E38" s="68"/>
      <c r="F38" s="70"/>
      <c r="G38" s="101" t="str">
        <f>HYPERLINK("https://yt3.ggpht.com/ytc/AKedOLQ7F1oqbFdpI7eAbhvc4VZQdsfAS0dPnd7-RAYWAQ=s88-c-k-c0x00ffffff-no-rj")</f>
        <v>https://yt3.ggpht.com/ytc/AKedOLQ7F1oqbFdpI7eAbhvc4VZQdsfAS0dPnd7-RAYWAQ=s88-c-k-c0x00ffffff-no-rj</v>
      </c>
      <c r="H38" s="67"/>
      <c r="I38" s="71"/>
      <c r="J38" s="72"/>
      <c r="K38" s="72"/>
      <c r="L38" s="71" t="s">
        <v>522</v>
      </c>
      <c r="M38" s="75"/>
      <c r="N38" s="76">
        <v>8248.08984375</v>
      </c>
      <c r="O38" s="76">
        <v>8065.73583984375</v>
      </c>
      <c r="P38" s="77"/>
      <c r="Q38" s="78"/>
      <c r="R38" s="78"/>
      <c r="S38" s="84"/>
      <c r="T38" s="50">
        <v>1</v>
      </c>
      <c r="U38" s="50">
        <v>0</v>
      </c>
      <c r="V38" s="51">
        <v>0</v>
      </c>
      <c r="W38" s="51">
        <v>0.40316200000000002</v>
      </c>
      <c r="X38" s="51">
        <v>5.4147000000000001E-2</v>
      </c>
      <c r="Y38" s="52"/>
      <c r="Z38" s="52"/>
      <c r="AA38" s="51"/>
      <c r="AB38" s="73">
        <v>38</v>
      </c>
      <c r="AC38" s="73"/>
      <c r="AD38" s="74"/>
      <c r="AE38" s="80" t="s">
        <v>304</v>
      </c>
      <c r="AF38" s="100" t="str">
        <f>HYPERLINK("http://www.youtube.com/channel/UCz2ddzwu-3ifhDTj6omk20A")</f>
        <v>http://www.youtube.com/channel/UCz2ddzwu-3ifhDTj6omk20A</v>
      </c>
      <c r="AG38" s="80" t="s">
        <v>339</v>
      </c>
      <c r="AH38" s="80" t="s">
        <v>430</v>
      </c>
      <c r="AI38" s="50"/>
      <c r="AJ38" s="50"/>
      <c r="AK38" s="50"/>
      <c r="AL38" s="50"/>
      <c r="AM38" s="50"/>
      <c r="AN38" s="50"/>
      <c r="AO38" s="2"/>
      <c r="AP38" s="3"/>
      <c r="AQ38" s="3"/>
      <c r="AR38" s="3"/>
      <c r="AS38" s="3"/>
    </row>
    <row r="39" spans="1:45" ht="34.049999999999997" customHeight="1" x14ac:dyDescent="0.3">
      <c r="A39" s="66" t="s">
        <v>234</v>
      </c>
      <c r="C39" s="67"/>
      <c r="D39" s="67"/>
      <c r="E39" s="68"/>
      <c r="F39" s="70"/>
      <c r="G39" s="101" t="str">
        <f>HYPERLINK("https://yt3.ggpht.com/ytc/AKedOLTI6zioUJuHlns-UQUox1ihes597ZT0FvzunCBRHA=s88-c-k-c0x00ffffff-no-rj")</f>
        <v>https://yt3.ggpht.com/ytc/AKedOLTI6zioUJuHlns-UQUox1ihes597ZT0FvzunCBRHA=s88-c-k-c0x00ffffff-no-rj</v>
      </c>
      <c r="H39" s="67"/>
      <c r="I39" s="71"/>
      <c r="J39" s="72"/>
      <c r="K39" s="72"/>
      <c r="L39" s="71" t="s">
        <v>523</v>
      </c>
      <c r="M39" s="75"/>
      <c r="N39" s="76">
        <v>1736.412353515625</v>
      </c>
      <c r="O39" s="76">
        <v>8873.66796875</v>
      </c>
      <c r="P39" s="77"/>
      <c r="Q39" s="78"/>
      <c r="R39" s="78"/>
      <c r="S39" s="84"/>
      <c r="T39" s="50">
        <v>1</v>
      </c>
      <c r="U39" s="50">
        <v>0</v>
      </c>
      <c r="V39" s="51">
        <v>0</v>
      </c>
      <c r="W39" s="51">
        <v>0.40316200000000002</v>
      </c>
      <c r="X39" s="51">
        <v>5.4147000000000001E-2</v>
      </c>
      <c r="Y39" s="52"/>
      <c r="Z39" s="52"/>
      <c r="AA39" s="51"/>
      <c r="AB39" s="73">
        <v>39</v>
      </c>
      <c r="AC39" s="73"/>
      <c r="AD39" s="74"/>
      <c r="AE39" s="80" t="s">
        <v>304</v>
      </c>
      <c r="AF39" s="100" t="str">
        <f>HYPERLINK("http://www.youtube.com/channel/UCyCuRfcTrz8qD7kZszET92Q")</f>
        <v>http://www.youtube.com/channel/UCyCuRfcTrz8qD7kZszET92Q</v>
      </c>
      <c r="AG39" s="80" t="s">
        <v>340</v>
      </c>
      <c r="AH39" s="80" t="s">
        <v>431</v>
      </c>
      <c r="AI39" s="50"/>
      <c r="AJ39" s="50"/>
      <c r="AK39" s="50"/>
      <c r="AL39" s="50"/>
      <c r="AM39" s="50"/>
      <c r="AN39" s="50"/>
      <c r="AO39" s="2"/>
      <c r="AP39" s="3"/>
      <c r="AQ39" s="3"/>
      <c r="AR39" s="3"/>
      <c r="AS39" s="3"/>
    </row>
    <row r="40" spans="1:45" ht="34.049999999999997" customHeight="1" x14ac:dyDescent="0.3">
      <c r="A40" s="66" t="s">
        <v>235</v>
      </c>
      <c r="C40" s="67"/>
      <c r="D40" s="67"/>
      <c r="E40" s="68"/>
      <c r="F40" s="70"/>
      <c r="G40" s="101" t="str">
        <f>HYPERLINK("https://yt3.ggpht.com/ytc/AKedOLTu7cjY_PvO3RbMViWnFfSiSRWWtdAbKk3HAY8mpg=s88-c-k-c0x00ffffff-no-rj")</f>
        <v>https://yt3.ggpht.com/ytc/AKedOLTu7cjY_PvO3RbMViWnFfSiSRWWtdAbKk3HAY8mpg=s88-c-k-c0x00ffffff-no-rj</v>
      </c>
      <c r="H40" s="67"/>
      <c r="I40" s="71"/>
      <c r="J40" s="72"/>
      <c r="K40" s="72"/>
      <c r="L40" s="71" t="s">
        <v>524</v>
      </c>
      <c r="M40" s="75"/>
      <c r="N40" s="76">
        <v>4998.2294921875</v>
      </c>
      <c r="O40" s="76">
        <v>338.71337890625</v>
      </c>
      <c r="P40" s="77"/>
      <c r="Q40" s="78"/>
      <c r="R40" s="78"/>
      <c r="S40" s="84"/>
      <c r="T40" s="50">
        <v>1</v>
      </c>
      <c r="U40" s="50">
        <v>0</v>
      </c>
      <c r="V40" s="51">
        <v>0</v>
      </c>
      <c r="W40" s="51">
        <v>0.40316200000000002</v>
      </c>
      <c r="X40" s="51">
        <v>5.4147000000000001E-2</v>
      </c>
      <c r="Y40" s="52"/>
      <c r="Z40" s="52"/>
      <c r="AA40" s="51"/>
      <c r="AB40" s="73">
        <v>40</v>
      </c>
      <c r="AC40" s="73"/>
      <c r="AD40" s="74"/>
      <c r="AE40" s="80" t="s">
        <v>304</v>
      </c>
      <c r="AF40" s="100" t="str">
        <f>HYPERLINK("http://www.youtube.com/channel/UCxzk9qJETIhJoARlE9YpCYQ")</f>
        <v>http://www.youtube.com/channel/UCxzk9qJETIhJoARlE9YpCYQ</v>
      </c>
      <c r="AG40" s="80" t="s">
        <v>341</v>
      </c>
      <c r="AH40" s="80" t="s">
        <v>432</v>
      </c>
      <c r="AI40" s="50"/>
      <c r="AJ40" s="50"/>
      <c r="AK40" s="50"/>
      <c r="AL40" s="50"/>
      <c r="AM40" s="50"/>
      <c r="AN40" s="50"/>
      <c r="AO40" s="2"/>
      <c r="AP40" s="3"/>
      <c r="AQ40" s="3"/>
      <c r="AR40" s="3"/>
      <c r="AS40" s="3"/>
    </row>
    <row r="41" spans="1:45" ht="34.049999999999997" customHeight="1" x14ac:dyDescent="0.3">
      <c r="A41" s="66" t="s">
        <v>236</v>
      </c>
      <c r="C41" s="67"/>
      <c r="D41" s="67"/>
      <c r="E41" s="68"/>
      <c r="F41" s="70"/>
      <c r="G41" s="101" t="str">
        <f>HYPERLINK("https://yt3.ggpht.com/ytc/AKedOLQfq7rvw24ICww3qfW_sPBRJ7qrqlh7eVBvOtg_=s88-c-k-c0x00ffffff-no-rj")</f>
        <v>https://yt3.ggpht.com/ytc/AKedOLQfq7rvw24ICww3qfW_sPBRJ7qrqlh7eVBvOtg_=s88-c-k-c0x00ffffff-no-rj</v>
      </c>
      <c r="H41" s="67"/>
      <c r="I41" s="71"/>
      <c r="J41" s="72"/>
      <c r="K41" s="72"/>
      <c r="L41" s="71" t="s">
        <v>525</v>
      </c>
      <c r="M41" s="75"/>
      <c r="N41" s="76">
        <v>4664.14453125</v>
      </c>
      <c r="O41" s="76">
        <v>768.14404296875</v>
      </c>
      <c r="P41" s="77"/>
      <c r="Q41" s="78"/>
      <c r="R41" s="78"/>
      <c r="S41" s="84"/>
      <c r="T41" s="50">
        <v>1</v>
      </c>
      <c r="U41" s="50">
        <v>0</v>
      </c>
      <c r="V41" s="51">
        <v>0</v>
      </c>
      <c r="W41" s="51">
        <v>0.40316200000000002</v>
      </c>
      <c r="X41" s="51">
        <v>5.4147000000000001E-2</v>
      </c>
      <c r="Y41" s="52"/>
      <c r="Z41" s="52"/>
      <c r="AA41" s="51"/>
      <c r="AB41" s="73">
        <v>41</v>
      </c>
      <c r="AC41" s="73"/>
      <c r="AD41" s="74"/>
      <c r="AE41" s="80" t="s">
        <v>304</v>
      </c>
      <c r="AF41" s="100" t="str">
        <f>HYPERLINK("http://www.youtube.com/channel/UCuc9Xa5EfBp4zoD74dHMDvQ")</f>
        <v>http://www.youtube.com/channel/UCuc9Xa5EfBp4zoD74dHMDvQ</v>
      </c>
      <c r="AG41" s="80" t="s">
        <v>342</v>
      </c>
      <c r="AH41" s="80" t="s">
        <v>433</v>
      </c>
      <c r="AI41" s="50"/>
      <c r="AJ41" s="50"/>
      <c r="AK41" s="50"/>
      <c r="AL41" s="50"/>
      <c r="AM41" s="50"/>
      <c r="AN41" s="50"/>
      <c r="AO41" s="2"/>
      <c r="AP41" s="3"/>
      <c r="AQ41" s="3"/>
      <c r="AR41" s="3"/>
      <c r="AS41" s="3"/>
    </row>
    <row r="42" spans="1:45" ht="34.049999999999997" customHeight="1" x14ac:dyDescent="0.3">
      <c r="A42" s="66" t="s">
        <v>237</v>
      </c>
      <c r="C42" s="67"/>
      <c r="D42" s="67"/>
      <c r="E42" s="68"/>
      <c r="F42" s="70"/>
      <c r="G42" s="101" t="str">
        <f>HYPERLINK("https://yt3.ggpht.com/ytc/AKedOLT5u5yFFBnoAzyxUn1GAAutGS6ImzMW8v0DV5wJ=s88-c-k-c0x00ffffff-no-rj")</f>
        <v>https://yt3.ggpht.com/ytc/AKedOLT5u5yFFBnoAzyxUn1GAAutGS6ImzMW8v0DV5wJ=s88-c-k-c0x00ffffff-no-rj</v>
      </c>
      <c r="H42" s="67"/>
      <c r="I42" s="71"/>
      <c r="J42" s="72"/>
      <c r="K42" s="72"/>
      <c r="L42" s="71" t="s">
        <v>526</v>
      </c>
      <c r="M42" s="75"/>
      <c r="N42" s="76">
        <v>9636.337890625</v>
      </c>
      <c r="O42" s="76">
        <v>6307.07958984375</v>
      </c>
      <c r="P42" s="77"/>
      <c r="Q42" s="78"/>
      <c r="R42" s="78"/>
      <c r="S42" s="84"/>
      <c r="T42" s="50">
        <v>1</v>
      </c>
      <c r="U42" s="50">
        <v>0</v>
      </c>
      <c r="V42" s="51">
        <v>0</v>
      </c>
      <c r="W42" s="51">
        <v>0.40316200000000002</v>
      </c>
      <c r="X42" s="51">
        <v>5.4147000000000001E-2</v>
      </c>
      <c r="Y42" s="52"/>
      <c r="Z42" s="52"/>
      <c r="AA42" s="51"/>
      <c r="AB42" s="73">
        <v>42</v>
      </c>
      <c r="AC42" s="73"/>
      <c r="AD42" s="74"/>
      <c r="AE42" s="80" t="s">
        <v>304</v>
      </c>
      <c r="AF42" s="100" t="str">
        <f>HYPERLINK("http://www.youtube.com/channel/UCtig_Zsm0JfiO3w6SuX124Q")</f>
        <v>http://www.youtube.com/channel/UCtig_Zsm0JfiO3w6SuX124Q</v>
      </c>
      <c r="AG42" s="80" t="s">
        <v>343</v>
      </c>
      <c r="AH42" s="80" t="s">
        <v>434</v>
      </c>
      <c r="AI42" s="50"/>
      <c r="AJ42" s="50"/>
      <c r="AK42" s="50"/>
      <c r="AL42" s="50"/>
      <c r="AM42" s="50"/>
      <c r="AN42" s="50"/>
      <c r="AO42" s="2"/>
      <c r="AP42" s="3"/>
      <c r="AQ42" s="3"/>
      <c r="AR42" s="3"/>
      <c r="AS42" s="3"/>
    </row>
    <row r="43" spans="1:45" ht="34.049999999999997" customHeight="1" x14ac:dyDescent="0.3">
      <c r="A43" s="66" t="s">
        <v>238</v>
      </c>
      <c r="C43" s="67"/>
      <c r="D43" s="67"/>
      <c r="E43" s="68"/>
      <c r="F43" s="70"/>
      <c r="G43" s="101" t="str">
        <f>HYPERLINK("https://yt3.ggpht.com/ytc/AKedOLTeWthoSbScitxCkwXibeGxYQsGGILTwnn2wg3ZJQ=s88-c-k-c0x00ffffff-no-rj")</f>
        <v>https://yt3.ggpht.com/ytc/AKedOLTeWthoSbScitxCkwXibeGxYQsGGILTwnn2wg3ZJQ=s88-c-k-c0x00ffffff-no-rj</v>
      </c>
      <c r="H43" s="67"/>
      <c r="I43" s="71"/>
      <c r="J43" s="72"/>
      <c r="K43" s="72"/>
      <c r="L43" s="71" t="s">
        <v>527</v>
      </c>
      <c r="M43" s="75"/>
      <c r="N43" s="76">
        <v>5506.63671875</v>
      </c>
      <c r="O43" s="76">
        <v>8585.9453125</v>
      </c>
      <c r="P43" s="77"/>
      <c r="Q43" s="78"/>
      <c r="R43" s="78"/>
      <c r="S43" s="84"/>
      <c r="T43" s="50">
        <v>1</v>
      </c>
      <c r="U43" s="50">
        <v>0</v>
      </c>
      <c r="V43" s="51">
        <v>0</v>
      </c>
      <c r="W43" s="51">
        <v>0.40316200000000002</v>
      </c>
      <c r="X43" s="51">
        <v>5.4147000000000001E-2</v>
      </c>
      <c r="Y43" s="52"/>
      <c r="Z43" s="52"/>
      <c r="AA43" s="51"/>
      <c r="AB43" s="73">
        <v>43</v>
      </c>
      <c r="AC43" s="73"/>
      <c r="AD43" s="74"/>
      <c r="AE43" s="80" t="s">
        <v>304</v>
      </c>
      <c r="AF43" s="100" t="str">
        <f>HYPERLINK("http://www.youtube.com/channel/UCtgf00GvfFQVsYBA7V7RwUw")</f>
        <v>http://www.youtube.com/channel/UCtgf00GvfFQVsYBA7V7RwUw</v>
      </c>
      <c r="AG43" s="80" t="s">
        <v>344</v>
      </c>
      <c r="AH43" s="80" t="s">
        <v>435</v>
      </c>
      <c r="AI43" s="50"/>
      <c r="AJ43" s="50"/>
      <c r="AK43" s="50"/>
      <c r="AL43" s="50"/>
      <c r="AM43" s="50"/>
      <c r="AN43" s="50"/>
      <c r="AO43" s="2"/>
      <c r="AP43" s="3"/>
      <c r="AQ43" s="3"/>
      <c r="AR43" s="3"/>
      <c r="AS43" s="3"/>
    </row>
    <row r="44" spans="1:45" ht="34.049999999999997" customHeight="1" x14ac:dyDescent="0.3">
      <c r="A44" s="66" t="s">
        <v>239</v>
      </c>
      <c r="C44" s="67"/>
      <c r="D44" s="67"/>
      <c r="E44" s="68"/>
      <c r="F44" s="70"/>
      <c r="G44" s="101" t="str">
        <f>HYPERLINK("https://yt3.ggpht.com/ytc/AKedOLTwndwGwW8vhP1PLC7dEZH-qgibMuoyxl2wcNYD=s88-c-k-c0x00ffffff-no-rj")</f>
        <v>https://yt3.ggpht.com/ytc/AKedOLTwndwGwW8vhP1PLC7dEZH-qgibMuoyxl2wcNYD=s88-c-k-c0x00ffffff-no-rj</v>
      </c>
      <c r="H44" s="67"/>
      <c r="I44" s="71"/>
      <c r="J44" s="72"/>
      <c r="K44" s="72"/>
      <c r="L44" s="71" t="s">
        <v>528</v>
      </c>
      <c r="M44" s="75"/>
      <c r="N44" s="76">
        <v>462.43594360351563</v>
      </c>
      <c r="O44" s="76">
        <v>4454.5947265625</v>
      </c>
      <c r="P44" s="77"/>
      <c r="Q44" s="78"/>
      <c r="R44" s="78"/>
      <c r="S44" s="84"/>
      <c r="T44" s="50">
        <v>1</v>
      </c>
      <c r="U44" s="50">
        <v>0</v>
      </c>
      <c r="V44" s="51">
        <v>0</v>
      </c>
      <c r="W44" s="51">
        <v>0.40316200000000002</v>
      </c>
      <c r="X44" s="51">
        <v>5.4147000000000001E-2</v>
      </c>
      <c r="Y44" s="52"/>
      <c r="Z44" s="52"/>
      <c r="AA44" s="51"/>
      <c r="AB44" s="73">
        <v>44</v>
      </c>
      <c r="AC44" s="73"/>
      <c r="AD44" s="74"/>
      <c r="AE44" s="80" t="s">
        <v>304</v>
      </c>
      <c r="AF44" s="100" t="str">
        <f>HYPERLINK("http://www.youtube.com/channel/UCrwLnuvvymjFUccBLPf_Paw")</f>
        <v>http://www.youtube.com/channel/UCrwLnuvvymjFUccBLPf_Paw</v>
      </c>
      <c r="AG44" s="80" t="s">
        <v>345</v>
      </c>
      <c r="AH44" s="80" t="s">
        <v>436</v>
      </c>
      <c r="AI44" s="50"/>
      <c r="AJ44" s="50"/>
      <c r="AK44" s="50"/>
      <c r="AL44" s="50"/>
      <c r="AM44" s="50"/>
      <c r="AN44" s="50"/>
      <c r="AO44" s="2"/>
      <c r="AP44" s="3"/>
      <c r="AQ44" s="3"/>
      <c r="AR44" s="3"/>
      <c r="AS44" s="3"/>
    </row>
    <row r="45" spans="1:45" ht="34.049999999999997" customHeight="1" x14ac:dyDescent="0.3">
      <c r="A45" s="66" t="s">
        <v>240</v>
      </c>
      <c r="C45" s="67"/>
      <c r="D45" s="67"/>
      <c r="E45" s="68"/>
      <c r="F45" s="70"/>
      <c r="G45" s="101" t="str">
        <f>HYPERLINK("https://yt3.ggpht.com/ytc/AKedOLTGYQvc9tZOeY3NVCZ8Hpp-tonyJ7IM7B1FOYnatQ=s88-c-k-c0x00ffffff-no-rj")</f>
        <v>https://yt3.ggpht.com/ytc/AKedOLTGYQvc9tZOeY3NVCZ8Hpp-tonyJ7IM7B1FOYnatQ=s88-c-k-c0x00ffffff-no-rj</v>
      </c>
      <c r="H45" s="67"/>
      <c r="I45" s="71"/>
      <c r="J45" s="72"/>
      <c r="K45" s="72"/>
      <c r="L45" s="71" t="s">
        <v>529</v>
      </c>
      <c r="M45" s="75"/>
      <c r="N45" s="76">
        <v>4335.4140625</v>
      </c>
      <c r="O45" s="76">
        <v>7677.8623046875</v>
      </c>
      <c r="P45" s="77"/>
      <c r="Q45" s="78"/>
      <c r="R45" s="78"/>
      <c r="S45" s="84"/>
      <c r="T45" s="50">
        <v>1</v>
      </c>
      <c r="U45" s="50">
        <v>0</v>
      </c>
      <c r="V45" s="51">
        <v>0</v>
      </c>
      <c r="W45" s="51">
        <v>0.40316200000000002</v>
      </c>
      <c r="X45" s="51">
        <v>5.4147000000000001E-2</v>
      </c>
      <c r="Y45" s="52"/>
      <c r="Z45" s="52"/>
      <c r="AA45" s="51"/>
      <c r="AB45" s="73">
        <v>45</v>
      </c>
      <c r="AC45" s="73"/>
      <c r="AD45" s="74"/>
      <c r="AE45" s="80" t="s">
        <v>304</v>
      </c>
      <c r="AF45" s="100" t="str">
        <f>HYPERLINK("http://www.youtube.com/channel/UCquNxHzzulWwpr79cjQN7Sg")</f>
        <v>http://www.youtube.com/channel/UCquNxHzzulWwpr79cjQN7Sg</v>
      </c>
      <c r="AG45" s="80" t="s">
        <v>346</v>
      </c>
      <c r="AH45" s="80"/>
      <c r="AI45" s="50"/>
      <c r="AJ45" s="50"/>
      <c r="AK45" s="50"/>
      <c r="AL45" s="50"/>
      <c r="AM45" s="50"/>
      <c r="AN45" s="50"/>
      <c r="AO45" s="2"/>
      <c r="AP45" s="3"/>
      <c r="AQ45" s="3"/>
      <c r="AR45" s="3"/>
      <c r="AS45" s="3"/>
    </row>
    <row r="46" spans="1:45" ht="34.049999999999997" customHeight="1" x14ac:dyDescent="0.3">
      <c r="A46" s="66" t="s">
        <v>241</v>
      </c>
      <c r="C46" s="67"/>
      <c r="D46" s="67"/>
      <c r="E46" s="68"/>
      <c r="F46" s="70"/>
      <c r="G46" s="101" t="str">
        <f>HYPERLINK("https://yt3.ggpht.com/ytc/AKedOLS3GBIBn4Ba5WM6U7HxiKmIkXh0_WTDxnoaa7g4=s88-c-k-c0x00ffffff-no-rj")</f>
        <v>https://yt3.ggpht.com/ytc/AKedOLS3GBIBn4Ba5WM6U7HxiKmIkXh0_WTDxnoaa7g4=s88-c-k-c0x00ffffff-no-rj</v>
      </c>
      <c r="H46" s="67"/>
      <c r="I46" s="71"/>
      <c r="J46" s="72"/>
      <c r="K46" s="72"/>
      <c r="L46" s="71" t="s">
        <v>530</v>
      </c>
      <c r="M46" s="75"/>
      <c r="N46" s="76">
        <v>4432.01513671875</v>
      </c>
      <c r="O46" s="76">
        <v>9655.6474609375</v>
      </c>
      <c r="P46" s="77"/>
      <c r="Q46" s="78"/>
      <c r="R46" s="78"/>
      <c r="S46" s="84"/>
      <c r="T46" s="50">
        <v>1</v>
      </c>
      <c r="U46" s="50">
        <v>0</v>
      </c>
      <c r="V46" s="51">
        <v>0</v>
      </c>
      <c r="W46" s="51">
        <v>0.40316200000000002</v>
      </c>
      <c r="X46" s="51">
        <v>5.4147000000000001E-2</v>
      </c>
      <c r="Y46" s="52"/>
      <c r="Z46" s="52"/>
      <c r="AA46" s="51"/>
      <c r="AB46" s="73">
        <v>46</v>
      </c>
      <c r="AC46" s="73"/>
      <c r="AD46" s="74"/>
      <c r="AE46" s="80" t="s">
        <v>304</v>
      </c>
      <c r="AF46" s="100" t="str">
        <f>HYPERLINK("http://www.youtube.com/channel/UCqquMk3impkDbAhpvzs7SiA")</f>
        <v>http://www.youtube.com/channel/UCqquMk3impkDbAhpvzs7SiA</v>
      </c>
      <c r="AG46" s="80" t="s">
        <v>347</v>
      </c>
      <c r="AH46" s="80" t="s">
        <v>437</v>
      </c>
      <c r="AI46" s="50"/>
      <c r="AJ46" s="50"/>
      <c r="AK46" s="50"/>
      <c r="AL46" s="50"/>
      <c r="AM46" s="50"/>
      <c r="AN46" s="50"/>
      <c r="AO46" s="2"/>
      <c r="AP46" s="3"/>
      <c r="AQ46" s="3"/>
      <c r="AR46" s="3"/>
      <c r="AS46" s="3"/>
    </row>
    <row r="47" spans="1:45" ht="34.049999999999997" customHeight="1" x14ac:dyDescent="0.3">
      <c r="A47" s="66" t="s">
        <v>242</v>
      </c>
      <c r="C47" s="67"/>
      <c r="D47" s="67"/>
      <c r="E47" s="68"/>
      <c r="F47" s="70"/>
      <c r="G47" s="101" t="str">
        <f>HYPERLINK("https://yt3.ggpht.com/ytc/AKedOLRHpB_Riwvc8ojCpulGaUPHk0CMJq_aVr5RHSY_=s88-c-k-c0x00ffffff-no-rj")</f>
        <v>https://yt3.ggpht.com/ytc/AKedOLRHpB_Riwvc8ojCpulGaUPHk0CMJq_aVr5RHSY_=s88-c-k-c0x00ffffff-no-rj</v>
      </c>
      <c r="H47" s="67"/>
      <c r="I47" s="71"/>
      <c r="J47" s="72"/>
      <c r="K47" s="72"/>
      <c r="L47" s="71" t="s">
        <v>531</v>
      </c>
      <c r="M47" s="75"/>
      <c r="N47" s="76">
        <v>6190.431640625</v>
      </c>
      <c r="O47" s="76">
        <v>614.0499267578125</v>
      </c>
      <c r="P47" s="77"/>
      <c r="Q47" s="78"/>
      <c r="R47" s="78"/>
      <c r="S47" s="84"/>
      <c r="T47" s="50">
        <v>1</v>
      </c>
      <c r="U47" s="50">
        <v>0</v>
      </c>
      <c r="V47" s="51">
        <v>0</v>
      </c>
      <c r="W47" s="51">
        <v>0.40316200000000002</v>
      </c>
      <c r="X47" s="51">
        <v>5.4147000000000001E-2</v>
      </c>
      <c r="Y47" s="52"/>
      <c r="Z47" s="52"/>
      <c r="AA47" s="51"/>
      <c r="AB47" s="73">
        <v>47</v>
      </c>
      <c r="AC47" s="73"/>
      <c r="AD47" s="74"/>
      <c r="AE47" s="80" t="s">
        <v>304</v>
      </c>
      <c r="AF47" s="100" t="str">
        <f>HYPERLINK("http://www.youtube.com/channel/UCn5cRPf1pK4KiOft5jFC6hw")</f>
        <v>http://www.youtube.com/channel/UCn5cRPf1pK4KiOft5jFC6hw</v>
      </c>
      <c r="AG47" s="80" t="s">
        <v>348</v>
      </c>
      <c r="AH47" s="80" t="s">
        <v>438</v>
      </c>
      <c r="AI47" s="50"/>
      <c r="AJ47" s="50"/>
      <c r="AK47" s="50"/>
      <c r="AL47" s="50"/>
      <c r="AM47" s="50"/>
      <c r="AN47" s="50"/>
      <c r="AO47" s="2"/>
      <c r="AP47" s="3"/>
      <c r="AQ47" s="3"/>
      <c r="AR47" s="3"/>
      <c r="AS47" s="3"/>
    </row>
    <row r="48" spans="1:45" ht="34.049999999999997" customHeight="1" x14ac:dyDescent="0.3">
      <c r="A48" s="66" t="s">
        <v>243</v>
      </c>
      <c r="C48" s="67"/>
      <c r="D48" s="67"/>
      <c r="E48" s="68"/>
      <c r="F48" s="70"/>
      <c r="G48" s="101" t="str">
        <f>HYPERLINK("https://yt3.ggpht.com/ytc/AKedOLQdFSU4zzKbJZAigLhoi8JyXxxHinqmvZdLac1_lg=s88-c-k-c0x00ffffff-no-rj")</f>
        <v>https://yt3.ggpht.com/ytc/AKedOLQdFSU4zzKbJZAigLhoi8JyXxxHinqmvZdLac1_lg=s88-c-k-c0x00ffffff-no-rj</v>
      </c>
      <c r="H48" s="67"/>
      <c r="I48" s="71"/>
      <c r="J48" s="72"/>
      <c r="K48" s="72"/>
      <c r="L48" s="71" t="s">
        <v>532</v>
      </c>
      <c r="M48" s="75"/>
      <c r="N48" s="76">
        <v>8587.8818359375</v>
      </c>
      <c r="O48" s="76">
        <v>1813.92724609375</v>
      </c>
      <c r="P48" s="77"/>
      <c r="Q48" s="78"/>
      <c r="R48" s="78"/>
      <c r="S48" s="84"/>
      <c r="T48" s="50">
        <v>1</v>
      </c>
      <c r="U48" s="50">
        <v>0</v>
      </c>
      <c r="V48" s="51">
        <v>0</v>
      </c>
      <c r="W48" s="51">
        <v>0.40316200000000002</v>
      </c>
      <c r="X48" s="51">
        <v>5.4147000000000001E-2</v>
      </c>
      <c r="Y48" s="52"/>
      <c r="Z48" s="52"/>
      <c r="AA48" s="51"/>
      <c r="AB48" s="73">
        <v>48</v>
      </c>
      <c r="AC48" s="73"/>
      <c r="AD48" s="74"/>
      <c r="AE48" s="80" t="s">
        <v>304</v>
      </c>
      <c r="AF48" s="100" t="str">
        <f>HYPERLINK("http://www.youtube.com/channel/UCjSBzzV4tpqYo4gOkxQWuKw")</f>
        <v>http://www.youtube.com/channel/UCjSBzzV4tpqYo4gOkxQWuKw</v>
      </c>
      <c r="AG48" s="80" t="s">
        <v>349</v>
      </c>
      <c r="AH48" s="80" t="s">
        <v>439</v>
      </c>
      <c r="AI48" s="50"/>
      <c r="AJ48" s="50"/>
      <c r="AK48" s="50"/>
      <c r="AL48" s="50"/>
      <c r="AM48" s="50"/>
      <c r="AN48" s="50"/>
      <c r="AO48" s="2"/>
      <c r="AP48" s="3"/>
      <c r="AQ48" s="3"/>
      <c r="AR48" s="3"/>
      <c r="AS48" s="3"/>
    </row>
    <row r="49" spans="1:45" ht="34.049999999999997" customHeight="1" x14ac:dyDescent="0.3">
      <c r="A49" s="66" t="s">
        <v>244</v>
      </c>
      <c r="C49" s="67"/>
      <c r="D49" s="67"/>
      <c r="E49" s="68"/>
      <c r="F49" s="70"/>
      <c r="G49" s="101" t="str">
        <f>HYPERLINK("https://yt3.ggpht.com/ytc/AKedOLRqjsxem0KnukvtWouqV463hTHQvldWuQx8WNz_=s88-c-k-c0x00ffffff-no-rj")</f>
        <v>https://yt3.ggpht.com/ytc/AKedOLRqjsxem0KnukvtWouqV463hTHQvldWuQx8WNz_=s88-c-k-c0x00ffffff-no-rj</v>
      </c>
      <c r="H49" s="67"/>
      <c r="I49" s="71"/>
      <c r="J49" s="72"/>
      <c r="K49" s="72"/>
      <c r="L49" s="71" t="s">
        <v>533</v>
      </c>
      <c r="M49" s="75"/>
      <c r="N49" s="76">
        <v>2389.5732421875</v>
      </c>
      <c r="O49" s="76">
        <v>9655.6474609375</v>
      </c>
      <c r="P49" s="77"/>
      <c r="Q49" s="78"/>
      <c r="R49" s="78"/>
      <c r="S49" s="84"/>
      <c r="T49" s="50">
        <v>1</v>
      </c>
      <c r="U49" s="50">
        <v>0</v>
      </c>
      <c r="V49" s="51">
        <v>0</v>
      </c>
      <c r="W49" s="51">
        <v>0.40316200000000002</v>
      </c>
      <c r="X49" s="51">
        <v>5.4147000000000001E-2</v>
      </c>
      <c r="Y49" s="52"/>
      <c r="Z49" s="52"/>
      <c r="AA49" s="51"/>
      <c r="AB49" s="73">
        <v>49</v>
      </c>
      <c r="AC49" s="73"/>
      <c r="AD49" s="74"/>
      <c r="AE49" s="80" t="s">
        <v>304</v>
      </c>
      <c r="AF49" s="100" t="str">
        <f>HYPERLINK("http://www.youtube.com/channel/UCjIHhqo4iz_nS8f-lM85xxg")</f>
        <v>http://www.youtube.com/channel/UCjIHhqo4iz_nS8f-lM85xxg</v>
      </c>
      <c r="AG49" s="80" t="s">
        <v>350</v>
      </c>
      <c r="AH49" s="80"/>
      <c r="AI49" s="50"/>
      <c r="AJ49" s="50"/>
      <c r="AK49" s="50"/>
      <c r="AL49" s="50"/>
      <c r="AM49" s="50"/>
      <c r="AN49" s="50"/>
      <c r="AO49" s="2"/>
      <c r="AP49" s="3"/>
      <c r="AQ49" s="3"/>
      <c r="AR49" s="3"/>
      <c r="AS49" s="3"/>
    </row>
    <row r="50" spans="1:45" ht="34.049999999999997" customHeight="1" x14ac:dyDescent="0.3">
      <c r="A50" s="66" t="s">
        <v>245</v>
      </c>
      <c r="C50" s="67"/>
      <c r="D50" s="67"/>
      <c r="E50" s="68"/>
      <c r="F50" s="70"/>
      <c r="G50" s="101" t="str">
        <f>HYPERLINK("https://yt3.ggpht.com/ytc/AKedOLSfXSHENli3V0wIjoPdtwVo6LhA_b5wv4bh1qQ=s88-c-k-c0x00ffffff-no-rj")</f>
        <v>https://yt3.ggpht.com/ytc/AKedOLSfXSHENli3V0wIjoPdtwVo6LhA_b5wv4bh1qQ=s88-c-k-c0x00ffffff-no-rj</v>
      </c>
      <c r="H50" s="67"/>
      <c r="I50" s="71"/>
      <c r="J50" s="72"/>
      <c r="K50" s="72"/>
      <c r="L50" s="71" t="s">
        <v>534</v>
      </c>
      <c r="M50" s="75"/>
      <c r="N50" s="76">
        <v>9195.4130859375</v>
      </c>
      <c r="O50" s="76">
        <v>7095.98681640625</v>
      </c>
      <c r="P50" s="77"/>
      <c r="Q50" s="78"/>
      <c r="R50" s="78"/>
      <c r="S50" s="84"/>
      <c r="T50" s="50">
        <v>1</v>
      </c>
      <c r="U50" s="50">
        <v>0</v>
      </c>
      <c r="V50" s="51">
        <v>0</v>
      </c>
      <c r="W50" s="51">
        <v>0.40316200000000002</v>
      </c>
      <c r="X50" s="51">
        <v>5.4147000000000001E-2</v>
      </c>
      <c r="Y50" s="52"/>
      <c r="Z50" s="52"/>
      <c r="AA50" s="51"/>
      <c r="AB50" s="73">
        <v>50</v>
      </c>
      <c r="AC50" s="73"/>
      <c r="AD50" s="74"/>
      <c r="AE50" s="80" t="s">
        <v>304</v>
      </c>
      <c r="AF50" s="100" t="str">
        <f>HYPERLINK("http://www.youtube.com/channel/UCihRrhpBmAybz0YDybEiKlQ")</f>
        <v>http://www.youtube.com/channel/UCihRrhpBmAybz0YDybEiKlQ</v>
      </c>
      <c r="AG50" s="80" t="s">
        <v>351</v>
      </c>
      <c r="AH50" s="80"/>
      <c r="AI50" s="50"/>
      <c r="AJ50" s="50"/>
      <c r="AK50" s="50"/>
      <c r="AL50" s="50"/>
      <c r="AM50" s="50"/>
      <c r="AN50" s="50"/>
      <c r="AO50" s="2"/>
      <c r="AP50" s="3"/>
      <c r="AQ50" s="3"/>
      <c r="AR50" s="3"/>
      <c r="AS50" s="3"/>
    </row>
    <row r="51" spans="1:45" ht="34.049999999999997" customHeight="1" x14ac:dyDescent="0.3">
      <c r="A51" s="66" t="s">
        <v>246</v>
      </c>
      <c r="C51" s="67"/>
      <c r="D51" s="67"/>
      <c r="E51" s="68"/>
      <c r="F51" s="70"/>
      <c r="G51" s="101" t="str">
        <f>HYPERLINK("https://yt3.ggpht.com/ytc/AKedOLSF5z44FGeMMX0cJ9i4fI2mZZuMLF4G4f0IkPNh=s88-c-k-c0x00ffffff-no-rj")</f>
        <v>https://yt3.ggpht.com/ytc/AKedOLSF5z44FGeMMX0cJ9i4fI2mZZuMLF4G4f0IkPNh=s88-c-k-c0x00ffffff-no-rj</v>
      </c>
      <c r="H51" s="67"/>
      <c r="I51" s="71"/>
      <c r="J51" s="72"/>
      <c r="K51" s="72"/>
      <c r="L51" s="71" t="s">
        <v>535</v>
      </c>
      <c r="M51" s="75"/>
      <c r="N51" s="76">
        <v>9009.29296875</v>
      </c>
      <c r="O51" s="76">
        <v>4002.673095703125</v>
      </c>
      <c r="P51" s="77"/>
      <c r="Q51" s="78"/>
      <c r="R51" s="78"/>
      <c r="S51" s="84"/>
      <c r="T51" s="50">
        <v>1</v>
      </c>
      <c r="U51" s="50">
        <v>0</v>
      </c>
      <c r="V51" s="51">
        <v>0</v>
      </c>
      <c r="W51" s="51">
        <v>0.40316200000000002</v>
      </c>
      <c r="X51" s="51">
        <v>5.4147000000000001E-2</v>
      </c>
      <c r="Y51" s="52"/>
      <c r="Z51" s="52"/>
      <c r="AA51" s="51"/>
      <c r="AB51" s="73">
        <v>51</v>
      </c>
      <c r="AC51" s="73"/>
      <c r="AD51" s="74"/>
      <c r="AE51" s="80" t="s">
        <v>304</v>
      </c>
      <c r="AF51" s="100" t="str">
        <f>HYPERLINK("http://www.youtube.com/channel/UChcDN40Dzw9lx6tCQCsreqQ")</f>
        <v>http://www.youtube.com/channel/UChcDN40Dzw9lx6tCQCsreqQ</v>
      </c>
      <c r="AG51" s="80" t="s">
        <v>352</v>
      </c>
      <c r="AH51" s="80" t="s">
        <v>440</v>
      </c>
      <c r="AI51" s="50"/>
      <c r="AJ51" s="50"/>
      <c r="AK51" s="50"/>
      <c r="AL51" s="50"/>
      <c r="AM51" s="50"/>
      <c r="AN51" s="50"/>
      <c r="AO51" s="2"/>
      <c r="AP51" s="3"/>
      <c r="AQ51" s="3"/>
      <c r="AR51" s="3"/>
      <c r="AS51" s="3"/>
    </row>
    <row r="52" spans="1:45" ht="34.049999999999997" customHeight="1" x14ac:dyDescent="0.3">
      <c r="A52" s="66" t="s">
        <v>247</v>
      </c>
      <c r="C52" s="67"/>
      <c r="D52" s="67"/>
      <c r="E52" s="68"/>
      <c r="F52" s="70"/>
      <c r="G52" s="101" t="str">
        <f>HYPERLINK("https://yt3.ggpht.com/ytc/AKedOLR4w7EzaIlJN0APm1Qthc_U5lMFr6OlFY3CwNk_=s88-c-k-c0x00ffffff-no-rj")</f>
        <v>https://yt3.ggpht.com/ytc/AKedOLR4w7EzaIlJN0APm1Qthc_U5lMFr6OlFY3CwNk_=s88-c-k-c0x00ffffff-no-rj</v>
      </c>
      <c r="H52" s="67"/>
      <c r="I52" s="71"/>
      <c r="J52" s="72"/>
      <c r="K52" s="72"/>
      <c r="L52" s="71" t="s">
        <v>536</v>
      </c>
      <c r="M52" s="75"/>
      <c r="N52" s="76">
        <v>3655.486572265625</v>
      </c>
      <c r="O52" s="76">
        <v>9465.4560546875</v>
      </c>
      <c r="P52" s="77"/>
      <c r="Q52" s="78"/>
      <c r="R52" s="78"/>
      <c r="S52" s="84"/>
      <c r="T52" s="50">
        <v>1</v>
      </c>
      <c r="U52" s="50">
        <v>0</v>
      </c>
      <c r="V52" s="51">
        <v>0</v>
      </c>
      <c r="W52" s="51">
        <v>0.40316200000000002</v>
      </c>
      <c r="X52" s="51">
        <v>5.4147000000000001E-2</v>
      </c>
      <c r="Y52" s="52"/>
      <c r="Z52" s="52"/>
      <c r="AA52" s="51"/>
      <c r="AB52" s="73">
        <v>52</v>
      </c>
      <c r="AC52" s="73"/>
      <c r="AD52" s="74"/>
      <c r="AE52" s="80" t="s">
        <v>304</v>
      </c>
      <c r="AF52" s="100" t="str">
        <f>HYPERLINK("http://www.youtube.com/channel/UCgDonEnzimXorrs_x8HuGhw")</f>
        <v>http://www.youtube.com/channel/UCgDonEnzimXorrs_x8HuGhw</v>
      </c>
      <c r="AG52" s="80" t="s">
        <v>353</v>
      </c>
      <c r="AH52" s="80"/>
      <c r="AI52" s="50"/>
      <c r="AJ52" s="50"/>
      <c r="AK52" s="50"/>
      <c r="AL52" s="50"/>
      <c r="AM52" s="50"/>
      <c r="AN52" s="50"/>
      <c r="AO52" s="2"/>
      <c r="AP52" s="3"/>
      <c r="AQ52" s="3"/>
      <c r="AR52" s="3"/>
      <c r="AS52" s="3"/>
    </row>
    <row r="53" spans="1:45" ht="34.049999999999997" customHeight="1" x14ac:dyDescent="0.3">
      <c r="A53" s="66" t="s">
        <v>248</v>
      </c>
      <c r="C53" s="67"/>
      <c r="D53" s="67"/>
      <c r="E53" s="68"/>
      <c r="F53" s="70"/>
      <c r="G53" s="101" t="str">
        <f>HYPERLINK("https://yt3.ggpht.com/ytc/AKedOLTRu57XErxI_iQ4aqi149B-3VLAqZtLXifsCuHJ=s88-c-k-c0x00ffffff-no-rj")</f>
        <v>https://yt3.ggpht.com/ytc/AKedOLTRu57XErxI_iQ4aqi149B-3VLAqZtLXifsCuHJ=s88-c-k-c0x00ffffff-no-rj</v>
      </c>
      <c r="H53" s="67"/>
      <c r="I53" s="71"/>
      <c r="J53" s="72"/>
      <c r="K53" s="72"/>
      <c r="L53" s="71" t="s">
        <v>537</v>
      </c>
      <c r="M53" s="75"/>
      <c r="N53" s="76">
        <v>1071.9320068359375</v>
      </c>
      <c r="O53" s="76">
        <v>4964.560546875</v>
      </c>
      <c r="P53" s="77"/>
      <c r="Q53" s="78"/>
      <c r="R53" s="78"/>
      <c r="S53" s="84"/>
      <c r="T53" s="50">
        <v>1</v>
      </c>
      <c r="U53" s="50">
        <v>0</v>
      </c>
      <c r="V53" s="51">
        <v>0</v>
      </c>
      <c r="W53" s="51">
        <v>0.40316200000000002</v>
      </c>
      <c r="X53" s="51">
        <v>5.4147000000000001E-2</v>
      </c>
      <c r="Y53" s="52"/>
      <c r="Z53" s="52"/>
      <c r="AA53" s="51"/>
      <c r="AB53" s="73">
        <v>53</v>
      </c>
      <c r="AC53" s="73"/>
      <c r="AD53" s="74"/>
      <c r="AE53" s="80" t="s">
        <v>304</v>
      </c>
      <c r="AF53" s="100" t="str">
        <f>HYPERLINK("http://www.youtube.com/channel/UCfvfr_Z8My0A7ePk-tPcKPQ")</f>
        <v>http://www.youtube.com/channel/UCfvfr_Z8My0A7ePk-tPcKPQ</v>
      </c>
      <c r="AG53" s="80" t="s">
        <v>354</v>
      </c>
      <c r="AH53" s="80" t="s">
        <v>441</v>
      </c>
      <c r="AI53" s="50"/>
      <c r="AJ53" s="50"/>
      <c r="AK53" s="50"/>
      <c r="AL53" s="50"/>
      <c r="AM53" s="50"/>
      <c r="AN53" s="50"/>
      <c r="AO53" s="2"/>
      <c r="AP53" s="3"/>
      <c r="AQ53" s="3"/>
      <c r="AR53" s="3"/>
      <c r="AS53" s="3"/>
    </row>
    <row r="54" spans="1:45" ht="34.049999999999997" customHeight="1" x14ac:dyDescent="0.3">
      <c r="A54" s="66" t="s">
        <v>249</v>
      </c>
      <c r="C54" s="67"/>
      <c r="D54" s="67"/>
      <c r="E54" s="68"/>
      <c r="F54" s="70"/>
      <c r="G54" s="101" t="str">
        <f>HYPERLINK("https://yt3.ggpht.com/ytc/AKedOLSqXp1XeKhgpXtoScCDFill6bICacfWz4_Pk00_cQ=s88-c-k-c0x00ffffff-no-rj")</f>
        <v>https://yt3.ggpht.com/ytc/AKedOLSqXp1XeKhgpXtoScCDFill6bICacfWz4_Pk00_cQ=s88-c-k-c0x00ffffff-no-rj</v>
      </c>
      <c r="H54" s="67"/>
      <c r="I54" s="71"/>
      <c r="J54" s="72"/>
      <c r="K54" s="72"/>
      <c r="L54" s="71" t="s">
        <v>538</v>
      </c>
      <c r="M54" s="75"/>
      <c r="N54" s="76">
        <v>3339.277587890625</v>
      </c>
      <c r="O54" s="76">
        <v>2893.226806640625</v>
      </c>
      <c r="P54" s="77"/>
      <c r="Q54" s="78"/>
      <c r="R54" s="78"/>
      <c r="S54" s="84"/>
      <c r="T54" s="50">
        <v>1</v>
      </c>
      <c r="U54" s="50">
        <v>0</v>
      </c>
      <c r="V54" s="51">
        <v>0</v>
      </c>
      <c r="W54" s="51">
        <v>0.40316200000000002</v>
      </c>
      <c r="X54" s="51">
        <v>5.4147000000000001E-2</v>
      </c>
      <c r="Y54" s="52"/>
      <c r="Z54" s="52"/>
      <c r="AA54" s="51"/>
      <c r="AB54" s="73">
        <v>54</v>
      </c>
      <c r="AC54" s="73"/>
      <c r="AD54" s="74"/>
      <c r="AE54" s="80" t="s">
        <v>304</v>
      </c>
      <c r="AF54" s="100" t="str">
        <f>HYPERLINK("http://www.youtube.com/channel/UCe0jxQdGRbcAcy8O12xQCRg")</f>
        <v>http://www.youtube.com/channel/UCe0jxQdGRbcAcy8O12xQCRg</v>
      </c>
      <c r="AG54" s="80" t="s">
        <v>355</v>
      </c>
      <c r="AH54" s="80" t="s">
        <v>442</v>
      </c>
      <c r="AI54" s="50"/>
      <c r="AJ54" s="50"/>
      <c r="AK54" s="50"/>
      <c r="AL54" s="50"/>
      <c r="AM54" s="50"/>
      <c r="AN54" s="50"/>
      <c r="AO54" s="2"/>
      <c r="AP54" s="3"/>
      <c r="AQ54" s="3"/>
      <c r="AR54" s="3"/>
      <c r="AS54" s="3"/>
    </row>
    <row r="55" spans="1:45" ht="34.049999999999997" customHeight="1" x14ac:dyDescent="0.3">
      <c r="A55" s="66" t="s">
        <v>250</v>
      </c>
      <c r="C55" s="67"/>
      <c r="D55" s="67"/>
      <c r="E55" s="68"/>
      <c r="F55" s="70"/>
      <c r="G55" s="101" t="str">
        <f>HYPERLINK("https://yt3.ggpht.com/ytc/AKedOLQ9PStQR3RFZpkMCRXCgDrkyJncwI8opIuaLUmu=s88-c-k-c0x00ffffff-no-rj")</f>
        <v>https://yt3.ggpht.com/ytc/AKedOLQ9PStQR3RFZpkMCRXCgDrkyJncwI8opIuaLUmu=s88-c-k-c0x00ffffff-no-rj</v>
      </c>
      <c r="H55" s="67"/>
      <c r="I55" s="71"/>
      <c r="J55" s="72"/>
      <c r="K55" s="72"/>
      <c r="L55" s="71" t="s">
        <v>539</v>
      </c>
      <c r="M55" s="75"/>
      <c r="N55" s="76">
        <v>7175.6943359375</v>
      </c>
      <c r="O55" s="76">
        <v>7614.06396484375</v>
      </c>
      <c r="P55" s="77"/>
      <c r="Q55" s="78"/>
      <c r="R55" s="78"/>
      <c r="S55" s="84"/>
      <c r="T55" s="50">
        <v>1</v>
      </c>
      <c r="U55" s="50">
        <v>0</v>
      </c>
      <c r="V55" s="51">
        <v>0</v>
      </c>
      <c r="W55" s="51">
        <v>0.40316200000000002</v>
      </c>
      <c r="X55" s="51">
        <v>5.4147000000000001E-2</v>
      </c>
      <c r="Y55" s="52"/>
      <c r="Z55" s="52"/>
      <c r="AA55" s="51"/>
      <c r="AB55" s="73">
        <v>55</v>
      </c>
      <c r="AC55" s="73"/>
      <c r="AD55" s="74"/>
      <c r="AE55" s="80" t="s">
        <v>304</v>
      </c>
      <c r="AF55" s="100" t="str">
        <f>HYPERLINK("http://www.youtube.com/channel/UCbPtWPf2ULHF-unT4UB-2wQ")</f>
        <v>http://www.youtube.com/channel/UCbPtWPf2ULHF-unT4UB-2wQ</v>
      </c>
      <c r="AG55" s="80" t="s">
        <v>356</v>
      </c>
      <c r="AH55" s="80"/>
      <c r="AI55" s="50"/>
      <c r="AJ55" s="50"/>
      <c r="AK55" s="50"/>
      <c r="AL55" s="50"/>
      <c r="AM55" s="50"/>
      <c r="AN55" s="50"/>
      <c r="AO55" s="2"/>
      <c r="AP55" s="3"/>
      <c r="AQ55" s="3"/>
      <c r="AR55" s="3"/>
      <c r="AS55" s="3"/>
    </row>
    <row r="56" spans="1:45" ht="34.049999999999997" customHeight="1" x14ac:dyDescent="0.3">
      <c r="A56" s="66" t="s">
        <v>251</v>
      </c>
      <c r="C56" s="67"/>
      <c r="D56" s="67"/>
      <c r="E56" s="68"/>
      <c r="F56" s="70"/>
      <c r="G56" s="101" t="str">
        <f>HYPERLINK("https://yt3.ggpht.com/ytc/AKedOLTNlsQrP1JADQ7uSLdjx3kil_oZq50x8j1ZCI3S=s88-c-k-c0x00ffffff-no-rj")</f>
        <v>https://yt3.ggpht.com/ytc/AKedOLTNlsQrP1JADQ7uSLdjx3kil_oZq50x8j1ZCI3S=s88-c-k-c0x00ffffff-no-rj</v>
      </c>
      <c r="H56" s="67"/>
      <c r="I56" s="71"/>
      <c r="J56" s="72"/>
      <c r="K56" s="72"/>
      <c r="L56" s="71" t="s">
        <v>540</v>
      </c>
      <c r="M56" s="75"/>
      <c r="N56" s="76">
        <v>836.65533447265625</v>
      </c>
      <c r="O56" s="76">
        <v>7577.048828125</v>
      </c>
      <c r="P56" s="77"/>
      <c r="Q56" s="78"/>
      <c r="R56" s="78"/>
      <c r="S56" s="84"/>
      <c r="T56" s="50">
        <v>1</v>
      </c>
      <c r="U56" s="50">
        <v>0</v>
      </c>
      <c r="V56" s="51">
        <v>0</v>
      </c>
      <c r="W56" s="51">
        <v>0.40316200000000002</v>
      </c>
      <c r="X56" s="51">
        <v>5.4147000000000001E-2</v>
      </c>
      <c r="Y56" s="52"/>
      <c r="Z56" s="52"/>
      <c r="AA56" s="51"/>
      <c r="AB56" s="73">
        <v>56</v>
      </c>
      <c r="AC56" s="73"/>
      <c r="AD56" s="74"/>
      <c r="AE56" s="80" t="s">
        <v>304</v>
      </c>
      <c r="AF56" s="100" t="str">
        <f>HYPERLINK("http://www.youtube.com/channel/UC_jjtDHJ0AtX-9SbNco8cPg")</f>
        <v>http://www.youtube.com/channel/UC_jjtDHJ0AtX-9SbNco8cPg</v>
      </c>
      <c r="AG56" s="80" t="s">
        <v>357</v>
      </c>
      <c r="AH56" s="80" t="s">
        <v>443</v>
      </c>
      <c r="AI56" s="50"/>
      <c r="AJ56" s="50"/>
      <c r="AK56" s="50"/>
      <c r="AL56" s="50"/>
      <c r="AM56" s="50"/>
      <c r="AN56" s="50"/>
      <c r="AO56" s="2"/>
      <c r="AP56" s="3"/>
      <c r="AQ56" s="3"/>
      <c r="AR56" s="3"/>
      <c r="AS56" s="3"/>
    </row>
    <row r="57" spans="1:45" ht="34.049999999999997" customHeight="1" x14ac:dyDescent="0.3">
      <c r="A57" s="66" t="s">
        <v>252</v>
      </c>
      <c r="C57" s="67"/>
      <c r="D57" s="67"/>
      <c r="E57" s="68"/>
      <c r="F57" s="70"/>
      <c r="G57" s="101" t="str">
        <f>HYPERLINK("https://yt3.ggpht.com/ytc/AKedOLSj2tiyG2CKe1dIrNpoZGIltm0Uj__UTxtRyp7k=s88-c-k-c0x00ffffff-no-rj")</f>
        <v>https://yt3.ggpht.com/ytc/AKedOLSj2tiyG2CKe1dIrNpoZGIltm0Uj__UTxtRyp7k=s88-c-k-c0x00ffffff-no-rj</v>
      </c>
      <c r="H57" s="67"/>
      <c r="I57" s="71"/>
      <c r="J57" s="72"/>
      <c r="K57" s="72"/>
      <c r="L57" s="71" t="s">
        <v>541</v>
      </c>
      <c r="M57" s="75"/>
      <c r="N57" s="76">
        <v>1577.7822265625</v>
      </c>
      <c r="O57" s="76">
        <v>5497.7080078125</v>
      </c>
      <c r="P57" s="77"/>
      <c r="Q57" s="78"/>
      <c r="R57" s="78"/>
      <c r="S57" s="84"/>
      <c r="T57" s="50">
        <v>1</v>
      </c>
      <c r="U57" s="50">
        <v>0</v>
      </c>
      <c r="V57" s="51">
        <v>0</v>
      </c>
      <c r="W57" s="51">
        <v>0.40316200000000002</v>
      </c>
      <c r="X57" s="51">
        <v>5.4147000000000001E-2</v>
      </c>
      <c r="Y57" s="52"/>
      <c r="Z57" s="52"/>
      <c r="AA57" s="51"/>
      <c r="AB57" s="73">
        <v>57</v>
      </c>
      <c r="AC57" s="73"/>
      <c r="AD57" s="74"/>
      <c r="AE57" s="80" t="s">
        <v>304</v>
      </c>
      <c r="AF57" s="100" t="str">
        <f>HYPERLINK("http://www.youtube.com/channel/UC__YZ-W7ttkWFvX9oDLaLng")</f>
        <v>http://www.youtube.com/channel/UC__YZ-W7ttkWFvX9oDLaLng</v>
      </c>
      <c r="AG57" s="80" t="s">
        <v>358</v>
      </c>
      <c r="AH57" s="80"/>
      <c r="AI57" s="50"/>
      <c r="AJ57" s="50"/>
      <c r="AK57" s="50"/>
      <c r="AL57" s="50"/>
      <c r="AM57" s="50"/>
      <c r="AN57" s="50"/>
      <c r="AO57" s="2"/>
      <c r="AP57" s="3"/>
      <c r="AQ57" s="3"/>
      <c r="AR57" s="3"/>
      <c r="AS57" s="3"/>
    </row>
    <row r="58" spans="1:45" ht="34.049999999999997" customHeight="1" x14ac:dyDescent="0.3">
      <c r="A58" s="66" t="s">
        <v>253</v>
      </c>
      <c r="C58" s="67"/>
      <c r="D58" s="67"/>
      <c r="E58" s="68"/>
      <c r="F58" s="70"/>
      <c r="G58" s="101" t="str">
        <f>HYPERLINK("https://yt3.ggpht.com/ytc/AKedOLRAzT_1rc7Ss4xu-DHWJqNqJI879e15oiLjJjVXMg=s88-c-k-c0x00ffffff-no-rj")</f>
        <v>https://yt3.ggpht.com/ytc/AKedOLRAzT_1rc7Ss4xu-DHWJqNqJI879e15oiLjJjVXMg=s88-c-k-c0x00ffffff-no-rj</v>
      </c>
      <c r="H58" s="67"/>
      <c r="I58" s="71"/>
      <c r="J58" s="72"/>
      <c r="K58" s="72"/>
      <c r="L58" s="71" t="s">
        <v>542</v>
      </c>
      <c r="M58" s="75"/>
      <c r="N58" s="76">
        <v>7641.53955078125</v>
      </c>
      <c r="O58" s="76">
        <v>8680.5419921875</v>
      </c>
      <c r="P58" s="77"/>
      <c r="Q58" s="78"/>
      <c r="R58" s="78"/>
      <c r="S58" s="84"/>
      <c r="T58" s="50">
        <v>1</v>
      </c>
      <c r="U58" s="50">
        <v>0</v>
      </c>
      <c r="V58" s="51">
        <v>0</v>
      </c>
      <c r="W58" s="51">
        <v>0.40316200000000002</v>
      </c>
      <c r="X58" s="51">
        <v>5.4147000000000001E-2</v>
      </c>
      <c r="Y58" s="52"/>
      <c r="Z58" s="52"/>
      <c r="AA58" s="51"/>
      <c r="AB58" s="73">
        <v>58</v>
      </c>
      <c r="AC58" s="73"/>
      <c r="AD58" s="74"/>
      <c r="AE58" s="80" t="s">
        <v>304</v>
      </c>
      <c r="AF58" s="100" t="str">
        <f>HYPERLINK("http://www.youtube.com/channel/UCYJAWYPaCWyef0z5N2cBp6w")</f>
        <v>http://www.youtube.com/channel/UCYJAWYPaCWyef0z5N2cBp6w</v>
      </c>
      <c r="AG58" s="80" t="s">
        <v>359</v>
      </c>
      <c r="AH58" s="80" t="s">
        <v>444</v>
      </c>
      <c r="AI58" s="50"/>
      <c r="AJ58" s="50"/>
      <c r="AK58" s="50"/>
      <c r="AL58" s="50"/>
      <c r="AM58" s="50"/>
      <c r="AN58" s="50"/>
      <c r="AO58" s="2"/>
      <c r="AP58" s="3"/>
      <c r="AQ58" s="3"/>
      <c r="AR58" s="3"/>
      <c r="AS58" s="3"/>
    </row>
    <row r="59" spans="1:45" ht="34.049999999999997" customHeight="1" x14ac:dyDescent="0.3">
      <c r="A59" s="66" t="s">
        <v>254</v>
      </c>
      <c r="C59" s="67"/>
      <c r="D59" s="67"/>
      <c r="E59" s="68"/>
      <c r="F59" s="70"/>
      <c r="G59" s="101" t="str">
        <f>HYPERLINK("https://yt3.ggpht.com/fyBB-ElkLGC1cPEyDFzMGKwTOYPauThxhdGddmnWmP7zBZm2KWEKpDvXO9xO0WKfeOFmz9u26g=s88-c-k-c0x00ffffff-no-rj")</f>
        <v>https://yt3.ggpht.com/fyBB-ElkLGC1cPEyDFzMGKwTOYPauThxhdGddmnWmP7zBZm2KWEKpDvXO9xO0WKfeOFmz9u26g=s88-c-k-c0x00ffffff-no-rj</v>
      </c>
      <c r="H59" s="67"/>
      <c r="I59" s="71"/>
      <c r="J59" s="72"/>
      <c r="K59" s="72"/>
      <c r="L59" s="71" t="s">
        <v>543</v>
      </c>
      <c r="M59" s="75"/>
      <c r="N59" s="76">
        <v>2145.266845703125</v>
      </c>
      <c r="O59" s="76">
        <v>958.17950439453125</v>
      </c>
      <c r="P59" s="77"/>
      <c r="Q59" s="78"/>
      <c r="R59" s="78"/>
      <c r="S59" s="84"/>
      <c r="T59" s="50">
        <v>1</v>
      </c>
      <c r="U59" s="50">
        <v>0</v>
      </c>
      <c r="V59" s="51">
        <v>0</v>
      </c>
      <c r="W59" s="51">
        <v>0.40316200000000002</v>
      </c>
      <c r="X59" s="51">
        <v>5.4147000000000001E-2</v>
      </c>
      <c r="Y59" s="52"/>
      <c r="Z59" s="52"/>
      <c r="AA59" s="51"/>
      <c r="AB59" s="73">
        <v>59</v>
      </c>
      <c r="AC59" s="73"/>
      <c r="AD59" s="74"/>
      <c r="AE59" s="80" t="s">
        <v>304</v>
      </c>
      <c r="AF59" s="100" t="str">
        <f>HYPERLINK("http://www.youtube.com/channel/UCYFy48c_FBjhJd7DoiDoaJw")</f>
        <v>http://www.youtube.com/channel/UCYFy48c_FBjhJd7DoiDoaJw</v>
      </c>
      <c r="AG59" s="80" t="s">
        <v>360</v>
      </c>
      <c r="AH59" s="80"/>
      <c r="AI59" s="50"/>
      <c r="AJ59" s="50"/>
      <c r="AK59" s="50"/>
      <c r="AL59" s="50"/>
      <c r="AM59" s="50"/>
      <c r="AN59" s="50"/>
      <c r="AO59" s="2"/>
      <c r="AP59" s="3"/>
      <c r="AQ59" s="3"/>
      <c r="AR59" s="3"/>
      <c r="AS59" s="3"/>
    </row>
    <row r="60" spans="1:45" ht="34.049999999999997" customHeight="1" x14ac:dyDescent="0.3">
      <c r="A60" s="66" t="s">
        <v>255</v>
      </c>
      <c r="C60" s="67"/>
      <c r="D60" s="67"/>
      <c r="E60" s="68"/>
      <c r="F60" s="70"/>
      <c r="G60" s="101" t="str">
        <f>HYPERLINK("https://yt3.ggpht.com/ytc/AKedOLRoZ7DRkla3XEFWwesaoi0R46Uz1pCTwbcRVA3P=s88-c-k-c0x00ffffff-no-rj")</f>
        <v>https://yt3.ggpht.com/ytc/AKedOLRoZ7DRkla3XEFWwesaoi0R46Uz1pCTwbcRVA3P=s88-c-k-c0x00ffffff-no-rj</v>
      </c>
      <c r="H60" s="67"/>
      <c r="I60" s="71"/>
      <c r="J60" s="72"/>
      <c r="K60" s="72"/>
      <c r="L60" s="71" t="s">
        <v>544</v>
      </c>
      <c r="M60" s="75"/>
      <c r="N60" s="76">
        <v>9810.8466796875</v>
      </c>
      <c r="O60" s="76">
        <v>5586.29833984375</v>
      </c>
      <c r="P60" s="77"/>
      <c r="Q60" s="78"/>
      <c r="R60" s="78"/>
      <c r="S60" s="84"/>
      <c r="T60" s="50">
        <v>1</v>
      </c>
      <c r="U60" s="50">
        <v>0</v>
      </c>
      <c r="V60" s="51">
        <v>0</v>
      </c>
      <c r="W60" s="51">
        <v>0.40316200000000002</v>
      </c>
      <c r="X60" s="51">
        <v>5.4147000000000001E-2</v>
      </c>
      <c r="Y60" s="52"/>
      <c r="Z60" s="52"/>
      <c r="AA60" s="51"/>
      <c r="AB60" s="73">
        <v>60</v>
      </c>
      <c r="AC60" s="73"/>
      <c r="AD60" s="74"/>
      <c r="AE60" s="80" t="s">
        <v>304</v>
      </c>
      <c r="AF60" s="100" t="str">
        <f>HYPERLINK("http://www.youtube.com/channel/UCTkm60Q8VrLYYxxTsG-IZbQ")</f>
        <v>http://www.youtube.com/channel/UCTkm60Q8VrLYYxxTsG-IZbQ</v>
      </c>
      <c r="AG60" s="80" t="s">
        <v>361</v>
      </c>
      <c r="AH60" s="80" t="s">
        <v>445</v>
      </c>
      <c r="AI60" s="50"/>
      <c r="AJ60" s="50"/>
      <c r="AK60" s="50"/>
      <c r="AL60" s="50"/>
      <c r="AM60" s="50"/>
      <c r="AN60" s="50"/>
      <c r="AO60" s="2"/>
      <c r="AP60" s="3"/>
      <c r="AQ60" s="3"/>
      <c r="AR60" s="3"/>
      <c r="AS60" s="3"/>
    </row>
    <row r="61" spans="1:45" ht="34.049999999999997" customHeight="1" x14ac:dyDescent="0.3">
      <c r="A61" s="66" t="s">
        <v>256</v>
      </c>
      <c r="C61" s="67"/>
      <c r="D61" s="67"/>
      <c r="E61" s="68"/>
      <c r="F61" s="70"/>
      <c r="G61" s="101" t="str">
        <f>HYPERLINK("https://yt3.ggpht.com/ytc/AKedOLQANZ_KkCQSO6HoH0uftLlfkevJhwVpwcsT_WZJ9w=s88-c-k-c0x00ffffff-no-rj")</f>
        <v>https://yt3.ggpht.com/ytc/AKedOLQANZ_KkCQSO6HoH0uftLlfkevJhwVpwcsT_WZJ9w=s88-c-k-c0x00ffffff-no-rj</v>
      </c>
      <c r="H61" s="67"/>
      <c r="I61" s="71"/>
      <c r="J61" s="72"/>
      <c r="K61" s="72"/>
      <c r="L61" s="71" t="s">
        <v>545</v>
      </c>
      <c r="M61" s="75"/>
      <c r="N61" s="76">
        <v>9685.296875</v>
      </c>
      <c r="O61" s="76">
        <v>3179.29736328125</v>
      </c>
      <c r="P61" s="77"/>
      <c r="Q61" s="78"/>
      <c r="R61" s="78"/>
      <c r="S61" s="84"/>
      <c r="T61" s="50">
        <v>1</v>
      </c>
      <c r="U61" s="50">
        <v>0</v>
      </c>
      <c r="V61" s="51">
        <v>0</v>
      </c>
      <c r="W61" s="51">
        <v>0.40316200000000002</v>
      </c>
      <c r="X61" s="51">
        <v>5.4147000000000001E-2</v>
      </c>
      <c r="Y61" s="52"/>
      <c r="Z61" s="52"/>
      <c r="AA61" s="51"/>
      <c r="AB61" s="73">
        <v>61</v>
      </c>
      <c r="AC61" s="73"/>
      <c r="AD61" s="74"/>
      <c r="AE61" s="80" t="s">
        <v>304</v>
      </c>
      <c r="AF61" s="100" t="str">
        <f>HYPERLINK("http://www.youtube.com/channel/UCQYtP_B06zgPQ1gVJAm5vkg")</f>
        <v>http://www.youtube.com/channel/UCQYtP_B06zgPQ1gVJAm5vkg</v>
      </c>
      <c r="AG61" s="80" t="s">
        <v>362</v>
      </c>
      <c r="AH61" s="80" t="s">
        <v>446</v>
      </c>
      <c r="AI61" s="50"/>
      <c r="AJ61" s="50"/>
      <c r="AK61" s="50"/>
      <c r="AL61" s="50"/>
      <c r="AM61" s="50"/>
      <c r="AN61" s="50"/>
      <c r="AO61" s="2"/>
      <c r="AP61" s="3"/>
      <c r="AQ61" s="3"/>
      <c r="AR61" s="3"/>
      <c r="AS61" s="3"/>
    </row>
    <row r="62" spans="1:45" ht="34.049999999999997" customHeight="1" x14ac:dyDescent="0.3">
      <c r="A62" s="66" t="s">
        <v>257</v>
      </c>
      <c r="C62" s="67"/>
      <c r="D62" s="67"/>
      <c r="E62" s="68"/>
      <c r="F62" s="70"/>
      <c r="G62" s="101" t="str">
        <f>HYPERLINK("https://yt3.ggpht.com/ytc/AKedOLSB-MPaKPf1MIdSTKVY8VIf2lT8KFkBU0AWUilyuQ=s88-c-k-c0x00ffffff-no-rj")</f>
        <v>https://yt3.ggpht.com/ytc/AKedOLSB-MPaKPf1MIdSTKVY8VIf2lT8KFkBU0AWUilyuQ=s88-c-k-c0x00ffffff-no-rj</v>
      </c>
      <c r="H62" s="67"/>
      <c r="I62" s="71"/>
      <c r="J62" s="72"/>
      <c r="K62" s="72"/>
      <c r="L62" s="71" t="s">
        <v>546</v>
      </c>
      <c r="M62" s="75"/>
      <c r="N62" s="76">
        <v>8874.6328125</v>
      </c>
      <c r="O62" s="76">
        <v>2576.112060546875</v>
      </c>
      <c r="P62" s="77"/>
      <c r="Q62" s="78"/>
      <c r="R62" s="78"/>
      <c r="S62" s="84"/>
      <c r="T62" s="50">
        <v>1</v>
      </c>
      <c r="U62" s="50">
        <v>0</v>
      </c>
      <c r="V62" s="51">
        <v>0</v>
      </c>
      <c r="W62" s="51">
        <v>0.40316200000000002</v>
      </c>
      <c r="X62" s="51">
        <v>5.4147000000000001E-2</v>
      </c>
      <c r="Y62" s="52"/>
      <c r="Z62" s="52"/>
      <c r="AA62" s="51"/>
      <c r="AB62" s="73">
        <v>62</v>
      </c>
      <c r="AC62" s="73"/>
      <c r="AD62" s="74"/>
      <c r="AE62" s="80" t="s">
        <v>304</v>
      </c>
      <c r="AF62" s="100" t="str">
        <f>HYPERLINK("http://www.youtube.com/channel/UCQG8usDJjq8OjMgtNDQC6fg")</f>
        <v>http://www.youtube.com/channel/UCQG8usDJjq8OjMgtNDQC6fg</v>
      </c>
      <c r="AG62" s="80" t="s">
        <v>363</v>
      </c>
      <c r="AH62" s="80" t="s">
        <v>447</v>
      </c>
      <c r="AI62" s="50"/>
      <c r="AJ62" s="50"/>
      <c r="AK62" s="50"/>
      <c r="AL62" s="50"/>
      <c r="AM62" s="50"/>
      <c r="AN62" s="50"/>
      <c r="AO62" s="2"/>
      <c r="AP62" s="3"/>
      <c r="AQ62" s="3"/>
      <c r="AR62" s="3"/>
      <c r="AS62" s="3"/>
    </row>
    <row r="63" spans="1:45" ht="34.049999999999997" customHeight="1" x14ac:dyDescent="0.3">
      <c r="A63" s="66" t="s">
        <v>258</v>
      </c>
      <c r="C63" s="67"/>
      <c r="D63" s="67"/>
      <c r="E63" s="68"/>
      <c r="F63" s="70"/>
      <c r="G63" s="101" t="str">
        <f>HYPERLINK("https://yt3.ggpht.com/ytc/AKedOLQxYWXqDCLnekFNQxzVwco_H3mmxmyShKho5kdH=s88-c-k-c0x00ffffff-no-rj")</f>
        <v>https://yt3.ggpht.com/ytc/AKedOLQxYWXqDCLnekFNQxzVwco_H3mmxmyShKho5kdH=s88-c-k-c0x00ffffff-no-rj</v>
      </c>
      <c r="H63" s="67"/>
      <c r="I63" s="71"/>
      <c r="J63" s="72"/>
      <c r="K63" s="72"/>
      <c r="L63" s="71" t="s">
        <v>547</v>
      </c>
      <c r="M63" s="75"/>
      <c r="N63" s="76">
        <v>9584.4833984375</v>
      </c>
      <c r="O63" s="76">
        <v>4026.7626953125</v>
      </c>
      <c r="P63" s="77"/>
      <c r="Q63" s="78"/>
      <c r="R63" s="78"/>
      <c r="S63" s="84"/>
      <c r="T63" s="50">
        <v>1</v>
      </c>
      <c r="U63" s="50">
        <v>0</v>
      </c>
      <c r="V63" s="51">
        <v>0</v>
      </c>
      <c r="W63" s="51">
        <v>0.40316200000000002</v>
      </c>
      <c r="X63" s="51">
        <v>5.4147000000000001E-2</v>
      </c>
      <c r="Y63" s="52"/>
      <c r="Z63" s="52"/>
      <c r="AA63" s="51"/>
      <c r="AB63" s="73">
        <v>63</v>
      </c>
      <c r="AC63" s="73"/>
      <c r="AD63" s="74"/>
      <c r="AE63" s="80" t="s">
        <v>304</v>
      </c>
      <c r="AF63" s="100" t="str">
        <f>HYPERLINK("http://www.youtube.com/channel/UCPjVrl_JDOb1D2PN5o9j9ig")</f>
        <v>http://www.youtube.com/channel/UCPjVrl_JDOb1D2PN5o9j9ig</v>
      </c>
      <c r="AG63" s="80" t="s">
        <v>364</v>
      </c>
      <c r="AH63" s="80" t="s">
        <v>448</v>
      </c>
      <c r="AI63" s="50"/>
      <c r="AJ63" s="50"/>
      <c r="AK63" s="50"/>
      <c r="AL63" s="50"/>
      <c r="AM63" s="50"/>
      <c r="AN63" s="50"/>
      <c r="AO63" s="2"/>
      <c r="AP63" s="3"/>
      <c r="AQ63" s="3"/>
      <c r="AR63" s="3"/>
      <c r="AS63" s="3"/>
    </row>
    <row r="64" spans="1:45" ht="34.049999999999997" customHeight="1" x14ac:dyDescent="0.3">
      <c r="A64" s="66" t="s">
        <v>259</v>
      </c>
      <c r="C64" s="67"/>
      <c r="D64" s="67"/>
      <c r="E64" s="68"/>
      <c r="F64" s="70"/>
      <c r="G64" s="101" t="str">
        <f>HYPERLINK("https://yt3.ggpht.com/ytc/AKedOLS8ui73y64B40KKBLXmFTub-R6ZI0ylbIvB1FDw=s88-c-k-c0x00ffffff-no-rj")</f>
        <v>https://yt3.ggpht.com/ytc/AKedOLS8ui73y64B40KKBLXmFTub-R6ZI0ylbIvB1FDw=s88-c-k-c0x00ffffff-no-rj</v>
      </c>
      <c r="H64" s="67"/>
      <c r="I64" s="71"/>
      <c r="J64" s="72"/>
      <c r="K64" s="72"/>
      <c r="L64" s="71" t="s">
        <v>548</v>
      </c>
      <c r="M64" s="75"/>
      <c r="N64" s="76">
        <v>6896.17822265625</v>
      </c>
      <c r="O64" s="76">
        <v>9030.6865234375</v>
      </c>
      <c r="P64" s="77"/>
      <c r="Q64" s="78"/>
      <c r="R64" s="78"/>
      <c r="S64" s="84"/>
      <c r="T64" s="50">
        <v>1</v>
      </c>
      <c r="U64" s="50">
        <v>0</v>
      </c>
      <c r="V64" s="51">
        <v>0</v>
      </c>
      <c r="W64" s="51">
        <v>0.40316200000000002</v>
      </c>
      <c r="X64" s="51">
        <v>5.4147000000000001E-2</v>
      </c>
      <c r="Y64" s="52"/>
      <c r="Z64" s="52"/>
      <c r="AA64" s="51"/>
      <c r="AB64" s="73">
        <v>64</v>
      </c>
      <c r="AC64" s="73"/>
      <c r="AD64" s="74"/>
      <c r="AE64" s="80" t="s">
        <v>304</v>
      </c>
      <c r="AF64" s="100" t="str">
        <f>HYPERLINK("http://www.youtube.com/channel/UCOqnUOb_wRaWkohfpp84zLQ")</f>
        <v>http://www.youtube.com/channel/UCOqnUOb_wRaWkohfpp84zLQ</v>
      </c>
      <c r="AG64" s="80" t="s">
        <v>365</v>
      </c>
      <c r="AH64" s="80" t="s">
        <v>449</v>
      </c>
      <c r="AI64" s="50"/>
      <c r="AJ64" s="50"/>
      <c r="AK64" s="50"/>
      <c r="AL64" s="50"/>
      <c r="AM64" s="50"/>
      <c r="AN64" s="50"/>
      <c r="AO64" s="2"/>
      <c r="AP64" s="3"/>
      <c r="AQ64" s="3"/>
      <c r="AR64" s="3"/>
      <c r="AS64" s="3"/>
    </row>
    <row r="65" spans="1:45" ht="34.049999999999997" customHeight="1" x14ac:dyDescent="0.3">
      <c r="A65" s="66" t="s">
        <v>260</v>
      </c>
      <c r="C65" s="67"/>
      <c r="D65" s="67"/>
      <c r="E65" s="68"/>
      <c r="F65" s="70"/>
      <c r="G65" s="101" t="str">
        <f>HYPERLINK("https://yt3.ggpht.com/ytc/AKedOLRnnPC7HOOiaPctCwSs1A6ZBSF64TVyBFkbeV2h=s88-c-k-c0x00ffffff-no-rj")</f>
        <v>https://yt3.ggpht.com/ytc/AKedOLRnnPC7HOOiaPctCwSs1A6ZBSF64TVyBFkbeV2h=s88-c-k-c0x00ffffff-no-rj</v>
      </c>
      <c r="H65" s="67"/>
      <c r="I65" s="71"/>
      <c r="J65" s="72"/>
      <c r="K65" s="72"/>
      <c r="L65" s="71" t="s">
        <v>549</v>
      </c>
      <c r="M65" s="75"/>
      <c r="N65" s="76">
        <v>1538.7723388671875</v>
      </c>
      <c r="O65" s="76">
        <v>9431.6162109375</v>
      </c>
      <c r="P65" s="77"/>
      <c r="Q65" s="78"/>
      <c r="R65" s="78"/>
      <c r="S65" s="84"/>
      <c r="T65" s="50">
        <v>1</v>
      </c>
      <c r="U65" s="50">
        <v>0</v>
      </c>
      <c r="V65" s="51">
        <v>0</v>
      </c>
      <c r="W65" s="51">
        <v>0.40316200000000002</v>
      </c>
      <c r="X65" s="51">
        <v>5.4147000000000001E-2</v>
      </c>
      <c r="Y65" s="52"/>
      <c r="Z65" s="52"/>
      <c r="AA65" s="51"/>
      <c r="AB65" s="73">
        <v>65</v>
      </c>
      <c r="AC65" s="73"/>
      <c r="AD65" s="74"/>
      <c r="AE65" s="80" t="s">
        <v>304</v>
      </c>
      <c r="AF65" s="100" t="str">
        <f>HYPERLINK("http://www.youtube.com/channel/UCNfT-1X71ogTQZQVGrPHmlQ")</f>
        <v>http://www.youtube.com/channel/UCNfT-1X71ogTQZQVGrPHmlQ</v>
      </c>
      <c r="AG65" s="80" t="s">
        <v>366</v>
      </c>
      <c r="AH65" s="80" t="s">
        <v>450</v>
      </c>
      <c r="AI65" s="50"/>
      <c r="AJ65" s="50"/>
      <c r="AK65" s="50"/>
      <c r="AL65" s="50"/>
      <c r="AM65" s="50"/>
      <c r="AN65" s="50"/>
      <c r="AO65" s="2"/>
      <c r="AP65" s="3"/>
      <c r="AQ65" s="3"/>
      <c r="AR65" s="3"/>
      <c r="AS65" s="3"/>
    </row>
    <row r="66" spans="1:45" ht="34.049999999999997" customHeight="1" x14ac:dyDescent="0.3">
      <c r="A66" s="66" t="s">
        <v>261</v>
      </c>
      <c r="C66" s="67"/>
      <c r="D66" s="67"/>
      <c r="E66" s="68"/>
      <c r="F66" s="70"/>
      <c r="G66" s="101" t="str">
        <f>HYPERLINK("https://yt3.ggpht.com/ytc/AKedOLTrF06NRHhKzPz4meWoLvHo0G0_tB5WPbcN_OOalQ=s88-c-k-c0x00ffffff-no-rj")</f>
        <v>https://yt3.ggpht.com/ytc/AKedOLTrF06NRHhKzPz4meWoLvHo0G0_tB5WPbcN_OOalQ=s88-c-k-c0x00ffffff-no-rj</v>
      </c>
      <c r="H66" s="67"/>
      <c r="I66" s="71"/>
      <c r="J66" s="72"/>
      <c r="K66" s="72"/>
      <c r="L66" s="71" t="s">
        <v>550</v>
      </c>
      <c r="M66" s="75"/>
      <c r="N66" s="76">
        <v>2991.50830078125</v>
      </c>
      <c r="O66" s="76">
        <v>9640.912109375</v>
      </c>
      <c r="P66" s="77"/>
      <c r="Q66" s="78"/>
      <c r="R66" s="78"/>
      <c r="S66" s="84"/>
      <c r="T66" s="50">
        <v>1</v>
      </c>
      <c r="U66" s="50">
        <v>0</v>
      </c>
      <c r="V66" s="51">
        <v>0</v>
      </c>
      <c r="W66" s="51">
        <v>0.40316200000000002</v>
      </c>
      <c r="X66" s="51">
        <v>5.4147000000000001E-2</v>
      </c>
      <c r="Y66" s="52"/>
      <c r="Z66" s="52"/>
      <c r="AA66" s="51"/>
      <c r="AB66" s="73">
        <v>66</v>
      </c>
      <c r="AC66" s="73"/>
      <c r="AD66" s="74"/>
      <c r="AE66" s="80" t="s">
        <v>304</v>
      </c>
      <c r="AF66" s="100" t="str">
        <f>HYPERLINK("http://www.youtube.com/channel/UCLD0A9LRHw6ACHHBq6FB8oQ")</f>
        <v>http://www.youtube.com/channel/UCLD0A9LRHw6ACHHBq6FB8oQ</v>
      </c>
      <c r="AG66" s="80" t="s">
        <v>367</v>
      </c>
      <c r="AH66" s="80" t="s">
        <v>451</v>
      </c>
      <c r="AI66" s="50"/>
      <c r="AJ66" s="50"/>
      <c r="AK66" s="50"/>
      <c r="AL66" s="50"/>
      <c r="AM66" s="50"/>
      <c r="AN66" s="50"/>
      <c r="AO66" s="2"/>
      <c r="AP66" s="3"/>
      <c r="AQ66" s="3"/>
      <c r="AR66" s="3"/>
      <c r="AS66" s="3"/>
    </row>
    <row r="67" spans="1:45" ht="34.049999999999997" customHeight="1" x14ac:dyDescent="0.3">
      <c r="A67" s="66" t="s">
        <v>262</v>
      </c>
      <c r="C67" s="67"/>
      <c r="D67" s="67"/>
      <c r="E67" s="68"/>
      <c r="F67" s="70"/>
      <c r="G67" s="101" t="str">
        <f>HYPERLINK("https://yt3.ggpht.com/ytc/AKedOLSSM2Ead5lwQDHSd8lw9wV2vkWVt123ExsQd2BW=s88-c-k-c0x00ffffff-no-rj")</f>
        <v>https://yt3.ggpht.com/ytc/AKedOLSSM2Ead5lwQDHSd8lw9wV2vkWVt123ExsQd2BW=s88-c-k-c0x00ffffff-no-rj</v>
      </c>
      <c r="H67" s="67"/>
      <c r="I67" s="71"/>
      <c r="J67" s="72"/>
      <c r="K67" s="72"/>
      <c r="L67" s="71" t="s">
        <v>551</v>
      </c>
      <c r="M67" s="75"/>
      <c r="N67" s="76">
        <v>2382.00341796875</v>
      </c>
      <c r="O67" s="76">
        <v>8404.8603515625</v>
      </c>
      <c r="P67" s="77"/>
      <c r="Q67" s="78"/>
      <c r="R67" s="78"/>
      <c r="S67" s="84"/>
      <c r="T67" s="50">
        <v>1</v>
      </c>
      <c r="U67" s="50">
        <v>0</v>
      </c>
      <c r="V67" s="51">
        <v>0</v>
      </c>
      <c r="W67" s="51">
        <v>0.40316200000000002</v>
      </c>
      <c r="X67" s="51">
        <v>5.4147000000000001E-2</v>
      </c>
      <c r="Y67" s="52"/>
      <c r="Z67" s="52"/>
      <c r="AA67" s="51"/>
      <c r="AB67" s="73">
        <v>67</v>
      </c>
      <c r="AC67" s="73"/>
      <c r="AD67" s="74"/>
      <c r="AE67" s="80" t="s">
        <v>304</v>
      </c>
      <c r="AF67" s="100" t="str">
        <f>HYPERLINK("http://www.youtube.com/channel/UCIdwa6ujSQ3DciKgzUb9HLw")</f>
        <v>http://www.youtube.com/channel/UCIdwa6ujSQ3DciKgzUb9HLw</v>
      </c>
      <c r="AG67" s="80" t="s">
        <v>368</v>
      </c>
      <c r="AH67" s="80" t="s">
        <v>452</v>
      </c>
      <c r="AI67" s="50"/>
      <c r="AJ67" s="50"/>
      <c r="AK67" s="50"/>
      <c r="AL67" s="50"/>
      <c r="AM67" s="50"/>
      <c r="AN67" s="50"/>
      <c r="AO67" s="2"/>
      <c r="AP67" s="3"/>
      <c r="AQ67" s="3"/>
      <c r="AR67" s="3"/>
      <c r="AS67" s="3"/>
    </row>
    <row r="68" spans="1:45" ht="34.049999999999997" customHeight="1" x14ac:dyDescent="0.3">
      <c r="A68" s="66" t="s">
        <v>263</v>
      </c>
      <c r="C68" s="67"/>
      <c r="D68" s="67"/>
      <c r="E68" s="68"/>
      <c r="F68" s="70"/>
      <c r="G68" s="101" t="str">
        <f>HYPERLINK("https://yt3.ggpht.com/ytc/AKedOLQe30xsaQVvZiN8ghK2A7OfeAaBMLbEwwsTj8xe=s88-c-k-c0x00ffffff-no-rj")</f>
        <v>https://yt3.ggpht.com/ytc/AKedOLQe30xsaQVvZiN8ghK2A7OfeAaBMLbEwwsTj8xe=s88-c-k-c0x00ffffff-no-rj</v>
      </c>
      <c r="H68" s="67"/>
      <c r="I68" s="71"/>
      <c r="J68" s="72"/>
      <c r="K68" s="72"/>
      <c r="L68" s="71" t="s">
        <v>552</v>
      </c>
      <c r="M68" s="75"/>
      <c r="N68" s="76">
        <v>1177.7427978515625</v>
      </c>
      <c r="O68" s="76">
        <v>1377.9227294921875</v>
      </c>
      <c r="P68" s="77"/>
      <c r="Q68" s="78"/>
      <c r="R68" s="78"/>
      <c r="S68" s="84"/>
      <c r="T68" s="50">
        <v>1</v>
      </c>
      <c r="U68" s="50">
        <v>0</v>
      </c>
      <c r="V68" s="51">
        <v>0</v>
      </c>
      <c r="W68" s="51">
        <v>0.40316200000000002</v>
      </c>
      <c r="X68" s="51">
        <v>5.4147000000000001E-2</v>
      </c>
      <c r="Y68" s="52"/>
      <c r="Z68" s="52"/>
      <c r="AA68" s="51"/>
      <c r="AB68" s="73">
        <v>68</v>
      </c>
      <c r="AC68" s="73"/>
      <c r="AD68" s="74"/>
      <c r="AE68" s="80" t="s">
        <v>304</v>
      </c>
      <c r="AF68" s="100" t="str">
        <f>HYPERLINK("http://www.youtube.com/channel/UCHXTAOPGEiUn-hst_H546Jw")</f>
        <v>http://www.youtube.com/channel/UCHXTAOPGEiUn-hst_H546Jw</v>
      </c>
      <c r="AG68" s="80" t="s">
        <v>369</v>
      </c>
      <c r="AH68" s="80" t="s">
        <v>453</v>
      </c>
      <c r="AI68" s="50"/>
      <c r="AJ68" s="50"/>
      <c r="AK68" s="50"/>
      <c r="AL68" s="50"/>
      <c r="AM68" s="50"/>
      <c r="AN68" s="50"/>
      <c r="AO68" s="2"/>
      <c r="AP68" s="3"/>
      <c r="AQ68" s="3"/>
      <c r="AR68" s="3"/>
      <c r="AS68" s="3"/>
    </row>
    <row r="69" spans="1:45" ht="34.049999999999997" customHeight="1" x14ac:dyDescent="0.3">
      <c r="A69" s="66" t="s">
        <v>264</v>
      </c>
      <c r="C69" s="67"/>
      <c r="D69" s="67"/>
      <c r="E69" s="68"/>
      <c r="F69" s="70"/>
      <c r="G69" s="101" t="str">
        <f>HYPERLINK("https://yt3.ggpht.com/ytc/AKedOLQzECCFg2d9QlFgQUzucafr2Es-QLW3JfcVFM8uFg=s88-c-k-c0x00ffffff-no-rj")</f>
        <v>https://yt3.ggpht.com/ytc/AKedOLQzECCFg2d9QlFgQUzucafr2Es-QLW3JfcVFM8uFg=s88-c-k-c0x00ffffff-no-rj</v>
      </c>
      <c r="H69" s="67"/>
      <c r="I69" s="71"/>
      <c r="J69" s="72"/>
      <c r="K69" s="72"/>
      <c r="L69" s="71" t="s">
        <v>553</v>
      </c>
      <c r="M69" s="75"/>
      <c r="N69" s="76">
        <v>5391.06689453125</v>
      </c>
      <c r="O69" s="76">
        <v>636.90753173828125</v>
      </c>
      <c r="P69" s="77"/>
      <c r="Q69" s="78"/>
      <c r="R69" s="78"/>
      <c r="S69" s="84"/>
      <c r="T69" s="50">
        <v>1</v>
      </c>
      <c r="U69" s="50">
        <v>0</v>
      </c>
      <c r="V69" s="51">
        <v>0</v>
      </c>
      <c r="W69" s="51">
        <v>0.40316200000000002</v>
      </c>
      <c r="X69" s="51">
        <v>5.4147000000000001E-2</v>
      </c>
      <c r="Y69" s="52"/>
      <c r="Z69" s="52"/>
      <c r="AA69" s="51"/>
      <c r="AB69" s="73">
        <v>69</v>
      </c>
      <c r="AC69" s="73"/>
      <c r="AD69" s="74"/>
      <c r="AE69" s="80" t="s">
        <v>304</v>
      </c>
      <c r="AF69" s="100" t="str">
        <f>HYPERLINK("http://www.youtube.com/channel/UCEPmJ5s2mlg_0nDkRgvjkAw")</f>
        <v>http://www.youtube.com/channel/UCEPmJ5s2mlg_0nDkRgvjkAw</v>
      </c>
      <c r="AG69" s="80" t="s">
        <v>370</v>
      </c>
      <c r="AH69" s="80" t="s">
        <v>454</v>
      </c>
      <c r="AI69" s="50"/>
      <c r="AJ69" s="50"/>
      <c r="AK69" s="50"/>
      <c r="AL69" s="50"/>
      <c r="AM69" s="50"/>
      <c r="AN69" s="50"/>
      <c r="AO69" s="2"/>
      <c r="AP69" s="3"/>
      <c r="AQ69" s="3"/>
      <c r="AR69" s="3"/>
      <c r="AS69" s="3"/>
    </row>
    <row r="70" spans="1:45" ht="34.049999999999997" customHeight="1" x14ac:dyDescent="0.3">
      <c r="A70" s="66" t="s">
        <v>265</v>
      </c>
      <c r="C70" s="67"/>
      <c r="D70" s="67"/>
      <c r="E70" s="68"/>
      <c r="F70" s="70"/>
      <c r="G70" s="101" t="str">
        <f>HYPERLINK("https://yt3.ggpht.com/ytc/AKedOLT-RWBPxOGvQgLkBk0IoYHPlN2YdcRPGhFeNLHZ=s88-c-k-c0x00ffffff-no-rj")</f>
        <v>https://yt3.ggpht.com/ytc/AKedOLT-RWBPxOGvQgLkBk0IoYHPlN2YdcRPGhFeNLHZ=s88-c-k-c0x00ffffff-no-rj</v>
      </c>
      <c r="H70" s="67"/>
      <c r="I70" s="71"/>
      <c r="J70" s="72"/>
      <c r="K70" s="72"/>
      <c r="L70" s="71" t="s">
        <v>554</v>
      </c>
      <c r="M70" s="75"/>
      <c r="N70" s="76">
        <v>9738.431640625</v>
      </c>
      <c r="O70" s="76">
        <v>7410.76904296875</v>
      </c>
      <c r="P70" s="77"/>
      <c r="Q70" s="78"/>
      <c r="R70" s="78"/>
      <c r="S70" s="84"/>
      <c r="T70" s="50">
        <v>1</v>
      </c>
      <c r="U70" s="50">
        <v>0</v>
      </c>
      <c r="V70" s="51">
        <v>0</v>
      </c>
      <c r="W70" s="51">
        <v>0.40316200000000002</v>
      </c>
      <c r="X70" s="51">
        <v>5.4147000000000001E-2</v>
      </c>
      <c r="Y70" s="52"/>
      <c r="Z70" s="52"/>
      <c r="AA70" s="51"/>
      <c r="AB70" s="73">
        <v>70</v>
      </c>
      <c r="AC70" s="73"/>
      <c r="AD70" s="74"/>
      <c r="AE70" s="80" t="s">
        <v>304</v>
      </c>
      <c r="AF70" s="100" t="str">
        <f>HYPERLINK("http://www.youtube.com/channel/UCDMepdE-aYuGUe-G242z4Kw")</f>
        <v>http://www.youtube.com/channel/UCDMepdE-aYuGUe-G242z4Kw</v>
      </c>
      <c r="AG70" s="80" t="s">
        <v>371</v>
      </c>
      <c r="AH70" s="80" t="s">
        <v>455</v>
      </c>
      <c r="AI70" s="50"/>
      <c r="AJ70" s="50"/>
      <c r="AK70" s="50"/>
      <c r="AL70" s="50"/>
      <c r="AM70" s="50"/>
      <c r="AN70" s="50"/>
      <c r="AO70" s="2"/>
      <c r="AP70" s="3"/>
      <c r="AQ70" s="3"/>
      <c r="AR70" s="3"/>
      <c r="AS70" s="3"/>
    </row>
    <row r="71" spans="1:45" ht="34.049999999999997" customHeight="1" x14ac:dyDescent="0.3">
      <c r="A71" s="66" t="s">
        <v>266</v>
      </c>
      <c r="C71" s="67"/>
      <c r="D71" s="67"/>
      <c r="E71" s="68"/>
      <c r="F71" s="70"/>
      <c r="G71" s="101" t="str">
        <f>HYPERLINK("https://yt3.ggpht.com/ytc/AKedOLRW4fHTNyffIaV36prA1Ii0zirank09Uj9vRUPuTw=s88-c-k-c0x00ffffff-no-rj")</f>
        <v>https://yt3.ggpht.com/ytc/AKedOLRW4fHTNyffIaV36prA1Ii0zirank09Uj9vRUPuTw=s88-c-k-c0x00ffffff-no-rj</v>
      </c>
      <c r="H71" s="67"/>
      <c r="I71" s="71"/>
      <c r="J71" s="72"/>
      <c r="K71" s="72"/>
      <c r="L71" s="71" t="s">
        <v>555</v>
      </c>
      <c r="M71" s="75"/>
      <c r="N71" s="76">
        <v>8112.892578125</v>
      </c>
      <c r="O71" s="76">
        <v>1762.53955078125</v>
      </c>
      <c r="P71" s="77"/>
      <c r="Q71" s="78"/>
      <c r="R71" s="78"/>
      <c r="S71" s="84"/>
      <c r="T71" s="50">
        <v>1</v>
      </c>
      <c r="U71" s="50">
        <v>0</v>
      </c>
      <c r="V71" s="51">
        <v>0</v>
      </c>
      <c r="W71" s="51">
        <v>0.40316200000000002</v>
      </c>
      <c r="X71" s="51">
        <v>5.4147000000000001E-2</v>
      </c>
      <c r="Y71" s="52"/>
      <c r="Z71" s="52"/>
      <c r="AA71" s="51"/>
      <c r="AB71" s="73">
        <v>71</v>
      </c>
      <c r="AC71" s="73"/>
      <c r="AD71" s="74"/>
      <c r="AE71" s="80" t="s">
        <v>304</v>
      </c>
      <c r="AF71" s="100" t="str">
        <f>HYPERLINK("http://www.youtube.com/channel/UCDEJi9HGDig2PvUlrsvugCQ")</f>
        <v>http://www.youtube.com/channel/UCDEJi9HGDig2PvUlrsvugCQ</v>
      </c>
      <c r="AG71" s="80" t="s">
        <v>372</v>
      </c>
      <c r="AH71" s="80" t="s">
        <v>456</v>
      </c>
      <c r="AI71" s="50"/>
      <c r="AJ71" s="50"/>
      <c r="AK71" s="50"/>
      <c r="AL71" s="50"/>
      <c r="AM71" s="50"/>
      <c r="AN71" s="50"/>
      <c r="AO71" s="2"/>
      <c r="AP71" s="3"/>
      <c r="AQ71" s="3"/>
      <c r="AR71" s="3"/>
      <c r="AS71" s="3"/>
    </row>
    <row r="72" spans="1:45" ht="34.049999999999997" customHeight="1" x14ac:dyDescent="0.3">
      <c r="A72" s="66" t="s">
        <v>267</v>
      </c>
      <c r="C72" s="67"/>
      <c r="D72" s="67"/>
      <c r="E72" s="68"/>
      <c r="F72" s="70"/>
      <c r="G72" s="101" t="str">
        <f>HYPERLINK("https://yt3.ggpht.com/RwuooecEYBa_7UlBp2JDCTzb9txQCCV3QkofWFnLBWiJeKMizxFlQmK1eQZVwSCrh2ByTl-7G0U=s88-c-k-c0x00ffffff-no-rj")</f>
        <v>https://yt3.ggpht.com/RwuooecEYBa_7UlBp2JDCTzb9txQCCV3QkofWFnLBWiJeKMizxFlQmK1eQZVwSCrh2ByTl-7G0U=s88-c-k-c0x00ffffff-no-rj</v>
      </c>
      <c r="H72" s="67"/>
      <c r="I72" s="71"/>
      <c r="J72" s="72"/>
      <c r="K72" s="72"/>
      <c r="L72" s="71" t="s">
        <v>556</v>
      </c>
      <c r="M72" s="75"/>
      <c r="N72" s="76">
        <v>8644.59375</v>
      </c>
      <c r="O72" s="76">
        <v>8905.546875</v>
      </c>
      <c r="P72" s="77"/>
      <c r="Q72" s="78"/>
      <c r="R72" s="78"/>
      <c r="S72" s="84"/>
      <c r="T72" s="50">
        <v>1</v>
      </c>
      <c r="U72" s="50">
        <v>0</v>
      </c>
      <c r="V72" s="51">
        <v>0</v>
      </c>
      <c r="W72" s="51">
        <v>0.40316200000000002</v>
      </c>
      <c r="X72" s="51">
        <v>5.4147000000000001E-2</v>
      </c>
      <c r="Y72" s="52"/>
      <c r="Z72" s="52"/>
      <c r="AA72" s="51"/>
      <c r="AB72" s="73">
        <v>72</v>
      </c>
      <c r="AC72" s="73"/>
      <c r="AD72" s="74"/>
      <c r="AE72" s="80" t="s">
        <v>304</v>
      </c>
      <c r="AF72" s="100" t="str">
        <f>HYPERLINK("http://www.youtube.com/channel/UCCyMSf0BuLAuPADasB-zdVA")</f>
        <v>http://www.youtube.com/channel/UCCyMSf0BuLAuPADasB-zdVA</v>
      </c>
      <c r="AG72" s="80" t="s">
        <v>373</v>
      </c>
      <c r="AH72" s="80" t="s">
        <v>457</v>
      </c>
      <c r="AI72" s="50"/>
      <c r="AJ72" s="50"/>
      <c r="AK72" s="50"/>
      <c r="AL72" s="50"/>
      <c r="AM72" s="50"/>
      <c r="AN72" s="50"/>
      <c r="AO72" s="2"/>
      <c r="AP72" s="3"/>
      <c r="AQ72" s="3"/>
      <c r="AR72" s="3"/>
      <c r="AS72" s="3"/>
    </row>
    <row r="73" spans="1:45" ht="34.049999999999997" customHeight="1" x14ac:dyDescent="0.3">
      <c r="A73" s="66" t="s">
        <v>268</v>
      </c>
      <c r="C73" s="67"/>
      <c r="D73" s="67"/>
      <c r="E73" s="68"/>
      <c r="F73" s="70"/>
      <c r="G73" s="101" t="str">
        <f>HYPERLINK("https://yt3.ggpht.com/yErj8uW1IzYgzjUJbHzYIj4BW6U_2yTqpQ8BDIdn6Ltn92kgcbEK-7KM7NH4ATHTGAifYpJsnQ=s88-c-k-c0x00ffffff-no-rj")</f>
        <v>https://yt3.ggpht.com/yErj8uW1IzYgzjUJbHzYIj4BW6U_2yTqpQ8BDIdn6Ltn92kgcbEK-7KM7NH4ATHTGAifYpJsnQ=s88-c-k-c0x00ffffff-no-rj</v>
      </c>
      <c r="H73" s="67"/>
      <c r="I73" s="71"/>
      <c r="J73" s="72"/>
      <c r="K73" s="72"/>
      <c r="L73" s="71" t="s">
        <v>557</v>
      </c>
      <c r="M73" s="75"/>
      <c r="N73" s="76">
        <v>3945.771484375</v>
      </c>
      <c r="O73" s="76">
        <v>9047.326171875</v>
      </c>
      <c r="P73" s="77"/>
      <c r="Q73" s="78"/>
      <c r="R73" s="78"/>
      <c r="S73" s="84"/>
      <c r="T73" s="50">
        <v>1</v>
      </c>
      <c r="U73" s="50">
        <v>0</v>
      </c>
      <c r="V73" s="51">
        <v>0</v>
      </c>
      <c r="W73" s="51">
        <v>0.40316200000000002</v>
      </c>
      <c r="X73" s="51">
        <v>5.4147000000000001E-2</v>
      </c>
      <c r="Y73" s="52"/>
      <c r="Z73" s="52"/>
      <c r="AA73" s="51"/>
      <c r="AB73" s="73">
        <v>73</v>
      </c>
      <c r="AC73" s="73"/>
      <c r="AD73" s="74"/>
      <c r="AE73" s="80" t="s">
        <v>304</v>
      </c>
      <c r="AF73" s="100" t="str">
        <f>HYPERLINK("http://www.youtube.com/channel/UCBcS4geMoYqoVFLs3sD1jcQ")</f>
        <v>http://www.youtube.com/channel/UCBcS4geMoYqoVFLs3sD1jcQ</v>
      </c>
      <c r="AG73" s="80" t="s">
        <v>374</v>
      </c>
      <c r="AH73" s="80" t="s">
        <v>458</v>
      </c>
      <c r="AI73" s="50"/>
      <c r="AJ73" s="50"/>
      <c r="AK73" s="50"/>
      <c r="AL73" s="50"/>
      <c r="AM73" s="50"/>
      <c r="AN73" s="50"/>
      <c r="AO73" s="2"/>
      <c r="AP73" s="3"/>
      <c r="AQ73" s="3"/>
      <c r="AR73" s="3"/>
      <c r="AS73" s="3"/>
    </row>
    <row r="74" spans="1:45" ht="34.049999999999997" customHeight="1" x14ac:dyDescent="0.3">
      <c r="A74" s="66" t="s">
        <v>269</v>
      </c>
      <c r="C74" s="67"/>
      <c r="D74" s="67"/>
      <c r="E74" s="68"/>
      <c r="F74" s="70"/>
      <c r="G74" s="101" t="str">
        <f>HYPERLINK("https://yt3.ggpht.com/PIK4Q1PrD4BR7A06BLN2HzeMtwd5dzSH-bofHaZdsEJMdJOYya2yAfJrXRuNmK2lvVhE5y6X=s88-c-k-c0x00ffffff-no-rj")</f>
        <v>https://yt3.ggpht.com/PIK4Q1PrD4BR7A06BLN2HzeMtwd5dzSH-bofHaZdsEJMdJOYya2yAfJrXRuNmK2lvVhE5y6X=s88-c-k-c0x00ffffff-no-rj</v>
      </c>
      <c r="H74" s="67"/>
      <c r="I74" s="71"/>
      <c r="J74" s="72"/>
      <c r="K74" s="72"/>
      <c r="L74" s="71" t="s">
        <v>558</v>
      </c>
      <c r="M74" s="75"/>
      <c r="N74" s="76">
        <v>6351.69091796875</v>
      </c>
      <c r="O74" s="76">
        <v>9116.66015625</v>
      </c>
      <c r="P74" s="77"/>
      <c r="Q74" s="78"/>
      <c r="R74" s="78"/>
      <c r="S74" s="84"/>
      <c r="T74" s="50">
        <v>1</v>
      </c>
      <c r="U74" s="50">
        <v>0</v>
      </c>
      <c r="V74" s="51">
        <v>0</v>
      </c>
      <c r="W74" s="51">
        <v>0.40316200000000002</v>
      </c>
      <c r="X74" s="51">
        <v>5.4147000000000001E-2</v>
      </c>
      <c r="Y74" s="52"/>
      <c r="Z74" s="52"/>
      <c r="AA74" s="51"/>
      <c r="AB74" s="73">
        <v>74</v>
      </c>
      <c r="AC74" s="73"/>
      <c r="AD74" s="74"/>
      <c r="AE74" s="80" t="s">
        <v>304</v>
      </c>
      <c r="AF74" s="100" t="str">
        <f>HYPERLINK("http://www.youtube.com/channel/UCAHki-8bOudte1cmFelEgrQ")</f>
        <v>http://www.youtube.com/channel/UCAHki-8bOudte1cmFelEgrQ</v>
      </c>
      <c r="AG74" s="80" t="s">
        <v>375</v>
      </c>
      <c r="AH74" s="80" t="s">
        <v>459</v>
      </c>
      <c r="AI74" s="50"/>
      <c r="AJ74" s="50"/>
      <c r="AK74" s="50"/>
      <c r="AL74" s="50"/>
      <c r="AM74" s="50"/>
      <c r="AN74" s="50"/>
      <c r="AO74" s="2"/>
      <c r="AP74" s="3"/>
      <c r="AQ74" s="3"/>
      <c r="AR74" s="3"/>
      <c r="AS74" s="3"/>
    </row>
    <row r="75" spans="1:45" ht="34.049999999999997" customHeight="1" x14ac:dyDescent="0.3">
      <c r="A75" s="66" t="s">
        <v>270</v>
      </c>
      <c r="C75" s="67"/>
      <c r="D75" s="67"/>
      <c r="E75" s="68"/>
      <c r="F75" s="70"/>
      <c r="G75" s="101" t="str">
        <f>HYPERLINK("https://yt3.ggpht.com/ytc/AKedOLRj9Ew049GxvkaNFqwoUhPJLSbXaDaouwiGx4Mi1g=s88-c-k-c0x00ffffff-no-rj")</f>
        <v>https://yt3.ggpht.com/ytc/AKedOLRj9Ew049GxvkaNFqwoUhPJLSbXaDaouwiGx4Mi1g=s88-c-k-c0x00ffffff-no-rj</v>
      </c>
      <c r="H75" s="67"/>
      <c r="I75" s="71"/>
      <c r="J75" s="72"/>
      <c r="K75" s="72"/>
      <c r="L75" s="71" t="s">
        <v>559</v>
      </c>
      <c r="M75" s="75"/>
      <c r="N75" s="76">
        <v>1271.6676025390625</v>
      </c>
      <c r="O75" s="76">
        <v>2091.389892578125</v>
      </c>
      <c r="P75" s="77"/>
      <c r="Q75" s="78"/>
      <c r="R75" s="78"/>
      <c r="S75" s="84"/>
      <c r="T75" s="50">
        <v>1</v>
      </c>
      <c r="U75" s="50">
        <v>0</v>
      </c>
      <c r="V75" s="51">
        <v>0</v>
      </c>
      <c r="W75" s="51">
        <v>0.40316200000000002</v>
      </c>
      <c r="X75" s="51">
        <v>5.4147000000000001E-2</v>
      </c>
      <c r="Y75" s="52"/>
      <c r="Z75" s="52"/>
      <c r="AA75" s="51"/>
      <c r="AB75" s="73">
        <v>75</v>
      </c>
      <c r="AC75" s="73"/>
      <c r="AD75" s="74"/>
      <c r="AE75" s="80" t="s">
        <v>304</v>
      </c>
      <c r="AF75" s="100" t="str">
        <f>HYPERLINK("http://www.youtube.com/channel/UC8896qpTeFyKSnQpIzu44MQ")</f>
        <v>http://www.youtube.com/channel/UC8896qpTeFyKSnQpIzu44MQ</v>
      </c>
      <c r="AG75" s="80" t="s">
        <v>376</v>
      </c>
      <c r="AH75" s="80" t="s">
        <v>460</v>
      </c>
      <c r="AI75" s="50"/>
      <c r="AJ75" s="50"/>
      <c r="AK75" s="50"/>
      <c r="AL75" s="50"/>
      <c r="AM75" s="50"/>
      <c r="AN75" s="50"/>
      <c r="AO75" s="2"/>
      <c r="AP75" s="3"/>
      <c r="AQ75" s="3"/>
      <c r="AR75" s="3"/>
      <c r="AS75" s="3"/>
    </row>
    <row r="76" spans="1:45" ht="34.049999999999997" customHeight="1" x14ac:dyDescent="0.3">
      <c r="A76" s="66" t="s">
        <v>271</v>
      </c>
      <c r="C76" s="67"/>
      <c r="D76" s="67"/>
      <c r="E76" s="68"/>
      <c r="F76" s="70"/>
      <c r="G76" s="101" t="str">
        <f>HYPERLINK("https://yt3.ggpht.com/ytc/AKedOLRIXRY64QfuBelhAAt2QqsojIc0pKjEnGnrTjRnag=s88-c-k-c0x00ffffff-no-rj")</f>
        <v>https://yt3.ggpht.com/ytc/AKedOLRIXRY64QfuBelhAAt2QqsojIc0pKjEnGnrTjRnag=s88-c-k-c0x00ffffff-no-rj</v>
      </c>
      <c r="H76" s="67"/>
      <c r="I76" s="71"/>
      <c r="J76" s="72"/>
      <c r="K76" s="72"/>
      <c r="L76" s="71" t="s">
        <v>560</v>
      </c>
      <c r="M76" s="75"/>
      <c r="N76" s="76">
        <v>5775.04248046875</v>
      </c>
      <c r="O76" s="76">
        <v>9072.3818359375</v>
      </c>
      <c r="P76" s="77"/>
      <c r="Q76" s="78"/>
      <c r="R76" s="78"/>
      <c r="S76" s="84"/>
      <c r="T76" s="50">
        <v>1</v>
      </c>
      <c r="U76" s="50">
        <v>0</v>
      </c>
      <c r="V76" s="51">
        <v>0</v>
      </c>
      <c r="W76" s="51">
        <v>0.40316200000000002</v>
      </c>
      <c r="X76" s="51">
        <v>5.4147000000000001E-2</v>
      </c>
      <c r="Y76" s="52"/>
      <c r="Z76" s="52"/>
      <c r="AA76" s="51"/>
      <c r="AB76" s="73">
        <v>76</v>
      </c>
      <c r="AC76" s="73"/>
      <c r="AD76" s="74"/>
      <c r="AE76" s="80" t="s">
        <v>304</v>
      </c>
      <c r="AF76" s="100" t="str">
        <f>HYPERLINK("http://www.youtube.com/channel/UC7yNkTdYv4bwutxcjMSXTAw")</f>
        <v>http://www.youtube.com/channel/UC7yNkTdYv4bwutxcjMSXTAw</v>
      </c>
      <c r="AG76" s="80" t="s">
        <v>377</v>
      </c>
      <c r="AH76" s="80" t="s">
        <v>461</v>
      </c>
      <c r="AI76" s="50"/>
      <c r="AJ76" s="50"/>
      <c r="AK76" s="50"/>
      <c r="AL76" s="50"/>
      <c r="AM76" s="50"/>
      <c r="AN76" s="50"/>
      <c r="AO76" s="2"/>
      <c r="AP76" s="3"/>
      <c r="AQ76" s="3"/>
      <c r="AR76" s="3"/>
      <c r="AS76" s="3"/>
    </row>
    <row r="77" spans="1:45" ht="34.049999999999997" customHeight="1" x14ac:dyDescent="0.3">
      <c r="A77" s="66" t="s">
        <v>272</v>
      </c>
      <c r="C77" s="67"/>
      <c r="D77" s="67"/>
      <c r="E77" s="68"/>
      <c r="F77" s="70"/>
      <c r="G77" s="101" t="str">
        <f>HYPERLINK("https://yt3.ggpht.com/ytc/AKedOLRI3ACv-fYZcsFKBjlc02xwSnxkRk-9CdargIFo=s88-c-k-c0x00ffffff-no-rj")</f>
        <v>https://yt3.ggpht.com/ytc/AKedOLRI3ACv-fYZcsFKBjlc02xwSnxkRk-9CdargIFo=s88-c-k-c0x00ffffff-no-rj</v>
      </c>
      <c r="H77" s="67"/>
      <c r="I77" s="71"/>
      <c r="J77" s="72"/>
      <c r="K77" s="72"/>
      <c r="L77" s="71" t="s">
        <v>561</v>
      </c>
      <c r="M77" s="75"/>
      <c r="N77" s="76">
        <v>604.85491943359375</v>
      </c>
      <c r="O77" s="76">
        <v>3675.245849609375</v>
      </c>
      <c r="P77" s="77"/>
      <c r="Q77" s="78"/>
      <c r="R77" s="78"/>
      <c r="S77" s="84"/>
      <c r="T77" s="50">
        <v>1</v>
      </c>
      <c r="U77" s="50">
        <v>0</v>
      </c>
      <c r="V77" s="51">
        <v>0</v>
      </c>
      <c r="W77" s="51">
        <v>0.40316200000000002</v>
      </c>
      <c r="X77" s="51">
        <v>5.4147000000000001E-2</v>
      </c>
      <c r="Y77" s="52"/>
      <c r="Z77" s="52"/>
      <c r="AA77" s="51"/>
      <c r="AB77" s="73">
        <v>77</v>
      </c>
      <c r="AC77" s="73"/>
      <c r="AD77" s="74"/>
      <c r="AE77" s="80" t="s">
        <v>304</v>
      </c>
      <c r="AF77" s="100" t="str">
        <f>HYPERLINK("http://www.youtube.com/channel/UC6ZRgQHI6_ucBafj9brrzfw")</f>
        <v>http://www.youtube.com/channel/UC6ZRgQHI6_ucBafj9brrzfw</v>
      </c>
      <c r="AG77" s="80" t="s">
        <v>378</v>
      </c>
      <c r="AH77" s="80" t="s">
        <v>462</v>
      </c>
      <c r="AI77" s="50"/>
      <c r="AJ77" s="50"/>
      <c r="AK77" s="50"/>
      <c r="AL77" s="50"/>
      <c r="AM77" s="50"/>
      <c r="AN77" s="50"/>
      <c r="AO77" s="2"/>
      <c r="AP77" s="3"/>
      <c r="AQ77" s="3"/>
      <c r="AR77" s="3"/>
      <c r="AS77" s="3"/>
    </row>
    <row r="78" spans="1:45" ht="34.049999999999997" customHeight="1" x14ac:dyDescent="0.3">
      <c r="A78" s="66" t="s">
        <v>273</v>
      </c>
      <c r="C78" s="67"/>
      <c r="D78" s="67"/>
      <c r="E78" s="68"/>
      <c r="F78" s="70"/>
      <c r="G78" s="101" t="str">
        <f>HYPERLINK("https://yt3.ggpht.com/ytc/AKedOLQyyUm4Xyv-wTyg2rL_9Jq4nlqGdfac7GavFe0C=s88-c-k-c0x00ffffff-no-rj")</f>
        <v>https://yt3.ggpht.com/ytc/AKedOLQyyUm4Xyv-wTyg2rL_9Jq4nlqGdfac7GavFe0C=s88-c-k-c0x00ffffff-no-rj</v>
      </c>
      <c r="H78" s="67"/>
      <c r="I78" s="71"/>
      <c r="J78" s="72"/>
      <c r="K78" s="72"/>
      <c r="L78" s="71" t="s">
        <v>562</v>
      </c>
      <c r="M78" s="75"/>
      <c r="N78" s="76">
        <v>1986.789794921875</v>
      </c>
      <c r="O78" s="76">
        <v>7492.12060546875</v>
      </c>
      <c r="P78" s="77"/>
      <c r="Q78" s="78"/>
      <c r="R78" s="78"/>
      <c r="S78" s="84"/>
      <c r="T78" s="50">
        <v>1</v>
      </c>
      <c r="U78" s="50">
        <v>0</v>
      </c>
      <c r="V78" s="51">
        <v>0</v>
      </c>
      <c r="W78" s="51">
        <v>0.40316200000000002</v>
      </c>
      <c r="X78" s="51">
        <v>5.4147000000000001E-2</v>
      </c>
      <c r="Y78" s="52"/>
      <c r="Z78" s="52"/>
      <c r="AA78" s="51"/>
      <c r="AB78" s="73">
        <v>78</v>
      </c>
      <c r="AC78" s="73"/>
      <c r="AD78" s="74"/>
      <c r="AE78" s="80" t="s">
        <v>304</v>
      </c>
      <c r="AF78" s="100" t="str">
        <f>HYPERLINK("http://www.youtube.com/channel/UC69X_3kGAa81rHEj9Q-29Cg")</f>
        <v>http://www.youtube.com/channel/UC69X_3kGAa81rHEj9Q-29Cg</v>
      </c>
      <c r="AG78" s="80" t="s">
        <v>379</v>
      </c>
      <c r="AH78" s="80" t="s">
        <v>463</v>
      </c>
      <c r="AI78" s="50"/>
      <c r="AJ78" s="50"/>
      <c r="AK78" s="50"/>
      <c r="AL78" s="50"/>
      <c r="AM78" s="50"/>
      <c r="AN78" s="50"/>
      <c r="AO78" s="2"/>
      <c r="AP78" s="3"/>
      <c r="AQ78" s="3"/>
      <c r="AR78" s="3"/>
      <c r="AS78" s="3"/>
    </row>
    <row r="79" spans="1:45" ht="34.049999999999997" customHeight="1" x14ac:dyDescent="0.3">
      <c r="A79" s="66" t="s">
        <v>274</v>
      </c>
      <c r="C79" s="67"/>
      <c r="D79" s="67"/>
      <c r="E79" s="68"/>
      <c r="F79" s="70"/>
      <c r="G79" s="101" t="str">
        <f>HYPERLINK("https://yt3.ggpht.com/ytc/AKedOLSCCAZmeE-FRZaJviwiwqbbcMgQ0Lb7bgYqWVm7wA=s88-c-k-c0x00ffffff-no-rj")</f>
        <v>https://yt3.ggpht.com/ytc/AKedOLSCCAZmeE-FRZaJviwiwqbbcMgQ0Lb7bgYqWVm7wA=s88-c-k-c0x00ffffff-no-rj</v>
      </c>
      <c r="H79" s="67"/>
      <c r="I79" s="71"/>
      <c r="J79" s="72"/>
      <c r="K79" s="72"/>
      <c r="L79" s="71" t="s">
        <v>563</v>
      </c>
      <c r="M79" s="75"/>
      <c r="N79" s="76">
        <v>7247.02880859375</v>
      </c>
      <c r="O79" s="76">
        <v>2263.74169921875</v>
      </c>
      <c r="P79" s="77"/>
      <c r="Q79" s="78"/>
      <c r="R79" s="78"/>
      <c r="S79" s="84"/>
      <c r="T79" s="50">
        <v>1</v>
      </c>
      <c r="U79" s="50">
        <v>0</v>
      </c>
      <c r="V79" s="51">
        <v>0</v>
      </c>
      <c r="W79" s="51">
        <v>0.40316200000000002</v>
      </c>
      <c r="X79" s="51">
        <v>5.4147000000000001E-2</v>
      </c>
      <c r="Y79" s="52"/>
      <c r="Z79" s="52"/>
      <c r="AA79" s="51"/>
      <c r="AB79" s="73">
        <v>79</v>
      </c>
      <c r="AC79" s="73"/>
      <c r="AD79" s="74"/>
      <c r="AE79" s="80" t="s">
        <v>304</v>
      </c>
      <c r="AF79" s="100" t="str">
        <f>HYPERLINK("http://www.youtube.com/channel/UC5H6b3FQvSoKUsOI4QhTgbw")</f>
        <v>http://www.youtube.com/channel/UC5H6b3FQvSoKUsOI4QhTgbw</v>
      </c>
      <c r="AG79" s="80" t="s">
        <v>380</v>
      </c>
      <c r="AH79" s="80" t="s">
        <v>464</v>
      </c>
      <c r="AI79" s="50"/>
      <c r="AJ79" s="50"/>
      <c r="AK79" s="50"/>
      <c r="AL79" s="50"/>
      <c r="AM79" s="50"/>
      <c r="AN79" s="50"/>
      <c r="AO79" s="2"/>
      <c r="AP79" s="3"/>
      <c r="AQ79" s="3"/>
      <c r="AR79" s="3"/>
      <c r="AS79" s="3"/>
    </row>
    <row r="80" spans="1:45" ht="34.049999999999997" customHeight="1" x14ac:dyDescent="0.3">
      <c r="A80" s="66" t="s">
        <v>275</v>
      </c>
      <c r="C80" s="67"/>
      <c r="D80" s="67"/>
      <c r="E80" s="68"/>
      <c r="F80" s="70"/>
      <c r="G80" s="101" t="str">
        <f>HYPERLINK("https://yt3.ggpht.com/ytc/AKedOLT_qAxP7A4kuvYihPnkHVNwUcNmyYgoZoOin3MJ=s88-c-k-c0x00ffffff-no-rj")</f>
        <v>https://yt3.ggpht.com/ytc/AKedOLT_qAxP7A4kuvYihPnkHVNwUcNmyYgoZoOin3MJ=s88-c-k-c0x00ffffff-no-rj</v>
      </c>
      <c r="H80" s="67"/>
      <c r="I80" s="71"/>
      <c r="J80" s="72"/>
      <c r="K80" s="72"/>
      <c r="L80" s="71" t="s">
        <v>564</v>
      </c>
      <c r="M80" s="75"/>
      <c r="N80" s="76">
        <v>1388.347900390625</v>
      </c>
      <c r="O80" s="76">
        <v>2949.385498046875</v>
      </c>
      <c r="P80" s="77"/>
      <c r="Q80" s="78"/>
      <c r="R80" s="78"/>
      <c r="S80" s="84"/>
      <c r="T80" s="50">
        <v>1</v>
      </c>
      <c r="U80" s="50">
        <v>0</v>
      </c>
      <c r="V80" s="51">
        <v>0</v>
      </c>
      <c r="W80" s="51">
        <v>0.40316200000000002</v>
      </c>
      <c r="X80" s="51">
        <v>5.4147000000000001E-2</v>
      </c>
      <c r="Y80" s="52"/>
      <c r="Z80" s="52"/>
      <c r="AA80" s="51"/>
      <c r="AB80" s="73">
        <v>80</v>
      </c>
      <c r="AC80" s="73"/>
      <c r="AD80" s="74"/>
      <c r="AE80" s="80" t="s">
        <v>304</v>
      </c>
      <c r="AF80" s="100" t="str">
        <f>HYPERLINK("http://www.youtube.com/channel/UC4DavrlnZOwnqU7QyBJEfWQ")</f>
        <v>http://www.youtube.com/channel/UC4DavrlnZOwnqU7QyBJEfWQ</v>
      </c>
      <c r="AG80" s="80" t="s">
        <v>381</v>
      </c>
      <c r="AH80" s="80" t="s">
        <v>465</v>
      </c>
      <c r="AI80" s="50"/>
      <c r="AJ80" s="50"/>
      <c r="AK80" s="50"/>
      <c r="AL80" s="50"/>
      <c r="AM80" s="50"/>
      <c r="AN80" s="50"/>
      <c r="AO80" s="2"/>
      <c r="AP80" s="3"/>
      <c r="AQ80" s="3"/>
      <c r="AR80" s="3"/>
      <c r="AS80" s="3"/>
    </row>
    <row r="81" spans="1:45" ht="34.049999999999997" customHeight="1" x14ac:dyDescent="0.3">
      <c r="A81" s="66" t="s">
        <v>276</v>
      </c>
      <c r="C81" s="67"/>
      <c r="D81" s="67"/>
      <c r="E81" s="68"/>
      <c r="F81" s="70"/>
      <c r="G81" s="101" t="str">
        <f>HYPERLINK("https://yt3.ggpht.com/ytc/AKedOLTvrcREf7PKnpD5vZAFlrf_9v51cznBMAc6qNvs=s88-c-k-c0x00ffffff-no-rj")</f>
        <v>https://yt3.ggpht.com/ytc/AKedOLTvrcREf7PKnpD5vZAFlrf_9v51cznBMAc6qNvs=s88-c-k-c0x00ffffff-no-rj</v>
      </c>
      <c r="H81" s="67"/>
      <c r="I81" s="71"/>
      <c r="J81" s="72"/>
      <c r="K81" s="72"/>
      <c r="L81" s="71" t="s">
        <v>565</v>
      </c>
      <c r="M81" s="75"/>
      <c r="N81" s="76">
        <v>7217.26220703125</v>
      </c>
      <c r="O81" s="76">
        <v>8187.62451171875</v>
      </c>
      <c r="P81" s="77"/>
      <c r="Q81" s="78"/>
      <c r="R81" s="78"/>
      <c r="S81" s="84"/>
      <c r="T81" s="50">
        <v>1</v>
      </c>
      <c r="U81" s="50">
        <v>0</v>
      </c>
      <c r="V81" s="51">
        <v>0</v>
      </c>
      <c r="W81" s="51">
        <v>0.40316200000000002</v>
      </c>
      <c r="X81" s="51">
        <v>5.4147000000000001E-2</v>
      </c>
      <c r="Y81" s="52"/>
      <c r="Z81" s="52"/>
      <c r="AA81" s="51"/>
      <c r="AB81" s="73">
        <v>81</v>
      </c>
      <c r="AC81" s="73"/>
      <c r="AD81" s="74"/>
      <c r="AE81" s="80" t="s">
        <v>304</v>
      </c>
      <c r="AF81" s="100" t="str">
        <f>HYPERLINK("http://www.youtube.com/channel/UC3xqScVO3J1dU9psEhI8rnA")</f>
        <v>http://www.youtube.com/channel/UC3xqScVO3J1dU9psEhI8rnA</v>
      </c>
      <c r="AG81" s="80" t="s">
        <v>382</v>
      </c>
      <c r="AH81" s="80"/>
      <c r="AI81" s="50"/>
      <c r="AJ81" s="50"/>
      <c r="AK81" s="50"/>
      <c r="AL81" s="50"/>
      <c r="AM81" s="50"/>
      <c r="AN81" s="50"/>
      <c r="AO81" s="2"/>
      <c r="AP81" s="3"/>
      <c r="AQ81" s="3"/>
      <c r="AR81" s="3"/>
      <c r="AS81" s="3"/>
    </row>
    <row r="82" spans="1:45" ht="34.049999999999997" customHeight="1" x14ac:dyDescent="0.3">
      <c r="A82" s="66" t="s">
        <v>277</v>
      </c>
      <c r="C82" s="67"/>
      <c r="D82" s="67"/>
      <c r="E82" s="68"/>
      <c r="F82" s="70"/>
      <c r="G82" s="101" t="str">
        <f>HYPERLINK("https://yt3.ggpht.com/ytc/AKedOLRIJQ-krrLpX2T6kvEsPvvHBOO7cvHjJBCoH0NjZQ=s88-c-k-c0x00ffffff-no-rj")</f>
        <v>https://yt3.ggpht.com/ytc/AKedOLRIJQ-krrLpX2T6kvEsPvvHBOO7cvHjJBCoH0NjZQ=s88-c-k-c0x00ffffff-no-rj</v>
      </c>
      <c r="H82" s="67"/>
      <c r="I82" s="71"/>
      <c r="J82" s="72"/>
      <c r="K82" s="72"/>
      <c r="L82" s="71" t="s">
        <v>566</v>
      </c>
      <c r="M82" s="75"/>
      <c r="N82" s="76">
        <v>2454.7587890625</v>
      </c>
      <c r="O82" s="76">
        <v>3063.123291015625</v>
      </c>
      <c r="P82" s="77"/>
      <c r="Q82" s="78"/>
      <c r="R82" s="78"/>
      <c r="S82" s="84"/>
      <c r="T82" s="50">
        <v>1</v>
      </c>
      <c r="U82" s="50">
        <v>0</v>
      </c>
      <c r="V82" s="51">
        <v>0</v>
      </c>
      <c r="W82" s="51">
        <v>0.40316200000000002</v>
      </c>
      <c r="X82" s="51">
        <v>5.4147000000000001E-2</v>
      </c>
      <c r="Y82" s="52"/>
      <c r="Z82" s="52"/>
      <c r="AA82" s="51"/>
      <c r="AB82" s="73">
        <v>82</v>
      </c>
      <c r="AC82" s="73"/>
      <c r="AD82" s="74"/>
      <c r="AE82" s="80" t="s">
        <v>304</v>
      </c>
      <c r="AF82" s="100" t="str">
        <f>HYPERLINK("http://www.youtube.com/channel/UC3bkDBRK0XctW5IiM0nLhEQ")</f>
        <v>http://www.youtube.com/channel/UC3bkDBRK0XctW5IiM0nLhEQ</v>
      </c>
      <c r="AG82" s="80" t="s">
        <v>383</v>
      </c>
      <c r="AH82" s="80"/>
      <c r="AI82" s="50"/>
      <c r="AJ82" s="50"/>
      <c r="AK82" s="50"/>
      <c r="AL82" s="50"/>
      <c r="AM82" s="50"/>
      <c r="AN82" s="50"/>
      <c r="AO82" s="2"/>
      <c r="AP82" s="3"/>
      <c r="AQ82" s="3"/>
      <c r="AR82" s="3"/>
      <c r="AS82" s="3"/>
    </row>
    <row r="83" spans="1:45" ht="34.049999999999997" customHeight="1" x14ac:dyDescent="0.3">
      <c r="A83" s="66" t="s">
        <v>278</v>
      </c>
      <c r="C83" s="67"/>
      <c r="D83" s="67"/>
      <c r="E83" s="68"/>
      <c r="F83" s="70"/>
      <c r="G83" s="101" t="str">
        <f>HYPERLINK("https://yt3.ggpht.com/ytc/AKedOLRoGIemx_Y7HOsrh4kY-YvOQerYND3BCPfTvNP4HA=s88-c-k-c0x00ffffff-no-rj")</f>
        <v>https://yt3.ggpht.com/ytc/AKedOLRoGIemx_Y7HOsrh4kY-YvOQerYND3BCPfTvNP4HA=s88-c-k-c0x00ffffff-no-rj</v>
      </c>
      <c r="H83" s="67"/>
      <c r="I83" s="71"/>
      <c r="J83" s="72"/>
      <c r="K83" s="72"/>
      <c r="L83" s="71" t="s">
        <v>567</v>
      </c>
      <c r="M83" s="75"/>
      <c r="N83" s="76">
        <v>2501.859619140625</v>
      </c>
      <c r="O83" s="76">
        <v>338.71337890625</v>
      </c>
      <c r="P83" s="77"/>
      <c r="Q83" s="78"/>
      <c r="R83" s="78"/>
      <c r="S83" s="84"/>
      <c r="T83" s="50">
        <v>1</v>
      </c>
      <c r="U83" s="50">
        <v>0</v>
      </c>
      <c r="V83" s="51">
        <v>0</v>
      </c>
      <c r="W83" s="51">
        <v>0.40316200000000002</v>
      </c>
      <c r="X83" s="51">
        <v>5.4147000000000001E-2</v>
      </c>
      <c r="Y83" s="52"/>
      <c r="Z83" s="52"/>
      <c r="AA83" s="51"/>
      <c r="AB83" s="73">
        <v>83</v>
      </c>
      <c r="AC83" s="73"/>
      <c r="AD83" s="74"/>
      <c r="AE83" s="80" t="s">
        <v>304</v>
      </c>
      <c r="AF83" s="100" t="str">
        <f>HYPERLINK("http://www.youtube.com/channel/UC3NxYhOtlHEqzI10SsCaxqw")</f>
        <v>http://www.youtube.com/channel/UC3NxYhOtlHEqzI10SsCaxqw</v>
      </c>
      <c r="AG83" s="80" t="s">
        <v>384</v>
      </c>
      <c r="AH83" s="80" t="s">
        <v>466</v>
      </c>
      <c r="AI83" s="50"/>
      <c r="AJ83" s="50"/>
      <c r="AK83" s="50"/>
      <c r="AL83" s="50"/>
      <c r="AM83" s="50"/>
      <c r="AN83" s="50"/>
      <c r="AO83" s="2"/>
      <c r="AP83" s="3"/>
      <c r="AQ83" s="3"/>
      <c r="AR83" s="3"/>
      <c r="AS83" s="3"/>
    </row>
    <row r="84" spans="1:45" ht="34.049999999999997" customHeight="1" x14ac:dyDescent="0.3">
      <c r="A84" s="66" t="s">
        <v>279</v>
      </c>
      <c r="C84" s="67"/>
      <c r="D84" s="67"/>
      <c r="E84" s="68"/>
      <c r="F84" s="70"/>
      <c r="G84" s="101" t="str">
        <f>HYPERLINK("https://yt3.ggpht.com/ytc/AKedOLQMUSsrS02qiFyJvhKmhP21h9KxxpfGfKjpFJ4llw=s88-c-k-c0x00ffffff-no-rj")</f>
        <v>https://yt3.ggpht.com/ytc/AKedOLQMUSsrS02qiFyJvhKmhP21h9KxxpfGfKjpFJ4llw=s88-c-k-c0x00ffffff-no-rj</v>
      </c>
      <c r="H84" s="67"/>
      <c r="I84" s="71"/>
      <c r="J84" s="72"/>
      <c r="K84" s="72"/>
      <c r="L84" s="71" t="s">
        <v>568</v>
      </c>
      <c r="M84" s="75"/>
      <c r="N84" s="76">
        <v>8081.017578125</v>
      </c>
      <c r="O84" s="76">
        <v>9220.1845703125</v>
      </c>
      <c r="P84" s="77"/>
      <c r="Q84" s="78"/>
      <c r="R84" s="78"/>
      <c r="S84" s="84"/>
      <c r="T84" s="50">
        <v>1</v>
      </c>
      <c r="U84" s="50">
        <v>0</v>
      </c>
      <c r="V84" s="51">
        <v>0</v>
      </c>
      <c r="W84" s="51">
        <v>0.40316200000000002</v>
      </c>
      <c r="X84" s="51">
        <v>5.4147000000000001E-2</v>
      </c>
      <c r="Y84" s="52"/>
      <c r="Z84" s="52"/>
      <c r="AA84" s="51"/>
      <c r="AB84" s="73">
        <v>84</v>
      </c>
      <c r="AC84" s="73"/>
      <c r="AD84" s="74"/>
      <c r="AE84" s="80" t="s">
        <v>304</v>
      </c>
      <c r="AF84" s="100" t="str">
        <f>HYPERLINK("http://www.youtube.com/channel/UC2MOqU0AbB-3VtepIxAKUuw")</f>
        <v>http://www.youtube.com/channel/UC2MOqU0AbB-3VtepIxAKUuw</v>
      </c>
      <c r="AG84" s="80" t="s">
        <v>385</v>
      </c>
      <c r="AH84" s="80" t="s">
        <v>467</v>
      </c>
      <c r="AI84" s="50"/>
      <c r="AJ84" s="50"/>
      <c r="AK84" s="50"/>
      <c r="AL84" s="50"/>
      <c r="AM84" s="50"/>
      <c r="AN84" s="50"/>
      <c r="AO84" s="2"/>
      <c r="AP84" s="3"/>
      <c r="AQ84" s="3"/>
      <c r="AR84" s="3"/>
      <c r="AS84" s="3"/>
    </row>
    <row r="85" spans="1:45" ht="34.049999999999997" customHeight="1" x14ac:dyDescent="0.3">
      <c r="A85" s="66" t="s">
        <v>280</v>
      </c>
      <c r="C85" s="67"/>
      <c r="D85" s="67"/>
      <c r="E85" s="68"/>
      <c r="F85" s="70"/>
      <c r="G85" s="101" t="str">
        <f>HYPERLINK("https://yt3.ggpht.com/ytc/AKedOLRkjd2qIrEkJRtUjljzY4Tat9EmdkanF0GZRBsWww=s88-c-k-c0x00ffffff-no-rj")</f>
        <v>https://yt3.ggpht.com/ytc/AKedOLRkjd2qIrEkJRtUjljzY4Tat9EmdkanF0GZRBsWww=s88-c-k-c0x00ffffff-no-rj</v>
      </c>
      <c r="H85" s="67"/>
      <c r="I85" s="71"/>
      <c r="J85" s="72"/>
      <c r="K85" s="72"/>
      <c r="L85" s="71" t="s">
        <v>569</v>
      </c>
      <c r="M85" s="75"/>
      <c r="N85" s="76">
        <v>4132.7236328125</v>
      </c>
      <c r="O85" s="76">
        <v>567.12200927734375</v>
      </c>
      <c r="P85" s="77"/>
      <c r="Q85" s="78"/>
      <c r="R85" s="78"/>
      <c r="S85" s="84"/>
      <c r="T85" s="50">
        <v>1</v>
      </c>
      <c r="U85" s="50">
        <v>0</v>
      </c>
      <c r="V85" s="51">
        <v>0</v>
      </c>
      <c r="W85" s="51">
        <v>0.40316200000000002</v>
      </c>
      <c r="X85" s="51">
        <v>5.4147000000000001E-2</v>
      </c>
      <c r="Y85" s="52"/>
      <c r="Z85" s="52"/>
      <c r="AA85" s="51"/>
      <c r="AB85" s="73">
        <v>85</v>
      </c>
      <c r="AC85" s="73"/>
      <c r="AD85" s="74"/>
      <c r="AE85" s="80" t="s">
        <v>304</v>
      </c>
      <c r="AF85" s="100" t="str">
        <f>HYPERLINK("http://www.youtube.com/channel/UC1hnxClYuxHVy688A7Q8EwQ")</f>
        <v>http://www.youtube.com/channel/UC1hnxClYuxHVy688A7Q8EwQ</v>
      </c>
      <c r="AG85" s="80" t="s">
        <v>386</v>
      </c>
      <c r="AH85" s="80" t="s">
        <v>468</v>
      </c>
      <c r="AI85" s="50"/>
      <c r="AJ85" s="50"/>
      <c r="AK85" s="50"/>
      <c r="AL85" s="50"/>
      <c r="AM85" s="50"/>
      <c r="AN85" s="50"/>
      <c r="AO85" s="2"/>
      <c r="AP85" s="3"/>
      <c r="AQ85" s="3"/>
      <c r="AR85" s="3"/>
      <c r="AS85" s="3"/>
    </row>
    <row r="86" spans="1:45" ht="34.049999999999997" customHeight="1" x14ac:dyDescent="0.3">
      <c r="A86" s="66" t="s">
        <v>281</v>
      </c>
      <c r="C86" s="67"/>
      <c r="D86" s="67"/>
      <c r="E86" s="68"/>
      <c r="F86" s="70"/>
      <c r="G86" s="101" t="str">
        <f>HYPERLINK("https://yt3.ggpht.com/ytc/AKedOLS3NGW1XJDj6aj7zKN-C_oYoUQHaj5mThtC74J3=s88-c-k-c0x00ffffff-no-rj")</f>
        <v>https://yt3.ggpht.com/ytc/AKedOLS3NGW1XJDj6aj7zKN-C_oYoUQHaj5mThtC74J3=s88-c-k-c0x00ffffff-no-rj</v>
      </c>
      <c r="H86" s="67"/>
      <c r="I86" s="71"/>
      <c r="J86" s="72"/>
      <c r="K86" s="72"/>
      <c r="L86" s="71" t="s">
        <v>570</v>
      </c>
      <c r="M86" s="75"/>
      <c r="N86" s="76">
        <v>8302.0380859375</v>
      </c>
      <c r="O86" s="76">
        <v>6675.94775390625</v>
      </c>
      <c r="P86" s="77"/>
      <c r="Q86" s="78"/>
      <c r="R86" s="78"/>
      <c r="S86" s="84"/>
      <c r="T86" s="50">
        <v>1</v>
      </c>
      <c r="U86" s="50">
        <v>0</v>
      </c>
      <c r="V86" s="51">
        <v>0</v>
      </c>
      <c r="W86" s="51">
        <v>0.40316200000000002</v>
      </c>
      <c r="X86" s="51">
        <v>5.4147000000000001E-2</v>
      </c>
      <c r="Y86" s="52"/>
      <c r="Z86" s="52"/>
      <c r="AA86" s="51"/>
      <c r="AB86" s="73">
        <v>86</v>
      </c>
      <c r="AC86" s="73"/>
      <c r="AD86" s="74"/>
      <c r="AE86" s="80" t="s">
        <v>304</v>
      </c>
      <c r="AF86" s="100" t="str">
        <f>HYPERLINK("http://www.youtube.com/channel/UC1d-n1VroGV6OIDETBjzWnw")</f>
        <v>http://www.youtube.com/channel/UC1d-n1VroGV6OIDETBjzWnw</v>
      </c>
      <c r="AG86" s="80" t="s">
        <v>387</v>
      </c>
      <c r="AH86" s="80" t="s">
        <v>469</v>
      </c>
      <c r="AI86" s="50"/>
      <c r="AJ86" s="50"/>
      <c r="AK86" s="50"/>
      <c r="AL86" s="50"/>
      <c r="AM86" s="50"/>
      <c r="AN86" s="50"/>
      <c r="AO86" s="2"/>
      <c r="AP86" s="3"/>
      <c r="AQ86" s="3"/>
      <c r="AR86" s="3"/>
      <c r="AS86" s="3"/>
    </row>
    <row r="87" spans="1:45" ht="34.049999999999997" customHeight="1" x14ac:dyDescent="0.3">
      <c r="A87" s="66" t="s">
        <v>282</v>
      </c>
      <c r="C87" s="67"/>
      <c r="D87" s="67"/>
      <c r="E87" s="68"/>
      <c r="F87" s="70"/>
      <c r="G87" s="101" t="str">
        <f>HYPERLINK("https://yt3.ggpht.com/ytc/AKedOLQwaODFCYywSRJ-92mrTIv9i5zmCgLsUi3smvi-8Q=s88-c-k-c0x00ffffff-no-rj")</f>
        <v>https://yt3.ggpht.com/ytc/AKedOLQwaODFCYywSRJ-92mrTIv9i5zmCgLsUi3smvi-8Q=s88-c-k-c0x00ffffff-no-rj</v>
      </c>
      <c r="H87" s="67"/>
      <c r="I87" s="71"/>
      <c r="J87" s="72"/>
      <c r="K87" s="72"/>
      <c r="L87" s="71" t="s">
        <v>571</v>
      </c>
      <c r="M87" s="75"/>
      <c r="N87" s="76">
        <v>7997.56591796875</v>
      </c>
      <c r="O87" s="76">
        <v>855.05389404296875</v>
      </c>
      <c r="P87" s="77"/>
      <c r="Q87" s="78"/>
      <c r="R87" s="78"/>
      <c r="S87" s="84"/>
      <c r="T87" s="50">
        <v>1</v>
      </c>
      <c r="U87" s="50">
        <v>0</v>
      </c>
      <c r="V87" s="51">
        <v>0</v>
      </c>
      <c r="W87" s="51">
        <v>0.40316200000000002</v>
      </c>
      <c r="X87" s="51">
        <v>5.4147000000000001E-2</v>
      </c>
      <c r="Y87" s="52"/>
      <c r="Z87" s="52"/>
      <c r="AA87" s="51"/>
      <c r="AB87" s="73">
        <v>87</v>
      </c>
      <c r="AC87" s="73"/>
      <c r="AD87" s="74"/>
      <c r="AE87" s="80" t="s">
        <v>304</v>
      </c>
      <c r="AF87" s="100" t="str">
        <f>HYPERLINK("http://www.youtube.com/channel/UC05SRcsr7eU9KJKMIehKWKQ")</f>
        <v>http://www.youtube.com/channel/UC05SRcsr7eU9KJKMIehKWKQ</v>
      </c>
      <c r="AG87" s="80" t="s">
        <v>388</v>
      </c>
      <c r="AH87" s="80" t="s">
        <v>470</v>
      </c>
      <c r="AI87" s="50"/>
      <c r="AJ87" s="50"/>
      <c r="AK87" s="50"/>
      <c r="AL87" s="50"/>
      <c r="AM87" s="50"/>
      <c r="AN87" s="50"/>
      <c r="AO87" s="2"/>
      <c r="AP87" s="3"/>
      <c r="AQ87" s="3"/>
      <c r="AR87" s="3"/>
      <c r="AS87" s="3"/>
    </row>
    <row r="88" spans="1:45" ht="34.049999999999997" customHeight="1" x14ac:dyDescent="0.3">
      <c r="A88" s="66" t="s">
        <v>283</v>
      </c>
      <c r="C88" s="67"/>
      <c r="D88" s="67"/>
      <c r="E88" s="68"/>
      <c r="F88" s="70"/>
      <c r="G88" s="101" t="str">
        <f>HYPERLINK("https://yt3.ggpht.com/ytc/AKedOLTyhf3X8kKtuwArjwsUsjbvPQIphu7j4Yb_ofHHUw=s88-c-k-c0x00ffffff-no-rj")</f>
        <v>https://yt3.ggpht.com/ytc/AKedOLTyhf3X8kKtuwArjwsUsjbvPQIphu7j4Yb_ofHHUw=s88-c-k-c0x00ffffff-no-rj</v>
      </c>
      <c r="H88" s="67"/>
      <c r="I88" s="71"/>
      <c r="J88" s="72"/>
      <c r="K88" s="72"/>
      <c r="L88" s="71" t="s">
        <v>572</v>
      </c>
      <c r="M88" s="75"/>
      <c r="N88" s="76">
        <v>5899.4833984375</v>
      </c>
      <c r="O88" s="76">
        <v>6633.23388671875</v>
      </c>
      <c r="P88" s="77"/>
      <c r="Q88" s="78"/>
      <c r="R88" s="78"/>
      <c r="S88" s="84"/>
      <c r="T88" s="50">
        <v>2</v>
      </c>
      <c r="U88" s="50">
        <v>0</v>
      </c>
      <c r="V88" s="51">
        <v>0</v>
      </c>
      <c r="W88" s="51">
        <v>0.375</v>
      </c>
      <c r="X88" s="51">
        <v>6.1796999999999998E-2</v>
      </c>
      <c r="Y88" s="52"/>
      <c r="Z88" s="52"/>
      <c r="AA88" s="51"/>
      <c r="AB88" s="73">
        <v>88</v>
      </c>
      <c r="AC88" s="73"/>
      <c r="AD88" s="74"/>
      <c r="AE88" s="80" t="s">
        <v>304</v>
      </c>
      <c r="AF88" s="100" t="str">
        <f>HYPERLINK("http://www.youtube.com/channel/UCVrbOqQTzgzERYF8GsTomyQ")</f>
        <v>http://www.youtube.com/channel/UCVrbOqQTzgzERYF8GsTomyQ</v>
      </c>
      <c r="AG88" s="80" t="s">
        <v>389</v>
      </c>
      <c r="AH88" s="80" t="s">
        <v>471</v>
      </c>
      <c r="AI88" s="50"/>
      <c r="AJ88" s="50"/>
      <c r="AK88" s="50"/>
      <c r="AL88" s="50"/>
      <c r="AM88" s="50"/>
      <c r="AN88" s="50"/>
      <c r="AO88" s="2"/>
      <c r="AP88" s="3"/>
      <c r="AQ88" s="3"/>
      <c r="AR88" s="3"/>
      <c r="AS88" s="3"/>
    </row>
    <row r="89" spans="1:45" ht="34.049999999999997" customHeight="1" x14ac:dyDescent="0.3">
      <c r="A89" s="66" t="s">
        <v>201</v>
      </c>
      <c r="C89" s="67"/>
      <c r="D89" s="67"/>
      <c r="E89" s="68"/>
      <c r="F89" s="70"/>
      <c r="G89" s="101" t="str">
        <f>HYPERLINK("https://yt3.ggpht.com/ytc/AKedOLRHpbeFQ7Ojl6VaZx2a0Beh7EUrPe_ShoU_0KpJ=s88-c-k-c0x00ffffff-no-rj")</f>
        <v>https://yt3.ggpht.com/ytc/AKedOLRHpbeFQ7Ojl6VaZx2a0Beh7EUrPe_ShoU_0KpJ=s88-c-k-c0x00ffffff-no-rj</v>
      </c>
      <c r="H89" s="67"/>
      <c r="I89" s="71"/>
      <c r="J89" s="72"/>
      <c r="K89" s="72"/>
      <c r="L89" s="71" t="s">
        <v>573</v>
      </c>
      <c r="M89" s="75"/>
      <c r="N89" s="76">
        <v>5768.439453125</v>
      </c>
      <c r="O89" s="76">
        <v>3600.04150390625</v>
      </c>
      <c r="P89" s="77"/>
      <c r="Q89" s="78"/>
      <c r="R89" s="78"/>
      <c r="S89" s="84"/>
      <c r="T89" s="50">
        <v>3</v>
      </c>
      <c r="U89" s="50">
        <v>3</v>
      </c>
      <c r="V89" s="51">
        <v>60</v>
      </c>
      <c r="W89" s="51">
        <v>0.481132</v>
      </c>
      <c r="X89" s="51">
        <v>0.16325899999999999</v>
      </c>
      <c r="Y89" s="52"/>
      <c r="Z89" s="52"/>
      <c r="AA89" s="51"/>
      <c r="AB89" s="73">
        <v>89</v>
      </c>
      <c r="AC89" s="73"/>
      <c r="AD89" s="74"/>
      <c r="AE89" s="80" t="s">
        <v>304</v>
      </c>
      <c r="AF89" s="100" t="str">
        <f>HYPERLINK("http://www.youtube.com/channel/UCWOt1BKG_4KCuu5VPEbvwWw")</f>
        <v>http://www.youtube.com/channel/UCWOt1BKG_4KCuu5VPEbvwWw</v>
      </c>
      <c r="AG89" s="80" t="s">
        <v>390</v>
      </c>
      <c r="AH89" s="80" t="s">
        <v>472</v>
      </c>
      <c r="AI89" s="50"/>
      <c r="AJ89" s="50"/>
      <c r="AK89" s="105" t="s">
        <v>611</v>
      </c>
      <c r="AL89" s="105" t="s">
        <v>611</v>
      </c>
      <c r="AM89" s="105" t="s">
        <v>611</v>
      </c>
      <c r="AN89" s="105" t="s">
        <v>611</v>
      </c>
      <c r="AO89" s="2"/>
      <c r="AP89" s="3"/>
      <c r="AQ89" s="3"/>
      <c r="AR89" s="3"/>
      <c r="AS89" s="3"/>
    </row>
    <row r="90" spans="1:45" ht="34.049999999999997" customHeight="1" x14ac:dyDescent="0.3">
      <c r="A90" s="66" t="s">
        <v>202</v>
      </c>
      <c r="C90" s="67"/>
      <c r="D90" s="67"/>
      <c r="E90" s="68"/>
      <c r="F90" s="70"/>
      <c r="G90" s="101" t="str">
        <f>HYPERLINK("https://yt3.ggpht.com/ytc/AKedOLSEu8QCaxm_S-e0cPvjJ9giKm8SnYPWk4nZVFCq=s88-c-k-c0x00ffffff-no-rj")</f>
        <v>https://yt3.ggpht.com/ytc/AKedOLSEu8QCaxm_S-e0cPvjJ9giKm8SnYPWk4nZVFCq=s88-c-k-c0x00ffffff-no-rj</v>
      </c>
      <c r="H90" s="67"/>
      <c r="I90" s="71"/>
      <c r="J90" s="72"/>
      <c r="K90" s="72"/>
      <c r="L90" s="71" t="s">
        <v>574</v>
      </c>
      <c r="M90" s="75"/>
      <c r="N90" s="76">
        <v>4963.35888671875</v>
      </c>
      <c r="O90" s="76">
        <v>4272.6005859375</v>
      </c>
      <c r="P90" s="77"/>
      <c r="Q90" s="78"/>
      <c r="R90" s="78"/>
      <c r="S90" s="84"/>
      <c r="T90" s="50">
        <v>3</v>
      </c>
      <c r="U90" s="50">
        <v>7</v>
      </c>
      <c r="V90" s="51">
        <v>405.16666700000002</v>
      </c>
      <c r="W90" s="51">
        <v>0.39843800000000001</v>
      </c>
      <c r="X90" s="51">
        <v>0.14807899999999999</v>
      </c>
      <c r="Y90" s="52"/>
      <c r="Z90" s="52"/>
      <c r="AA90" s="51"/>
      <c r="AB90" s="73">
        <v>90</v>
      </c>
      <c r="AC90" s="73"/>
      <c r="AD90" s="74"/>
      <c r="AE90" s="80" t="s">
        <v>304</v>
      </c>
      <c r="AF90" s="100" t="str">
        <f>HYPERLINK("http://www.youtube.com/channel/UCFnSoBpsKyrqUjWWmHKpH5g")</f>
        <v>http://www.youtube.com/channel/UCFnSoBpsKyrqUjWWmHKpH5g</v>
      </c>
      <c r="AG90" s="80" t="s">
        <v>391</v>
      </c>
      <c r="AH90" s="80" t="s">
        <v>473</v>
      </c>
      <c r="AI90" s="50"/>
      <c r="AJ90" s="50"/>
      <c r="AK90" s="105" t="s">
        <v>611</v>
      </c>
      <c r="AL90" s="105" t="s">
        <v>611</v>
      </c>
      <c r="AM90" s="105" t="s">
        <v>611</v>
      </c>
      <c r="AN90" s="105" t="s">
        <v>611</v>
      </c>
      <c r="AO90" s="2"/>
      <c r="AP90" s="3"/>
      <c r="AQ90" s="3"/>
      <c r="AR90" s="3"/>
      <c r="AS90" s="3"/>
    </row>
    <row r="91" spans="1:45" ht="34.049999999999997" customHeight="1" x14ac:dyDescent="0.3">
      <c r="A91" s="66" t="s">
        <v>284</v>
      </c>
      <c r="C91" s="67"/>
      <c r="D91" s="67"/>
      <c r="E91" s="68"/>
      <c r="F91" s="70"/>
      <c r="G91" s="101" t="str">
        <f>HYPERLINK("https://yt3.ggpht.com/ytc/AKedOLRHOg7fijs6FSaIVbuaRsnnd4B5RmfxmUL8rkHd=s88-c-k-c0x00ffffff-no-rj")</f>
        <v>https://yt3.ggpht.com/ytc/AKedOLRHOg7fijs6FSaIVbuaRsnnd4B5RmfxmUL8rkHd=s88-c-k-c0x00ffffff-no-rj</v>
      </c>
      <c r="H91" s="67"/>
      <c r="I91" s="71"/>
      <c r="J91" s="72"/>
      <c r="K91" s="72"/>
      <c r="L91" s="71" t="s">
        <v>575</v>
      </c>
      <c r="M91" s="75"/>
      <c r="N91" s="76">
        <v>8418.6455078125</v>
      </c>
      <c r="O91" s="76">
        <v>2943.543212890625</v>
      </c>
      <c r="P91" s="77"/>
      <c r="Q91" s="78"/>
      <c r="R91" s="78"/>
      <c r="S91" s="84"/>
      <c r="T91" s="50">
        <v>1</v>
      </c>
      <c r="U91" s="50">
        <v>0</v>
      </c>
      <c r="V91" s="51">
        <v>0</v>
      </c>
      <c r="W91" s="51">
        <v>0.28571400000000002</v>
      </c>
      <c r="X91" s="51">
        <v>1.6299999999999999E-2</v>
      </c>
      <c r="Y91" s="52"/>
      <c r="Z91" s="52"/>
      <c r="AA91" s="51"/>
      <c r="AB91" s="73">
        <v>91</v>
      </c>
      <c r="AC91" s="73"/>
      <c r="AD91" s="74"/>
      <c r="AE91" s="80" t="s">
        <v>304</v>
      </c>
      <c r="AF91" s="100" t="str">
        <f>HYPERLINK("http://www.youtube.com/channel/UCH_Q7vctYZCnfcyKYf3_Lbg")</f>
        <v>http://www.youtube.com/channel/UCH_Q7vctYZCnfcyKYf3_Lbg</v>
      </c>
      <c r="AG91" s="80" t="s">
        <v>392</v>
      </c>
      <c r="AH91" s="80"/>
      <c r="AI91" s="50"/>
      <c r="AJ91" s="50"/>
      <c r="AK91" s="50"/>
      <c r="AL91" s="50"/>
      <c r="AM91" s="50"/>
      <c r="AN91" s="50"/>
      <c r="AO91" s="2"/>
      <c r="AP91" s="3"/>
      <c r="AQ91" s="3"/>
      <c r="AR91" s="3"/>
      <c r="AS91" s="3"/>
    </row>
    <row r="92" spans="1:45" ht="34.049999999999997" customHeight="1" x14ac:dyDescent="0.3">
      <c r="A92" s="66" t="s">
        <v>285</v>
      </c>
      <c r="C92" s="67"/>
      <c r="D92" s="67"/>
      <c r="E92" s="68"/>
      <c r="F92" s="70"/>
      <c r="G92" s="101" t="str">
        <f>HYPERLINK("https://yt3.ggpht.com/ytc/AKedOLQQnrlGiuKbPT-z2tFgPX-5zqPkdeN0xyIK9K961w=s88-c-k-c0x00ffffff-no-rj")</f>
        <v>https://yt3.ggpht.com/ytc/AKedOLQQnrlGiuKbPT-z2tFgPX-5zqPkdeN0xyIK9K961w=s88-c-k-c0x00ffffff-no-rj</v>
      </c>
      <c r="H92" s="67"/>
      <c r="I92" s="71"/>
      <c r="J92" s="72"/>
      <c r="K92" s="72"/>
      <c r="L92" s="71" t="s">
        <v>576</v>
      </c>
      <c r="M92" s="75"/>
      <c r="N92" s="76">
        <v>327.10589599609375</v>
      </c>
      <c r="O92" s="76">
        <v>5314.78076171875</v>
      </c>
      <c r="P92" s="77"/>
      <c r="Q92" s="78"/>
      <c r="R92" s="78"/>
      <c r="S92" s="84"/>
      <c r="T92" s="50">
        <v>1</v>
      </c>
      <c r="U92" s="50">
        <v>0</v>
      </c>
      <c r="V92" s="51">
        <v>0</v>
      </c>
      <c r="W92" s="51">
        <v>0.28571400000000002</v>
      </c>
      <c r="X92" s="51">
        <v>1.6299999999999999E-2</v>
      </c>
      <c r="Y92" s="52"/>
      <c r="Z92" s="52"/>
      <c r="AA92" s="51"/>
      <c r="AB92" s="73">
        <v>92</v>
      </c>
      <c r="AC92" s="73"/>
      <c r="AD92" s="74"/>
      <c r="AE92" s="80" t="s">
        <v>304</v>
      </c>
      <c r="AF92" s="100" t="str">
        <f>HYPERLINK("http://www.youtube.com/channel/UCDwWfdREKOztzueJieWxSQA")</f>
        <v>http://www.youtube.com/channel/UCDwWfdREKOztzueJieWxSQA</v>
      </c>
      <c r="AG92" s="80" t="s">
        <v>393</v>
      </c>
      <c r="AH92" s="80" t="s">
        <v>474</v>
      </c>
      <c r="AI92" s="50"/>
      <c r="AJ92" s="50"/>
      <c r="AK92" s="50"/>
      <c r="AL92" s="50"/>
      <c r="AM92" s="50"/>
      <c r="AN92" s="50"/>
      <c r="AO92" s="2"/>
      <c r="AP92" s="3"/>
      <c r="AQ92" s="3"/>
      <c r="AR92" s="3"/>
      <c r="AS92" s="3"/>
    </row>
    <row r="93" spans="1:45" ht="34.049999999999997" customHeight="1" x14ac:dyDescent="0.3">
      <c r="A93" s="66" t="s">
        <v>203</v>
      </c>
      <c r="C93" s="67"/>
      <c r="D93" s="67"/>
      <c r="E93" s="68"/>
      <c r="F93" s="70"/>
      <c r="G93" s="101" t="str">
        <f>HYPERLINK("https://yt3.ggpht.com/ytc/AKedOLRgFzs_XtAZiL6yQqpAW-SpNQSvvx_h-D_b9bllmQ=s88-c-k-c0x00ffffff-no-rj")</f>
        <v>https://yt3.ggpht.com/ytc/AKedOLRgFzs_XtAZiL6yQqpAW-SpNQSvvx_h-D_b9bllmQ=s88-c-k-c0x00ffffff-no-rj</v>
      </c>
      <c r="H93" s="67"/>
      <c r="I93" s="71"/>
      <c r="J93" s="72"/>
      <c r="K93" s="72"/>
      <c r="L93" s="71" t="s">
        <v>577</v>
      </c>
      <c r="M93" s="75"/>
      <c r="N93" s="76">
        <v>4491.05419921875</v>
      </c>
      <c r="O93" s="76">
        <v>4072.580810546875</v>
      </c>
      <c r="P93" s="77"/>
      <c r="Q93" s="78"/>
      <c r="R93" s="78"/>
      <c r="S93" s="84"/>
      <c r="T93" s="50">
        <v>4</v>
      </c>
      <c r="U93" s="50">
        <v>19</v>
      </c>
      <c r="V93" s="51">
        <v>1876.5</v>
      </c>
      <c r="W93" s="51">
        <v>0.55135100000000004</v>
      </c>
      <c r="X93" s="51">
        <v>0.31815900000000003</v>
      </c>
      <c r="Y93" s="52"/>
      <c r="Z93" s="52"/>
      <c r="AA93" s="51"/>
      <c r="AB93" s="73">
        <v>93</v>
      </c>
      <c r="AC93" s="73"/>
      <c r="AD93" s="74"/>
      <c r="AE93" s="80" t="s">
        <v>304</v>
      </c>
      <c r="AF93" s="100" t="str">
        <f>HYPERLINK("http://www.youtube.com/channel/UC7A2X5aF0NuOWTfxjTtOHTw")</f>
        <v>http://www.youtube.com/channel/UC7A2X5aF0NuOWTfxjTtOHTw</v>
      </c>
      <c r="AG93" s="80" t="s">
        <v>394</v>
      </c>
      <c r="AH93" s="80" t="s">
        <v>475</v>
      </c>
      <c r="AI93" s="50"/>
      <c r="AJ93" s="50"/>
      <c r="AK93" s="105" t="s">
        <v>611</v>
      </c>
      <c r="AL93" s="105" t="s">
        <v>611</v>
      </c>
      <c r="AM93" s="105" t="s">
        <v>611</v>
      </c>
      <c r="AN93" s="105" t="s">
        <v>611</v>
      </c>
      <c r="AO93" s="2"/>
      <c r="AP93" s="3"/>
      <c r="AQ93" s="3"/>
      <c r="AR93" s="3"/>
      <c r="AS93" s="3"/>
    </row>
    <row r="94" spans="1:45" ht="34.049999999999997" customHeight="1" x14ac:dyDescent="0.3">
      <c r="A94" s="66" t="s">
        <v>286</v>
      </c>
      <c r="C94" s="67"/>
      <c r="D94" s="67"/>
      <c r="E94" s="68"/>
      <c r="F94" s="70"/>
      <c r="G94" s="101" t="str">
        <f>HYPERLINK("https://yt3.ggpht.com/ytc/AKedOLQp3KhKOy4giixQnOEeT1md1WQb4peYgMrtifCT=s88-c-k-c0x00ffffff-no-rj")</f>
        <v>https://yt3.ggpht.com/ytc/AKedOLQp3KhKOy4giixQnOEeT1md1WQb4peYgMrtifCT=s88-c-k-c0x00ffffff-no-rj</v>
      </c>
      <c r="H94" s="67"/>
      <c r="I94" s="71"/>
      <c r="J94" s="72"/>
      <c r="K94" s="72"/>
      <c r="L94" s="71" t="s">
        <v>578</v>
      </c>
      <c r="M94" s="75"/>
      <c r="N94" s="76">
        <v>483.98110961914063</v>
      </c>
      <c r="O94" s="76">
        <v>2485.639892578125</v>
      </c>
      <c r="P94" s="77"/>
      <c r="Q94" s="78"/>
      <c r="R94" s="78"/>
      <c r="S94" s="84"/>
      <c r="T94" s="50">
        <v>1</v>
      </c>
      <c r="U94" s="50">
        <v>0</v>
      </c>
      <c r="V94" s="51">
        <v>0</v>
      </c>
      <c r="W94" s="51">
        <v>0.35664299999999999</v>
      </c>
      <c r="X94" s="51">
        <v>3.5021999999999998E-2</v>
      </c>
      <c r="Y94" s="52"/>
      <c r="Z94" s="52"/>
      <c r="AA94" s="51"/>
      <c r="AB94" s="73">
        <v>94</v>
      </c>
      <c r="AC94" s="73"/>
      <c r="AD94" s="74"/>
      <c r="AE94" s="80" t="s">
        <v>304</v>
      </c>
      <c r="AF94" s="100" t="str">
        <f>HYPERLINK("http://www.youtube.com/channel/UCwb5SKbXtzj2QDVPhTZsYTg")</f>
        <v>http://www.youtube.com/channel/UCwb5SKbXtzj2QDVPhTZsYTg</v>
      </c>
      <c r="AG94" s="80" t="s">
        <v>395</v>
      </c>
      <c r="AH94" s="80" t="s">
        <v>476</v>
      </c>
      <c r="AI94" s="50"/>
      <c r="AJ94" s="50"/>
      <c r="AK94" s="50"/>
      <c r="AL94" s="50"/>
      <c r="AM94" s="50"/>
      <c r="AN94" s="50"/>
      <c r="AO94" s="2"/>
      <c r="AP94" s="3"/>
      <c r="AQ94" s="3"/>
      <c r="AR94" s="3"/>
      <c r="AS94" s="3"/>
    </row>
    <row r="95" spans="1:45" ht="34.049999999999997" customHeight="1" x14ac:dyDescent="0.3">
      <c r="A95" s="66" t="s">
        <v>287</v>
      </c>
      <c r="C95" s="67"/>
      <c r="D95" s="67"/>
      <c r="E95" s="68"/>
      <c r="F95" s="70"/>
      <c r="G95" s="101" t="str">
        <f>HYPERLINK("https://yt3.ggpht.com/ytc/AKedOLSOrkiL5gjqcO3NM6XpZrUrprPh6ofSJwzwxosexA=s88-c-k-c0x00ffffff-no-rj")</f>
        <v>https://yt3.ggpht.com/ytc/AKedOLSOrkiL5gjqcO3NM6XpZrUrprPh6ofSJwzwxosexA=s88-c-k-c0x00ffffff-no-rj</v>
      </c>
      <c r="H95" s="67"/>
      <c r="I95" s="71"/>
      <c r="J95" s="72"/>
      <c r="K95" s="72"/>
      <c r="L95" s="71" t="s">
        <v>579</v>
      </c>
      <c r="M95" s="75"/>
      <c r="N95" s="76">
        <v>7362.31787109375</v>
      </c>
      <c r="O95" s="76">
        <v>1966.795654296875</v>
      </c>
      <c r="P95" s="77"/>
      <c r="Q95" s="78"/>
      <c r="R95" s="78"/>
      <c r="S95" s="84"/>
      <c r="T95" s="50">
        <v>3</v>
      </c>
      <c r="U95" s="50">
        <v>0</v>
      </c>
      <c r="V95" s="51">
        <v>0</v>
      </c>
      <c r="W95" s="51">
        <v>0.476636</v>
      </c>
      <c r="X95" s="51">
        <v>0.132995</v>
      </c>
      <c r="Y95" s="52"/>
      <c r="Z95" s="52"/>
      <c r="AA95" s="51"/>
      <c r="AB95" s="73">
        <v>95</v>
      </c>
      <c r="AC95" s="73"/>
      <c r="AD95" s="74"/>
      <c r="AE95" s="80" t="s">
        <v>304</v>
      </c>
      <c r="AF95" s="100" t="str">
        <f>HYPERLINK("http://www.youtube.com/channel/UCoimbOHLiA3S-B-_dB21dJA")</f>
        <v>http://www.youtube.com/channel/UCoimbOHLiA3S-B-_dB21dJA</v>
      </c>
      <c r="AG95" s="80" t="s">
        <v>396</v>
      </c>
      <c r="AH95" s="80" t="s">
        <v>477</v>
      </c>
      <c r="AI95" s="50"/>
      <c r="AJ95" s="50"/>
      <c r="AK95" s="50"/>
      <c r="AL95" s="50"/>
      <c r="AM95" s="50"/>
      <c r="AN95" s="50"/>
      <c r="AO95" s="2"/>
      <c r="AP95" s="3"/>
      <c r="AQ95" s="3"/>
      <c r="AR95" s="3"/>
      <c r="AS95" s="3"/>
    </row>
    <row r="96" spans="1:45" ht="34.049999999999997" customHeight="1" x14ac:dyDescent="0.3">
      <c r="A96" s="66" t="s">
        <v>288</v>
      </c>
      <c r="C96" s="67"/>
      <c r="D96" s="67"/>
      <c r="E96" s="68"/>
      <c r="F96" s="70"/>
      <c r="G96" s="101" t="str">
        <f>HYPERLINK("https://yt3.ggpht.com/ytc/AKedOLSZoHllVLozu3M2jxrw5In5GwxBSqhWE6B1D9M0=s88-c-k-c0x00ffffff-no-rj")</f>
        <v>https://yt3.ggpht.com/ytc/AKedOLSZoHllVLozu3M2jxrw5In5GwxBSqhWE6B1D9M0=s88-c-k-c0x00ffffff-no-rj</v>
      </c>
      <c r="H96" s="67"/>
      <c r="I96" s="71"/>
      <c r="J96" s="72"/>
      <c r="K96" s="72"/>
      <c r="L96" s="71" t="s">
        <v>580</v>
      </c>
      <c r="M96" s="75"/>
      <c r="N96" s="76">
        <v>4925.71240234375</v>
      </c>
      <c r="O96" s="76">
        <v>3322.138427734375</v>
      </c>
      <c r="P96" s="77"/>
      <c r="Q96" s="78"/>
      <c r="R96" s="78"/>
      <c r="S96" s="84"/>
      <c r="T96" s="50">
        <v>7</v>
      </c>
      <c r="U96" s="50">
        <v>0</v>
      </c>
      <c r="V96" s="51">
        <v>172.33333300000001</v>
      </c>
      <c r="W96" s="51">
        <v>0.51</v>
      </c>
      <c r="X96" s="51">
        <v>0.21314900000000001</v>
      </c>
      <c r="Y96" s="52"/>
      <c r="Z96" s="52"/>
      <c r="AA96" s="51"/>
      <c r="AB96" s="73">
        <v>96</v>
      </c>
      <c r="AC96" s="73"/>
      <c r="AD96" s="74"/>
      <c r="AE96" s="80" t="s">
        <v>304</v>
      </c>
      <c r="AF96" s="100" t="str">
        <f>HYPERLINK("http://www.youtube.com/channel/UCd2xhvdOxiErQqRLI_hcfWw")</f>
        <v>http://www.youtube.com/channel/UCd2xhvdOxiErQqRLI_hcfWw</v>
      </c>
      <c r="AG96" s="80" t="s">
        <v>397</v>
      </c>
      <c r="AH96" s="80" t="s">
        <v>478</v>
      </c>
      <c r="AI96" s="50"/>
      <c r="AJ96" s="50"/>
      <c r="AK96" s="50"/>
      <c r="AL96" s="50"/>
      <c r="AM96" s="50"/>
      <c r="AN96" s="50"/>
      <c r="AO96" s="2"/>
      <c r="AP96" s="3"/>
      <c r="AQ96" s="3"/>
      <c r="AR96" s="3"/>
      <c r="AS96" s="3"/>
    </row>
    <row r="97" spans="1:45" ht="34.049999999999997" customHeight="1" x14ac:dyDescent="0.3">
      <c r="A97" s="66" t="s">
        <v>289</v>
      </c>
      <c r="C97" s="67"/>
      <c r="D97" s="67"/>
      <c r="E97" s="68"/>
      <c r="F97" s="70"/>
      <c r="G97" s="101" t="str">
        <f>HYPERLINK("https://yt3.ggpht.com/ytc/AKedOLTAEwRcFA4Le6bNH1BQzgXwknv1bGzRrza9J1_W=s88-c-k-c0x00ffffff-no-rj")</f>
        <v>https://yt3.ggpht.com/ytc/AKedOLTAEwRcFA4Le6bNH1BQzgXwknv1bGzRrza9J1_W=s88-c-k-c0x00ffffff-no-rj</v>
      </c>
      <c r="H97" s="67"/>
      <c r="I97" s="71"/>
      <c r="J97" s="72"/>
      <c r="K97" s="72"/>
      <c r="L97" s="71" t="s">
        <v>581</v>
      </c>
      <c r="M97" s="75"/>
      <c r="N97" s="76">
        <v>4361.34228515625</v>
      </c>
      <c r="O97" s="76">
        <v>6183.32763671875</v>
      </c>
      <c r="P97" s="77"/>
      <c r="Q97" s="78"/>
      <c r="R97" s="78"/>
      <c r="S97" s="84"/>
      <c r="T97" s="50">
        <v>4</v>
      </c>
      <c r="U97" s="50">
        <v>0</v>
      </c>
      <c r="V97" s="51">
        <v>0</v>
      </c>
      <c r="W97" s="51">
        <v>0.49514599999999998</v>
      </c>
      <c r="X97" s="51">
        <v>0.159749</v>
      </c>
      <c r="Y97" s="52"/>
      <c r="Z97" s="52"/>
      <c r="AA97" s="51"/>
      <c r="AB97" s="73">
        <v>97</v>
      </c>
      <c r="AC97" s="73"/>
      <c r="AD97" s="74"/>
      <c r="AE97" s="80" t="s">
        <v>304</v>
      </c>
      <c r="AF97" s="100" t="str">
        <f>HYPERLINK("http://www.youtube.com/channel/UCJq4hu1Mb1yDeUKEN6EZvvQ")</f>
        <v>http://www.youtube.com/channel/UCJq4hu1Mb1yDeUKEN6EZvvQ</v>
      </c>
      <c r="AG97" s="80" t="s">
        <v>398</v>
      </c>
      <c r="AH97" s="80" t="s">
        <v>479</v>
      </c>
      <c r="AI97" s="50"/>
      <c r="AJ97" s="50"/>
      <c r="AK97" s="50"/>
      <c r="AL97" s="50"/>
      <c r="AM97" s="50"/>
      <c r="AN97" s="50"/>
      <c r="AO97" s="2"/>
      <c r="AP97" s="3"/>
      <c r="AQ97" s="3"/>
      <c r="AR97" s="3"/>
      <c r="AS97" s="3"/>
    </row>
    <row r="98" spans="1:45" ht="34.049999999999997" customHeight="1" x14ac:dyDescent="0.3">
      <c r="A98" s="66" t="s">
        <v>290</v>
      </c>
      <c r="C98" s="67"/>
      <c r="D98" s="67"/>
      <c r="E98" s="68"/>
      <c r="F98" s="70"/>
      <c r="G98" s="101" t="str">
        <f>HYPERLINK("https://yt3.ggpht.com/ytc/AKedOLRBWyc8MopefNY7dYD1ubpSPblCtvOPMabl6LdOQw=s88-c-k-c0x00ffffff-no-rj")</f>
        <v>https://yt3.ggpht.com/ytc/AKedOLRBWyc8MopefNY7dYD1ubpSPblCtvOPMabl6LdOQw=s88-c-k-c0x00ffffff-no-rj</v>
      </c>
      <c r="H98" s="67"/>
      <c r="I98" s="71"/>
      <c r="J98" s="72"/>
      <c r="K98" s="72"/>
      <c r="L98" s="71" t="s">
        <v>582</v>
      </c>
      <c r="M98" s="75"/>
      <c r="N98" s="76">
        <v>3069.59814453125</v>
      </c>
      <c r="O98" s="76">
        <v>4446.4951171875</v>
      </c>
      <c r="P98" s="77"/>
      <c r="Q98" s="78"/>
      <c r="R98" s="78"/>
      <c r="S98" s="84"/>
      <c r="T98" s="50">
        <v>4</v>
      </c>
      <c r="U98" s="50">
        <v>0</v>
      </c>
      <c r="V98" s="51">
        <v>0</v>
      </c>
      <c r="W98" s="51">
        <v>0.4</v>
      </c>
      <c r="X98" s="51">
        <v>0.12472999999999999</v>
      </c>
      <c r="Y98" s="52"/>
      <c r="Z98" s="52"/>
      <c r="AA98" s="51"/>
      <c r="AB98" s="73">
        <v>98</v>
      </c>
      <c r="AC98" s="73"/>
      <c r="AD98" s="74"/>
      <c r="AE98" s="80" t="s">
        <v>304</v>
      </c>
      <c r="AF98" s="100" t="str">
        <f>HYPERLINK("http://www.youtube.com/channel/UC8sk4aItJsusoezSmfgOkAA")</f>
        <v>http://www.youtube.com/channel/UC8sk4aItJsusoezSmfgOkAA</v>
      </c>
      <c r="AG98" s="80" t="s">
        <v>399</v>
      </c>
      <c r="AH98" s="80" t="s">
        <v>480</v>
      </c>
      <c r="AI98" s="50"/>
      <c r="AJ98" s="50"/>
      <c r="AK98" s="50"/>
      <c r="AL98" s="50"/>
      <c r="AM98" s="50"/>
      <c r="AN98" s="50"/>
      <c r="AO98" s="2"/>
      <c r="AP98" s="3"/>
      <c r="AQ98" s="3"/>
      <c r="AR98" s="3"/>
      <c r="AS98" s="3"/>
    </row>
    <row r="99" spans="1:45" ht="34.049999999999997" customHeight="1" x14ac:dyDescent="0.3">
      <c r="A99" s="66" t="s">
        <v>291</v>
      </c>
      <c r="C99" s="67"/>
      <c r="D99" s="67"/>
      <c r="E99" s="68"/>
      <c r="F99" s="70"/>
      <c r="G99" s="101" t="str">
        <f>HYPERLINK("https://yt3.ggpht.com/ytc/AKedOLRCbTHGivQs-DHYAxpeRyxjQnas1MLPerDHCBZc=s88-c-k-c0x00ffffff-no-rj")</f>
        <v>https://yt3.ggpht.com/ytc/AKedOLRCbTHGivQs-DHYAxpeRyxjQnas1MLPerDHCBZc=s88-c-k-c0x00ffffff-no-rj</v>
      </c>
      <c r="H99" s="67"/>
      <c r="I99" s="71"/>
      <c r="J99" s="72"/>
      <c r="K99" s="72"/>
      <c r="L99" s="71" t="s">
        <v>583</v>
      </c>
      <c r="M99" s="75"/>
      <c r="N99" s="76">
        <v>3466.112548828125</v>
      </c>
      <c r="O99" s="76">
        <v>4856.6611328125</v>
      </c>
      <c r="P99" s="77"/>
      <c r="Q99" s="78"/>
      <c r="R99" s="78"/>
      <c r="S99" s="84"/>
      <c r="T99" s="50">
        <v>3</v>
      </c>
      <c r="U99" s="50">
        <v>0</v>
      </c>
      <c r="V99" s="51">
        <v>0</v>
      </c>
      <c r="W99" s="51">
        <v>0.476636</v>
      </c>
      <c r="X99" s="51">
        <v>0.132995</v>
      </c>
      <c r="Y99" s="52"/>
      <c r="Z99" s="52"/>
      <c r="AA99" s="51"/>
      <c r="AB99" s="73">
        <v>99</v>
      </c>
      <c r="AC99" s="73"/>
      <c r="AD99" s="74"/>
      <c r="AE99" s="80" t="s">
        <v>304</v>
      </c>
      <c r="AF99" s="100" t="str">
        <f>HYPERLINK("http://www.youtube.com/channel/UCSPUdoIIVeotX3-Co05DCZg")</f>
        <v>http://www.youtube.com/channel/UCSPUdoIIVeotX3-Co05DCZg</v>
      </c>
      <c r="AG99" s="80" t="s">
        <v>400</v>
      </c>
      <c r="AH99" s="80" t="s">
        <v>481</v>
      </c>
      <c r="AI99" s="50"/>
      <c r="AJ99" s="50"/>
      <c r="AK99" s="50"/>
      <c r="AL99" s="50"/>
      <c r="AM99" s="50"/>
      <c r="AN99" s="50"/>
      <c r="AO99" s="2"/>
      <c r="AP99" s="3"/>
      <c r="AQ99" s="3"/>
      <c r="AR99" s="3"/>
      <c r="AS99" s="3"/>
    </row>
    <row r="100" spans="1:45" ht="34.049999999999997" customHeight="1" x14ac:dyDescent="0.3">
      <c r="A100" s="66" t="s">
        <v>292</v>
      </c>
      <c r="C100" s="67"/>
      <c r="D100" s="67"/>
      <c r="E100" s="68"/>
      <c r="F100" s="70"/>
      <c r="G100" s="101" t="str">
        <f>HYPERLINK("https://yt3.ggpht.com/ytc/AKedOLQxZVUoqbd5pXHWYALYlrHsG2pL_-2FGa3DW9iWow=s88-c-k-c0x00ffffff-no-rj")</f>
        <v>https://yt3.ggpht.com/ytc/AKedOLQxZVUoqbd5pXHWYALYlrHsG2pL_-2FGa3DW9iWow=s88-c-k-c0x00ffffff-no-rj</v>
      </c>
      <c r="H100" s="67"/>
      <c r="I100" s="71"/>
      <c r="J100" s="72"/>
      <c r="K100" s="72"/>
      <c r="L100" s="71" t="s">
        <v>584</v>
      </c>
      <c r="M100" s="75"/>
      <c r="N100" s="76">
        <v>7297.23388671875</v>
      </c>
      <c r="O100" s="76">
        <v>4482.75390625</v>
      </c>
      <c r="P100" s="77"/>
      <c r="Q100" s="78"/>
      <c r="R100" s="78"/>
      <c r="S100" s="84"/>
      <c r="T100" s="50">
        <v>3</v>
      </c>
      <c r="U100" s="50">
        <v>0</v>
      </c>
      <c r="V100" s="51">
        <v>0</v>
      </c>
      <c r="W100" s="51">
        <v>0.38931300000000002</v>
      </c>
      <c r="X100" s="51">
        <v>9.5146999999999995E-2</v>
      </c>
      <c r="Y100" s="52"/>
      <c r="Z100" s="52"/>
      <c r="AA100" s="51"/>
      <c r="AB100" s="73">
        <v>100</v>
      </c>
      <c r="AC100" s="73"/>
      <c r="AD100" s="74"/>
      <c r="AE100" s="80" t="s">
        <v>304</v>
      </c>
      <c r="AF100" s="100" t="str">
        <f>HYPERLINK("http://www.youtube.com/channel/UCGsH8LHShnCnmRis4Jkd_dw")</f>
        <v>http://www.youtube.com/channel/UCGsH8LHShnCnmRis4Jkd_dw</v>
      </c>
      <c r="AG100" s="80" t="s">
        <v>401</v>
      </c>
      <c r="AH100" s="80" t="s">
        <v>482</v>
      </c>
      <c r="AI100" s="50"/>
      <c r="AJ100" s="50"/>
      <c r="AK100" s="50"/>
      <c r="AL100" s="50"/>
      <c r="AM100" s="50"/>
      <c r="AN100" s="50"/>
      <c r="AO100" s="2"/>
      <c r="AP100" s="3"/>
      <c r="AQ100" s="3"/>
      <c r="AR100" s="3"/>
      <c r="AS100" s="3"/>
    </row>
    <row r="101" spans="1:45" ht="34.049999999999997" customHeight="1" x14ac:dyDescent="0.3">
      <c r="A101" s="66" t="s">
        <v>293</v>
      </c>
      <c r="C101" s="67"/>
      <c r="D101" s="67"/>
      <c r="E101" s="68"/>
      <c r="F101" s="70"/>
      <c r="G101" s="101" t="str">
        <f>HYPERLINK("https://yt3.ggpht.com/ytc/AKedOLSS54Hh9c0rkY32ECeBaYzskzwsgod8T7O6HumXBg=s88-c-k-c0x00ffffff-no-rj")</f>
        <v>https://yt3.ggpht.com/ytc/AKedOLSS54Hh9c0rkY32ECeBaYzskzwsgod8T7O6HumXBg=s88-c-k-c0x00ffffff-no-rj</v>
      </c>
      <c r="H101" s="67"/>
      <c r="I101" s="71"/>
      <c r="J101" s="72"/>
      <c r="K101" s="72"/>
      <c r="L101" s="71" t="s">
        <v>585</v>
      </c>
      <c r="M101" s="75"/>
      <c r="N101" s="76">
        <v>3053.530517578125</v>
      </c>
      <c r="O101" s="76">
        <v>2521.68994140625</v>
      </c>
      <c r="P101" s="77"/>
      <c r="Q101" s="78"/>
      <c r="R101" s="78"/>
      <c r="S101" s="84"/>
      <c r="T101" s="50">
        <v>2</v>
      </c>
      <c r="U101" s="50">
        <v>0</v>
      </c>
      <c r="V101" s="51">
        <v>0</v>
      </c>
      <c r="W101" s="51">
        <v>0.38490600000000003</v>
      </c>
      <c r="X101" s="51">
        <v>7.8847E-2</v>
      </c>
      <c r="Y101" s="52"/>
      <c r="Z101" s="52"/>
      <c r="AA101" s="51"/>
      <c r="AB101" s="73">
        <v>101</v>
      </c>
      <c r="AC101" s="73"/>
      <c r="AD101" s="74"/>
      <c r="AE101" s="80" t="s">
        <v>304</v>
      </c>
      <c r="AF101" s="100" t="str">
        <f>HYPERLINK("http://www.youtube.com/channel/UCEua_4YJSRMzxlNrkyvwMaQ")</f>
        <v>http://www.youtube.com/channel/UCEua_4YJSRMzxlNrkyvwMaQ</v>
      </c>
      <c r="AG101" s="80" t="s">
        <v>402</v>
      </c>
      <c r="AH101" s="80" t="s">
        <v>483</v>
      </c>
      <c r="AI101" s="50"/>
      <c r="AJ101" s="50"/>
      <c r="AK101" s="50"/>
      <c r="AL101" s="50"/>
      <c r="AM101" s="50"/>
      <c r="AN101" s="50"/>
      <c r="AO101" s="2"/>
      <c r="AP101" s="3"/>
      <c r="AQ101" s="3"/>
      <c r="AR101" s="3"/>
      <c r="AS101" s="3"/>
    </row>
    <row r="102" spans="1:45" ht="34.049999999999997" customHeight="1" x14ac:dyDescent="0.3">
      <c r="A102" s="66" t="s">
        <v>294</v>
      </c>
      <c r="C102" s="67"/>
      <c r="D102" s="67"/>
      <c r="E102" s="68"/>
      <c r="F102" s="70"/>
      <c r="G102" s="101" t="str">
        <f>HYPERLINK("https://yt3.ggpht.com/ytc/AKedOLQeABerLtQxebbQDVVRymlZtMx8sH7HJqSl1uyZ=s88-c-k-c0x00ffffff-no-rj")</f>
        <v>https://yt3.ggpht.com/ytc/AKedOLQeABerLtQxebbQDVVRymlZtMx8sH7HJqSl1uyZ=s88-c-k-c0x00ffffff-no-rj</v>
      </c>
      <c r="H102" s="67"/>
      <c r="I102" s="71"/>
      <c r="J102" s="72"/>
      <c r="K102" s="72"/>
      <c r="L102" s="71" t="s">
        <v>586</v>
      </c>
      <c r="M102" s="75"/>
      <c r="N102" s="76">
        <v>7731.54345703125</v>
      </c>
      <c r="O102" s="76">
        <v>5674.0615234375</v>
      </c>
      <c r="P102" s="77"/>
      <c r="Q102" s="78"/>
      <c r="R102" s="78"/>
      <c r="S102" s="84"/>
      <c r="T102" s="50">
        <v>2</v>
      </c>
      <c r="U102" s="50">
        <v>0</v>
      </c>
      <c r="V102" s="51">
        <v>0</v>
      </c>
      <c r="W102" s="51">
        <v>0.38490600000000003</v>
      </c>
      <c r="X102" s="51">
        <v>7.8847E-2</v>
      </c>
      <c r="Y102" s="52"/>
      <c r="Z102" s="52"/>
      <c r="AA102" s="51"/>
      <c r="AB102" s="73">
        <v>102</v>
      </c>
      <c r="AC102" s="73"/>
      <c r="AD102" s="74"/>
      <c r="AE102" s="80" t="s">
        <v>304</v>
      </c>
      <c r="AF102" s="100" t="str">
        <f>HYPERLINK("http://www.youtube.com/channel/UC2fMl4Xc5TBqOq2M7ijJjzQ")</f>
        <v>http://www.youtube.com/channel/UC2fMl4Xc5TBqOq2M7ijJjzQ</v>
      </c>
      <c r="AG102" s="80" t="s">
        <v>403</v>
      </c>
      <c r="AH102" s="80" t="s">
        <v>484</v>
      </c>
      <c r="AI102" s="50"/>
      <c r="AJ102" s="50"/>
      <c r="AK102" s="50"/>
      <c r="AL102" s="50"/>
      <c r="AM102" s="50"/>
      <c r="AN102" s="50"/>
      <c r="AO102" s="2"/>
      <c r="AP102" s="3"/>
      <c r="AQ102" s="3"/>
      <c r="AR102" s="3"/>
      <c r="AS102" s="3"/>
    </row>
    <row r="103" spans="1:45" ht="34.049999999999997" customHeight="1" x14ac:dyDescent="0.3">
      <c r="A103" s="66" t="s">
        <v>295</v>
      </c>
      <c r="C103" s="67"/>
      <c r="D103" s="67"/>
      <c r="E103" s="68"/>
      <c r="F103" s="70"/>
      <c r="G103" s="101" t="str">
        <f>HYPERLINK("https://yt3.ggpht.com/ytc/AKedOLR_GpL6R_ifXfTsoGeYDxQOWYoaPA0dcGuIWnkW=s88-c-k-c0x00ffffff-no-rj")</f>
        <v>https://yt3.ggpht.com/ytc/AKedOLR_GpL6R_ifXfTsoGeYDxQOWYoaPA0dcGuIWnkW=s88-c-k-c0x00ffffff-no-rj</v>
      </c>
      <c r="H103" s="67"/>
      <c r="I103" s="71"/>
      <c r="J103" s="72"/>
      <c r="K103" s="72"/>
      <c r="L103" s="71" t="s">
        <v>587</v>
      </c>
      <c r="M103" s="75"/>
      <c r="N103" s="76">
        <v>6171.32275390625</v>
      </c>
      <c r="O103" s="76">
        <v>4255.27880859375</v>
      </c>
      <c r="P103" s="77"/>
      <c r="Q103" s="78"/>
      <c r="R103" s="78"/>
      <c r="S103" s="84"/>
      <c r="T103" s="50">
        <v>4</v>
      </c>
      <c r="U103" s="50">
        <v>0</v>
      </c>
      <c r="V103" s="51">
        <v>0</v>
      </c>
      <c r="W103" s="51">
        <v>0.39230799999999999</v>
      </c>
      <c r="X103" s="51">
        <v>0.114276</v>
      </c>
      <c r="Y103" s="52"/>
      <c r="Z103" s="52"/>
      <c r="AA103" s="51"/>
      <c r="AB103" s="73">
        <v>103</v>
      </c>
      <c r="AC103" s="73"/>
      <c r="AD103" s="74"/>
      <c r="AE103" s="80" t="s">
        <v>304</v>
      </c>
      <c r="AF103" s="100" t="str">
        <f>HYPERLINK("http://www.youtube.com/channel/UC1AiSUpj6PqL13yeNOyJ20A")</f>
        <v>http://www.youtube.com/channel/UC1AiSUpj6PqL13yeNOyJ20A</v>
      </c>
      <c r="AG103" s="80" t="s">
        <v>404</v>
      </c>
      <c r="AH103" s="80" t="s">
        <v>485</v>
      </c>
      <c r="AI103" s="50"/>
      <c r="AJ103" s="50"/>
      <c r="AK103" s="50"/>
      <c r="AL103" s="50"/>
      <c r="AM103" s="50"/>
      <c r="AN103" s="50"/>
      <c r="AO103" s="2"/>
      <c r="AP103" s="3"/>
      <c r="AQ103" s="3"/>
      <c r="AR103" s="3"/>
      <c r="AS103" s="3"/>
    </row>
    <row r="104" spans="1:45" ht="34.049999999999997" customHeight="1" x14ac:dyDescent="0.3">
      <c r="A104" s="66" t="s">
        <v>296</v>
      </c>
      <c r="C104" s="67"/>
      <c r="D104" s="67"/>
      <c r="E104" s="68"/>
      <c r="F104" s="70"/>
      <c r="G104" s="101" t="str">
        <f>HYPERLINK("https://yt3.ggpht.com/ytc/AKedOLTyE2aY-oPf_5H5IbIhZejg2nyG3i1vvACm-SvvLg=s88-c-k-c0x00ffffff-no-rj")</f>
        <v>https://yt3.ggpht.com/ytc/AKedOLTyE2aY-oPf_5H5IbIhZejg2nyG3i1vvACm-SvvLg=s88-c-k-c0x00ffffff-no-rj</v>
      </c>
      <c r="H104" s="67"/>
      <c r="I104" s="71"/>
      <c r="J104" s="72"/>
      <c r="K104" s="72"/>
      <c r="L104" s="71" t="s">
        <v>588</v>
      </c>
      <c r="M104" s="75"/>
      <c r="N104" s="76">
        <v>2786.47216796875</v>
      </c>
      <c r="O104" s="76">
        <v>8379.865234375</v>
      </c>
      <c r="P104" s="77"/>
      <c r="Q104" s="78"/>
      <c r="R104" s="78"/>
      <c r="S104" s="84"/>
      <c r="T104" s="50">
        <v>1</v>
      </c>
      <c r="U104" s="50">
        <v>0</v>
      </c>
      <c r="V104" s="51">
        <v>0</v>
      </c>
      <c r="W104" s="51">
        <v>0.35664299999999999</v>
      </c>
      <c r="X104" s="51">
        <v>3.5021999999999998E-2</v>
      </c>
      <c r="Y104" s="52"/>
      <c r="Z104" s="52"/>
      <c r="AA104" s="51"/>
      <c r="AB104" s="73">
        <v>104</v>
      </c>
      <c r="AC104" s="73"/>
      <c r="AD104" s="74"/>
      <c r="AE104" s="80" t="s">
        <v>304</v>
      </c>
      <c r="AF104" s="100" t="str">
        <f>HYPERLINK("http://www.youtube.com/channel/UCLnhmTzipDj9_T6faNqSI_Q")</f>
        <v>http://www.youtube.com/channel/UCLnhmTzipDj9_T6faNqSI_Q</v>
      </c>
      <c r="AG104" s="80" t="s">
        <v>405</v>
      </c>
      <c r="AH104" s="80" t="s">
        <v>486</v>
      </c>
      <c r="AI104" s="50"/>
      <c r="AJ104" s="50"/>
      <c r="AK104" s="50"/>
      <c r="AL104" s="50"/>
      <c r="AM104" s="50"/>
      <c r="AN104" s="50"/>
      <c r="AO104" s="2"/>
      <c r="AP104" s="3"/>
      <c r="AQ104" s="3"/>
      <c r="AR104" s="3"/>
      <c r="AS104" s="3"/>
    </row>
    <row r="105" spans="1:45" ht="34.049999999999997" customHeight="1" x14ac:dyDescent="0.3">
      <c r="A105" s="85" t="s">
        <v>297</v>
      </c>
      <c r="C105" s="86"/>
      <c r="D105" s="86"/>
      <c r="E105" s="87"/>
      <c r="F105" s="88"/>
      <c r="G105" s="102" t="str">
        <f>HYPERLINK("https://yt3.ggpht.com/ytc/AKedOLQemBOZL0Tox_KXJui5X1_mAvPVoliwK8g7Iyl3=s88-c-k-c0x00ffffff-no-rj")</f>
        <v>https://yt3.ggpht.com/ytc/AKedOLQemBOZL0Tox_KXJui5X1_mAvPVoliwK8g7Iyl3=s88-c-k-c0x00ffffff-no-rj</v>
      </c>
      <c r="H105" s="86"/>
      <c r="I105" s="89"/>
      <c r="J105" s="90"/>
      <c r="K105" s="90"/>
      <c r="L105" s="89" t="s">
        <v>589</v>
      </c>
      <c r="M105" s="91"/>
      <c r="N105" s="92">
        <v>1519.29248046875</v>
      </c>
      <c r="O105" s="92">
        <v>644.07806396484375</v>
      </c>
      <c r="P105" s="93"/>
      <c r="Q105" s="94"/>
      <c r="R105" s="94"/>
      <c r="S105" s="95"/>
      <c r="T105" s="50">
        <v>1</v>
      </c>
      <c r="U105" s="50">
        <v>0</v>
      </c>
      <c r="V105" s="51">
        <v>0</v>
      </c>
      <c r="W105" s="51">
        <v>0.35664299999999999</v>
      </c>
      <c r="X105" s="51">
        <v>3.5021999999999998E-2</v>
      </c>
      <c r="Y105" s="96"/>
      <c r="Z105" s="96"/>
      <c r="AA105" s="97"/>
      <c r="AB105" s="98">
        <v>105</v>
      </c>
      <c r="AC105" s="98"/>
      <c r="AD105" s="99"/>
      <c r="AE105" s="80" t="s">
        <v>304</v>
      </c>
      <c r="AF105" s="100" t="str">
        <f>HYPERLINK("http://www.youtube.com/channel/UC43esGt-pzMi7_SYS-jvNVg")</f>
        <v>http://www.youtube.com/channel/UC43esGt-pzMi7_SYS-jvNVg</v>
      </c>
      <c r="AG105" s="80" t="s">
        <v>406</v>
      </c>
      <c r="AH105" s="80"/>
      <c r="AI105" s="50"/>
      <c r="AJ105" s="50"/>
      <c r="AK105" s="50"/>
      <c r="AL105" s="50"/>
      <c r="AM105" s="50"/>
      <c r="AN105" s="50"/>
      <c r="AO105" s="2"/>
      <c r="AP105" s="3"/>
      <c r="AQ105" s="3"/>
      <c r="AR105" s="3"/>
      <c r="AS105"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B3:AB105" xr:uid="{00000000-0002-0000-0100-000000000000}"/>
    <dataValidation allowBlank="1" errorTitle="Invalid Vertex Visibility" error="You have entered an unrecognized vertex visibility.  Try selecting from the drop-down list instead." sqref="AO3" xr:uid="{00000000-0002-0000-0100-000001000000}"/>
    <dataValidation allowBlank="1" showErrorMessage="1" sqref="AO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P3:P105"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N3:O105"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M3:M105"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Q3:Q105"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R3:R105" xr:uid="{00000000-0002-0000-0100-000007000000}"/>
    <dataValidation allowBlank="1" showInputMessage="1" errorTitle="Invalid Vertex Image Key" promptTitle="Vertex Tooltip" prompt="Enter optional text that will pop up when the mouse is hovered over the vertex." sqref="L3:L105"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C3:AC105"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H3:H105"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I3:I105" xr:uid="{00000000-0002-0000-0100-00000B000000}"/>
    <dataValidation allowBlank="1" showInputMessage="1" promptTitle="Vertex Label Fill Color" prompt="To select an optional fill color for the Label shape, right-click and select Select Color on the right-click menu." sqref="J3:J105" xr:uid="{00000000-0002-0000-0100-00000C000000}"/>
    <dataValidation allowBlank="1" showInputMessage="1" errorTitle="Invalid Vertex Image Key" promptTitle="Vertex Image File" prompt="Enter the path to an image file.  Hover over the column header for examples." sqref="G3:G105" xr:uid="{00000000-0002-0000-0100-00000D000000}"/>
    <dataValidation allowBlank="1" showInputMessage="1" promptTitle="Vertex Color" prompt="To select an optional vertex color, right-click and select Select Color on the right-click menu." sqref="C3:C105"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F3:F105"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D3:D105"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E3:E105"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K3:K105" xr:uid="{00000000-0002-0000-0100-000012000000}">
      <formula1>ValidVertexLabelPositions</formula1>
    </dataValidation>
    <dataValidation allowBlank="1" showInputMessage="1" showErrorMessage="1" promptTitle="Vertex Name" prompt="Enter the name of the vertex." sqref="A3:A105" xr:uid="{00000000-0002-0000-0100-000013000000}"/>
  </dataValidations>
  <pageMargins left="0.7" right="0.7" top="0.75" bottom="0.75" header="0.3" footer="0.3"/>
  <pageSetup orientation="portrait" horizontalDpi="0" verticalDpi="0"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49</v>
      </c>
    </row>
    <row r="2" spans="1:1" ht="15" customHeight="1" x14ac:dyDescent="0.3"/>
    <row r="3" spans="1:1" ht="15" customHeight="1" x14ac:dyDescent="0.3">
      <c r="A3" s="32" t="s">
        <v>50</v>
      </c>
    </row>
    <row r="21" spans="4:4" x14ac:dyDescent="0.3">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A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customWidth="1"/>
    <col min="12" max="12" width="9.6640625" customWidth="1"/>
    <col min="13" max="13" width="13.109375" customWidth="1"/>
    <col min="14" max="15" width="8.44140625" customWidth="1"/>
    <col min="16" max="16" width="18.33203125" customWidth="1"/>
    <col min="17" max="17" width="14.88671875" customWidth="1"/>
    <col min="18" max="18" width="14.5546875" customWidth="1"/>
    <col min="19" max="21" width="24.109375" customWidth="1"/>
    <col min="22" max="22" width="21.33203125" customWidth="1"/>
    <col min="23" max="23" width="19.33203125" customWidth="1"/>
    <col min="24" max="24" width="10" customWidth="1"/>
    <col min="25" max="25" width="13.21875" bestFit="1" customWidth="1"/>
    <col min="26" max="26" width="12.5546875" bestFit="1" customWidth="1"/>
    <col min="27" max="27" width="14.5546875" bestFit="1" customWidth="1"/>
  </cols>
  <sheetData>
    <row r="1" spans="1:27" x14ac:dyDescent="0.3">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7" s="13" customFormat="1" ht="30" customHeight="1" x14ac:dyDescent="0.3">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603</v>
      </c>
      <c r="Z2" s="13" t="s">
        <v>605</v>
      </c>
      <c r="AA2" s="13" t="s">
        <v>607</v>
      </c>
    </row>
    <row r="3" spans="1:27" x14ac:dyDescent="0.3">
      <c r="A3" s="14"/>
      <c r="B3" s="15"/>
      <c r="C3" s="15"/>
      <c r="D3" s="15"/>
      <c r="E3" s="15"/>
      <c r="F3" s="16"/>
      <c r="G3" s="65"/>
      <c r="H3" s="65"/>
      <c r="I3" s="53"/>
      <c r="J3" s="53"/>
      <c r="K3" s="48"/>
      <c r="L3" s="48"/>
      <c r="M3" s="48"/>
      <c r="N3" s="48"/>
      <c r="O3" s="48"/>
      <c r="P3" s="48"/>
      <c r="Q3" s="48"/>
      <c r="R3" s="48"/>
      <c r="S3" s="48"/>
      <c r="T3" s="48"/>
      <c r="U3" s="48"/>
      <c r="V3" s="48"/>
      <c r="W3" s="49"/>
      <c r="X3" s="49"/>
      <c r="Y3" s="80"/>
      <c r="Z3" s="80"/>
      <c r="AA3" s="80"/>
    </row>
    <row r="10" spans="1:27"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8"/>
  <sheetViews>
    <sheetView workbookViewId="0">
      <selection activeCell="B48" sqref="B48"/>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
      <c r="A2" s="36"/>
      <c r="B2" s="36"/>
      <c r="D2" s="33">
        <f>MIN(Vertices[Degree])</f>
        <v>0</v>
      </c>
      <c r="E2" s="3">
        <f>COUNTIF(Vertices[Degree], "&gt;= " &amp; D2) - COUNTIF(Vertices[Degree], "&gt;=" &amp; D3)</f>
        <v>0</v>
      </c>
      <c r="F2" s="39">
        <f>MIN(Vertices[In-Degree])</f>
        <v>1</v>
      </c>
      <c r="G2" s="40">
        <f>COUNTIF(Vertices[In-Degree], "&gt;= " &amp; F2) - COUNTIF(Vertices[In-Degree], "&gt;=" &amp; F3)</f>
        <v>85</v>
      </c>
      <c r="H2" s="39">
        <f>MIN(Vertices[Out-Degree])</f>
        <v>0</v>
      </c>
      <c r="I2" s="40">
        <f>COUNTIF(Vertices[Out-Degree], "&gt;= " &amp; H2) - COUNTIF(Vertices[Out-Degree], "&gt;=" &amp; H3)</f>
        <v>95</v>
      </c>
      <c r="J2" s="39">
        <f>MIN(Vertices[Betweenness Centrality])</f>
        <v>0</v>
      </c>
      <c r="K2" s="40">
        <f>COUNTIF(Vertices[Betweenness Centrality], "&gt;= " &amp; J2) - COUNTIF(Vertices[Betweenness Centrality], "&gt;=" &amp; J3)</f>
        <v>97</v>
      </c>
      <c r="L2" s="39">
        <f>MIN(Vertices[Closeness Centrality])</f>
        <v>0.26771699999999998</v>
      </c>
      <c r="M2" s="40">
        <f>COUNTIF(Vertices[Closeness Centrality], "&gt;= " &amp; L2) - COUNTIF(Vertices[Closeness Centrality], "&gt;=" &amp; L3)</f>
        <v>3</v>
      </c>
      <c r="N2" s="39">
        <f>MIN(Vertices[Eigenvector Centrality])</f>
        <v>4.0000000000000001E-3</v>
      </c>
      <c r="O2" s="40">
        <f>COUNTIF(Vertices[Eigenvector Centrality], "&gt;= " &amp; N2) - COUNTIF(Vertices[Eigenvector Centrality], "&gt;=" &amp; N3)</f>
        <v>5</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25" ca="1" si="0">COUNTIF(INDIRECT(DynamicFilterSourceColumnRange), "&gt;= " &amp; T2) - COUNTIF(INDIRECT(DynamicFilterSourceColumnRange), "&gt;=" &amp; T3)</f>
        <v>#REF!</v>
      </c>
      <c r="W2" t="s">
        <v>124</v>
      </c>
      <c r="X2">
        <f>ROWS(HistogramBins[Degree Bin]) - 1</f>
        <v>34</v>
      </c>
    </row>
    <row r="3" spans="1:24" x14ac:dyDescent="0.3">
      <c r="D3" s="34">
        <f t="shared" ref="D3:D35" si="1">D2+($D$36-$D$2)/BinDivisor</f>
        <v>0</v>
      </c>
      <c r="E3" s="3">
        <f>COUNTIF(Vertices[Degree], "&gt;= " &amp; D3) - COUNTIF(Vertices[Degree], "&gt;=" &amp; D4)</f>
        <v>0</v>
      </c>
      <c r="F3" s="41">
        <f t="shared" ref="F3:F35" si="2">F2+($F$36-$F$2)/BinDivisor</f>
        <v>1.1764705882352942</v>
      </c>
      <c r="G3" s="42">
        <f>COUNTIF(Vertices[In-Degree], "&gt;= " &amp; F3) - COUNTIF(Vertices[In-Degree], "&gt;=" &amp; F4)</f>
        <v>0</v>
      </c>
      <c r="H3" s="41">
        <f t="shared" ref="H3:H35" si="3">H2+($H$36-$H$2)/BinDivisor</f>
        <v>1.6764705882352942</v>
      </c>
      <c r="I3" s="42">
        <f>COUNTIF(Vertices[Out-Degree], "&gt;= " &amp; H3) - COUNTIF(Vertices[Out-Degree], "&gt;=" &amp; H4)</f>
        <v>2</v>
      </c>
      <c r="J3" s="41">
        <f t="shared" ref="J3:J35" si="4">J2+($J$36-$J$2)/BinDivisor</f>
        <v>225.60294117647058</v>
      </c>
      <c r="K3" s="42">
        <f>COUNTIF(Vertices[Betweenness Centrality], "&gt;= " &amp; J3) - COUNTIF(Vertices[Betweenness Centrality], "&gt;=" &amp; J4)</f>
        <v>1</v>
      </c>
      <c r="L3" s="41">
        <f t="shared" ref="L3:L35" si="5">L2+($L$36-$L$2)/BinDivisor</f>
        <v>0.27957982352941174</v>
      </c>
      <c r="M3" s="42">
        <f>COUNTIF(Vertices[Closeness Centrality], "&gt;= " &amp; L3) - COUNTIF(Vertices[Closeness Centrality], "&gt;=" &amp; L4)</f>
        <v>3</v>
      </c>
      <c r="N3" s="41">
        <f t="shared" ref="N3:N35" si="6">N2+($N$36-$N$2)/BinDivisor</f>
        <v>1.8350647058823531E-2</v>
      </c>
      <c r="O3" s="42">
        <f>COUNTIF(Vertices[Eigenvector Centrality], "&gt;= " &amp; N3) - COUNTIF(Vertices[Eigenvector Centrality], "&gt;=" &amp; N4)</f>
        <v>8</v>
      </c>
      <c r="P3" s="41">
        <f t="shared" ref="P3:P35" si="7">P2+($P$36-$P$2)/BinDivisor</f>
        <v>0</v>
      </c>
      <c r="Q3" s="42">
        <f>COUNTIF(Vertices[PageRank], "&gt;= " &amp; P3) - COUNTIF(Vertices[PageRank], "&gt;=" &amp; P4)</f>
        <v>0</v>
      </c>
      <c r="R3" s="41">
        <f t="shared" ref="R3:R35" si="8">R2+($R$36-$R$2)/BinDivisor</f>
        <v>0</v>
      </c>
      <c r="S3" s="46">
        <f>COUNTIF(Vertices[Clustering Coefficient], "&gt;= " &amp; R3) - COUNTIF(Vertices[Clustering Coefficient], "&gt;=" &amp; R4)</f>
        <v>0</v>
      </c>
      <c r="T3" s="41" t="e">
        <f t="shared" ref="T3:T35" ca="1" si="9">T2+($T$36-$T$2)/BinDivisor</f>
        <v>#REF!</v>
      </c>
      <c r="U3" s="42" t="e">
        <f t="shared" ca="1" si="0"/>
        <v>#REF!</v>
      </c>
      <c r="W3" t="s">
        <v>125</v>
      </c>
      <c r="X3" t="s">
        <v>85</v>
      </c>
    </row>
    <row r="4" spans="1:24" x14ac:dyDescent="0.3">
      <c r="D4" s="34">
        <f t="shared" si="1"/>
        <v>0</v>
      </c>
      <c r="E4" s="3">
        <f>COUNTIF(Vertices[Degree], "&gt;= " &amp; D4) - COUNTIF(Vertices[Degree], "&gt;=" &amp; D5)</f>
        <v>0</v>
      </c>
      <c r="F4" s="39">
        <f t="shared" si="2"/>
        <v>1.3529411764705883</v>
      </c>
      <c r="G4" s="40">
        <f>COUNTIF(Vertices[In-Degree], "&gt;= " &amp; F4) - COUNTIF(Vertices[In-Degree], "&gt;=" &amp; F5)</f>
        <v>0</v>
      </c>
      <c r="H4" s="39">
        <f t="shared" si="3"/>
        <v>3.3529411764705883</v>
      </c>
      <c r="I4" s="40">
        <f>COUNTIF(Vertices[Out-Degree], "&gt;= " &amp; H4) - COUNTIF(Vertices[Out-Degree], "&gt;=" &amp; H5)</f>
        <v>0</v>
      </c>
      <c r="J4" s="39">
        <f t="shared" si="4"/>
        <v>451.20588235294116</v>
      </c>
      <c r="K4" s="40">
        <f>COUNTIF(Vertices[Betweenness Centrality], "&gt;= " &amp; J4) - COUNTIF(Vertices[Betweenness Centrality], "&gt;=" &amp; J5)</f>
        <v>1</v>
      </c>
      <c r="L4" s="39">
        <f t="shared" si="5"/>
        <v>0.2914426470588235</v>
      </c>
      <c r="M4" s="40">
        <f>COUNTIF(Vertices[Closeness Centrality], "&gt;= " &amp; L4) - COUNTIF(Vertices[Closeness Centrality], "&gt;=" &amp; L5)</f>
        <v>0</v>
      </c>
      <c r="N4" s="39">
        <f t="shared" si="6"/>
        <v>3.2701294117647065E-2</v>
      </c>
      <c r="O4" s="40">
        <f>COUNTIF(Vertices[Eigenvector Centrality], "&gt;= " &amp; N4) - COUNTIF(Vertices[Eigenvector Centrality], "&gt;=" &amp; N5)</f>
        <v>21</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
      <c r="D5" s="34">
        <f t="shared" si="1"/>
        <v>0</v>
      </c>
      <c r="E5" s="3">
        <f>COUNTIF(Vertices[Degree], "&gt;= " &amp; D5) - COUNTIF(Vertices[Degree], "&gt;=" &amp; D6)</f>
        <v>0</v>
      </c>
      <c r="F5" s="41">
        <f t="shared" si="2"/>
        <v>1.5294117647058825</v>
      </c>
      <c r="G5" s="42">
        <f>COUNTIF(Vertices[In-Degree], "&gt;= " &amp; F5) - COUNTIF(Vertices[In-Degree], "&gt;=" &amp; F6)</f>
        <v>0</v>
      </c>
      <c r="H5" s="41">
        <f t="shared" si="3"/>
        <v>5.0294117647058822</v>
      </c>
      <c r="I5" s="42">
        <f>COUNTIF(Vertices[Out-Degree], "&gt;= " &amp; H5) - COUNTIF(Vertices[Out-Degree], "&gt;=" &amp; H6)</f>
        <v>0</v>
      </c>
      <c r="J5" s="41">
        <f t="shared" si="4"/>
        <v>676.80882352941171</v>
      </c>
      <c r="K5" s="42">
        <f>COUNTIF(Vertices[Betweenness Centrality], "&gt;= " &amp; J5) - COUNTIF(Vertices[Betweenness Centrality], "&gt;=" &amp; J6)</f>
        <v>0</v>
      </c>
      <c r="L5" s="41">
        <f t="shared" si="5"/>
        <v>0.30330547058823526</v>
      </c>
      <c r="M5" s="42">
        <f>COUNTIF(Vertices[Closeness Centrality], "&gt;= " &amp; L5) - COUNTIF(Vertices[Closeness Centrality], "&gt;=" &amp; L6)</f>
        <v>0</v>
      </c>
      <c r="N5" s="41">
        <f t="shared" si="6"/>
        <v>4.7051941176470595E-2</v>
      </c>
      <c r="O5" s="42">
        <f>COUNTIF(Vertices[Eigenvector Centrality], "&gt;= " &amp; N5) - COUNTIF(Vertices[Eigenvector Centrality], "&gt;=" &amp; N6)</f>
        <v>50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D6" s="34">
        <f t="shared" si="1"/>
        <v>0</v>
      </c>
      <c r="E6" s="3">
        <f>COUNTIF(Vertices[Degree], "&gt;= " &amp; D6) - COUNTIF(Vertices[Degree], "&gt;=" &amp; D7)</f>
        <v>0</v>
      </c>
      <c r="F6" s="39">
        <f t="shared" si="2"/>
        <v>1.7058823529411766</v>
      </c>
      <c r="G6" s="40">
        <f>COUNTIF(Vertices[In-Degree], "&gt;= " &amp; F6) - COUNTIF(Vertices[In-Degree], "&gt;=" &amp; F7)</f>
        <v>0</v>
      </c>
      <c r="H6" s="39">
        <f t="shared" si="3"/>
        <v>6.7058823529411766</v>
      </c>
      <c r="I6" s="40">
        <f>COUNTIF(Vertices[Out-Degree], "&gt;= " &amp; H6) - COUNTIF(Vertices[Out-Degree], "&gt;=" &amp; H7)</f>
        <v>2</v>
      </c>
      <c r="J6" s="39">
        <f t="shared" si="4"/>
        <v>902.41176470588232</v>
      </c>
      <c r="K6" s="40">
        <f>COUNTIF(Vertices[Betweenness Centrality], "&gt;= " &amp; J6) - COUNTIF(Vertices[Betweenness Centrality], "&gt;=" &amp; J7)</f>
        <v>0</v>
      </c>
      <c r="L6" s="39">
        <f t="shared" si="5"/>
        <v>0.31516829411764702</v>
      </c>
      <c r="M6" s="40">
        <f>COUNTIF(Vertices[Closeness Centrality], "&gt;= " &amp; L6) - COUNTIF(Vertices[Closeness Centrality], "&gt;=" &amp; L7)</f>
        <v>0</v>
      </c>
      <c r="N6" s="39">
        <f t="shared" si="6"/>
        <v>6.1402588235294125E-2</v>
      </c>
      <c r="O6" s="40">
        <f>COUNTIF(Vertices[Eigenvector Centrality], "&gt;= " &amp; N6) - COUNTIF(Vertices[Eigenvector Centrality], "&gt;=" &amp; N7)</f>
        <v>3</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D7" s="34">
        <f t="shared" si="1"/>
        <v>0</v>
      </c>
      <c r="E7" s="3">
        <f>COUNTIF(Vertices[Degree], "&gt;= " &amp; D7) - COUNTIF(Vertices[Degree], "&gt;=" &amp; D8)</f>
        <v>0</v>
      </c>
      <c r="F7" s="41">
        <f t="shared" si="2"/>
        <v>1.8823529411764708</v>
      </c>
      <c r="G7" s="42">
        <f>COUNTIF(Vertices[In-Degree], "&gt;= " &amp; F7) - COUNTIF(Vertices[In-Degree], "&gt;=" &amp; F8)</f>
        <v>6</v>
      </c>
      <c r="H7" s="41">
        <f t="shared" si="3"/>
        <v>8.382352941176471</v>
      </c>
      <c r="I7" s="42">
        <f>COUNTIF(Vertices[Out-Degree], "&gt;= " &amp; H7) - COUNTIF(Vertices[Out-Degree], "&gt;=" &amp; H8)</f>
        <v>0</v>
      </c>
      <c r="J7" s="41">
        <f t="shared" si="4"/>
        <v>1128.0147058823529</v>
      </c>
      <c r="K7" s="42">
        <f>COUNTIF(Vertices[Betweenness Centrality], "&gt;= " &amp; J7) - COUNTIF(Vertices[Betweenness Centrality], "&gt;=" &amp; J8)</f>
        <v>0</v>
      </c>
      <c r="L7" s="41">
        <f t="shared" si="5"/>
        <v>0.32703111764705878</v>
      </c>
      <c r="M7" s="42">
        <f>COUNTIF(Vertices[Closeness Centrality], "&gt;= " &amp; L7) - COUNTIF(Vertices[Closeness Centrality], "&gt;=" &amp; L8)</f>
        <v>0</v>
      </c>
      <c r="N7" s="41">
        <f t="shared" si="6"/>
        <v>7.5753235294117649E-2</v>
      </c>
      <c r="O7" s="42">
        <f>COUNTIF(Vertices[Eigenvector Centrality], "&gt;= " &amp; N7) - COUNTIF(Vertices[Eigenvector Centrality], "&gt;=" &amp; N8)</f>
        <v>2</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D8" s="34">
        <f t="shared" si="1"/>
        <v>0</v>
      </c>
      <c r="E8" s="3">
        <f>COUNTIF(Vertices[Degree], "&gt;= " &amp; D8) - COUNTIF(Vertices[Degree], "&gt;=" &amp; D9)</f>
        <v>0</v>
      </c>
      <c r="F8" s="39">
        <f t="shared" si="2"/>
        <v>2.0588235294117649</v>
      </c>
      <c r="G8" s="40">
        <f>COUNTIF(Vertices[In-Degree], "&gt;= " &amp; F8) - COUNTIF(Vertices[In-Degree], "&gt;=" &amp; F9)</f>
        <v>0</v>
      </c>
      <c r="H8" s="39">
        <f t="shared" si="3"/>
        <v>10.058823529411764</v>
      </c>
      <c r="I8" s="40">
        <f>COUNTIF(Vertices[Out-Degree], "&gt;= " &amp; H8) - COUNTIF(Vertices[Out-Degree], "&gt;=" &amp; H9)</f>
        <v>0</v>
      </c>
      <c r="J8" s="39">
        <f t="shared" si="4"/>
        <v>1353.6176470588234</v>
      </c>
      <c r="K8" s="40">
        <f>COUNTIF(Vertices[Betweenness Centrality], "&gt;= " &amp; J8) - COUNTIF(Vertices[Betweenness Centrality], "&gt;=" &amp; J9)</f>
        <v>0</v>
      </c>
      <c r="L8" s="39">
        <f t="shared" si="5"/>
        <v>0.33889394117647054</v>
      </c>
      <c r="M8" s="40">
        <f>COUNTIF(Vertices[Closeness Centrality], "&gt;= " &amp; L8) - COUNTIF(Vertices[Closeness Centrality], "&gt;=" &amp; L9)</f>
        <v>7</v>
      </c>
      <c r="N8" s="39">
        <f t="shared" si="6"/>
        <v>9.0103882352941173E-2</v>
      </c>
      <c r="O8" s="40">
        <f>COUNTIF(Vertices[Eigenvector Centrality], "&gt;= " &amp; N8) - COUNTIF(Vertices[Eigenvector Centrality], "&gt;=" &amp; N9)</f>
        <v>1</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D9" s="34">
        <f t="shared" si="1"/>
        <v>0</v>
      </c>
      <c r="E9" s="3">
        <f>COUNTIF(Vertices[Degree], "&gt;= " &amp; D9) - COUNTIF(Vertices[Degree], "&gt;=" &amp; D10)</f>
        <v>0</v>
      </c>
      <c r="F9" s="41">
        <f t="shared" si="2"/>
        <v>2.2352941176470589</v>
      </c>
      <c r="G9" s="42">
        <f>COUNTIF(Vertices[In-Degree], "&gt;= " &amp; F9) - COUNTIF(Vertices[In-Degree], "&gt;=" &amp; F10)</f>
        <v>0</v>
      </c>
      <c r="H9" s="41">
        <f t="shared" si="3"/>
        <v>11.735294117647058</v>
      </c>
      <c r="I9" s="42">
        <f>COUNTIF(Vertices[Out-Degree], "&gt;= " &amp; H9) - COUNTIF(Vertices[Out-Degree], "&gt;=" &amp; H10)</f>
        <v>0</v>
      </c>
      <c r="J9" s="41">
        <f t="shared" si="4"/>
        <v>1579.2205882352939</v>
      </c>
      <c r="K9" s="42">
        <f>COUNTIF(Vertices[Betweenness Centrality], "&gt;= " &amp; J9) - COUNTIF(Vertices[Betweenness Centrality], "&gt;=" &amp; J10)</f>
        <v>1</v>
      </c>
      <c r="L9" s="41">
        <f t="shared" si="5"/>
        <v>0.3507567647058823</v>
      </c>
      <c r="M9" s="42">
        <f>COUNTIF(Vertices[Closeness Centrality], "&gt;= " &amp; L9) - COUNTIF(Vertices[Closeness Centrality], "&gt;=" &amp; L10)</f>
        <v>3</v>
      </c>
      <c r="N9" s="41">
        <f t="shared" si="6"/>
        <v>0.1044545294117647</v>
      </c>
      <c r="O9" s="42">
        <f>COUNTIF(Vertices[Eigenvector Centrality], "&gt;= " &amp; N9) - COUNTIF(Vertices[Eigenvector Centrality], "&gt;=" &amp; N10)</f>
        <v>1</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D10" s="34">
        <f t="shared" si="1"/>
        <v>0</v>
      </c>
      <c r="E10" s="3">
        <f>COUNTIF(Vertices[Degree], "&gt;= " &amp; D10) - COUNTIF(Vertices[Degree], "&gt;=" &amp; D11)</f>
        <v>0</v>
      </c>
      <c r="F10" s="39">
        <f t="shared" si="2"/>
        <v>2.4117647058823528</v>
      </c>
      <c r="G10" s="40">
        <f>COUNTIF(Vertices[In-Degree], "&gt;= " &amp; F10) - COUNTIF(Vertices[In-Degree], "&gt;=" &amp; F11)</f>
        <v>0</v>
      </c>
      <c r="H10" s="39">
        <f t="shared" si="3"/>
        <v>13.411764705882351</v>
      </c>
      <c r="I10" s="40">
        <f>COUNTIF(Vertices[Out-Degree], "&gt;= " &amp; H10) - COUNTIF(Vertices[Out-Degree], "&gt;=" &amp; H11)</f>
        <v>1</v>
      </c>
      <c r="J10" s="39">
        <f t="shared" si="4"/>
        <v>1804.8235294117644</v>
      </c>
      <c r="K10" s="40">
        <f>COUNTIF(Vertices[Betweenness Centrality], "&gt;= " &amp; J10) - COUNTIF(Vertices[Betweenness Centrality], "&gt;=" &amp; J11)</f>
        <v>1</v>
      </c>
      <c r="L10" s="39">
        <f t="shared" si="5"/>
        <v>0.36261958823529405</v>
      </c>
      <c r="M10" s="40">
        <f>COUNTIF(Vertices[Closeness Centrality], "&gt;= " &amp; L10) - COUNTIF(Vertices[Closeness Centrality], "&gt;=" &amp; L11)</f>
        <v>18</v>
      </c>
      <c r="N10" s="39">
        <f t="shared" si="6"/>
        <v>0.11880517647058822</v>
      </c>
      <c r="O10" s="40">
        <f>COUNTIF(Vertices[Eigenvector Centrality], "&gt;= " &amp; N10) - COUNTIF(Vertices[Eigenvector Centrality], "&gt;=" &amp; N11)</f>
        <v>3</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D11" s="34">
        <f t="shared" si="1"/>
        <v>0</v>
      </c>
      <c r="E11" s="3">
        <f>COUNTIF(Vertices[Degree], "&gt;= " &amp; D11) - COUNTIF(Vertices[Degree], "&gt;=" &amp; D12)</f>
        <v>0</v>
      </c>
      <c r="F11" s="41">
        <f t="shared" si="2"/>
        <v>2.5882352941176467</v>
      </c>
      <c r="G11" s="42">
        <f>COUNTIF(Vertices[In-Degree], "&gt;= " &amp; F11) - COUNTIF(Vertices[In-Degree], "&gt;=" &amp; F12)</f>
        <v>0</v>
      </c>
      <c r="H11" s="41">
        <f t="shared" si="3"/>
        <v>15.088235294117645</v>
      </c>
      <c r="I11" s="42">
        <f>COUNTIF(Vertices[Out-Degree], "&gt;= " &amp; H11) - COUNTIF(Vertices[Out-Degree], "&gt;=" &amp; H12)</f>
        <v>0</v>
      </c>
      <c r="J11" s="41">
        <f t="shared" si="4"/>
        <v>2030.4264705882349</v>
      </c>
      <c r="K11" s="42">
        <f>COUNTIF(Vertices[Betweenness Centrality], "&gt;= " &amp; J11) - COUNTIF(Vertices[Betweenness Centrality], "&gt;=" &amp; J12)</f>
        <v>0</v>
      </c>
      <c r="L11" s="41">
        <f t="shared" si="5"/>
        <v>0.37448241176470581</v>
      </c>
      <c r="M11" s="42">
        <f>COUNTIF(Vertices[Closeness Centrality], "&gt;= " &amp; L11) - COUNTIF(Vertices[Closeness Centrality], "&gt;=" &amp; L12)</f>
        <v>5</v>
      </c>
      <c r="N11" s="41">
        <f t="shared" si="6"/>
        <v>0.13315582352941174</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D12" s="34">
        <f t="shared" si="1"/>
        <v>0</v>
      </c>
      <c r="E12" s="3">
        <f>COUNTIF(Vertices[Degree], "&gt;= " &amp; D12) - COUNTIF(Vertices[Degree], "&gt;=" &amp; D13)</f>
        <v>0</v>
      </c>
      <c r="F12" s="39">
        <f t="shared" si="2"/>
        <v>2.7647058823529407</v>
      </c>
      <c r="G12" s="40">
        <f>COUNTIF(Vertices[In-Degree], "&gt;= " &amp; F12) - COUNTIF(Vertices[In-Degree], "&gt;=" &amp; F13)</f>
        <v>0</v>
      </c>
      <c r="H12" s="39">
        <f t="shared" si="3"/>
        <v>16.764705882352938</v>
      </c>
      <c r="I12" s="40">
        <f>COUNTIF(Vertices[Out-Degree], "&gt;= " &amp; H12) - COUNTIF(Vertices[Out-Degree], "&gt;=" &amp; H13)</f>
        <v>0</v>
      </c>
      <c r="J12" s="39">
        <f t="shared" si="4"/>
        <v>2256.0294117647054</v>
      </c>
      <c r="K12" s="40">
        <f>COUNTIF(Vertices[Betweenness Centrality], "&gt;= " &amp; J12) - COUNTIF(Vertices[Betweenness Centrality], "&gt;=" &amp; J13)</f>
        <v>0</v>
      </c>
      <c r="L12" s="39">
        <f t="shared" si="5"/>
        <v>0.38634523529411757</v>
      </c>
      <c r="M12" s="40">
        <f>COUNTIF(Vertices[Closeness Centrality], "&gt;= " &amp; L12) - COUNTIF(Vertices[Closeness Centrality], "&gt;=" &amp; L13)</f>
        <v>2</v>
      </c>
      <c r="N12" s="39">
        <f t="shared" si="6"/>
        <v>0.14750647058823527</v>
      </c>
      <c r="O12" s="40">
        <f>COUNTIF(Vertices[Eigenvector Centrality], "&gt;= " &amp; N12) - COUNTIF(Vertices[Eigenvector Centrality], "&gt;=" &amp; N13)</f>
        <v>2</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D13" s="34">
        <f t="shared" si="1"/>
        <v>0</v>
      </c>
      <c r="E13" s="3">
        <f>COUNTIF(Vertices[Degree], "&gt;= " &amp; D13) - COUNTIF(Vertices[Degree], "&gt;=" &amp; D14)</f>
        <v>0</v>
      </c>
      <c r="F13" s="41">
        <f t="shared" si="2"/>
        <v>2.9411764705882346</v>
      </c>
      <c r="G13" s="42">
        <f>COUNTIF(Vertices[In-Degree], "&gt;= " &amp; F13) - COUNTIF(Vertices[In-Degree], "&gt;=" &amp; F14)</f>
        <v>5</v>
      </c>
      <c r="H13" s="41">
        <f t="shared" si="3"/>
        <v>18.441176470588232</v>
      </c>
      <c r="I13" s="42">
        <f>COUNTIF(Vertices[Out-Degree], "&gt;= " &amp; H13) - COUNTIF(Vertices[Out-Degree], "&gt;=" &amp; H14)</f>
        <v>1</v>
      </c>
      <c r="J13" s="41">
        <f t="shared" si="4"/>
        <v>2481.6323529411761</v>
      </c>
      <c r="K13" s="42">
        <f>COUNTIF(Vertices[Betweenness Centrality], "&gt;= " &amp; J13) - COUNTIF(Vertices[Betweenness Centrality], "&gt;=" &amp; J14)</f>
        <v>0</v>
      </c>
      <c r="L13" s="41">
        <f t="shared" si="5"/>
        <v>0.39820805882352933</v>
      </c>
      <c r="M13" s="42">
        <f>COUNTIF(Vertices[Closeness Centrality], "&gt;= " &amp; L13) - COUNTIF(Vertices[Closeness Centrality], "&gt;=" &amp; L14)</f>
        <v>53</v>
      </c>
      <c r="N13" s="41">
        <f t="shared" si="6"/>
        <v>0.16185711764705879</v>
      </c>
      <c r="O13" s="42">
        <f>COUNTIF(Vertices[Eigenvector Centrality], "&gt;= " &amp; N13) - COUNTIF(Vertices[Eigenvector Centrality], "&gt;=" &amp; N14)</f>
        <v>2</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D14" s="34">
        <f t="shared" si="1"/>
        <v>0</v>
      </c>
      <c r="E14" s="3">
        <f>COUNTIF(Vertices[Degree], "&gt;= " &amp; D14) - COUNTIF(Vertices[Degree], "&gt;=" &amp; D15)</f>
        <v>0</v>
      </c>
      <c r="F14" s="39">
        <f t="shared" si="2"/>
        <v>3.1176470588235285</v>
      </c>
      <c r="G14" s="40">
        <f>COUNTIF(Vertices[In-Degree], "&gt;= " &amp; F14) - COUNTIF(Vertices[In-Degree], "&gt;=" &amp; F15)</f>
        <v>0</v>
      </c>
      <c r="H14" s="39">
        <f t="shared" si="3"/>
        <v>20.117647058823525</v>
      </c>
      <c r="I14" s="40">
        <f>COUNTIF(Vertices[Out-Degree], "&gt;= " &amp; H14) - COUNTIF(Vertices[Out-Degree], "&gt;=" &amp; H15)</f>
        <v>0</v>
      </c>
      <c r="J14" s="39">
        <f t="shared" si="4"/>
        <v>2707.2352941176468</v>
      </c>
      <c r="K14" s="40">
        <f>COUNTIF(Vertices[Betweenness Centrality], "&gt;= " &amp; J14) - COUNTIF(Vertices[Betweenness Centrality], "&gt;=" &amp; J15)</f>
        <v>0</v>
      </c>
      <c r="L14" s="39">
        <f t="shared" si="5"/>
        <v>0.41007088235294109</v>
      </c>
      <c r="M14" s="40">
        <f>COUNTIF(Vertices[Closeness Centrality], "&gt;= " &amp; L14) - COUNTIF(Vertices[Closeness Centrality], "&gt;=" &amp; L15)</f>
        <v>0</v>
      </c>
      <c r="N14" s="39">
        <f t="shared" si="6"/>
        <v>0.17620776470588231</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D15" s="34">
        <f t="shared" si="1"/>
        <v>0</v>
      </c>
      <c r="E15" s="3">
        <f>COUNTIF(Vertices[Degree], "&gt;= " &amp; D15) - COUNTIF(Vertices[Degree], "&gt;=" &amp; D16)</f>
        <v>0</v>
      </c>
      <c r="F15" s="41">
        <f t="shared" si="2"/>
        <v>3.2941176470588225</v>
      </c>
      <c r="G15" s="42">
        <f>COUNTIF(Vertices[In-Degree], "&gt;= " &amp; F15) - COUNTIF(Vertices[In-Degree], "&gt;=" &amp; F16)</f>
        <v>0</v>
      </c>
      <c r="H15" s="41">
        <f t="shared" si="3"/>
        <v>21.794117647058819</v>
      </c>
      <c r="I15" s="42">
        <f>COUNTIF(Vertices[Out-Degree], "&gt;= " &amp; H15) - COUNTIF(Vertices[Out-Degree], "&gt;=" &amp; H16)</f>
        <v>0</v>
      </c>
      <c r="J15" s="41">
        <f t="shared" si="4"/>
        <v>2932.8382352941176</v>
      </c>
      <c r="K15" s="42">
        <f>COUNTIF(Vertices[Betweenness Centrality], "&gt;= " &amp; J15) - COUNTIF(Vertices[Betweenness Centrality], "&gt;=" &amp; J16)</f>
        <v>0</v>
      </c>
      <c r="L15" s="41">
        <f t="shared" si="5"/>
        <v>0.42193370588235285</v>
      </c>
      <c r="M15" s="42">
        <f>COUNTIF(Vertices[Closeness Centrality], "&gt;= " &amp; L15) - COUNTIF(Vertices[Closeness Centrality], "&gt;=" &amp; L16)</f>
        <v>0</v>
      </c>
      <c r="N15" s="41">
        <f t="shared" si="6"/>
        <v>0.19055841176470584</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D16" s="34">
        <f t="shared" si="1"/>
        <v>0</v>
      </c>
      <c r="E16" s="3">
        <f>COUNTIF(Vertices[Degree], "&gt;= " &amp; D16) - COUNTIF(Vertices[Degree], "&gt;=" &amp; D17)</f>
        <v>0</v>
      </c>
      <c r="F16" s="39">
        <f t="shared" si="2"/>
        <v>3.4705882352941164</v>
      </c>
      <c r="G16" s="40">
        <f>COUNTIF(Vertices[In-Degree], "&gt;= " &amp; F16) - COUNTIF(Vertices[In-Degree], "&gt;=" &amp; F17)</f>
        <v>0</v>
      </c>
      <c r="H16" s="39">
        <f t="shared" si="3"/>
        <v>23.470588235294112</v>
      </c>
      <c r="I16" s="40">
        <f>COUNTIF(Vertices[Out-Degree], "&gt;= " &amp; H16) - COUNTIF(Vertices[Out-Degree], "&gt;=" &amp; H17)</f>
        <v>0</v>
      </c>
      <c r="J16" s="39">
        <f t="shared" si="4"/>
        <v>3158.4411764705883</v>
      </c>
      <c r="K16" s="40">
        <f>COUNTIF(Vertices[Betweenness Centrality], "&gt;= " &amp; J16) - COUNTIF(Vertices[Betweenness Centrality], "&gt;=" &amp; J17)</f>
        <v>0</v>
      </c>
      <c r="L16" s="39">
        <f t="shared" si="5"/>
        <v>0.43379652941176461</v>
      </c>
      <c r="M16" s="40">
        <f>COUNTIF(Vertices[Closeness Centrality], "&gt;= " &amp; L16) - COUNTIF(Vertices[Closeness Centrality], "&gt;=" &amp; L17)</f>
        <v>0</v>
      </c>
      <c r="N16" s="39">
        <f t="shared" si="6"/>
        <v>0.20490905882352936</v>
      </c>
      <c r="O16" s="40">
        <f>COUNTIF(Vertices[Eigenvector Centrality], "&gt;= " &amp; N16) - COUNTIF(Vertices[Eigenvector Centrality], "&gt;=" &amp; N17)</f>
        <v>1</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4:21" x14ac:dyDescent="0.3">
      <c r="D17" s="34">
        <f t="shared" si="1"/>
        <v>0</v>
      </c>
      <c r="E17" s="3">
        <f>COUNTIF(Vertices[Degree], "&gt;= " &amp; D17) - COUNTIF(Vertices[Degree], "&gt;=" &amp; D18)</f>
        <v>0</v>
      </c>
      <c r="F17" s="41">
        <f t="shared" si="2"/>
        <v>3.6470588235294104</v>
      </c>
      <c r="G17" s="42">
        <f>COUNTIF(Vertices[In-Degree], "&gt;= " &amp; F17) - COUNTIF(Vertices[In-Degree], "&gt;=" &amp; F18)</f>
        <v>0</v>
      </c>
      <c r="H17" s="41">
        <f t="shared" si="3"/>
        <v>25.147058823529406</v>
      </c>
      <c r="I17" s="42">
        <f>COUNTIF(Vertices[Out-Degree], "&gt;= " &amp; H17) - COUNTIF(Vertices[Out-Degree], "&gt;=" &amp; H18)</f>
        <v>0</v>
      </c>
      <c r="J17" s="41">
        <f t="shared" si="4"/>
        <v>3384.044117647059</v>
      </c>
      <c r="K17" s="42">
        <f>COUNTIF(Vertices[Betweenness Centrality], "&gt;= " &amp; J17) - COUNTIF(Vertices[Betweenness Centrality], "&gt;=" &amp; J18)</f>
        <v>0</v>
      </c>
      <c r="L17" s="41">
        <f t="shared" si="5"/>
        <v>0.44565935294117637</v>
      </c>
      <c r="M17" s="42">
        <f>COUNTIF(Vertices[Closeness Centrality], "&gt;= " &amp; L17) - COUNTIF(Vertices[Closeness Centrality], "&gt;=" &amp; L18)</f>
        <v>0</v>
      </c>
      <c r="N17" s="41">
        <f t="shared" si="6"/>
        <v>0.21925970588235288</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4:21" x14ac:dyDescent="0.3">
      <c r="D18" s="34">
        <f t="shared" si="1"/>
        <v>0</v>
      </c>
      <c r="E18" s="3">
        <f>COUNTIF(Vertices[Degree], "&gt;= " &amp; D18) - COUNTIF(Vertices[Degree], "&gt;=" &amp; D19)</f>
        <v>0</v>
      </c>
      <c r="F18" s="39">
        <f t="shared" si="2"/>
        <v>3.8235294117647043</v>
      </c>
      <c r="G18" s="40">
        <f>COUNTIF(Vertices[In-Degree], "&gt;= " &amp; F18) - COUNTIF(Vertices[In-Degree], "&gt;=" &amp; F19)</f>
        <v>0</v>
      </c>
      <c r="H18" s="39">
        <f t="shared" si="3"/>
        <v>26.823529411764699</v>
      </c>
      <c r="I18" s="40">
        <f>COUNTIF(Vertices[Out-Degree], "&gt;= " &amp; H18) - COUNTIF(Vertices[Out-Degree], "&gt;=" &amp; H19)</f>
        <v>0</v>
      </c>
      <c r="J18" s="39">
        <f t="shared" si="4"/>
        <v>3609.6470588235297</v>
      </c>
      <c r="K18" s="40">
        <f>COUNTIF(Vertices[Betweenness Centrality], "&gt;= " &amp; J18) - COUNTIF(Vertices[Betweenness Centrality], "&gt;=" &amp; J19)</f>
        <v>0</v>
      </c>
      <c r="L18" s="39">
        <f t="shared" si="5"/>
        <v>0.45752217647058813</v>
      </c>
      <c r="M18" s="40">
        <f>COUNTIF(Vertices[Closeness Centrality], "&gt;= " &amp; L18) - COUNTIF(Vertices[Closeness Centrality], "&gt;=" &amp; L19)</f>
        <v>0</v>
      </c>
      <c r="N18" s="39">
        <f t="shared" si="6"/>
        <v>0.23361035294117641</v>
      </c>
      <c r="O18" s="40">
        <f>COUNTIF(Vertices[Eigenvector Centrality], "&gt;= " &amp; N18) - COUNTIF(Vertices[Eigenvector Centrality], "&gt;=" &amp; N19)</f>
        <v>1</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4:21" x14ac:dyDescent="0.3">
      <c r="D19" s="34">
        <f t="shared" si="1"/>
        <v>0</v>
      </c>
      <c r="E19" s="3">
        <f>COUNTIF(Vertices[Degree], "&gt;= " &amp; D19) - COUNTIF(Vertices[Degree], "&gt;=" &amp; D20)</f>
        <v>0</v>
      </c>
      <c r="F19" s="41">
        <f t="shared" si="2"/>
        <v>3.9999999999999982</v>
      </c>
      <c r="G19" s="42">
        <f>COUNTIF(Vertices[In-Degree], "&gt;= " &amp; F19) - COUNTIF(Vertices[In-Degree], "&gt;=" &amp; F20)</f>
        <v>5</v>
      </c>
      <c r="H19" s="41">
        <f t="shared" si="3"/>
        <v>28.499999999999993</v>
      </c>
      <c r="I19" s="42">
        <f>COUNTIF(Vertices[Out-Degree], "&gt;= " &amp; H19) - COUNTIF(Vertices[Out-Degree], "&gt;=" &amp; H20)</f>
        <v>0</v>
      </c>
      <c r="J19" s="41">
        <f t="shared" si="4"/>
        <v>3835.2500000000005</v>
      </c>
      <c r="K19" s="42">
        <f>COUNTIF(Vertices[Betweenness Centrality], "&gt;= " &amp; J19) - COUNTIF(Vertices[Betweenness Centrality], "&gt;=" &amp; J20)</f>
        <v>1</v>
      </c>
      <c r="L19" s="41">
        <f t="shared" si="5"/>
        <v>0.46938499999999989</v>
      </c>
      <c r="M19" s="42">
        <f>COUNTIF(Vertices[Closeness Centrality], "&gt;= " &amp; L19) - COUNTIF(Vertices[Closeness Centrality], "&gt;=" &amp; L20)</f>
        <v>3</v>
      </c>
      <c r="N19" s="41">
        <f t="shared" si="6"/>
        <v>0.24796099999999993</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4:21" x14ac:dyDescent="0.3">
      <c r="D20" s="34">
        <f t="shared" si="1"/>
        <v>0</v>
      </c>
      <c r="E20" s="3">
        <f>COUNTIF(Vertices[Degree], "&gt;= " &amp; D20) - COUNTIF(Vertices[Degree], "&gt;=" &amp; D21)</f>
        <v>0</v>
      </c>
      <c r="F20" s="39">
        <f t="shared" si="2"/>
        <v>4.1764705882352926</v>
      </c>
      <c r="G20" s="40">
        <f>COUNTIF(Vertices[In-Degree], "&gt;= " &amp; F20) - COUNTIF(Vertices[In-Degree], "&gt;=" &amp; F21)</f>
        <v>0</v>
      </c>
      <c r="H20" s="39">
        <f t="shared" si="3"/>
        <v>30.176470588235286</v>
      </c>
      <c r="I20" s="40">
        <f>COUNTIF(Vertices[Out-Degree], "&gt;= " &amp; H20) - COUNTIF(Vertices[Out-Degree], "&gt;=" &amp; H21)</f>
        <v>0</v>
      </c>
      <c r="J20" s="39">
        <f t="shared" si="4"/>
        <v>4060.8529411764712</v>
      </c>
      <c r="K20" s="40">
        <f>COUNTIF(Vertices[Betweenness Centrality], "&gt;= " &amp; J20) - COUNTIF(Vertices[Betweenness Centrality], "&gt;=" &amp; J21)</f>
        <v>0</v>
      </c>
      <c r="L20" s="39">
        <f t="shared" si="5"/>
        <v>0.48124782352941164</v>
      </c>
      <c r="M20" s="40">
        <f>COUNTIF(Vertices[Closeness Centrality], "&gt;= " &amp; L20) - COUNTIF(Vertices[Closeness Centrality], "&gt;=" &amp; L21)</f>
        <v>0</v>
      </c>
      <c r="N20" s="39">
        <f t="shared" si="6"/>
        <v>0.26231164705882348</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4:21" x14ac:dyDescent="0.3">
      <c r="D21" s="34">
        <f t="shared" si="1"/>
        <v>0</v>
      </c>
      <c r="E21" s="3">
        <f>COUNTIF(Vertices[Degree], "&gt;= " &amp; D21) - COUNTIF(Vertices[Degree], "&gt;=" &amp; D22)</f>
        <v>0</v>
      </c>
      <c r="F21" s="41">
        <f t="shared" si="2"/>
        <v>4.352941176470587</v>
      </c>
      <c r="G21" s="42">
        <f>COUNTIF(Vertices[In-Degree], "&gt;= " &amp; F21) - COUNTIF(Vertices[In-Degree], "&gt;=" &amp; F22)</f>
        <v>0</v>
      </c>
      <c r="H21" s="41">
        <f t="shared" si="3"/>
        <v>31.85294117647058</v>
      </c>
      <c r="I21" s="42">
        <f>COUNTIF(Vertices[Out-Degree], "&gt;= " &amp; H21) - COUNTIF(Vertices[Out-Degree], "&gt;=" &amp; H22)</f>
        <v>0</v>
      </c>
      <c r="J21" s="41">
        <f t="shared" si="4"/>
        <v>4286.4558823529414</v>
      </c>
      <c r="K21" s="42">
        <f>COUNTIF(Vertices[Betweenness Centrality], "&gt;= " &amp; J21) - COUNTIF(Vertices[Betweenness Centrality], "&gt;=" &amp; J22)</f>
        <v>0</v>
      </c>
      <c r="L21" s="41">
        <f t="shared" si="5"/>
        <v>0.4931106470588234</v>
      </c>
      <c r="M21" s="42">
        <f>COUNTIF(Vertices[Closeness Centrality], "&gt;= " &amp; L21) - COUNTIF(Vertices[Closeness Centrality], "&gt;=" &amp; L22)</f>
        <v>1</v>
      </c>
      <c r="N21" s="41">
        <f t="shared" si="6"/>
        <v>0.27666229411764703</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4:21" x14ac:dyDescent="0.3">
      <c r="D22" s="34">
        <f t="shared" si="1"/>
        <v>0</v>
      </c>
      <c r="E22" s="3">
        <f>COUNTIF(Vertices[Degree], "&gt;= " &amp; D22) - COUNTIF(Vertices[Degree], "&gt;=" &amp; D23)</f>
        <v>0</v>
      </c>
      <c r="F22" s="39">
        <f t="shared" si="2"/>
        <v>4.5294117647058814</v>
      </c>
      <c r="G22" s="40">
        <f>COUNTIF(Vertices[In-Degree], "&gt;= " &amp; F22) - COUNTIF(Vertices[In-Degree], "&gt;=" &amp; F23)</f>
        <v>0</v>
      </c>
      <c r="H22" s="39">
        <f t="shared" si="3"/>
        <v>33.529411764705877</v>
      </c>
      <c r="I22" s="40">
        <f>COUNTIF(Vertices[Out-Degree], "&gt;= " &amp; H22) - COUNTIF(Vertices[Out-Degree], "&gt;=" &amp; H23)</f>
        <v>1</v>
      </c>
      <c r="J22" s="39">
        <f t="shared" si="4"/>
        <v>4512.0588235294117</v>
      </c>
      <c r="K22" s="40">
        <f>COUNTIF(Vertices[Betweenness Centrality], "&gt;= " &amp; J22) - COUNTIF(Vertices[Betweenness Centrality], "&gt;=" &amp; J23)</f>
        <v>0</v>
      </c>
      <c r="L22" s="39">
        <f t="shared" si="5"/>
        <v>0.50497347058823516</v>
      </c>
      <c r="M22" s="40">
        <f>COUNTIF(Vertices[Closeness Centrality], "&gt;= " &amp; L22) - COUNTIF(Vertices[Closeness Centrality], "&gt;=" &amp; L23)</f>
        <v>1</v>
      </c>
      <c r="N22" s="39">
        <f t="shared" si="6"/>
        <v>0.29101294117647059</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4:21" x14ac:dyDescent="0.3">
      <c r="D23" s="34">
        <f t="shared" si="1"/>
        <v>0</v>
      </c>
      <c r="E23" s="3">
        <f>COUNTIF(Vertices[Degree], "&gt;= " &amp; D23) - COUNTIF(Vertices[Degree], "&gt;=" &amp; D24)</f>
        <v>0</v>
      </c>
      <c r="F23" s="41">
        <f t="shared" si="2"/>
        <v>4.7058823529411757</v>
      </c>
      <c r="G23" s="42">
        <f>COUNTIF(Vertices[In-Degree], "&gt;= " &amp; F23) - COUNTIF(Vertices[In-Degree], "&gt;=" &amp; F24)</f>
        <v>0</v>
      </c>
      <c r="H23" s="41">
        <f t="shared" si="3"/>
        <v>35.205882352941174</v>
      </c>
      <c r="I23" s="42">
        <f>COUNTIF(Vertices[Out-Degree], "&gt;= " &amp; H23) - COUNTIF(Vertices[Out-Degree], "&gt;=" &amp; H24)</f>
        <v>0</v>
      </c>
      <c r="J23" s="41">
        <f t="shared" si="4"/>
        <v>4737.661764705882</v>
      </c>
      <c r="K23" s="42">
        <f>COUNTIF(Vertices[Betweenness Centrality], "&gt;= " &amp; J23) - COUNTIF(Vertices[Betweenness Centrality], "&gt;=" &amp; J24)</f>
        <v>0</v>
      </c>
      <c r="L23" s="41">
        <f t="shared" si="5"/>
        <v>0.51683629411764698</v>
      </c>
      <c r="M23" s="42">
        <f>COUNTIF(Vertices[Closeness Centrality], "&gt;= " &amp; L23) - COUNTIF(Vertices[Closeness Centrality], "&gt;=" &amp; L24)</f>
        <v>1</v>
      </c>
      <c r="N23" s="41">
        <f t="shared" si="6"/>
        <v>0.30536358823529414</v>
      </c>
      <c r="O23" s="42">
        <f>COUNTIF(Vertices[Eigenvector Centrality], "&gt;= " &amp; N23) - COUNTIF(Vertices[Eigenvector Centrality], "&gt;=" &amp; N24)</f>
        <v>1</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4:21" x14ac:dyDescent="0.3">
      <c r="D24" s="34">
        <f t="shared" si="1"/>
        <v>0</v>
      </c>
      <c r="E24" s="3">
        <f>COUNTIF(Vertices[Degree], "&gt;= " &amp; D24) - COUNTIF(Vertices[Degree], "&gt;=" &amp; D25)</f>
        <v>0</v>
      </c>
      <c r="F24" s="39">
        <f t="shared" si="2"/>
        <v>4.8823529411764701</v>
      </c>
      <c r="G24" s="40">
        <f>COUNTIF(Vertices[In-Degree], "&gt;= " &amp; F24) - COUNTIF(Vertices[In-Degree], "&gt;=" &amp; F25)</f>
        <v>0</v>
      </c>
      <c r="H24" s="39">
        <f t="shared" si="3"/>
        <v>36.882352941176471</v>
      </c>
      <c r="I24" s="40">
        <f>COUNTIF(Vertices[Out-Degree], "&gt;= " &amp; H24) - COUNTIF(Vertices[Out-Degree], "&gt;=" &amp; H25)</f>
        <v>0</v>
      </c>
      <c r="J24" s="39">
        <f t="shared" si="4"/>
        <v>4963.2647058823522</v>
      </c>
      <c r="K24" s="40">
        <f>COUNTIF(Vertices[Betweenness Centrality], "&gt;= " &amp; J24) - COUNTIF(Vertices[Betweenness Centrality], "&gt;=" &amp; J25)</f>
        <v>0</v>
      </c>
      <c r="L24" s="39">
        <f t="shared" si="5"/>
        <v>0.52869911764705879</v>
      </c>
      <c r="M24" s="40">
        <f>COUNTIF(Vertices[Closeness Centrality], "&gt;= " &amp; L24) - COUNTIF(Vertices[Closeness Centrality], "&gt;=" &amp; L25)</f>
        <v>0</v>
      </c>
      <c r="N24" s="39">
        <f t="shared" si="6"/>
        <v>0.31971423529411769</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4:21" x14ac:dyDescent="0.3">
      <c r="D25" s="34">
        <f t="shared" si="1"/>
        <v>0</v>
      </c>
      <c r="E25" s="3">
        <f>COUNTIF(Vertices[Degree], "&gt;= " &amp; D25) - COUNTIF(Vertices[Degree], "&gt;=" &amp; D26)</f>
        <v>0</v>
      </c>
      <c r="F25" s="41">
        <f t="shared" si="2"/>
        <v>5.0588235294117645</v>
      </c>
      <c r="G25" s="42">
        <f>COUNTIF(Vertices[In-Degree], "&gt;= " &amp; F25) - COUNTIF(Vertices[In-Degree], "&gt;=" &amp; F26)</f>
        <v>0</v>
      </c>
      <c r="H25" s="41">
        <f t="shared" si="3"/>
        <v>38.558823529411768</v>
      </c>
      <c r="I25" s="42">
        <f>COUNTIF(Vertices[Out-Degree], "&gt;= " &amp; H25) - COUNTIF(Vertices[Out-Degree], "&gt;=" &amp; H26)</f>
        <v>0</v>
      </c>
      <c r="J25" s="41">
        <f t="shared" si="4"/>
        <v>5188.8676470588225</v>
      </c>
      <c r="K25" s="42">
        <f>COUNTIF(Vertices[Betweenness Centrality], "&gt;= " &amp; J25) - COUNTIF(Vertices[Betweenness Centrality], "&gt;=" &amp; J26)</f>
        <v>0</v>
      </c>
      <c r="L25" s="41">
        <f t="shared" si="5"/>
        <v>0.54056194117647061</v>
      </c>
      <c r="M25" s="42">
        <f>COUNTIF(Vertices[Closeness Centrality], "&gt;= " &amp; L25) - COUNTIF(Vertices[Closeness Centrality], "&gt;=" &amp; L26)</f>
        <v>1</v>
      </c>
      <c r="N25" s="41">
        <f t="shared" si="6"/>
        <v>0.33406488235294124</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4:21" x14ac:dyDescent="0.3">
      <c r="D26" s="34">
        <f t="shared" si="1"/>
        <v>0</v>
      </c>
      <c r="E26" s="3">
        <f>COUNTIF(Vertices[Degree], "&gt;= " &amp; D26) - COUNTIF(Vertices[Degree], "&gt;=" &amp; D27)</f>
        <v>0</v>
      </c>
      <c r="F26" s="39">
        <f t="shared" si="2"/>
        <v>5.2352941176470589</v>
      </c>
      <c r="G26" s="40">
        <f>COUNTIF(Vertices[In-Degree], "&gt;= " &amp; F26) - COUNTIF(Vertices[In-Degree], "&gt;=" &amp; F27)</f>
        <v>0</v>
      </c>
      <c r="H26" s="39">
        <f t="shared" si="3"/>
        <v>40.235294117647065</v>
      </c>
      <c r="I26" s="40">
        <f>COUNTIF(Vertices[Out-Degree], "&gt;= " &amp; H26) - COUNTIF(Vertices[Out-Degree], "&gt;=" &amp; H27)</f>
        <v>0</v>
      </c>
      <c r="J26" s="39">
        <f t="shared" si="4"/>
        <v>5414.4705882352928</v>
      </c>
      <c r="K26" s="40">
        <f>COUNTIF(Vertices[Betweenness Centrality], "&gt;= " &amp; J26) - COUNTIF(Vertices[Betweenness Centrality], "&gt;=" &amp; J27)</f>
        <v>0</v>
      </c>
      <c r="L26" s="39">
        <f t="shared" si="5"/>
        <v>0.55242476470588242</v>
      </c>
      <c r="M26" s="40">
        <f>COUNTIF(Vertices[Closeness Centrality], "&gt;= " &amp; L26) - COUNTIF(Vertices[Closeness Centrality], "&gt;=" &amp; L27)</f>
        <v>0</v>
      </c>
      <c r="N26" s="39">
        <f t="shared" si="6"/>
        <v>0.34841552941176479</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ref="U26:U35" ca="1" si="10">COUNTIF(INDIRECT(DynamicFilterSourceColumnRange), "&gt;= " &amp; T26) - COUNTIF(INDIRECT(DynamicFilterSourceColumnRange), "&gt;=" &amp; T27)</f>
        <v>#REF!</v>
      </c>
    </row>
    <row r="27" spans="4:21" x14ac:dyDescent="0.3">
      <c r="D27" s="34">
        <f t="shared" si="1"/>
        <v>0</v>
      </c>
      <c r="E27" s="3">
        <f>COUNTIF(Vertices[Degree], "&gt;= " &amp; D27) - COUNTIF(Vertices[Degree], "&gt;=" &amp; D28)</f>
        <v>0</v>
      </c>
      <c r="F27" s="41">
        <f t="shared" si="2"/>
        <v>5.4117647058823533</v>
      </c>
      <c r="G27" s="42">
        <f>COUNTIF(Vertices[In-Degree], "&gt;= " &amp; F27) - COUNTIF(Vertices[In-Degree], "&gt;=" &amp; F28)</f>
        <v>0</v>
      </c>
      <c r="H27" s="41">
        <f t="shared" si="3"/>
        <v>41.911764705882362</v>
      </c>
      <c r="I27" s="42">
        <f>COUNTIF(Vertices[Out-Degree], "&gt;= " &amp; H27) - COUNTIF(Vertices[Out-Degree], "&gt;=" &amp; H28)</f>
        <v>0</v>
      </c>
      <c r="J27" s="41">
        <f t="shared" si="4"/>
        <v>5640.073529411763</v>
      </c>
      <c r="K27" s="42">
        <f>COUNTIF(Vertices[Betweenness Centrality], "&gt;= " &amp; J27) - COUNTIF(Vertices[Betweenness Centrality], "&gt;=" &amp; J28)</f>
        <v>0</v>
      </c>
      <c r="L27" s="41">
        <f t="shared" si="5"/>
        <v>0.56428758823529424</v>
      </c>
      <c r="M27" s="42">
        <f>COUNTIF(Vertices[Closeness Centrality], "&gt;= " &amp; L27) - COUNTIF(Vertices[Closeness Centrality], "&gt;=" &amp; L28)</f>
        <v>0</v>
      </c>
      <c r="N27" s="41">
        <f t="shared" si="6"/>
        <v>0.36276617647058834</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10"/>
        <v>#REF!</v>
      </c>
    </row>
    <row r="28" spans="4:21" x14ac:dyDescent="0.3">
      <c r="D28" s="34">
        <f t="shared" si="1"/>
        <v>0</v>
      </c>
      <c r="E28" s="3">
        <f>COUNTIF(Vertices[Degree], "&gt;= " &amp; D28) - COUNTIF(Vertices[Degree], "&gt;=" &amp; D29)</f>
        <v>0</v>
      </c>
      <c r="F28" s="39">
        <f t="shared" si="2"/>
        <v>5.5882352941176476</v>
      </c>
      <c r="G28" s="40">
        <f>COUNTIF(Vertices[In-Degree], "&gt;= " &amp; F28) - COUNTIF(Vertices[In-Degree], "&gt;=" &amp; F29)</f>
        <v>0</v>
      </c>
      <c r="H28" s="39">
        <f t="shared" si="3"/>
        <v>43.588235294117659</v>
      </c>
      <c r="I28" s="40">
        <f>COUNTIF(Vertices[Out-Degree], "&gt;= " &amp; H28) - COUNTIF(Vertices[Out-Degree], "&gt;=" &amp; H29)</f>
        <v>0</v>
      </c>
      <c r="J28" s="39">
        <f t="shared" si="4"/>
        <v>5865.6764705882333</v>
      </c>
      <c r="K28" s="40">
        <f>COUNTIF(Vertices[Betweenness Centrality], "&gt;= " &amp; J28) - COUNTIF(Vertices[Betweenness Centrality], "&gt;=" &amp; J29)</f>
        <v>0</v>
      </c>
      <c r="L28" s="39">
        <f t="shared" si="5"/>
        <v>0.57615041176470605</v>
      </c>
      <c r="M28" s="40">
        <f>COUNTIF(Vertices[Closeness Centrality], "&gt;= " &amp; L28) - COUNTIF(Vertices[Closeness Centrality], "&gt;=" &amp; L29)</f>
        <v>0</v>
      </c>
      <c r="N28" s="39">
        <f t="shared" si="6"/>
        <v>0.37711682352941189</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10"/>
        <v>#REF!</v>
      </c>
    </row>
    <row r="29" spans="4:21" x14ac:dyDescent="0.3">
      <c r="D29" s="34">
        <f t="shared" si="1"/>
        <v>0</v>
      </c>
      <c r="E29" s="3">
        <f>COUNTIF(Vertices[Degree], "&gt;= " &amp; D29) - COUNTIF(Vertices[Degree], "&gt;=" &amp; D30)</f>
        <v>0</v>
      </c>
      <c r="F29" s="41">
        <f t="shared" si="2"/>
        <v>5.764705882352942</v>
      </c>
      <c r="G29" s="42">
        <f>COUNTIF(Vertices[In-Degree], "&gt;= " &amp; F29) - COUNTIF(Vertices[In-Degree], "&gt;=" &amp; F30)</f>
        <v>0</v>
      </c>
      <c r="H29" s="41">
        <f t="shared" si="3"/>
        <v>45.264705882352956</v>
      </c>
      <c r="I29" s="42">
        <f>COUNTIF(Vertices[Out-Degree], "&gt;= " &amp; H29) - COUNTIF(Vertices[Out-Degree], "&gt;=" &amp; H30)</f>
        <v>0</v>
      </c>
      <c r="J29" s="41">
        <f t="shared" si="4"/>
        <v>6091.2794117647036</v>
      </c>
      <c r="K29" s="42">
        <f>COUNTIF(Vertices[Betweenness Centrality], "&gt;= " &amp; J29) - COUNTIF(Vertices[Betweenness Centrality], "&gt;=" &amp; J30)</f>
        <v>0</v>
      </c>
      <c r="L29" s="41">
        <f t="shared" si="5"/>
        <v>0.58801323529411786</v>
      </c>
      <c r="M29" s="42">
        <f>COUNTIF(Vertices[Closeness Centrality], "&gt;= " &amp; L29) - COUNTIF(Vertices[Closeness Centrality], "&gt;=" &amp; L30)</f>
        <v>1</v>
      </c>
      <c r="N29" s="41">
        <f t="shared" si="6"/>
        <v>0.39146747058823544</v>
      </c>
      <c r="O29" s="42">
        <f>COUNTIF(Vertices[Eigenvector Centrality], "&gt;= " &amp; N29) - COUNTIF(Vertices[Eigenvector Centrality], "&gt;=" &amp; N30)</f>
        <v>1</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10"/>
        <v>#REF!</v>
      </c>
    </row>
    <row r="30" spans="4:21" x14ac:dyDescent="0.3">
      <c r="D30" s="34">
        <f t="shared" si="1"/>
        <v>0</v>
      </c>
      <c r="E30" s="3">
        <f>COUNTIF(Vertices[Degree], "&gt;= " &amp; D30) - COUNTIF(Vertices[Degree], "&gt;=" &amp; D31)</f>
        <v>0</v>
      </c>
      <c r="F30" s="39">
        <f t="shared" si="2"/>
        <v>5.9411764705882364</v>
      </c>
      <c r="G30" s="40">
        <f>COUNTIF(Vertices[In-Degree], "&gt;= " &amp; F30) - COUNTIF(Vertices[In-Degree], "&gt;=" &amp; F31)</f>
        <v>1</v>
      </c>
      <c r="H30" s="39">
        <f t="shared" si="3"/>
        <v>46.941176470588253</v>
      </c>
      <c r="I30" s="40">
        <f>COUNTIF(Vertices[Out-Degree], "&gt;= " &amp; H30) - COUNTIF(Vertices[Out-Degree], "&gt;=" &amp; H31)</f>
        <v>0</v>
      </c>
      <c r="J30" s="39">
        <f t="shared" si="4"/>
        <v>6316.8823529411738</v>
      </c>
      <c r="K30" s="40">
        <f>COUNTIF(Vertices[Betweenness Centrality], "&gt;= " &amp; J30) - COUNTIF(Vertices[Betweenness Centrality], "&gt;=" &amp; J31)</f>
        <v>0</v>
      </c>
      <c r="L30" s="39">
        <f t="shared" si="5"/>
        <v>0.59987605882352968</v>
      </c>
      <c r="M30" s="40">
        <f>COUNTIF(Vertices[Closeness Centrality], "&gt;= " &amp; L30) - COUNTIF(Vertices[Closeness Centrality], "&gt;=" &amp; L31)</f>
        <v>0</v>
      </c>
      <c r="N30" s="39">
        <f t="shared" si="6"/>
        <v>0.405818117647059</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10"/>
        <v>#REF!</v>
      </c>
    </row>
    <row r="31" spans="4:21" x14ac:dyDescent="0.3">
      <c r="D31" s="34">
        <f t="shared" si="1"/>
        <v>0</v>
      </c>
      <c r="E31" s="3">
        <f>COUNTIF(Vertices[Degree], "&gt;= " &amp; D31) - COUNTIF(Vertices[Degree], "&gt;=" &amp; D32)</f>
        <v>0</v>
      </c>
      <c r="F31" s="41">
        <f t="shared" si="2"/>
        <v>6.1176470588235308</v>
      </c>
      <c r="G31" s="42">
        <f>COUNTIF(Vertices[In-Degree], "&gt;= " &amp; F31) - COUNTIF(Vertices[In-Degree], "&gt;=" &amp; F32)</f>
        <v>0</v>
      </c>
      <c r="H31" s="41">
        <f t="shared" si="3"/>
        <v>48.61764705882355</v>
      </c>
      <c r="I31" s="42">
        <f>COUNTIF(Vertices[Out-Degree], "&gt;= " &amp; H31) - COUNTIF(Vertices[Out-Degree], "&gt;=" &amp; H32)</f>
        <v>0</v>
      </c>
      <c r="J31" s="41">
        <f t="shared" si="4"/>
        <v>6542.4852941176441</v>
      </c>
      <c r="K31" s="42">
        <f>COUNTIF(Vertices[Betweenness Centrality], "&gt;= " &amp; J31) - COUNTIF(Vertices[Betweenness Centrality], "&gt;=" &amp; J32)</f>
        <v>0</v>
      </c>
      <c r="L31" s="41">
        <f t="shared" si="5"/>
        <v>0.61173888235294149</v>
      </c>
      <c r="M31" s="42">
        <f>COUNTIF(Vertices[Closeness Centrality], "&gt;= " &amp; L31) - COUNTIF(Vertices[Closeness Centrality], "&gt;=" &amp; L32)</f>
        <v>0</v>
      </c>
      <c r="N31" s="41">
        <f t="shared" si="6"/>
        <v>0.42016876470588255</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10"/>
        <v>#REF!</v>
      </c>
    </row>
    <row r="32" spans="4:21" x14ac:dyDescent="0.3">
      <c r="D32" s="34">
        <f t="shared" si="1"/>
        <v>0</v>
      </c>
      <c r="E32" s="3">
        <f>COUNTIF(Vertices[Degree], "&gt;= " &amp; D32) - COUNTIF(Vertices[Degree], "&gt;=" &amp; D33)</f>
        <v>0</v>
      </c>
      <c r="F32" s="39">
        <f t="shared" si="2"/>
        <v>6.2941176470588251</v>
      </c>
      <c r="G32" s="40">
        <f>COUNTIF(Vertices[In-Degree], "&gt;= " &amp; F32) - COUNTIF(Vertices[In-Degree], "&gt;=" &amp; F33)</f>
        <v>0</v>
      </c>
      <c r="H32" s="39">
        <f t="shared" si="3"/>
        <v>50.294117647058847</v>
      </c>
      <c r="I32" s="40">
        <f>COUNTIF(Vertices[Out-Degree], "&gt;= " &amp; H32) - COUNTIF(Vertices[Out-Degree], "&gt;=" &amp; H33)</f>
        <v>0</v>
      </c>
      <c r="J32" s="39">
        <f t="shared" si="4"/>
        <v>6768.0882352941144</v>
      </c>
      <c r="K32" s="40">
        <f>COUNTIF(Vertices[Betweenness Centrality], "&gt;= " &amp; J32) - COUNTIF(Vertices[Betweenness Centrality], "&gt;=" &amp; J33)</f>
        <v>0</v>
      </c>
      <c r="L32" s="39">
        <f t="shared" si="5"/>
        <v>0.62360170588235331</v>
      </c>
      <c r="M32" s="40">
        <f>COUNTIF(Vertices[Closeness Centrality], "&gt;= " &amp; L32) - COUNTIF(Vertices[Closeness Centrality], "&gt;=" &amp; L33)</f>
        <v>0</v>
      </c>
      <c r="N32" s="39">
        <f t="shared" si="6"/>
        <v>0.4345194117647061</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10"/>
        <v>#REF!</v>
      </c>
    </row>
    <row r="33" spans="4:21" x14ac:dyDescent="0.3">
      <c r="D33" s="34">
        <f t="shared" si="1"/>
        <v>0</v>
      </c>
      <c r="E33" s="3">
        <f>COUNTIF(Vertices[Degree], "&gt;= " &amp; D33) - COUNTIF(Vertices[Degree], "&gt;=" &amp; D34)</f>
        <v>0</v>
      </c>
      <c r="F33" s="41">
        <f t="shared" si="2"/>
        <v>6.4705882352941195</v>
      </c>
      <c r="G33" s="42">
        <f>COUNTIF(Vertices[In-Degree], "&gt;= " &amp; F33) - COUNTIF(Vertices[In-Degree], "&gt;=" &amp; F34)</f>
        <v>0</v>
      </c>
      <c r="H33" s="41">
        <f t="shared" si="3"/>
        <v>51.970588235294144</v>
      </c>
      <c r="I33" s="42">
        <f>COUNTIF(Vertices[Out-Degree], "&gt;= " &amp; H33) - COUNTIF(Vertices[Out-Degree], "&gt;=" &amp; H34)</f>
        <v>0</v>
      </c>
      <c r="J33" s="41">
        <f t="shared" si="4"/>
        <v>6993.6911764705847</v>
      </c>
      <c r="K33" s="42">
        <f>COUNTIF(Vertices[Betweenness Centrality], "&gt;= " &amp; J33) - COUNTIF(Vertices[Betweenness Centrality], "&gt;=" &amp; J34)</f>
        <v>0</v>
      </c>
      <c r="L33" s="41">
        <f t="shared" si="5"/>
        <v>0.63546452941176512</v>
      </c>
      <c r="M33" s="42">
        <f>COUNTIF(Vertices[Closeness Centrality], "&gt;= " &amp; L33) - COUNTIF(Vertices[Closeness Centrality], "&gt;=" &amp; L34)</f>
        <v>0</v>
      </c>
      <c r="N33" s="41">
        <f t="shared" si="6"/>
        <v>0.44887005882352965</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10"/>
        <v>#REF!</v>
      </c>
    </row>
    <row r="34" spans="4:21" x14ac:dyDescent="0.3">
      <c r="D34" s="34">
        <f t="shared" si="1"/>
        <v>0</v>
      </c>
      <c r="E34" s="3">
        <f>COUNTIF(Vertices[Degree], "&gt;= " &amp; D34) - COUNTIF(Vertices[Degree], "&gt;=" &amp; D35)</f>
        <v>0</v>
      </c>
      <c r="F34" s="39">
        <f t="shared" si="2"/>
        <v>6.6470588235294139</v>
      </c>
      <c r="G34" s="40">
        <f>COUNTIF(Vertices[In-Degree], "&gt;= " &amp; F34) - COUNTIF(Vertices[In-Degree], "&gt;=" &amp; F35)</f>
        <v>0</v>
      </c>
      <c r="H34" s="39">
        <f t="shared" si="3"/>
        <v>53.647058823529441</v>
      </c>
      <c r="I34" s="40">
        <f>COUNTIF(Vertices[Out-Degree], "&gt;= " &amp; H34) - COUNTIF(Vertices[Out-Degree], "&gt;=" &amp; H35)</f>
        <v>0</v>
      </c>
      <c r="J34" s="39">
        <f t="shared" si="4"/>
        <v>7219.2941176470549</v>
      </c>
      <c r="K34" s="40">
        <f>COUNTIF(Vertices[Betweenness Centrality], "&gt;= " &amp; J34) - COUNTIF(Vertices[Betweenness Centrality], "&gt;=" &amp; J35)</f>
        <v>0</v>
      </c>
      <c r="L34" s="39">
        <f t="shared" si="5"/>
        <v>0.64732735294117694</v>
      </c>
      <c r="M34" s="40">
        <f>COUNTIF(Vertices[Closeness Centrality], "&gt;= " &amp; L34) - COUNTIF(Vertices[Closeness Centrality], "&gt;=" &amp; L35)</f>
        <v>0</v>
      </c>
      <c r="N34" s="39">
        <f t="shared" si="6"/>
        <v>0.4632207058823532</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10"/>
        <v>#REF!</v>
      </c>
    </row>
    <row r="35" spans="4:21" x14ac:dyDescent="0.3">
      <c r="D35" s="34">
        <f t="shared" si="1"/>
        <v>0</v>
      </c>
      <c r="E35" s="3">
        <f>COUNTIF(Vertices[Degree], "&gt;= " &amp; D35) - COUNTIF(Vertices[Degree], "&gt;=" &amp; D36)</f>
        <v>0</v>
      </c>
      <c r="F35" s="41">
        <f t="shared" si="2"/>
        <v>6.8235294117647083</v>
      </c>
      <c r="G35" s="42">
        <f>COUNTIF(Vertices[In-Degree], "&gt;= " &amp; F35) - COUNTIF(Vertices[In-Degree], "&gt;=" &amp; F36)</f>
        <v>0</v>
      </c>
      <c r="H35" s="41">
        <f t="shared" si="3"/>
        <v>55.323529411764738</v>
      </c>
      <c r="I35" s="42">
        <f>COUNTIF(Vertices[Out-Degree], "&gt;= " &amp; H35) - COUNTIF(Vertices[Out-Degree], "&gt;=" &amp; H36)</f>
        <v>0</v>
      </c>
      <c r="J35" s="41">
        <f t="shared" si="4"/>
        <v>7444.8970588235252</v>
      </c>
      <c r="K35" s="42">
        <f>COUNTIF(Vertices[Betweenness Centrality], "&gt;= " &amp; J35) - COUNTIF(Vertices[Betweenness Centrality], "&gt;=" &amp; J36)</f>
        <v>0</v>
      </c>
      <c r="L35" s="41">
        <f t="shared" si="5"/>
        <v>0.65919017647058875</v>
      </c>
      <c r="M35" s="42">
        <f>COUNTIF(Vertices[Closeness Centrality], "&gt;= " &amp; L35) - COUNTIF(Vertices[Closeness Centrality], "&gt;=" &amp; L36)</f>
        <v>0</v>
      </c>
      <c r="N35" s="41">
        <f t="shared" si="6"/>
        <v>0.47757135294117675</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10"/>
        <v>#REF!</v>
      </c>
    </row>
    <row r="36" spans="4:21" x14ac:dyDescent="0.3">
      <c r="D36" s="34">
        <f>MAX(Vertices[Degree])</f>
        <v>0</v>
      </c>
      <c r="E36" s="3">
        <f>COUNTIF(Vertices[Degree], "&gt;= " &amp; D36) - COUNTIF(Vertices[Degree], "&gt;=" &amp;#REF!)</f>
        <v>0</v>
      </c>
      <c r="F36" s="43">
        <f>MAX(Vertices[In-Degree])</f>
        <v>7</v>
      </c>
      <c r="G36" s="44">
        <f>COUNTIF(Vertices[In-Degree], "&gt;= " &amp; F36) - COUNTIF(Vertices[In-Degree], "&gt;=" &amp;#REF!)</f>
        <v>1</v>
      </c>
      <c r="H36" s="43">
        <f>MAX(Vertices[Out-Degree])</f>
        <v>57</v>
      </c>
      <c r="I36" s="44">
        <f>COUNTIF(Vertices[Out-Degree], "&gt;= " &amp; H36) - COUNTIF(Vertices[Out-Degree], "&gt;=" &amp;#REF!)</f>
        <v>1</v>
      </c>
      <c r="J36" s="43">
        <f>MAX(Vertices[Betweenness Centrality])</f>
        <v>7670.5</v>
      </c>
      <c r="K36" s="44">
        <f>COUNTIF(Vertices[Betweenness Centrality], "&gt;= " &amp; J36) - COUNTIF(Vertices[Betweenness Centrality], "&gt;=" &amp;#REF!)</f>
        <v>1</v>
      </c>
      <c r="L36" s="43">
        <f>MAX(Vertices[Closeness Centrality])</f>
        <v>0.67105300000000001</v>
      </c>
      <c r="M36" s="44">
        <f>COUNTIF(Vertices[Closeness Centrality], "&gt;= " &amp; L36) - COUNTIF(Vertices[Closeness Centrality], "&gt;=" &amp;#REF!)</f>
        <v>1</v>
      </c>
      <c r="N36" s="43">
        <f>MAX(Vertices[Eigenvector Centrality])</f>
        <v>0.49192200000000003</v>
      </c>
      <c r="O36" s="44">
        <f>COUNTIF(Vertices[Eigenvector Centrality], "&gt;= " &amp; N36) - COUNTIF(Vertices[Eigenvector Centrality], "&gt;=" &amp;#REF!)</f>
        <v>1</v>
      </c>
      <c r="P36" s="43">
        <f>MAX(Vertices[PageRank])</f>
        <v>0</v>
      </c>
      <c r="Q36" s="44">
        <f>COUNTIF(Vertices[PageRank], "&gt;= " &amp; P36) - COUNTIF(Vertices[PageRank], "&gt;=" &amp;#REF!)</f>
        <v>0</v>
      </c>
      <c r="R36" s="43">
        <f>MAX(Vertices[Clustering Coefficient])</f>
        <v>0</v>
      </c>
      <c r="S36" s="47">
        <f>COUNTIF(Vertices[Clustering Coefficient], "&gt;= " &amp; R36) - COUNTIF(Vertices[Clustering Coefficient], "&gt;=" &amp;#REF!)</f>
        <v>0</v>
      </c>
      <c r="T36" s="43" t="e">
        <f ca="1">MAX(INDIRECT(DynamicFilterSourceColumnRange))</f>
        <v>#REF!</v>
      </c>
      <c r="U36" s="44" t="e">
        <f ca="1">COUNTIF(INDIRECT(DynamicFilterSourceColumnRange), "&gt;= " &amp; T36) - COUNTIF(INDIRECT(DynamicFilterSourceColumnRange), "&gt;=" &amp;#REF!)</f>
        <v>#REF!</v>
      </c>
    </row>
    <row r="53" spans="1:2" x14ac:dyDescent="0.3">
      <c r="A53" t="s">
        <v>163</v>
      </c>
      <c r="B53" t="s">
        <v>17</v>
      </c>
    </row>
    <row r="54" spans="1:2" x14ac:dyDescent="0.3">
      <c r="A54" s="35"/>
      <c r="B54" s="35"/>
    </row>
    <row r="67" spans="1:2" x14ac:dyDescent="0.3">
      <c r="A67" s="35" t="s">
        <v>81</v>
      </c>
      <c r="B67" s="48" t="str">
        <f>IF(COUNT(Vertices[Degree])&gt;0, D2, NoMetricMessage)</f>
        <v>Not Available</v>
      </c>
    </row>
    <row r="68" spans="1:2" x14ac:dyDescent="0.3">
      <c r="A68" s="35" t="s">
        <v>82</v>
      </c>
      <c r="B68" s="48" t="str">
        <f>IF(COUNT(Vertices[Degree])&gt;0, D36, NoMetricMessage)</f>
        <v>Not Available</v>
      </c>
    </row>
    <row r="69" spans="1:2" x14ac:dyDescent="0.3">
      <c r="A69" s="35" t="s">
        <v>83</v>
      </c>
      <c r="B69" s="49" t="str">
        <f>IFERROR(AVERAGE(Vertices[Degree]),NoMetricMessage)</f>
        <v>Not Available</v>
      </c>
    </row>
    <row r="70" spans="1:2" x14ac:dyDescent="0.3">
      <c r="A70" s="35" t="s">
        <v>84</v>
      </c>
      <c r="B70" s="49" t="str">
        <f>IFERROR(MEDIAN(Vertices[Degree]),NoMetricMessage)</f>
        <v>Not Available</v>
      </c>
    </row>
    <row r="81" spans="1:2" x14ac:dyDescent="0.3">
      <c r="A81" s="35" t="s">
        <v>88</v>
      </c>
      <c r="B81" s="48">
        <f>IF(COUNT(Vertices[In-Degree])&gt;0, F2, NoMetricMessage)</f>
        <v>1</v>
      </c>
    </row>
    <row r="82" spans="1:2" x14ac:dyDescent="0.3">
      <c r="A82" s="35" t="s">
        <v>89</v>
      </c>
      <c r="B82" s="48">
        <f>IF(COUNT(Vertices[In-Degree])&gt;0, F36, NoMetricMessage)</f>
        <v>7</v>
      </c>
    </row>
    <row r="83" spans="1:2" x14ac:dyDescent="0.3">
      <c r="A83" s="35" t="s">
        <v>90</v>
      </c>
      <c r="B83" s="49">
        <f>IFERROR(AVERAGE(Vertices[In-Degree]),NoMetricMessage)</f>
        <v>1.4077669902912622</v>
      </c>
    </row>
    <row r="84" spans="1:2" x14ac:dyDescent="0.3">
      <c r="A84" s="35" t="s">
        <v>91</v>
      </c>
      <c r="B84" s="49">
        <f>IFERROR(MEDIAN(Vertices[In-Degree]),NoMetricMessage)</f>
        <v>1</v>
      </c>
    </row>
    <row r="95" spans="1:2" x14ac:dyDescent="0.3">
      <c r="A95" s="35" t="s">
        <v>94</v>
      </c>
      <c r="B95" s="48">
        <f>IF(COUNT(Vertices[Out-Degree])&gt;0, H2, NoMetricMessage)</f>
        <v>0</v>
      </c>
    </row>
    <row r="96" spans="1:2" x14ac:dyDescent="0.3">
      <c r="A96" s="35" t="s">
        <v>95</v>
      </c>
      <c r="B96" s="48">
        <f>IF(COUNT(Vertices[Out-Degree])&gt;0, H36, NoMetricMessage)</f>
        <v>57</v>
      </c>
    </row>
    <row r="97" spans="1:2" x14ac:dyDescent="0.3">
      <c r="A97" s="35" t="s">
        <v>96</v>
      </c>
      <c r="B97" s="49">
        <f>IFERROR(AVERAGE(Vertices[Out-Degree]),NoMetricMessage)</f>
        <v>1.4077669902912622</v>
      </c>
    </row>
    <row r="98" spans="1:2" x14ac:dyDescent="0.3">
      <c r="A98" s="35" t="s">
        <v>97</v>
      </c>
      <c r="B98" s="49">
        <f>IFERROR(MEDIAN(Vertices[Out-Degree]),NoMetricMessage)</f>
        <v>0</v>
      </c>
    </row>
    <row r="109" spans="1:2" x14ac:dyDescent="0.3">
      <c r="A109" s="35" t="s">
        <v>100</v>
      </c>
      <c r="B109" s="49">
        <f>IF(COUNT(Vertices[Betweenness Centrality])&gt;0, J2, NoMetricMessage)</f>
        <v>0</v>
      </c>
    </row>
    <row r="110" spans="1:2" x14ac:dyDescent="0.3">
      <c r="A110" s="35" t="s">
        <v>101</v>
      </c>
      <c r="B110" s="49">
        <f>IF(COUNT(Vertices[Betweenness Centrality])&gt;0, J36, NoMetricMessage)</f>
        <v>7670.5</v>
      </c>
    </row>
    <row r="111" spans="1:2" x14ac:dyDescent="0.3">
      <c r="A111" s="35" t="s">
        <v>102</v>
      </c>
      <c r="B111" s="49">
        <f>IFERROR(AVERAGE(Vertices[Betweenness Centrality]),NoMetricMessage)</f>
        <v>160.67961165048544</v>
      </c>
    </row>
    <row r="112" spans="1:2" x14ac:dyDescent="0.3">
      <c r="A112" s="35" t="s">
        <v>103</v>
      </c>
      <c r="B112" s="49">
        <f>IFERROR(MEDIAN(Vertices[Betweenness Centrality]),NoMetricMessage)</f>
        <v>0</v>
      </c>
    </row>
    <row r="123" spans="1:2" x14ac:dyDescent="0.3">
      <c r="A123" s="35" t="s">
        <v>106</v>
      </c>
      <c r="B123" s="49">
        <f>IF(COUNT(Vertices[Closeness Centrality])&gt;0, L2, NoMetricMessage)</f>
        <v>0.26771699999999998</v>
      </c>
    </row>
    <row r="124" spans="1:2" x14ac:dyDescent="0.3">
      <c r="A124" s="35" t="s">
        <v>107</v>
      </c>
      <c r="B124" s="49">
        <f>IF(COUNT(Vertices[Closeness Centrality])&gt;0, L36, NoMetricMessage)</f>
        <v>0.67105300000000001</v>
      </c>
    </row>
    <row r="125" spans="1:2" x14ac:dyDescent="0.3">
      <c r="A125" s="35" t="s">
        <v>108</v>
      </c>
      <c r="B125" s="49">
        <f>IFERROR(AVERAGE(Vertices[Closeness Centrality]),NoMetricMessage)</f>
        <v>0.39540130097087445</v>
      </c>
    </row>
    <row r="126" spans="1:2" x14ac:dyDescent="0.3">
      <c r="A126" s="35" t="s">
        <v>109</v>
      </c>
      <c r="B126" s="49">
        <f>IFERROR(MEDIAN(Vertices[Closeness Centrality]),NoMetricMessage)</f>
        <v>0.40316200000000002</v>
      </c>
    </row>
    <row r="137" spans="1:2" x14ac:dyDescent="0.3">
      <c r="A137" s="35" t="s">
        <v>112</v>
      </c>
      <c r="B137" s="49">
        <f>IF(COUNT(Vertices[Eigenvector Centrality])&gt;0, N2, NoMetricMessage)</f>
        <v>4.0000000000000001E-3</v>
      </c>
    </row>
    <row r="138" spans="1:2" x14ac:dyDescent="0.3">
      <c r="A138" s="35" t="s">
        <v>113</v>
      </c>
      <c r="B138" s="49">
        <f>IF(COUNT(Vertices[Eigenvector Centrality])&gt;0, N36, NoMetricMessage)</f>
        <v>0.49192200000000003</v>
      </c>
    </row>
    <row r="139" spans="1:2" x14ac:dyDescent="0.3">
      <c r="A139" s="35" t="s">
        <v>114</v>
      </c>
      <c r="B139" s="49">
        <f>IFERROR(AVERAGE(Vertices[Eigenvector Centrality]),NoMetricMessage)</f>
        <v>6.9076601941747612E-2</v>
      </c>
    </row>
    <row r="140" spans="1:2" x14ac:dyDescent="0.3">
      <c r="A140" s="35" t="s">
        <v>115</v>
      </c>
      <c r="B140" s="49">
        <f>IFERROR(MEDIAN(Vertices[Eigenvector Centrality]),NoMetricMessage)</f>
        <v>5.4147000000000001E-2</v>
      </c>
    </row>
    <row r="151" spans="1:2" x14ac:dyDescent="0.3">
      <c r="A151" s="35" t="s">
        <v>140</v>
      </c>
      <c r="B151" s="49" t="str">
        <f>IF(COUNT(Vertices[PageRank])&gt;0, P2, NoMetricMessage)</f>
        <v>Not Available</v>
      </c>
    </row>
    <row r="152" spans="1:2" x14ac:dyDescent="0.3">
      <c r="A152" s="35" t="s">
        <v>141</v>
      </c>
      <c r="B152" s="49" t="str">
        <f>IF(COUNT(Vertices[PageRank])&gt;0, P36, NoMetricMessage)</f>
        <v>Not Available</v>
      </c>
    </row>
    <row r="153" spans="1:2" x14ac:dyDescent="0.3">
      <c r="A153" s="35" t="s">
        <v>142</v>
      </c>
      <c r="B153" s="49" t="str">
        <f>IFERROR(AVERAGE(Vertices[PageRank]),NoMetricMessage)</f>
        <v>Not Available</v>
      </c>
    </row>
    <row r="154" spans="1:2" x14ac:dyDescent="0.3">
      <c r="A154" s="35" t="s">
        <v>143</v>
      </c>
      <c r="B154" s="49" t="str">
        <f>IFERROR(MEDIAN(Vertices[PageRank]),NoMetricMessage)</f>
        <v>Not Available</v>
      </c>
    </row>
    <row r="165" spans="1:2" x14ac:dyDescent="0.3">
      <c r="A165" s="35" t="s">
        <v>118</v>
      </c>
      <c r="B165" s="49" t="str">
        <f>IF(COUNT(Vertices[Clustering Coefficient])&gt;0, R2, NoMetricMessage)</f>
        <v>Not Available</v>
      </c>
    </row>
    <row r="166" spans="1:2" x14ac:dyDescent="0.3">
      <c r="A166" s="35" t="s">
        <v>119</v>
      </c>
      <c r="B166" s="49" t="str">
        <f>IF(COUNT(Vertices[Clustering Coefficient])&gt;0, R36, NoMetricMessage)</f>
        <v>Not Available</v>
      </c>
    </row>
    <row r="167" spans="1:2" x14ac:dyDescent="0.3">
      <c r="A167" s="35" t="s">
        <v>120</v>
      </c>
      <c r="B167" s="49" t="str">
        <f>IFERROR(AVERAGE(Vertices[Clustering Coefficient]),NoMetricMessage)</f>
        <v>Not Available</v>
      </c>
    </row>
    <row r="168" spans="1:2" x14ac:dyDescent="0.3">
      <c r="A168" s="35" t="s">
        <v>121</v>
      </c>
      <c r="B168"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
      <c r="A2" s="1" t="s">
        <v>51</v>
      </c>
      <c r="B2" s="1" t="s">
        <v>132</v>
      </c>
      <c r="C2" t="s">
        <v>54</v>
      </c>
      <c r="D2" t="s">
        <v>55</v>
      </c>
      <c r="E2" t="s">
        <v>55</v>
      </c>
      <c r="F2" s="1" t="s">
        <v>51</v>
      </c>
      <c r="G2" t="s">
        <v>65</v>
      </c>
      <c r="H2" t="s">
        <v>159</v>
      </c>
      <c r="J2" t="s">
        <v>19</v>
      </c>
      <c r="K2">
        <v>108</v>
      </c>
    </row>
    <row r="3" spans="1:18" x14ac:dyDescent="0.3">
      <c r="A3" s="1" t="s">
        <v>52</v>
      </c>
      <c r="B3" s="1" t="s">
        <v>133</v>
      </c>
      <c r="C3" t="s">
        <v>52</v>
      </c>
      <c r="D3" t="s">
        <v>56</v>
      </c>
      <c r="E3" t="s">
        <v>56</v>
      </c>
      <c r="F3" s="1" t="s">
        <v>52</v>
      </c>
      <c r="G3" t="s">
        <v>66</v>
      </c>
      <c r="H3" t="s">
        <v>68</v>
      </c>
      <c r="J3" t="s">
        <v>30</v>
      </c>
      <c r="K3" t="s">
        <v>188</v>
      </c>
    </row>
    <row r="4" spans="1:18" x14ac:dyDescent="0.3">
      <c r="A4" s="1" t="s">
        <v>53</v>
      </c>
      <c r="B4" s="1" t="s">
        <v>134</v>
      </c>
      <c r="C4" t="s">
        <v>53</v>
      </c>
      <c r="D4" t="s">
        <v>57</v>
      </c>
      <c r="E4" t="s">
        <v>57</v>
      </c>
      <c r="F4" s="1" t="s">
        <v>53</v>
      </c>
      <c r="G4">
        <v>0</v>
      </c>
      <c r="H4" t="s">
        <v>69</v>
      </c>
      <c r="J4" s="12" t="s">
        <v>78</v>
      </c>
      <c r="K4" s="12"/>
    </row>
    <row r="5" spans="1:18" ht="409.6" x14ac:dyDescent="0.3">
      <c r="A5">
        <v>1</v>
      </c>
      <c r="B5" s="1" t="s">
        <v>135</v>
      </c>
      <c r="C5" t="s">
        <v>51</v>
      </c>
      <c r="D5" t="s">
        <v>58</v>
      </c>
      <c r="E5" t="s">
        <v>58</v>
      </c>
      <c r="F5">
        <v>1</v>
      </c>
      <c r="G5">
        <v>1</v>
      </c>
      <c r="H5" t="s">
        <v>70</v>
      </c>
      <c r="J5" t="s">
        <v>172</v>
      </c>
      <c r="K5" s="13" t="s">
        <v>591</v>
      </c>
    </row>
    <row r="6" spans="1:18" ht="409.6" x14ac:dyDescent="0.3">
      <c r="A6">
        <v>0</v>
      </c>
      <c r="B6" s="1" t="s">
        <v>136</v>
      </c>
      <c r="C6">
        <v>1</v>
      </c>
      <c r="D6" t="s">
        <v>59</v>
      </c>
      <c r="E6" t="s">
        <v>59</v>
      </c>
      <c r="F6">
        <v>0</v>
      </c>
      <c r="H6" t="s">
        <v>71</v>
      </c>
      <c r="J6" t="s">
        <v>173</v>
      </c>
      <c r="K6" s="13" t="s">
        <v>592</v>
      </c>
      <c r="R6" t="s">
        <v>129</v>
      </c>
    </row>
    <row r="7" spans="1:18" ht="409.6" x14ac:dyDescent="0.3">
      <c r="A7">
        <v>2</v>
      </c>
      <c r="B7">
        <v>1</v>
      </c>
      <c r="C7">
        <v>0</v>
      </c>
      <c r="D7" t="s">
        <v>60</v>
      </c>
      <c r="E7" t="s">
        <v>60</v>
      </c>
      <c r="F7">
        <v>2</v>
      </c>
      <c r="H7" t="s">
        <v>72</v>
      </c>
      <c r="J7" t="s">
        <v>174</v>
      </c>
      <c r="K7" s="13" t="s">
        <v>615</v>
      </c>
    </row>
    <row r="8" spans="1:18" x14ac:dyDescent="0.3">
      <c r="A8"/>
      <c r="B8">
        <v>2</v>
      </c>
      <c r="C8">
        <v>2</v>
      </c>
      <c r="D8" t="s">
        <v>61</v>
      </c>
      <c r="E8" t="s">
        <v>61</v>
      </c>
      <c r="H8" t="s">
        <v>73</v>
      </c>
      <c r="J8" t="s">
        <v>175</v>
      </c>
      <c r="K8" t="s">
        <v>616</v>
      </c>
    </row>
    <row r="9" spans="1:18" x14ac:dyDescent="0.3">
      <c r="A9"/>
      <c r="B9">
        <v>3</v>
      </c>
      <c r="C9">
        <v>4</v>
      </c>
      <c r="D9" t="s">
        <v>62</v>
      </c>
      <c r="E9" t="s">
        <v>62</v>
      </c>
      <c r="H9" t="s">
        <v>74</v>
      </c>
      <c r="J9" t="s">
        <v>176</v>
      </c>
      <c r="K9" t="s">
        <v>617</v>
      </c>
    </row>
    <row r="10" spans="1:18" x14ac:dyDescent="0.3">
      <c r="A10"/>
      <c r="B10">
        <v>4</v>
      </c>
      <c r="D10" t="s">
        <v>63</v>
      </c>
      <c r="E10" t="s">
        <v>63</v>
      </c>
      <c r="H10" t="s">
        <v>75</v>
      </c>
      <c r="J10" t="s">
        <v>177</v>
      </c>
      <c r="K10" t="s">
        <v>618</v>
      </c>
    </row>
    <row r="11" spans="1:18" x14ac:dyDescent="0.3">
      <c r="A11"/>
      <c r="B11">
        <v>5</v>
      </c>
      <c r="D11" t="s">
        <v>46</v>
      </c>
      <c r="E11">
        <v>1</v>
      </c>
      <c r="H11" t="s">
        <v>76</v>
      </c>
      <c r="J11" t="s">
        <v>178</v>
      </c>
      <c r="K11" t="s">
        <v>619</v>
      </c>
    </row>
    <row r="12" spans="1:18" x14ac:dyDescent="0.3">
      <c r="A12"/>
      <c r="B12"/>
      <c r="D12" t="s">
        <v>64</v>
      </c>
      <c r="E12">
        <v>2</v>
      </c>
      <c r="H12">
        <v>0</v>
      </c>
      <c r="J12" t="s">
        <v>179</v>
      </c>
      <c r="K12" t="s">
        <v>620</v>
      </c>
    </row>
    <row r="13" spans="1:18" x14ac:dyDescent="0.3">
      <c r="A13"/>
      <c r="B13"/>
      <c r="D13">
        <v>1</v>
      </c>
      <c r="E13">
        <v>3</v>
      </c>
      <c r="H13">
        <v>1</v>
      </c>
      <c r="J13" t="s">
        <v>180</v>
      </c>
      <c r="K13" t="s">
        <v>621</v>
      </c>
    </row>
    <row r="14" spans="1:18" x14ac:dyDescent="0.3">
      <c r="D14">
        <v>2</v>
      </c>
      <c r="E14">
        <v>4</v>
      </c>
      <c r="H14">
        <v>2</v>
      </c>
      <c r="J14" t="s">
        <v>181</v>
      </c>
      <c r="K14" t="s">
        <v>622</v>
      </c>
    </row>
    <row r="15" spans="1:18" x14ac:dyDescent="0.3">
      <c r="D15">
        <v>3</v>
      </c>
      <c r="E15">
        <v>5</v>
      </c>
      <c r="H15">
        <v>3</v>
      </c>
      <c r="J15" t="s">
        <v>182</v>
      </c>
      <c r="K15" t="s">
        <v>623</v>
      </c>
    </row>
    <row r="16" spans="1:18" x14ac:dyDescent="0.3">
      <c r="D16">
        <v>4</v>
      </c>
      <c r="E16">
        <v>6</v>
      </c>
      <c r="H16">
        <v>4</v>
      </c>
      <c r="J16" t="s">
        <v>183</v>
      </c>
      <c r="K16" t="s">
        <v>624</v>
      </c>
    </row>
    <row r="17" spans="4:11" x14ac:dyDescent="0.3">
      <c r="D17">
        <v>5</v>
      </c>
      <c r="E17">
        <v>7</v>
      </c>
      <c r="H17">
        <v>5</v>
      </c>
      <c r="J17" t="s">
        <v>184</v>
      </c>
      <c r="K17" t="s">
        <v>625</v>
      </c>
    </row>
    <row r="18" spans="4:11" ht="409.6" x14ac:dyDescent="0.3">
      <c r="D18">
        <v>6</v>
      </c>
      <c r="E18">
        <v>8</v>
      </c>
      <c r="H18">
        <v>6</v>
      </c>
      <c r="J18" t="s">
        <v>185</v>
      </c>
      <c r="K18" s="13" t="s">
        <v>626</v>
      </c>
    </row>
    <row r="19" spans="4:11" ht="409.6" x14ac:dyDescent="0.3">
      <c r="D19">
        <v>7</v>
      </c>
      <c r="E19">
        <v>9</v>
      </c>
      <c r="H19">
        <v>7</v>
      </c>
      <c r="J19" t="s">
        <v>186</v>
      </c>
      <c r="K19" s="13" t="s">
        <v>627</v>
      </c>
    </row>
    <row r="20" spans="4:11" x14ac:dyDescent="0.3">
      <c r="D20">
        <v>8</v>
      </c>
      <c r="H20">
        <v>8</v>
      </c>
      <c r="J20" t="s">
        <v>187</v>
      </c>
      <c r="K20">
        <v>15</v>
      </c>
    </row>
    <row r="21" spans="4:11" x14ac:dyDescent="0.3">
      <c r="D21">
        <v>9</v>
      </c>
      <c r="H21">
        <v>9</v>
      </c>
      <c r="J21" t="s">
        <v>189</v>
      </c>
      <c r="K21" t="s">
        <v>190</v>
      </c>
    </row>
    <row r="22" spans="4:11" ht="409.6" x14ac:dyDescent="0.3">
      <c r="D22">
        <v>10</v>
      </c>
      <c r="J22" t="s">
        <v>191</v>
      </c>
      <c r="K22" s="13" t="s">
        <v>593</v>
      </c>
    </row>
    <row r="23" spans="4:11"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C96B-92D1-4585-A78C-59D2AC58E74D}">
  <dimension ref="A1:B7"/>
  <sheetViews>
    <sheetView workbookViewId="0"/>
  </sheetViews>
  <sheetFormatPr defaultRowHeight="14.4" x14ac:dyDescent="0.3"/>
  <cols>
    <col min="1" max="1" width="11" bestFit="1" customWidth="1"/>
    <col min="2" max="2" width="7.77734375" bestFit="1" customWidth="1"/>
  </cols>
  <sheetData>
    <row r="1" spans="1:2" ht="14.4" customHeight="1" x14ac:dyDescent="0.3">
      <c r="A1" s="13" t="s">
        <v>594</v>
      </c>
      <c r="B1" s="13" t="s">
        <v>17</v>
      </c>
    </row>
    <row r="2" spans="1:2" x14ac:dyDescent="0.3">
      <c r="A2" s="80" t="s">
        <v>595</v>
      </c>
      <c r="B2" s="80"/>
    </row>
    <row r="3" spans="1:2" x14ac:dyDescent="0.3">
      <c r="A3" s="81" t="s">
        <v>596</v>
      </c>
      <c r="B3" s="80"/>
    </row>
    <row r="4" spans="1:2" x14ac:dyDescent="0.3">
      <c r="A4" s="81" t="s">
        <v>597</v>
      </c>
      <c r="B4" s="80"/>
    </row>
    <row r="5" spans="1:2" x14ac:dyDescent="0.3">
      <c r="A5" s="81" t="s">
        <v>598</v>
      </c>
      <c r="B5" s="80"/>
    </row>
    <row r="6" spans="1:2" x14ac:dyDescent="0.3">
      <c r="A6" s="81" t="s">
        <v>599</v>
      </c>
      <c r="B6" s="80"/>
    </row>
    <row r="7" spans="1:2" x14ac:dyDescent="0.3">
      <c r="A7" s="81" t="s">
        <v>600</v>
      </c>
      <c r="B7" s="80"/>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7C6AD-3E0D-422C-968B-8B6883E17E23}">
  <dimension ref="A1:B8"/>
  <sheetViews>
    <sheetView workbookViewId="0"/>
  </sheetViews>
  <sheetFormatPr defaultRowHeight="14.4" x14ac:dyDescent="0.3"/>
  <cols>
    <col min="1" max="1" width="39.77734375" customWidth="1"/>
    <col min="2" max="2" width="18.77734375" bestFit="1" customWidth="1"/>
  </cols>
  <sheetData>
    <row r="1" spans="1:2" ht="14.4" customHeight="1" x14ac:dyDescent="0.3">
      <c r="A1" s="80" t="s">
        <v>601</v>
      </c>
      <c r="B1" s="80" t="s">
        <v>602</v>
      </c>
    </row>
    <row r="2" spans="1:2" x14ac:dyDescent="0.3">
      <c r="A2" s="80"/>
      <c r="B2" s="80"/>
    </row>
    <row r="4" spans="1:2" ht="14.4" customHeight="1" x14ac:dyDescent="0.3">
      <c r="A4" s="80" t="s">
        <v>604</v>
      </c>
      <c r="B4" s="80" t="s">
        <v>602</v>
      </c>
    </row>
    <row r="5" spans="1:2" x14ac:dyDescent="0.3">
      <c r="A5" s="80"/>
      <c r="B5" s="80"/>
    </row>
    <row r="7" spans="1:2" ht="14.4" customHeight="1" x14ac:dyDescent="0.3">
      <c r="A7" s="80" t="s">
        <v>606</v>
      </c>
      <c r="B7" s="80" t="s">
        <v>602</v>
      </c>
    </row>
    <row r="8" spans="1:2" x14ac:dyDescent="0.3">
      <c r="A8" s="80"/>
      <c r="B8" s="80"/>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166DDB0-E4D4-450F-AD49-0B20EAAB45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Export Options</vt:lpstr>
      <vt:lpstr>Network Top Items</vt:lpstr>
      <vt:lpstr>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Kaylia</dc:creator>
  <cp:lastModifiedBy>Kaylia</cp:lastModifiedBy>
  <dcterms:created xsi:type="dcterms:W3CDTF">2008-01-30T00:41:58Z</dcterms:created>
  <dcterms:modified xsi:type="dcterms:W3CDTF">2022-03-14T00:25:24Z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