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codeName="ThisWorkbook" defaultThemeVersion="124226"/>
  <mc:AlternateContent xmlns:mc="http://schemas.openxmlformats.org/markup-compatibility/2006">
    <mc:Choice Requires="x15">
      <x15ac:absPath xmlns:x15ac="http://schemas.microsoft.com/office/spreadsheetml/2010/11/ac" url="D:\PhotonUser\My Files\Home Folder\"/>
    </mc:Choice>
  </mc:AlternateContent>
  <xr:revisionPtr revIDLastSave="0" documentId="8_{372DD26B-C30E-4B74-9A17-D68717B7C757}" xr6:coauthVersionLast="36" xr6:coauthVersionMax="36" xr10:uidLastSave="{00000000-0000-0000-0000-000000000000}"/>
  <bookViews>
    <workbookView xWindow="0" yWindow="0" windowWidth="18690" windowHeight="5010" firstSheet="1"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Export Options" sheetId="9" r:id="rId9"/>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AY3" i="3" l="1"/>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AV3" i="3"/>
  <c r="AV4" i="3"/>
  <c r="AV5" i="3"/>
  <c r="AV7" i="3"/>
  <c r="AV8" i="3"/>
  <c r="AV9" i="3"/>
  <c r="AV10" i="3"/>
  <c r="AV14" i="3"/>
  <c r="AV16" i="3"/>
  <c r="AV17" i="3"/>
  <c r="AV19" i="3"/>
  <c r="AV21" i="3"/>
  <c r="AV23" i="3"/>
  <c r="AV24" i="3"/>
  <c r="AV25" i="3"/>
  <c r="AV26" i="3"/>
  <c r="AV27" i="3"/>
  <c r="AV28" i="3"/>
  <c r="AV29" i="3"/>
  <c r="AV30" i="3"/>
  <c r="AV31" i="3"/>
  <c r="AV32" i="3"/>
  <c r="AV33" i="3"/>
  <c r="AV35" i="3"/>
  <c r="AV36" i="3"/>
  <c r="AV37" i="3"/>
  <c r="AV38" i="3"/>
  <c r="AV39" i="3"/>
  <c r="AV41" i="3"/>
  <c r="AV42" i="3"/>
  <c r="AV43" i="3"/>
  <c r="AV44" i="3"/>
  <c r="AV45" i="3"/>
  <c r="AV46" i="3"/>
  <c r="AV47" i="3"/>
  <c r="AV48" i="3"/>
  <c r="AV50" i="3"/>
  <c r="AV51" i="3"/>
  <c r="AV52" i="3"/>
  <c r="AV53" i="3"/>
  <c r="AV54" i="3"/>
  <c r="AV55" i="3"/>
  <c r="AV56" i="3"/>
  <c r="AV57" i="3"/>
  <c r="AV58" i="3"/>
  <c r="AV59" i="3"/>
  <c r="AV60" i="3"/>
  <c r="AV62" i="3"/>
  <c r="AV63" i="3"/>
  <c r="AV64" i="3"/>
  <c r="AV65" i="3"/>
  <c r="AV66" i="3"/>
  <c r="AV67" i="3"/>
  <c r="AV68" i="3"/>
  <c r="AV69" i="3"/>
  <c r="AV70" i="3"/>
  <c r="AV71" i="3"/>
  <c r="AV73" i="3"/>
  <c r="AV74" i="3"/>
  <c r="AV77" i="3"/>
  <c r="AV78" i="3"/>
  <c r="AV80" i="3"/>
  <c r="AV81" i="3"/>
  <c r="AV82" i="3"/>
  <c r="AV83" i="3"/>
  <c r="AV84" i="3"/>
  <c r="AV87" i="3"/>
  <c r="AV88" i="3"/>
  <c r="AV91" i="3"/>
  <c r="AV92" i="3"/>
  <c r="AV93" i="3"/>
  <c r="AV94" i="3"/>
  <c r="AV95" i="3"/>
  <c r="AV98" i="3"/>
  <c r="AV99" i="3"/>
  <c r="AV100" i="3"/>
  <c r="AV102" i="3"/>
  <c r="AV103" i="3"/>
  <c r="AV104" i="3"/>
  <c r="AV105" i="3"/>
  <c r="AV106" i="3"/>
  <c r="AV107" i="3"/>
  <c r="AV108" i="3"/>
  <c r="AV109" i="3"/>
  <c r="AV110" i="3"/>
  <c r="AV111" i="3"/>
  <c r="AV112" i="3"/>
  <c r="AV113" i="3"/>
  <c r="AV115" i="3"/>
  <c r="AV116" i="3"/>
  <c r="AV117" i="3"/>
  <c r="AV118" i="3"/>
  <c r="AV119" i="3"/>
  <c r="AV120" i="3"/>
  <c r="AV121" i="3"/>
  <c r="AV123" i="3"/>
  <c r="AV124" i="3"/>
  <c r="AV126" i="3"/>
  <c r="AV127" i="3"/>
  <c r="AV128" i="3"/>
  <c r="AV131" i="3"/>
  <c r="AV132" i="3"/>
  <c r="AV133" i="3"/>
  <c r="AV134" i="3"/>
  <c r="AV136" i="3"/>
  <c r="AV137" i="3"/>
  <c r="AV138" i="3"/>
  <c r="AV139" i="3"/>
  <c r="AV140" i="3"/>
  <c r="AV141" i="3"/>
  <c r="AV143" i="3"/>
  <c r="AV146" i="3"/>
  <c r="AV147" i="3"/>
  <c r="AV148" i="3"/>
  <c r="AV149" i="3"/>
  <c r="AV150" i="3"/>
  <c r="AV151" i="3"/>
  <c r="AV152" i="3"/>
  <c r="AV155" i="3"/>
  <c r="AV157" i="3"/>
  <c r="AV158" i="3"/>
  <c r="AV159" i="3"/>
  <c r="AV160" i="3"/>
  <c r="AV161" i="3"/>
  <c r="AV163" i="3"/>
  <c r="AV164" i="3"/>
  <c r="AV166" i="3"/>
  <c r="AV167" i="3"/>
  <c r="AV168" i="3"/>
  <c r="AV172" i="3"/>
  <c r="AV173" i="3"/>
  <c r="AV174" i="3"/>
  <c r="AV177" i="3"/>
  <c r="AV179" i="3"/>
  <c r="AV180" i="3"/>
  <c r="AV181" i="3"/>
  <c r="AV182" i="3"/>
  <c r="AV183" i="3"/>
  <c r="AV184" i="3"/>
  <c r="AV186" i="3"/>
  <c r="AV187" i="3"/>
  <c r="AV188" i="3"/>
  <c r="AV189" i="3"/>
  <c r="AV190" i="3"/>
  <c r="AV194" i="3"/>
  <c r="AV195" i="3"/>
  <c r="AV196" i="3"/>
  <c r="AV197" i="3"/>
  <c r="AV198" i="3"/>
  <c r="AP3" i="3"/>
  <c r="AP4" i="3"/>
  <c r="AP5" i="3"/>
  <c r="AP6" i="3"/>
  <c r="AP9" i="3"/>
  <c r="AP10" i="3"/>
  <c r="AP12" i="3"/>
  <c r="AP13" i="3"/>
  <c r="AP14" i="3"/>
  <c r="AP15" i="3"/>
  <c r="AP16" i="3"/>
  <c r="AP17" i="3"/>
  <c r="AP18" i="3"/>
  <c r="AP19" i="3"/>
  <c r="AP20" i="3"/>
  <c r="AP21" i="3"/>
  <c r="AP22" i="3"/>
  <c r="AP23" i="3"/>
  <c r="AP24" i="3"/>
  <c r="AP25" i="3"/>
  <c r="AP26" i="3"/>
  <c r="AP27" i="3"/>
  <c r="AP28" i="3"/>
  <c r="AP29" i="3"/>
  <c r="AP30"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2" i="3"/>
  <c r="AP63" i="3"/>
  <c r="AP64" i="3"/>
  <c r="AP65" i="3"/>
  <c r="AP66" i="3"/>
  <c r="AP67" i="3"/>
  <c r="AP68" i="3"/>
  <c r="AP69" i="3"/>
  <c r="AP70" i="3"/>
  <c r="AP71" i="3"/>
  <c r="AP72" i="3"/>
  <c r="AP73" i="3"/>
  <c r="AP74" i="3"/>
  <c r="AP75" i="3"/>
  <c r="AP76" i="3"/>
  <c r="AP77" i="3"/>
  <c r="AP78" i="3"/>
  <c r="AP79" i="3"/>
  <c r="AP80" i="3"/>
  <c r="AP81" i="3"/>
  <c r="AP82" i="3"/>
  <c r="AP83" i="3"/>
  <c r="AP84" i="3"/>
  <c r="AP85" i="3"/>
  <c r="AP87" i="3"/>
  <c r="AP88" i="3"/>
  <c r="AP89" i="3"/>
  <c r="AP90" i="3"/>
  <c r="AP92" i="3"/>
  <c r="AP93" i="3"/>
  <c r="AP94" i="3"/>
  <c r="AP95" i="3"/>
  <c r="AP96" i="3"/>
  <c r="AP97" i="3"/>
  <c r="AP98" i="3"/>
  <c r="AP100" i="3"/>
  <c r="AP101" i="3"/>
  <c r="AP102" i="3"/>
  <c r="AP103" i="3"/>
  <c r="AP104" i="3"/>
  <c r="AP105" i="3"/>
  <c r="AP106" i="3"/>
  <c r="AP107" i="3"/>
  <c r="AP108" i="3"/>
  <c r="AP109" i="3"/>
  <c r="AP110" i="3"/>
  <c r="AP111" i="3"/>
  <c r="AP112" i="3"/>
  <c r="AP113" i="3"/>
  <c r="AP115" i="3"/>
  <c r="AP116" i="3"/>
  <c r="AP117" i="3"/>
  <c r="AP118" i="3"/>
  <c r="AP119" i="3"/>
  <c r="AP120" i="3"/>
  <c r="AP121" i="3"/>
  <c r="AP122" i="3"/>
  <c r="AP123" i="3"/>
  <c r="AP124" i="3"/>
  <c r="AP126" i="3"/>
  <c r="AP127" i="3"/>
  <c r="AP128" i="3"/>
  <c r="AP129" i="3"/>
  <c r="AP130" i="3"/>
  <c r="AP131" i="3"/>
  <c r="AP132" i="3"/>
  <c r="AP133" i="3"/>
  <c r="AP134" i="3"/>
  <c r="AP135" i="3"/>
  <c r="AP136" i="3"/>
  <c r="AP137" i="3"/>
  <c r="AP138" i="3"/>
  <c r="AP139" i="3"/>
  <c r="AP140" i="3"/>
  <c r="AP141" i="3"/>
  <c r="AP142" i="3"/>
  <c r="AP143" i="3"/>
  <c r="AP144" i="3"/>
  <c r="AP145" i="3"/>
  <c r="AP146" i="3"/>
  <c r="AP147" i="3"/>
  <c r="AP148" i="3"/>
  <c r="AP150" i="3"/>
  <c r="AP152" i="3"/>
  <c r="AP155" i="3"/>
  <c r="AP156" i="3"/>
  <c r="AP157" i="3"/>
  <c r="AP158" i="3"/>
  <c r="AP159" i="3"/>
  <c r="AP160" i="3"/>
  <c r="AP161" i="3"/>
  <c r="AP163" i="3"/>
  <c r="AP164" i="3"/>
  <c r="AP166" i="3"/>
  <c r="AP167" i="3"/>
  <c r="AP168" i="3"/>
  <c r="AP169" i="3"/>
  <c r="AP173" i="3"/>
  <c r="AP174" i="3"/>
  <c r="AP175" i="3"/>
  <c r="AP177" i="3"/>
  <c r="AP178" i="3"/>
  <c r="AP179" i="3"/>
  <c r="AP180" i="3"/>
  <c r="AP181" i="3"/>
  <c r="AP182" i="3"/>
  <c r="AP183" i="3"/>
  <c r="AP184" i="3"/>
  <c r="AP185" i="3"/>
  <c r="AP186" i="3"/>
  <c r="AP187" i="3"/>
  <c r="AP188" i="3"/>
  <c r="AP189" i="3"/>
  <c r="AP190" i="3"/>
  <c r="AP191" i="3"/>
  <c r="AP192" i="3"/>
  <c r="AP193" i="3"/>
  <c r="AP194" i="3"/>
  <c r="AP195" i="3"/>
  <c r="AP196" i="3"/>
  <c r="AP197" i="3"/>
  <c r="AP198" i="3"/>
  <c r="AP199" i="3"/>
  <c r="AM3" i="3"/>
  <c r="AM4" i="3"/>
  <c r="AM5" i="3"/>
  <c r="AM6" i="3"/>
  <c r="AM8" i="3"/>
  <c r="AM9" i="3"/>
  <c r="AM13" i="3"/>
  <c r="AM14" i="3"/>
  <c r="AM15" i="3"/>
  <c r="AM17" i="3"/>
  <c r="AM18" i="3"/>
  <c r="AM19" i="3"/>
  <c r="AM20" i="3"/>
  <c r="AM21" i="3"/>
  <c r="AM22" i="3"/>
  <c r="AM23" i="3"/>
  <c r="AM25" i="3"/>
  <c r="AM26" i="3"/>
  <c r="AM28" i="3"/>
  <c r="AM29" i="3"/>
  <c r="AM31" i="3"/>
  <c r="AM32" i="3"/>
  <c r="AM33" i="3"/>
  <c r="AM35" i="3"/>
  <c r="AM36" i="3"/>
  <c r="AM37" i="3"/>
  <c r="AM39" i="3"/>
  <c r="AM40" i="3"/>
  <c r="AM41" i="3"/>
  <c r="AM42" i="3"/>
  <c r="AM44" i="3"/>
  <c r="AM45" i="3"/>
  <c r="AM46" i="3"/>
  <c r="AM47" i="3"/>
  <c r="AM49" i="3"/>
  <c r="AM50" i="3"/>
  <c r="AM51" i="3"/>
  <c r="AM52" i="3"/>
  <c r="AM55" i="3"/>
  <c r="AM56" i="3"/>
  <c r="AM57" i="3"/>
  <c r="AM58" i="3"/>
  <c r="AM59" i="3"/>
  <c r="AM61" i="3"/>
  <c r="AM62" i="3"/>
  <c r="AM63" i="3"/>
  <c r="AM64" i="3"/>
  <c r="AM65" i="3"/>
  <c r="AM66" i="3"/>
  <c r="AM67" i="3"/>
  <c r="AM68" i="3"/>
  <c r="AM70" i="3"/>
  <c r="AM73" i="3"/>
  <c r="AM75" i="3"/>
  <c r="AM77" i="3"/>
  <c r="AM78" i="3"/>
  <c r="AM81" i="3"/>
  <c r="AM82" i="3"/>
  <c r="AM83" i="3"/>
  <c r="AM85" i="3"/>
  <c r="AM86" i="3"/>
  <c r="AM87" i="3"/>
  <c r="AM88" i="3"/>
  <c r="AM89" i="3"/>
  <c r="AM90" i="3"/>
  <c r="AM91" i="3"/>
  <c r="AM92" i="3"/>
  <c r="AM93" i="3"/>
  <c r="AM94" i="3"/>
  <c r="AM95" i="3"/>
  <c r="AM96" i="3"/>
  <c r="AM97" i="3"/>
  <c r="AM98" i="3"/>
  <c r="AM101" i="3"/>
  <c r="AM102" i="3"/>
  <c r="AM103" i="3"/>
  <c r="AM104" i="3"/>
  <c r="AM105" i="3"/>
  <c r="AM106" i="3"/>
  <c r="AM108" i="3"/>
  <c r="AM109" i="3"/>
  <c r="AM110" i="3"/>
  <c r="AM111" i="3"/>
  <c r="AM112" i="3"/>
  <c r="AM113" i="3"/>
  <c r="AM117" i="3"/>
  <c r="AM118" i="3"/>
  <c r="AM119" i="3"/>
  <c r="AM120" i="3"/>
  <c r="AM121" i="3"/>
  <c r="AM123" i="3"/>
  <c r="AM124" i="3"/>
  <c r="AM127" i="3"/>
  <c r="AM128" i="3"/>
  <c r="AM129" i="3"/>
  <c r="AM131" i="3"/>
  <c r="AM133" i="3"/>
  <c r="AM134" i="3"/>
  <c r="AM137" i="3"/>
  <c r="AM138" i="3"/>
  <c r="AM141" i="3"/>
  <c r="AM144" i="3"/>
  <c r="AM146" i="3"/>
  <c r="AM149" i="3"/>
  <c r="AM156" i="3"/>
  <c r="AM157" i="3"/>
  <c r="AM158" i="3"/>
  <c r="AM159" i="3"/>
  <c r="AM167" i="3"/>
  <c r="AM168" i="3"/>
  <c r="AM177" i="3"/>
  <c r="AM178" i="3"/>
  <c r="AM180" i="3"/>
  <c r="AM181" i="3"/>
  <c r="AM186" i="3"/>
  <c r="AM187" i="3"/>
  <c r="AM188" i="3"/>
  <c r="AM189" i="3"/>
  <c r="AM190" i="3"/>
  <c r="AM192" i="3"/>
  <c r="AM193" i="3"/>
  <c r="AM194" i="3"/>
  <c r="AM195" i="3"/>
  <c r="AM196" i="3"/>
  <c r="AM197" i="3"/>
  <c r="AM198" i="3"/>
  <c r="BB20" i="1"/>
  <c r="BB102" i="1"/>
  <c r="BB103" i="1"/>
  <c r="BB178" i="1"/>
  <c r="BB181" i="1"/>
  <c r="BB310" i="1"/>
  <c r="BB311" i="1"/>
  <c r="BB312" i="1"/>
  <c r="BB313" i="1"/>
  <c r="BB315" i="1"/>
  <c r="BB316" i="1"/>
  <c r="BB317" i="1"/>
  <c r="BB321" i="1"/>
  <c r="BB558" i="1"/>
  <c r="BB561" i="1"/>
  <c r="BB562" i="1"/>
  <c r="BB570" i="1"/>
  <c r="BB59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U3" i="1"/>
  <c r="U4" i="1"/>
  <c r="U5" i="1"/>
  <c r="U8" i="1"/>
  <c r="U9" i="1"/>
  <c r="U10" i="1"/>
  <c r="U11" i="1"/>
  <c r="U12" i="1"/>
  <c r="U13" i="1"/>
  <c r="U18" i="1"/>
  <c r="U19" i="1"/>
  <c r="U20" i="1"/>
  <c r="U26" i="1"/>
  <c r="U27" i="1"/>
  <c r="U28" i="1"/>
  <c r="U30" i="1"/>
  <c r="U31" i="1"/>
  <c r="U32" i="1"/>
  <c r="U38" i="1"/>
  <c r="U39" i="1"/>
  <c r="U40" i="1"/>
  <c r="U45" i="1"/>
  <c r="U46" i="1"/>
  <c r="U47" i="1"/>
  <c r="U48" i="1"/>
  <c r="U49" i="1"/>
  <c r="U50" i="1"/>
  <c r="U51" i="1"/>
  <c r="U52" i="1"/>
  <c r="U53" i="1"/>
  <c r="U54" i="1"/>
  <c r="U55" i="1"/>
  <c r="U56" i="1"/>
  <c r="U57" i="1"/>
  <c r="U58" i="1"/>
  <c r="U59" i="1"/>
  <c r="U62" i="1"/>
  <c r="U64" i="1"/>
  <c r="U65" i="1"/>
  <c r="U68" i="1"/>
  <c r="U69" i="1"/>
  <c r="U72" i="1"/>
  <c r="U75" i="1"/>
  <c r="U76" i="1"/>
  <c r="U77" i="1"/>
  <c r="U80" i="1"/>
  <c r="U81" i="1"/>
  <c r="U82" i="1"/>
  <c r="U90" i="1"/>
  <c r="U91" i="1"/>
  <c r="U98" i="1"/>
  <c r="U99" i="1"/>
  <c r="U100" i="1"/>
  <c r="U101" i="1"/>
  <c r="U102" i="1"/>
  <c r="U103" i="1"/>
  <c r="U104" i="1"/>
  <c r="U105" i="1"/>
  <c r="U106" i="1"/>
  <c r="U107" i="1"/>
  <c r="U116" i="1"/>
  <c r="U117" i="1"/>
  <c r="U118" i="1"/>
  <c r="U119" i="1"/>
  <c r="U120" i="1"/>
  <c r="U121" i="1"/>
  <c r="U125" i="1"/>
  <c r="U133" i="1"/>
  <c r="U134" i="1"/>
  <c r="U135" i="1"/>
  <c r="U137" i="1"/>
  <c r="U138" i="1"/>
  <c r="U142" i="1"/>
  <c r="U146" i="1"/>
  <c r="U147" i="1"/>
  <c r="U148" i="1"/>
  <c r="U151" i="1"/>
  <c r="U152" i="1"/>
  <c r="U153" i="1"/>
  <c r="U158" i="1"/>
  <c r="U160" i="1"/>
  <c r="U161" i="1"/>
  <c r="U162" i="1"/>
  <c r="U163" i="1"/>
  <c r="U164" i="1"/>
  <c r="U165" i="1"/>
  <c r="U167" i="1"/>
  <c r="U168" i="1"/>
  <c r="U169" i="1"/>
  <c r="U170" i="1"/>
  <c r="U171" i="1"/>
  <c r="U172" i="1"/>
  <c r="U173" i="1"/>
  <c r="U174" i="1"/>
  <c r="U176" i="1"/>
  <c r="U177" i="1"/>
  <c r="U179" i="1"/>
  <c r="U180" i="1"/>
  <c r="U182" i="1"/>
  <c r="U183" i="1"/>
  <c r="U193" i="1"/>
  <c r="U194" i="1"/>
  <c r="U205" i="1"/>
  <c r="U206" i="1"/>
  <c r="U207" i="1"/>
  <c r="U208" i="1"/>
  <c r="U209" i="1"/>
  <c r="U210" i="1"/>
  <c r="U211" i="1"/>
  <c r="U212" i="1"/>
  <c r="U213" i="1"/>
  <c r="U214" i="1"/>
  <c r="U215" i="1"/>
  <c r="U216" i="1"/>
  <c r="U217" i="1"/>
  <c r="U218" i="1"/>
  <c r="U219" i="1"/>
  <c r="U220" i="1"/>
  <c r="U221" i="1"/>
  <c r="U222" i="1"/>
  <c r="U225" i="1"/>
  <c r="U230" i="1"/>
  <c r="U231" i="1"/>
  <c r="U232" i="1"/>
  <c r="U239" i="1"/>
  <c r="U240" i="1"/>
  <c r="U242" i="1"/>
  <c r="U243" i="1"/>
  <c r="U244" i="1"/>
  <c r="U249" i="1"/>
  <c r="U253" i="1"/>
  <c r="U254" i="1"/>
  <c r="U255" i="1"/>
  <c r="U256" i="1"/>
  <c r="U257" i="1"/>
  <c r="U258" i="1"/>
  <c r="U261" i="1"/>
  <c r="U262" i="1"/>
  <c r="U263" i="1"/>
  <c r="U264" i="1"/>
  <c r="U265" i="1"/>
  <c r="U266" i="1"/>
  <c r="U267" i="1"/>
  <c r="U268" i="1"/>
  <c r="U269" i="1"/>
  <c r="U271" i="1"/>
  <c r="U272" i="1"/>
  <c r="U273" i="1"/>
  <c r="U274" i="1"/>
  <c r="U275" i="1"/>
  <c r="U276" i="1"/>
  <c r="U279" i="1"/>
  <c r="U280" i="1"/>
  <c r="U281" i="1"/>
  <c r="U282" i="1"/>
  <c r="U283" i="1"/>
  <c r="U284" i="1"/>
  <c r="U285" i="1"/>
  <c r="U288" i="1"/>
  <c r="U289" i="1"/>
  <c r="U290" i="1"/>
  <c r="U291" i="1"/>
  <c r="U292" i="1"/>
  <c r="U293" i="1"/>
  <c r="U294" i="1"/>
  <c r="U295" i="1"/>
  <c r="U296" i="1"/>
  <c r="U297" i="1"/>
  <c r="U298" i="1"/>
  <c r="U299" i="1"/>
  <c r="U300" i="1"/>
  <c r="U301" i="1"/>
  <c r="U302" i="1"/>
  <c r="U303" i="1"/>
  <c r="U304" i="1"/>
  <c r="U305" i="1"/>
  <c r="U306" i="1"/>
  <c r="U307" i="1"/>
  <c r="U308" i="1"/>
  <c r="U309" i="1"/>
  <c r="U320" i="1"/>
  <c r="U321" i="1"/>
  <c r="U322" i="1"/>
  <c r="U323" i="1"/>
  <c r="U324" i="1"/>
  <c r="U326" i="1"/>
  <c r="U327" i="1"/>
  <c r="U328" i="1"/>
  <c r="U329" i="1"/>
  <c r="U330" i="1"/>
  <c r="U332" i="1"/>
  <c r="U333" i="1"/>
  <c r="U334" i="1"/>
  <c r="U335" i="1"/>
  <c r="U336" i="1"/>
  <c r="U337" i="1"/>
  <c r="U338" i="1"/>
  <c r="U339" i="1"/>
  <c r="U340" i="1"/>
  <c r="U341" i="1"/>
  <c r="U342" i="1"/>
  <c r="U349" i="1"/>
  <c r="U350" i="1"/>
  <c r="U351" i="1"/>
  <c r="U352" i="1"/>
  <c r="U353" i="1"/>
  <c r="U354" i="1"/>
  <c r="U355" i="1"/>
  <c r="U356" i="1"/>
  <c r="U357" i="1"/>
  <c r="U358" i="1"/>
  <c r="U373" i="1"/>
  <c r="U374" i="1"/>
  <c r="U375" i="1"/>
  <c r="U376" i="1"/>
  <c r="U377" i="1"/>
  <c r="U380" i="1"/>
  <c r="U383" i="1"/>
  <c r="U384" i="1"/>
  <c r="U385" i="1"/>
  <c r="U386" i="1"/>
  <c r="U391" i="1"/>
  <c r="U392" i="1"/>
  <c r="U393" i="1"/>
  <c r="U394" i="1"/>
  <c r="U397" i="1"/>
  <c r="U398" i="1"/>
  <c r="U399" i="1"/>
  <c r="U400" i="1"/>
  <c r="U401" i="1"/>
  <c r="U404" i="1"/>
  <c r="U406" i="1"/>
  <c r="U407" i="1"/>
  <c r="U409" i="1"/>
  <c r="U411" i="1"/>
  <c r="U412" i="1"/>
  <c r="U413" i="1"/>
  <c r="U414" i="1"/>
  <c r="U415" i="1"/>
  <c r="U416" i="1"/>
  <c r="U417" i="1"/>
  <c r="U418" i="1"/>
  <c r="U419" i="1"/>
  <c r="U420" i="1"/>
  <c r="U421" i="1"/>
  <c r="U422" i="1"/>
  <c r="U423" i="1"/>
  <c r="U430" i="1"/>
  <c r="U431" i="1"/>
  <c r="U432" i="1"/>
  <c r="U433" i="1"/>
  <c r="U434" i="1"/>
  <c r="U435" i="1"/>
  <c r="U436" i="1"/>
  <c r="U437" i="1"/>
  <c r="U438" i="1"/>
  <c r="U440" i="1"/>
  <c r="U442" i="1"/>
  <c r="U444" i="1"/>
  <c r="U445" i="1"/>
  <c r="U446" i="1"/>
  <c r="U447" i="1"/>
  <c r="U448" i="1"/>
  <c r="U449" i="1"/>
  <c r="U450" i="1"/>
  <c r="U451" i="1"/>
  <c r="U454" i="1"/>
  <c r="U455" i="1"/>
  <c r="U457" i="1"/>
  <c r="U458" i="1"/>
  <c r="U459" i="1"/>
  <c r="U460" i="1"/>
  <c r="U461" i="1"/>
  <c r="U462" i="1"/>
  <c r="U464" i="1"/>
  <c r="U465" i="1"/>
  <c r="U469" i="1"/>
  <c r="U470" i="1"/>
  <c r="U471" i="1"/>
  <c r="U472" i="1"/>
  <c r="U473" i="1"/>
  <c r="U476" i="1"/>
  <c r="U477" i="1"/>
  <c r="U478" i="1"/>
  <c r="U479" i="1"/>
  <c r="U480" i="1"/>
  <c r="U481" i="1"/>
  <c r="U482" i="1"/>
  <c r="U483" i="1"/>
  <c r="U484" i="1"/>
  <c r="U485" i="1"/>
  <c r="U486" i="1"/>
  <c r="U494" i="1"/>
  <c r="U495" i="1"/>
  <c r="U496" i="1"/>
  <c r="U497" i="1"/>
  <c r="U498" i="1"/>
  <c r="U499" i="1"/>
  <c r="U500" i="1"/>
  <c r="U501" i="1"/>
  <c r="U502" i="1"/>
  <c r="U503" i="1"/>
  <c r="U505" i="1"/>
  <c r="U506" i="1"/>
  <c r="U511" i="1"/>
  <c r="U515" i="1"/>
  <c r="U517" i="1"/>
  <c r="U520" i="1"/>
  <c r="U534" i="1"/>
  <c r="U535" i="1"/>
  <c r="U536" i="1"/>
  <c r="U537" i="1"/>
  <c r="U538" i="1"/>
  <c r="U539" i="1"/>
  <c r="U540" i="1"/>
  <c r="U541" i="1"/>
  <c r="U542" i="1"/>
  <c r="U543" i="1"/>
  <c r="U544" i="1"/>
  <c r="U545" i="1"/>
  <c r="U546" i="1"/>
  <c r="U547" i="1"/>
  <c r="U548" i="1"/>
  <c r="U549" i="1"/>
  <c r="U558" i="1"/>
  <c r="U560" i="1"/>
  <c r="U563" i="1"/>
  <c r="U564" i="1"/>
  <c r="U570" i="1"/>
  <c r="U571" i="1"/>
  <c r="U572" i="1"/>
  <c r="U573" i="1"/>
  <c r="U575" i="1"/>
  <c r="U576" i="1"/>
  <c r="U577" i="1"/>
  <c r="U580" i="1"/>
  <c r="U581" i="1"/>
  <c r="U583" i="1"/>
  <c r="U584" i="1"/>
  <c r="U586" i="1"/>
  <c r="U588" i="1"/>
  <c r="U589" i="1"/>
  <c r="U592" i="1"/>
  <c r="U594" i="1"/>
  <c r="U595" i="1"/>
  <c r="U600" i="1"/>
  <c r="U601" i="1"/>
  <c r="U602" i="1"/>
  <c r="U604" i="1"/>
  <c r="U607" i="1"/>
  <c r="U608" i="1"/>
  <c r="U614" i="1"/>
  <c r="U619" i="1"/>
  <c r="U620" i="1"/>
  <c r="U621" i="1"/>
  <c r="U622" i="1"/>
  <c r="R14" i="1"/>
  <c r="R15" i="1"/>
  <c r="R16" i="1"/>
  <c r="R17" i="1"/>
  <c r="R18" i="1"/>
  <c r="R19" i="1"/>
  <c r="R21" i="1"/>
  <c r="R22" i="1"/>
  <c r="R23" i="1"/>
  <c r="R24" i="1"/>
  <c r="R25" i="1"/>
  <c r="R26" i="1"/>
  <c r="R27" i="1"/>
  <c r="R28" i="1"/>
  <c r="R29" i="1"/>
  <c r="R30" i="1"/>
  <c r="R31" i="1"/>
  <c r="R32" i="1"/>
  <c r="R34" i="1"/>
  <c r="R35" i="1"/>
  <c r="R36" i="1"/>
  <c r="R37" i="1"/>
  <c r="R38" i="1"/>
  <c r="R39" i="1"/>
  <c r="R40" i="1"/>
  <c r="R41" i="1"/>
  <c r="R42" i="1"/>
  <c r="R43" i="1"/>
  <c r="R44" i="1"/>
  <c r="R45" i="1"/>
  <c r="R46" i="1"/>
  <c r="R47" i="1"/>
  <c r="R51" i="1"/>
  <c r="R55" i="1"/>
  <c r="R56" i="1"/>
  <c r="R57" i="1"/>
  <c r="R60" i="1"/>
  <c r="R61" i="1"/>
  <c r="R62" i="1"/>
  <c r="R63" i="1"/>
  <c r="R64" i="1"/>
  <c r="R66" i="1"/>
  <c r="R67" i="1"/>
  <c r="R69" i="1"/>
  <c r="R71" i="1"/>
  <c r="R72" i="1"/>
  <c r="R73" i="1"/>
  <c r="R74" i="1"/>
  <c r="R77" i="1"/>
  <c r="R78" i="1"/>
  <c r="R79" i="1"/>
  <c r="R83" i="1"/>
  <c r="R84" i="1"/>
  <c r="R85" i="1"/>
  <c r="R86" i="1"/>
  <c r="R87" i="1"/>
  <c r="R88" i="1"/>
  <c r="R89" i="1"/>
  <c r="R91" i="1"/>
  <c r="R92" i="1"/>
  <c r="R93" i="1"/>
  <c r="R94" i="1"/>
  <c r="R95" i="1"/>
  <c r="R96" i="1"/>
  <c r="R97" i="1"/>
  <c r="R98" i="1"/>
  <c r="R99" i="1"/>
  <c r="R100" i="1"/>
  <c r="R101" i="1"/>
  <c r="R102" i="1"/>
  <c r="R103" i="1"/>
  <c r="R106" i="1"/>
  <c r="R107" i="1"/>
  <c r="R108" i="1"/>
  <c r="R109" i="1"/>
  <c r="R110" i="1"/>
  <c r="R111" i="1"/>
  <c r="R112" i="1"/>
  <c r="R113" i="1"/>
  <c r="R114" i="1"/>
  <c r="R115" i="1"/>
  <c r="R116" i="1"/>
  <c r="R117" i="1"/>
  <c r="R119" i="1"/>
  <c r="R120" i="1"/>
  <c r="R121" i="1"/>
  <c r="R122" i="1"/>
  <c r="R123" i="1"/>
  <c r="R124" i="1"/>
  <c r="R125" i="1"/>
  <c r="R126" i="1"/>
  <c r="R127" i="1"/>
  <c r="R128" i="1"/>
  <c r="R129" i="1"/>
  <c r="R132" i="1"/>
  <c r="R133" i="1"/>
  <c r="R136" i="1"/>
  <c r="R137" i="1"/>
  <c r="R138" i="1"/>
  <c r="R139" i="1"/>
  <c r="R140" i="1"/>
  <c r="R142" i="1"/>
  <c r="R143" i="1"/>
  <c r="R144" i="1"/>
  <c r="R145" i="1"/>
  <c r="R146" i="1"/>
  <c r="R147" i="1"/>
  <c r="R148" i="1"/>
  <c r="R149" i="1"/>
  <c r="R150" i="1"/>
  <c r="R153" i="1"/>
  <c r="R154" i="1"/>
  <c r="R155" i="1"/>
  <c r="R156" i="1"/>
  <c r="R157" i="1"/>
  <c r="R158" i="1"/>
  <c r="R159" i="1"/>
  <c r="R162" i="1"/>
  <c r="R166" i="1"/>
  <c r="R167" i="1"/>
  <c r="R174" i="1"/>
  <c r="R175" i="1"/>
  <c r="R176" i="1"/>
  <c r="R177" i="1"/>
  <c r="R178" i="1"/>
  <c r="R181" i="1"/>
  <c r="R182" i="1"/>
  <c r="R183" i="1"/>
  <c r="R184" i="1"/>
  <c r="R193" i="1"/>
  <c r="R194" i="1"/>
  <c r="R195" i="1"/>
  <c r="R196" i="1"/>
  <c r="R197" i="1"/>
  <c r="R198" i="1"/>
  <c r="R199" i="1"/>
  <c r="R200" i="1"/>
  <c r="R206" i="1"/>
  <c r="R207" i="1"/>
  <c r="R208" i="1"/>
  <c r="R209" i="1"/>
  <c r="R210" i="1"/>
  <c r="R211" i="1"/>
  <c r="R223" i="1"/>
  <c r="R224" i="1"/>
  <c r="R226" i="1"/>
  <c r="R227" i="1"/>
  <c r="R228" i="1"/>
  <c r="R229" i="1"/>
  <c r="R232" i="1"/>
  <c r="R233" i="1"/>
  <c r="R234" i="1"/>
  <c r="R235" i="1"/>
  <c r="R236" i="1"/>
  <c r="R237" i="1"/>
  <c r="R238" i="1"/>
  <c r="R239" i="1"/>
  <c r="R240" i="1"/>
  <c r="R241" i="1"/>
  <c r="R242" i="1"/>
  <c r="R243" i="1"/>
  <c r="R244" i="1"/>
  <c r="R250" i="1"/>
  <c r="R251" i="1"/>
  <c r="R252" i="1"/>
  <c r="R259" i="1"/>
  <c r="R260" i="1"/>
  <c r="R270" i="1"/>
  <c r="R271" i="1"/>
  <c r="R277" i="1"/>
  <c r="R278" i="1"/>
  <c r="R281" i="1"/>
  <c r="R282" i="1"/>
  <c r="R283" i="1"/>
  <c r="R286" i="1"/>
  <c r="R287" i="1"/>
  <c r="R299" i="1"/>
  <c r="R302" i="1"/>
  <c r="R306" i="1"/>
  <c r="R307" i="1"/>
  <c r="R308" i="1"/>
  <c r="R310" i="1"/>
  <c r="R311" i="1"/>
  <c r="R312" i="1"/>
  <c r="R313" i="1"/>
  <c r="R314" i="1"/>
  <c r="R315" i="1"/>
  <c r="R316" i="1"/>
  <c r="R317" i="1"/>
  <c r="R318" i="1"/>
  <c r="R319" i="1"/>
  <c r="R325" i="1"/>
  <c r="R327" i="1"/>
  <c r="R328" i="1"/>
  <c r="R329" i="1"/>
  <c r="R331" i="1"/>
  <c r="R332" i="1"/>
  <c r="R333" i="1"/>
  <c r="R334" i="1"/>
  <c r="R335" i="1"/>
  <c r="R336" i="1"/>
  <c r="R338" i="1"/>
  <c r="R339" i="1"/>
  <c r="R347" i="1"/>
  <c r="R348" i="1"/>
  <c r="R350" i="1"/>
  <c r="R359" i="1"/>
  <c r="R360" i="1"/>
  <c r="R361" i="1"/>
  <c r="R362" i="1"/>
  <c r="R363" i="1"/>
  <c r="R364" i="1"/>
  <c r="R365" i="1"/>
  <c r="R366" i="1"/>
  <c r="R367" i="1"/>
  <c r="R368" i="1"/>
  <c r="R369" i="1"/>
  <c r="R370" i="1"/>
  <c r="R371" i="1"/>
  <c r="R372" i="1"/>
  <c r="R373" i="1"/>
  <c r="R375" i="1"/>
  <c r="R377" i="1"/>
  <c r="R378" i="1"/>
  <c r="R380" i="1"/>
  <c r="R382" i="1"/>
  <c r="R383" i="1"/>
  <c r="R384" i="1"/>
  <c r="R385" i="1"/>
  <c r="R387" i="1"/>
  <c r="R388" i="1"/>
  <c r="R397" i="1"/>
  <c r="R398" i="1"/>
  <c r="R399" i="1"/>
  <c r="R400" i="1"/>
  <c r="R402" i="1"/>
  <c r="R405" i="1"/>
  <c r="R406" i="1"/>
  <c r="R408" i="1"/>
  <c r="R411" i="1"/>
  <c r="R413" i="1"/>
  <c r="R414" i="1"/>
  <c r="R416" i="1"/>
  <c r="R417" i="1"/>
  <c r="R419" i="1"/>
  <c r="R420" i="1"/>
  <c r="R421" i="1"/>
  <c r="R422" i="1"/>
  <c r="R423" i="1"/>
  <c r="R424" i="1"/>
  <c r="R429" i="1"/>
  <c r="R431" i="1"/>
  <c r="R432" i="1"/>
  <c r="R433" i="1"/>
  <c r="R434" i="1"/>
  <c r="R435" i="1"/>
  <c r="R436" i="1"/>
  <c r="R437" i="1"/>
  <c r="R439" i="1"/>
  <c r="R441" i="1"/>
  <c r="R443" i="1"/>
  <c r="R445" i="1"/>
  <c r="R446" i="1"/>
  <c r="R448" i="1"/>
  <c r="R454" i="1"/>
  <c r="R455" i="1"/>
  <c r="R457" i="1"/>
  <c r="R466" i="1"/>
  <c r="R467" i="1"/>
  <c r="R468" i="1"/>
  <c r="R472" i="1"/>
  <c r="R474" i="1"/>
  <c r="R475" i="1"/>
  <c r="R477" i="1"/>
  <c r="R478" i="1"/>
  <c r="R479" i="1"/>
  <c r="R482" i="1"/>
  <c r="R483" i="1"/>
  <c r="R484" i="1"/>
  <c r="R485" i="1"/>
  <c r="R486" i="1"/>
  <c r="R487" i="1"/>
  <c r="R488" i="1"/>
  <c r="R489" i="1"/>
  <c r="R490" i="1"/>
  <c r="R491" i="1"/>
  <c r="R492" i="1"/>
  <c r="R493" i="1"/>
  <c r="R494" i="1"/>
  <c r="R495" i="1"/>
  <c r="R496" i="1"/>
  <c r="R497" i="1"/>
  <c r="R502" i="1"/>
  <c r="R504" i="1"/>
  <c r="R505" i="1"/>
  <c r="R513" i="1"/>
  <c r="R516" i="1"/>
  <c r="R517" i="1"/>
  <c r="R518" i="1"/>
  <c r="R519" i="1"/>
  <c r="R521" i="1"/>
  <c r="R522" i="1"/>
  <c r="R523" i="1"/>
  <c r="R524" i="1"/>
  <c r="R525" i="1"/>
  <c r="R526" i="1"/>
  <c r="R527" i="1"/>
  <c r="R528" i="1"/>
  <c r="R529" i="1"/>
  <c r="R530" i="1"/>
  <c r="R531" i="1"/>
  <c r="R532" i="1"/>
  <c r="R533" i="1"/>
  <c r="R534" i="1"/>
  <c r="R535" i="1"/>
  <c r="R536" i="1"/>
  <c r="R537" i="1"/>
  <c r="R538" i="1"/>
  <c r="R539" i="1"/>
  <c r="R542" i="1"/>
  <c r="R543" i="1"/>
  <c r="R545" i="1"/>
  <c r="R546" i="1"/>
  <c r="R548" i="1"/>
  <c r="R549" i="1"/>
  <c r="R550" i="1"/>
  <c r="R552" i="1"/>
  <c r="R553" i="1"/>
  <c r="R555" i="1"/>
  <c r="R556" i="1"/>
  <c r="R557" i="1"/>
  <c r="R559" i="1"/>
  <c r="R564" i="1"/>
  <c r="R566" i="1"/>
  <c r="R567" i="1"/>
  <c r="R568" i="1"/>
  <c r="R571" i="1"/>
  <c r="R572" i="1"/>
  <c r="R573" i="1"/>
  <c r="R574" i="1"/>
  <c r="R575" i="1"/>
  <c r="R578" i="1"/>
  <c r="R579" i="1"/>
  <c r="R581" i="1"/>
  <c r="R582" i="1"/>
  <c r="R583" i="1"/>
  <c r="R584" i="1"/>
  <c r="R585" i="1"/>
  <c r="R586" i="1"/>
  <c r="R587" i="1"/>
  <c r="R588" i="1"/>
  <c r="R590" i="1"/>
  <c r="R591" i="1"/>
  <c r="R593" i="1"/>
  <c r="R594" i="1"/>
  <c r="R595" i="1"/>
  <c r="R600" i="1"/>
  <c r="R601" i="1"/>
  <c r="R602" i="1"/>
  <c r="R603" i="1"/>
  <c r="R607" i="1"/>
  <c r="R609" i="1"/>
  <c r="R610" i="1"/>
  <c r="R611" i="1"/>
  <c r="R612" i="1"/>
  <c r="R613" i="1"/>
  <c r="R614" i="1"/>
  <c r="R615" i="1"/>
  <c r="R616" i="1"/>
  <c r="R617" i="1"/>
  <c r="R618" i="1"/>
  <c r="B154" i="7" l="1"/>
  <c r="B153" i="7"/>
  <c r="P36" i="7"/>
  <c r="Q36" i="7" s="1"/>
  <c r="P2" i="7"/>
  <c r="B151" i="7" s="1"/>
  <c r="B168" i="7"/>
  <c r="B167" i="7"/>
  <c r="R36" i="7"/>
  <c r="S36" i="7" s="1"/>
  <c r="R2" i="7"/>
  <c r="B165" i="7" s="1"/>
  <c r="B140" i="7"/>
  <c r="B139" i="7"/>
  <c r="N36" i="7"/>
  <c r="O36" i="7" s="1"/>
  <c r="N2" i="7"/>
  <c r="B137" i="7" s="1"/>
  <c r="B126" i="7"/>
  <c r="B125" i="7"/>
  <c r="L36" i="7"/>
  <c r="M36" i="7" s="1"/>
  <c r="L2" i="7"/>
  <c r="B123" i="7" s="1"/>
  <c r="B112" i="7"/>
  <c r="B111" i="7"/>
  <c r="J36" i="7"/>
  <c r="K36" i="7" s="1"/>
  <c r="J2" i="7"/>
  <c r="B109" i="7" s="1"/>
  <c r="B98" i="7"/>
  <c r="B97" i="7"/>
  <c r="H36" i="7"/>
  <c r="I36" i="7" s="1"/>
  <c r="H2" i="7"/>
  <c r="B95" i="7" s="1"/>
  <c r="B84" i="7"/>
  <c r="B83" i="7"/>
  <c r="F36" i="7"/>
  <c r="G36" i="7" s="1"/>
  <c r="F2" i="7"/>
  <c r="B81" i="7" s="1"/>
  <c r="B68" i="7"/>
  <c r="B67" i="7"/>
  <c r="B70" i="7"/>
  <c r="B69" i="7"/>
  <c r="T2" i="7"/>
  <c r="T36" i="7"/>
  <c r="B166" i="7" l="1"/>
  <c r="B96" i="7"/>
  <c r="B82" i="7"/>
  <c r="B152" i="7"/>
  <c r="B124" i="7"/>
  <c r="B110" i="7"/>
  <c r="B13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S34" i="7" l="1"/>
  <c r="S35" i="7"/>
  <c r="E34" i="7"/>
  <c r="E35" i="7"/>
  <c r="I34" i="7"/>
  <c r="I35" i="7"/>
  <c r="T35" i="7"/>
  <c r="N35" i="7"/>
  <c r="J35" i="7"/>
  <c r="F35" i="7"/>
  <c r="U34" i="7"/>
  <c r="U35" i="7"/>
  <c r="G34" i="7" l="1"/>
  <c r="G35" i="7"/>
  <c r="O34" i="7"/>
  <c r="O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<sst xmlns="http://schemas.openxmlformats.org/spreadsheetml/2006/main" count="13212" uniqueCount="3138">
  <si>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</si>
  <si>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</si>
  <si>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</si>
  <si>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</si>
  <si>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</si>
  <si>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</si>
  <si>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</si>
  <si>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</si>
  <si>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</si>
  <si>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</si>
  <si>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</si>
  <si>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</si>
  <si>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</si>
  <si>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</si>
  <si>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</si>
  <si>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</si>
  <si>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</si>
  <si>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</si>
  <si>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</si>
  <si>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</si>
  <si>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</si>
  <si>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</si>
  <si>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</si>
  <si>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</si>
  <si>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</si>
  <si>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</si>
  <si>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</si>
  <si>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</si>
  <si>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</si>
  <si>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</si>
  <si>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</si>
  <si>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</si>
  <si>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</si>
  <si>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</si>
  <si>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</si>
  <si>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</si>
  <si>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</si>
  <si>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</si>
  <si>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</si>
  <si>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</si>
  <si>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</si>
  <si>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</si>
  <si>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</si>
  <si>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</si>
  <si>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</si>
  <si>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</si>
  <si>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</si>
  <si>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</si>
  <si>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</si>
  <si>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</si>
  <si>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</si>
  <si>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</si>
  <si>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</si>
  <si>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</si>
  <si>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</si>
  <si>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</si>
  <si>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</si>
  <si>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</si>
  <si>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</si>
  <si>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</si>
  <si>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</si>
  <si>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</si>
  <si>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</si>
  <si>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</si>
  <si>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</si>
  <si>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</si>
  <si>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</si>
  <si>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</si>
  <si>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</si>
  <si>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</si>
  <si>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</si>
  <si>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</si>
  <si>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</si>
  <si>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</si>
  <si>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</si>
  <si>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</si>
  <si>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</si>
  <si>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</si>
  <si>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</si>
  <si>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</si>
  <si>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</si>
  <si>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</si>
  <si>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</si>
  <si>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</si>
  <si>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</si>
  <si>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</si>
  <si>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</si>
  <si>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</si>
  <si>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</si>
  <si>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</si>
  <si>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</si>
  <si>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</si>
  <si>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</si>
  <si>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</si>
  <si>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</si>
  <si>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</si>
  <si>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</si>
  <si>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</si>
  <si>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</si>
  <si>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</si>
  <si>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</si>
  <si>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</si>
  <si>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</si>
  <si>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</si>
  <si>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</si>
  <si>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</si>
  <si>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</si>
  <si>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</si>
  <si>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</si>
  <si>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</si>
  <si>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</si>
  <si>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</si>
  <si>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</si>
  <si>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</si>
  <si>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</si>
  <si>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</si>
  <si>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</si>
  <si>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</si>
  <si>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</si>
  <si>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</si>
  <si>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</si>
  <si>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</si>
  <si>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</si>
  <si>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</si>
  <si>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</si>
  <si>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</si>
  <si>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</si>
  <si>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</si>
  <si>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</si>
  <si>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</si>
  <si>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</si>
  <si>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</si>
  <si>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</si>
  <si>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</si>
  <si>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</si>
  <si>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</si>
  <si>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</si>
  <si>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</si>
  <si>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</si>
  <si>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</si>
  <si>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</si>
  <si>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</si>
  <si>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</si>
  <si>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</si>
  <si>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</si>
  <si>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</si>
  <si>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</si>
  <si>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</si>
  <si>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</si>
  <si>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</si>
  <si>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</si>
  <si>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</si>
  <si>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</si>
  <si>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</si>
  <si>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</si>
  <si>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</si>
  <si>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</si>
  <si>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</si>
  <si>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</si>
  <si>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</si>
  <si>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</si>
  <si>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</si>
  <si>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</si>
  <si>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</si>
  <si>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</si>
  <si>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</si>
  <si>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</si>
  <si>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</si>
  <si>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</si>
  <si>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</si>
  <si>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</si>
  <si>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</si>
  <si>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</si>
  <si>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</si>
  <si>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</si>
  <si>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</si>
  <si>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</si>
  <si>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</si>
  <si>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</si>
  <si>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</si>
  <si>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</si>
  <si>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</si>
  <si>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</si>
  <si>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</si>
  <si>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</si>
  <si>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</si>
  <si>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</si>
  <si>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</si>
  <si>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</si>
  <si>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</si>
  <si>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</si>
  <si>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</si>
  <si>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</si>
  <si>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</si>
  <si>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</si>
  <si>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</si>
  <si>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</si>
  <si>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</si>
  <si>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</si>
  <si>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</si>
  <si>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</si>
  <si>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</si>
  <si>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</si>
  <si>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</si>
  <si>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</si>
  <si>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</si>
  <si>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</si>
  <si>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</si>
  <si>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</si>
  <si>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</si>
  <si>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</si>
  <si>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</si>
  <si>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</si>
  <si>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</si>
  <si>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</si>
  <si>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</si>
  <si>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</si>
  <si>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nata_ipep</t>
  </si>
  <si>
    <t>bectrobe</t>
  </si>
  <si>
    <t>heartlandipe</t>
  </si>
  <si>
    <t>bostonuat1st</t>
  </si>
  <si>
    <t>b0tsci</t>
  </si>
  <si>
    <t>steminist_bot</t>
  </si>
  <si>
    <t>womenhealthbot</t>
  </si>
  <si>
    <t>geniusinhd</t>
  </si>
  <si>
    <t>sugaronthegash</t>
  </si>
  <si>
    <t>nyslibrary</t>
  </si>
  <si>
    <t>ub_marketing</t>
  </si>
  <si>
    <t>cbramen</t>
  </si>
  <si>
    <t>acannonzelasko</t>
  </si>
  <si>
    <t>lovinonbuffalo</t>
  </si>
  <si>
    <t>rymcpherson</t>
  </si>
  <si>
    <t>walterdgreason</t>
  </si>
  <si>
    <t>dyaishafair</t>
  </si>
  <si>
    <t>sarahbelle721</t>
  </si>
  <si>
    <t>ubmbaandms</t>
  </si>
  <si>
    <t>ubpmba</t>
  </si>
  <si>
    <t>coach_bato</t>
  </si>
  <si>
    <t>aspet</t>
  </si>
  <si>
    <t>matthew_biddle</t>
  </si>
  <si>
    <t>lynnbernas1</t>
  </si>
  <si>
    <t>wnywrestling</t>
  </si>
  <si>
    <t>advisormellymel</t>
  </si>
  <si>
    <t>tiapalermo</t>
  </si>
  <si>
    <t>ubsphhp</t>
  </si>
  <si>
    <t>chamm1015</t>
  </si>
  <si>
    <t>elizcolucci</t>
  </si>
  <si>
    <t>ub_bullyprevctr</t>
  </si>
  <si>
    <t>ubglobaled</t>
  </si>
  <si>
    <t>miranda_fae</t>
  </si>
  <si>
    <t>stephsfredrick</t>
  </si>
  <si>
    <t>wiseatub</t>
  </si>
  <si>
    <t>ubhonors</t>
  </si>
  <si>
    <t>ub_alert</t>
  </si>
  <si>
    <t>ubssw</t>
  </si>
  <si>
    <t>lindsayhahn_</t>
  </si>
  <si>
    <t>kaitlyn_prater6</t>
  </si>
  <si>
    <t>wfan99</t>
  </si>
  <si>
    <t>gorlewskijulie</t>
  </si>
  <si>
    <t>jenna_armband_</t>
  </si>
  <si>
    <t>ubuffaloesports</t>
  </si>
  <si>
    <t>actionsspeak716</t>
  </si>
  <si>
    <t>erinkearney78</t>
  </si>
  <si>
    <t>drabrashear</t>
  </si>
  <si>
    <t>ubsociology</t>
  </si>
  <si>
    <t>ub_boone</t>
  </si>
  <si>
    <t>urhistorydept</t>
  </si>
  <si>
    <t>baldycenter</t>
  </si>
  <si>
    <t>yan_liu_histmed</t>
  </si>
  <si>
    <t>genezubovich</t>
  </si>
  <si>
    <t>ubhealthcast</t>
  </si>
  <si>
    <t>rfsuny</t>
  </si>
  <si>
    <t>ub_cel</t>
  </si>
  <si>
    <t>pickpub</t>
  </si>
  <si>
    <t>ubhjkri</t>
  </si>
  <si>
    <t>amerunipt</t>
  </si>
  <si>
    <t>ntechnocrat</t>
  </si>
  <si>
    <t>ubuffaloecon</t>
  </si>
  <si>
    <t>wnhakala</t>
  </si>
  <si>
    <t>ubasianstudies</t>
  </si>
  <si>
    <t>ubparking</t>
  </si>
  <si>
    <t>theajwilcox</t>
  </si>
  <si>
    <t>ubuffaloctsi</t>
  </si>
  <si>
    <t>muratdemirbas</t>
  </si>
  <si>
    <t>ubschoolofmgt</t>
  </si>
  <si>
    <t>saadaonline</t>
  </si>
  <si>
    <t>ub_english</t>
  </si>
  <si>
    <t>drkamonta</t>
  </si>
  <si>
    <t>mdixon18255</t>
  </si>
  <si>
    <t>scottwilsonbuf</t>
  </si>
  <si>
    <t>pfmcdevitt</t>
  </si>
  <si>
    <t>saefarq</t>
  </si>
  <si>
    <t>thomasmcarthur1</t>
  </si>
  <si>
    <t>buffaloarchplan</t>
  </si>
  <si>
    <t>buffalo_at</t>
  </si>
  <si>
    <t>bergren</t>
  </si>
  <si>
    <t>osmanfaran</t>
  </si>
  <si>
    <t>cammill06830348</t>
  </si>
  <si>
    <t>sukhdevsidhu3</t>
  </si>
  <si>
    <t>richardabailey</t>
  </si>
  <si>
    <t>univbuffalooto</t>
  </si>
  <si>
    <t>ubadmissions</t>
  </si>
  <si>
    <t>jsexton9</t>
  </si>
  <si>
    <t>bronxbuddy</t>
  </si>
  <si>
    <t>ubengineering</t>
  </si>
  <si>
    <t>jesuslife12</t>
  </si>
  <si>
    <t>ubnewssource</t>
  </si>
  <si>
    <t>jacobs_med_ub</t>
  </si>
  <si>
    <t>ubstem</t>
  </si>
  <si>
    <t>jdubclt</t>
  </si>
  <si>
    <t>braddigan89</t>
  </si>
  <si>
    <t>matthewk112358</t>
  </si>
  <si>
    <t>icemycoffee</t>
  </si>
  <si>
    <t>jahreef4</t>
  </si>
  <si>
    <t>buffalowelowe</t>
  </si>
  <si>
    <t>lawomenshoops</t>
  </si>
  <si>
    <t>ghofmar</t>
  </si>
  <si>
    <t>stephen11mcc</t>
  </si>
  <si>
    <t>keyes1211</t>
  </si>
  <si>
    <t>loride99</t>
  </si>
  <si>
    <t>huddles10251</t>
  </si>
  <si>
    <t>bniles408</t>
  </si>
  <si>
    <t>sexylex1984</t>
  </si>
  <si>
    <t>amellusosports</t>
  </si>
  <si>
    <t>ksharkey25</t>
  </si>
  <si>
    <t>josephdid</t>
  </si>
  <si>
    <t>mvanharrison</t>
  </si>
  <si>
    <t>thesamuraicoach</t>
  </si>
  <si>
    <t>wils_dogg</t>
  </si>
  <si>
    <t>joe_jp_price</t>
  </si>
  <si>
    <t>zacharykrzysiak</t>
  </si>
  <si>
    <t>74_dy</t>
  </si>
  <si>
    <t>cballermpire55</t>
  </si>
  <si>
    <t>jb_doeee</t>
  </si>
  <si>
    <t>allanag13</t>
  </si>
  <si>
    <t>futuredrroberts</t>
  </si>
  <si>
    <t>johnmaring2</t>
  </si>
  <si>
    <t>redsterner</t>
  </si>
  <si>
    <t>smokinstix</t>
  </si>
  <si>
    <t>ubtrueblue</t>
  </si>
  <si>
    <t>mazzycc</t>
  </si>
  <si>
    <t>billybison</t>
  </si>
  <si>
    <t>danieltucholski</t>
  </si>
  <si>
    <t>spencerfreedma8</t>
  </si>
  <si>
    <t>patdeezy</t>
  </si>
  <si>
    <t>vixeyfoxdouglas</t>
  </si>
  <si>
    <t>buffalodr</t>
  </si>
  <si>
    <t>jastrzab</t>
  </si>
  <si>
    <t>ubbulls1</t>
  </si>
  <si>
    <t>ubdazzlers</t>
  </si>
  <si>
    <t>samkallday23</t>
  </si>
  <si>
    <t>ubaa_president</t>
  </si>
  <si>
    <t>ub_etgross</t>
  </si>
  <si>
    <t>ubalumni</t>
  </si>
  <si>
    <t>ubschooloflaw</t>
  </si>
  <si>
    <t>amsts</t>
  </si>
  <si>
    <t>ubnursing</t>
  </si>
  <si>
    <t>ubuffalo</t>
  </si>
  <si>
    <t>ubathletics</t>
  </si>
  <si>
    <t>ublibraries</t>
  </si>
  <si>
    <t>shollander2</t>
  </si>
  <si>
    <t>ubcoachjack</t>
  </si>
  <si>
    <t>ubmarchingband</t>
  </si>
  <si>
    <t>davidburris0621</t>
  </si>
  <si>
    <t>xwater_media</t>
  </si>
  <si>
    <t>tobylorbha</t>
  </si>
  <si>
    <t>ubscience</t>
  </si>
  <si>
    <t>ubtheatredance</t>
  </si>
  <si>
    <t>ubinfotech</t>
  </si>
  <si>
    <t>ubgse</t>
  </si>
  <si>
    <t>drlagarrettking</t>
  </si>
  <si>
    <t>ramongoings</t>
  </si>
  <si>
    <t>ubcommunity</t>
  </si>
  <si>
    <t>ubpss</t>
  </si>
  <si>
    <t>ub_history</t>
  </si>
  <si>
    <t>vwidgeon</t>
  </si>
  <si>
    <t>buffalohistory</t>
  </si>
  <si>
    <t>ubstudentexp</t>
  </si>
  <si>
    <t>ubrecreation</t>
  </si>
  <si>
    <t>ubcas</t>
  </si>
  <si>
    <t>go_nysata</t>
  </si>
  <si>
    <t>cin_online</t>
  </si>
  <si>
    <t>nata1950</t>
  </si>
  <si>
    <t>uofl</t>
  </si>
  <si>
    <t>ubgenderin</t>
  </si>
  <si>
    <t>ubwomenshoops</t>
  </si>
  <si>
    <t>ubmenshoops</t>
  </si>
  <si>
    <t>ppfa</t>
  </si>
  <si>
    <t>thebuffalonews</t>
  </si>
  <si>
    <t>caroleemberton</t>
  </si>
  <si>
    <t>bflobizfirst</t>
  </si>
  <si>
    <t>npr</t>
  </si>
  <si>
    <t>mical_raz</t>
  </si>
  <si>
    <t>harvard_law</t>
  </si>
  <si>
    <t>anna_lvovsky</t>
  </si>
  <si>
    <t>dhbuffalo</t>
  </si>
  <si>
    <t>suny</t>
  </si>
  <si>
    <t>parkmobile</t>
  </si>
  <si>
    <t>bigditchbrewing</t>
  </si>
  <si>
    <t>pm_alberti</t>
  </si>
  <si>
    <t>fordguminc</t>
  </si>
  <si>
    <t>pwc</t>
  </si>
  <si>
    <t>macsports</t>
  </si>
  <si>
    <t>unc</t>
  </si>
  <si>
    <t>alyssareese98</t>
  </si>
  <si>
    <t>marchmadnesswbb</t>
  </si>
  <si>
    <t>smfofficialy</t>
  </si>
  <si>
    <t>ninr</t>
  </si>
  <si>
    <t>alnutt41</t>
  </si>
  <si>
    <t>tom_symonds</t>
  </si>
  <si>
    <t>5pm</t>
  </si>
  <si>
    <t>ubuffaloeln</t>
  </si>
  <si>
    <t>3mt_official</t>
  </si>
  <si>
    <t>bowluspeck</t>
  </si>
  <si>
    <t>MentionsInRetweet</t>
  </si>
  <si>
    <t>Retweet</t>
  </si>
  <si>
    <t>Mentions</t>
  </si>
  <si>
    <t>Replies to</t>
  </si>
  <si>
    <t>So honored to be representing Buffalo IPE Leadership team at the #NAPForum2022 in San Diego to receive our IPE Group Recognition award! #UBuffalo #UBSPHHP #IPE  @GO_NYSATA @NATA1950 https://t.co/rnBBMjpAr7</t>
  </si>
  <si>
    <t>Nursing PhD student Mary Rose Gaughan was published in the February 2022 issue of @CIN_online for her insight into the factors identified as benefits and drawbacks of technology use by nurses. #UBuffalo
https://t.co/htzEZ8GtTG</t>
  </si>
  <si>
    <t>Love seeing our #UBalumni give back. It's one of the many things that keeps me putting my #UBhornsUP! 💙🤘
#UBuffalo
#WomenInSTEM https://t.co/etwx4rK40D</t>
  </si>
  <si>
    <t>This #UBuffalo rebel grad is breaking barriers and helping other women in STEM do it too. Watch her story now 👇 https://t.co/uv7374M3kW</t>
  </si>
  <si>
    <t>Congratulations to #UBuffalo Professor Steve McCaffery! 55 years in the making, 𝘊𝘢𝘳𝘯𝘪𝘷𝘢𝘭: 𝘛𝘩𝘦 𝘊𝘰𝘮𝘱𝘭𝘦𝘵𝘦 𝘌𝘥𝘪𝘵𝘪𝘰𝘯 1967-2022 has just been published by Veer Books in the UK: https://t.co/Pn83h51u6i https://t.co/Ke8k5ed5lG</t>
  </si>
  <si>
    <t>Join us 3/8 for our next webinar “Speaking with the Dead in Early America” presented by #UBuffalo professor and author Erik R. Seeman. For more info &amp;amp; to reg: https://t.co/j4DujwqNg9 #Webinar #Spiritualism #FoxSisters #AmericanHistory #CulturalHistory #BookDiscussion https://t.co/9PBP1ghhn1</t>
  </si>
  <si>
    <t>This week we will be consulting on a local business, Rob's Comedy Playhouse. We will be discussing ways to increase their social presence and expand their customer base. This will be great experience to discuss when interviewing and looks great on a resume!
#marketing #ubuffalo https://t.co/RfnQZg7lfz</t>
  </si>
  <si>
    <t>📣Check out this upcoming event w/ @UBGenderIn! Join us on Tue, March 8 @ 12PM for a book launch event New Books, New Feminist Directions. Prof. @VWidgeon will discuss her book &amp;amp; @uofl Prof. Tracy E. K'Meyer will offer commentary.
Register Here: https://t.co/fOap8XVSuc #UBuffalo</t>
  </si>
  <si>
    <t>Get on your #UBuffalo gear and join us at a watch party for the @UBmenshoops and @UBwomenshoops teams heading to the MAC tournament! #UBhornsUP https://t.co/a6qC5HHM1G https://t.co/liwphK5jZU</t>
  </si>
  <si>
    <t>Time is running out... Just under two weeks left to nominate a #UBuffalo grad with a fast-growing business for the Fast 46 competition! https://t.co/lBPoCCIqvE</t>
  </si>
  <si>
    <t>A pretty special day on the #UBuffalo campus today--first time we've been able to see smiling student faces  since two years ago with masks become optional.  Nice work @UBuffalo you've all done an amazing job fighting this pandemic and thinking about the greater good!</t>
  </si>
  <si>
    <t>📣 Join us and @UBGenderIn today, March 8 @ 12PM for a book launch event New Books, New Feminist Directions. Prof. @VWidgeon will discuss her book &amp;amp; @uofl Prof. Tracy E. K'Meyer will offer commentary.
Register Here: https://t.co/fOap8XVSuc #UBuffalo</t>
  </si>
  <si>
    <t>At #UBMgt, we celebrate women’s achievements every day. We are proud to recognize our students, faculty and staff’s success. Learn more about the achievements earned by women in the UB MBA program: 
https://t.co/S108xXDVuu 
#WomensDay #UBuffalo #WomeninBusiness https://t.co/sQJ4UKXC2z</t>
  </si>
  <si>
    <t>Interested in UB’s PMBA program?
Chat with a current student: https://t.co/ITaGBOOacd
#UBMgt #UBuffalo #gradschool https://t.co/4aMB0mgtUZ</t>
  </si>
  <si>
    <t>At #UBMgt, we celebrate women’s achievements every day. We are proud to recognize our students, faculty and staff’s success. Learn more about the achievements earned by women in the UB MBA program: 
https://t.co/icVKFcofTi 
#WomensDay #UBuffalo #WomeninBusiness https://t.co/sSAlQ1SL8W</t>
  </si>
  <si>
    <t>On #InternationalWomensDay, we celebrate the powerful women of #UBuffalo, past and present 💪🏾 including these prominent figures in our city's history 👇 https://t.co/dJJsE82uXI</t>
  </si>
  <si>
    <t>Congratulations to Dr. Margarita L. Dubocovich from the State University of New York at Buffalo, winner of the 2022 Julius Axelrod Award in Pharmacology.  
#UBuffalo, @Jacobs_Med_UB #pharmacology, #ASPET22, #expbio https://t.co/GX7FBoRSUq</t>
  </si>
  <si>
    <t>On this #InternationalWomensDay, we’re proud to highlight these outstanding #UBMgt alumnae. They're just a few of the amazing women who have graduated from the UB School of Management over the years.
#UBuffalo #UBMgt https://t.co/4s28ziJBS6</t>
  </si>
  <si>
    <t>Eating well can do a LOT to help you feel your best 🥗💵 Two upcoming virtual workshops for all #UBuffalo students can help you learn to make peace with food and plan meals ahead to save money:  https://t.co/uD5NNcltGa
📆 Intuitive Eating on 3/9
📆 Meal Planning 3/16 https://t.co/ExualQMW4l</t>
  </si>
  <si>
    <t>Introducing: “Buster, the Buffalo Bull” 
➡️ This 1954 version of Buster was designed by Stuart Hample, a 1949 #UBuffalo graduate. #UBTrueBlue https://t.co/REOR2a3QZB</t>
  </si>
  <si>
    <t>Happy #InternationalWomensDay!  Learn about women's issues in health care with Buffalo HealthCast. ♀️
Abortion Access: 
https://t.co/bl0s2PZLCg
Breast Cancer Disparities: 
https://t.co/2WqIZzDuDk
#UBuffalo #UBPublicHealth #HealthEquity #PublicHealth https://t.co/AyZbrqwbmZ</t>
  </si>
  <si>
    <t>Learn from @PPFA and @UBSchoolofLaw about abortion access in the United States to celebrate #WomensHistoryMonth
Visit: 
https://t.co/bl0s2PIaKI
#UBuffalo #PublicHealth #HealthEquity #UBPublicHealth #AbortionIsHealthCare https://t.co/SYr2ebCzsj</t>
  </si>
  <si>
    <t>#UBuffalo PhD candidates #Schomburg @UBScience @UBGSE https://t.co/gmX388jjzv</t>
  </si>
  <si>
    <t>DYK? If COVID-19 has affected your finances, you could be eligible for a federal aid adjustment. Request a professional judgment review through #UBuffalo's Financial Aid Office. The COVID-19 support team is here to help! Learn more about this process ▶️ https://t.co/sSLcFO6Agn https://t.co/U2lnSzqkIY</t>
  </si>
  <si>
    <t>One week away! Join #UBGSE for "The Reality of Researching Race in Your Dissertation: Strategies for Success and Keeping Your Sanity," with @RamonGoings.
Learn more and register: https://t.co/Rmnd4Shprw.
#UBuffalo https://t.co/J0oWgbsEKl</t>
  </si>
  <si>
    <t>Coming together to stop school violence: The Annual Safe Schools Initiative Seminar at #UBuffalo will allow education professionals to discuss approaches to averting school violence. #UBGSE's @UB_BullyPrevCtr is a founding sponsor of the event. 🏫
More: https://t.co/6ZP4VyRxwc.</t>
  </si>
  <si>
    <t>UB WiSE and UB STEMinism co-hosted a Picture Yourself in STEM photo booth on March 8th to empower women in STEM. It was fun too! #ubSTEMinism, #ubwise, #ubseas, #ubengineering, #UBuffalo, #ubcas, #ubwisc https://t.co/gWJIVQrTkV</t>
  </si>
  <si>
    <t>In keeping with state and federal regulations, masks will continue to be mandatory for everyone aboard #UBuffalo Stampede and shuttles😷🚌</t>
  </si>
  <si>
    <t>Sign Up! Seats Available on the Spring Break Express Bus Home https://t.co/GAnjQAedhR #ubuffalo</t>
  </si>
  <si>
    <t>#UBClassOf2022 grads - this Friday 3/11 is the last day to order your caps and gowns online 👩🏽‍🎓 Don't wait til the last minute, since in-store stock is not guaranteed 🎓 Order here now: https://t.co/WR6Cfo1hxR #UBuffalo https://t.co/QkJmgKXjqc</t>
  </si>
  <si>
    <t>UB Alert: This is a test. Please sign up to receive alerts at https://t.co/xOoylvdiO9. #UBuffalo #UBAlert</t>
  </si>
  <si>
    <t>“Odyssey: Warriors Come Home:" A collective story of coming home from battle https://t.co/dIobK6c3Bk &amp;lt;Photos part of a #research project on use of the humanities for U.S. #MilitaryVets to think more deeply about issues raised by war, military service. #UBuffalo  #Storytelling</t>
  </si>
  <si>
    <t>Let's GOOO! 🎮🎧🤩 The LevelUp Esports arena and console lounge in Lockwood are opening this month!
Take your gaming to the next level with PCs and consoles preloaded with an epic library of games available to all #UBuffalo students! 🤘 https://t.co/AOMdXwz3L7</t>
  </si>
  <si>
    <t>Let the #MACtion Begin! 🎶🏀 #UBuffalo #UBTrueBlue #UBHornsUp https://t.co/KFkhzK59lq</t>
  </si>
  <si>
    <t>Do you know a #UBuffalo grad who owns a thriving, fast-growing business? Nominate them for Fast46 today! https://t.co/KxlliGxRWI https://t.co/Q99VcFZ1kI</t>
  </si>
  <si>
    <t>Students in the WNY Youth Alliance for Education (YAE) speak up! 👏 @TheBuffaloNews published a letter from YAE, calling on others to voice their thoughts on education. Founded by #UBGSE, YAE helps students develop policy recommendations.
More: https://t.co/G7ipnB3O9O
#UBuffalo</t>
  </si>
  <si>
    <t>Game on! 🎮 Here's your sneak peek 👀 into the NEW LevelUp computing space in Lockwood Library at #UBuffalo! This space, complete with computers for work and play + the latest gaming consoles, is slated to open in March! @ubinfotech https://t.co/F75ccUN43s</t>
  </si>
  <si>
    <t>TODAY! 
📣Check out this upcoming event with @BuffaloHistory at 6 PM on March 9! Prof. @CaroleEmberton will discuss her new book, To Walk About in Freedom at the Buffalo History Museum. More info: https://t.co/JG3SUgcPwc #UBuffalo</t>
  </si>
  <si>
    <t>Congrats to the @Jacobs_Med_UB &amp;amp; #UBuffalo honorees on the @BfloBizFirst Power 250 list — a roster of the region’s 250 most influential people. The Jacobs School is well represented on this list; we have strong faculty. Further, I’m honored to be included on the list. #UBTrueBlue https://t.co/83th5VlSgR</t>
  </si>
  <si>
    <t>Professor Brenda Moore speaks with @NPR about the 855 Black women who became the first and only all-female Black U.S. Army Corps unit to serve overseas during World War II. This year, Congress awarded the group the Congressional Gold Medal. #UBuffalo  https://t.co/L1XG71WFJU</t>
  </si>
  <si>
    <t>#UBuffalo basketball has been around for over 100 years. Anything is possible! 🏀🦬 #ClevelandIsTheReason #UBhornsUP 
➡️ https://t.co/jyhvlfuNZ4 https://t.co/2uOxGXfdtv</t>
  </si>
  <si>
    <t>Tomorrow at 4pm, @Mical_Raz from @urhistorydept will be speaking on the origins of the child welfare system and how abusive practices came to be so entrenched in the system. Register now to attend via Zoom or in person: #UBuffalo https://t.co/8r5yeTAF5o</t>
  </si>
  <si>
    <t>Join us tomorrow at 12:30pm as we welcome @Anna_Lvovsky from @Harvard_Law  as she discusses police professionalism and its inability to mitigate police misconduct. Stop by 509 O’Brian Hall or register now via Zoom: #UBuffalo https://t.co/ZSm5k4s9hf</t>
  </si>
  <si>
    <t>Join us in person or online on March 11th at 3 PM for a New Book 🎉Celebration 🎉 in honor of Prof. @dhbuffalo and his new book, White Market Drugs! More info and registration: https://t.co/hWRgwnzNbT #UBuffalo https://t.co/v9KBbMwKpu</t>
  </si>
  <si>
    <t>Attitudes Around #Disability, with Dr. Sue Mann Dolce, the Associate Director of Accessibility Resources here at @UBuffalo comes out on St. Patrick's Day next week. Mark your calendars!
#Accessibility #PublicHealth #HealthEquity #UBPublicHealth #UBuffalo https://t.co/INNAdC2UVp</t>
  </si>
  <si>
    <t>Three #UBuffalo engineering students (8 total) receive @SUNY GREAT awards. Congrats Kyle Hunt, Dennis Fedorishin &amp;amp; Liam Christie!!! https://t.co/SkRog9wZ27 https://t.co/DPu0VE7MQ5</t>
  </si>
  <si>
    <t>Dr. Joe Atkinson from @UBengineering discusses the “moving target” that is water quality management in Lake Ontario in our newest blog. Read now: #UBuffalo https://t.co/iHKaWVQTiC</t>
  </si>
  <si>
    <t>Rebecca Brady, MWEE '18, is setting the stage: https://t.co/r6MWICbQS6
#UBMgt #UBuffalo #UBTrueBlue https://t.co/4XsgRnfrIY</t>
  </si>
  <si>
    <t>The most detailed Buffalo-Akron preview in the land... Like if you are taking Buffalo, retweet if you are taking Akron. #UBuffalo #Picks #GamblingTwitter https://t.co/sMoN2HkKYB</t>
  </si>
  <si>
    <t>It is GAMEDAY and we have a FREE preview of the Buffalo-Akron game happening today.  Click or tap now!  #UBuffalo #Picks https://t.co/sMoN2HkKYB</t>
  </si>
  <si>
    <t>To keep our campus community safe, mandatory weekly surveillance testing will continue for those who:
🔹 Are on campus and have NOT been fully vaccinated 
🔹 Fail to verify that they are fully vaccinated
https://t.co/Oz31OTObuY #UBuffalo</t>
  </si>
  <si>
    <t>Medical education at @Jacobs_Med_UB is undergoing fundamental changes addressing structural racism in medicine in an effort initially inspired by our students. #UBuffalo https://t.co/XQ5SQzpsNk</t>
  </si>
  <si>
    <t>As part of #WomensHistoryMonth, today we’re honoring Mary Blair Moody, MD, the first woman to earn a medical degree at #UBuffalo. Her motto? “The greatest good to the greatest number at the smallest cost to them.” 
Learn about her life and time at UB: https://t.co/uhpA3oEAtN https://t.co/uEp9wD0Jwr</t>
  </si>
  <si>
    <t>Join us for one of our two virtual guest lectures this Thursday, during which Dr. Michael Koved (Advanced Analytics) will discuss best practices for successful presentations and data visualizations!
More info and Zoom link: https://t.co/2Ul2FnOsCp
#UBuffalo @UBCAS @ubalumni https://t.co/UybR9VADd5</t>
  </si>
  <si>
    <t>Join us tomorrow (Friday) for our virtual seminar, during which Dr. Philipp Kircher (Cornell) will discuss the impacts of lockdowns and social distancing based on age!
More info and Zoom link: https://t.co/PoQLT5jkyM
#UBuffalo @UBCAS https://t.co/06iB2WjwlS</t>
  </si>
  <si>
    <t>#UBuffalo @UB_English PhD student and @SAADAonline fellow Sharmeen Mehri has written a moving essay about her father and #Zoroastrian identities in South Asia and North America. https://t.co/WcQRc7txr8</t>
  </si>
  <si>
    <t>Please join us on April 7 for the annual Alison Des Forges Symposium, “Today’s Socialism and Human Rights.” The symposium will be a hybrid event. Registration is free and more info on the symposium and registration can be found here: https://t.co/9s3gz2vdAk. #UBuffalo https://t.co/XfvTdnvwrF</t>
  </si>
  <si>
    <t>Don't go out to feed the meter. Use @Parkmobile instead and never have to carry change or get cold. Get the free app now! https://t.co/fbdhhZ1aJW #ubuffalo</t>
  </si>
  <si>
    <t>@ubalumni @bigditchbrewing Love this. Matt is a great guy and a fantastic #UBuffalo grad!</t>
  </si>
  <si>
    <t>On March 5, #UBuffalo made masks optional in most settings. Many people have shown a commitment to #COVID19 safety. To continue this forward momentum, I urge everyone to get vaccinated / boosted &amp;amp; upload that information ASAP. Get all the info at https://t.co/IoLDI0Zbsn https://t.co/DOToSZ2EnM</t>
  </si>
  <si>
    <t>Today, on #InternationalWomensDay, we’ve been celebrating the many achievements of our unstoppable @Jacobs_Med_UB trainees, graduates, staff, faculty members, mentors and leaders! Trailblazing women at #UBuffalo have shaped history and advanced medicine and science! https://t.co/nWaOT6bS8L</t>
  </si>
  <si>
    <t>Did you see the latest #UBuffalo CTSI Translational Spotlight newsletter? It featured: 
🔹CTSI Annual Forum preview: Interview w/ keynote speaker @PM_Alberti
🔹#COVID19 immunity over time
🔹CTSI Health Inequities Workshop Series begins Mar. 10
Read now: https://t.co/dQ48Pk2fYN https://t.co/Qj1qkkhFQg</t>
  </si>
  <si>
    <t>"Hari cherished his role as a researcher, professor and scientist, and he will be deeply missed by his department, our school and our university." The #UBuffalo community's thoughts are with professor Srihari's family at this time. @UBengineering https://t.co/3bah3R89j5</t>
  </si>
  <si>
    <t>George Stege, MBA '86, leading the charge at @FordGumInc!  https://t.co/6oi8Bxg15K
#UBMgt #UBuffalo https://t.co/p7ScRfmiiJ</t>
  </si>
  <si>
    <t>Rising to the Challenge! 🏆 
Congratulations to the ‘Pencil Pushers’ for taking top honors in this year’s @PwC Challenge: https://t.co/lGCgrielfC
#UBMgt #UBuffalo #Accounting #Business #UBTrueBlue https://t.co/uvp9cWpmdu</t>
  </si>
  <si>
    <t>Congratulations to #UBuffalo @UB_English Professor Miriam Thaggert, whose edited volume 𝘈𝘧𝘳𝘪𝘤𝘢𝘯 𝘈𝘮𝘦𝘳𝘪𝘤𝘢𝘯 𝘓𝘪𝘵𝘦𝘳𝘢𝘵𝘶𝘳𝘦 𝘪𝘯 𝘛𝘳𝘢𝘯𝘴𝘪𝘵𝘪𝘰𝘯, 1920–1930 is soon to be available from Cambridge University Press! https://t.co/J9dASf4edc https://t.co/g1lJPRtZKp</t>
  </si>
  <si>
    <t>Professor Nicole Morris Johnson's essay "On Opacity: Toni Morrison’s and Paule Marshall’s Narrative Vision Therapy" has just been published in the journal 𝘔𝘌𝘓𝘜𝘚. Visit https://t.co/QZF3cCkNxW to learn more! #UBuffalo https://t.co/oT5Kta3gPm</t>
  </si>
  <si>
    <t>Sending all of our #UBTrueBlue spirit to everyone watching back home in Buffalo! 💙🤘#UBuffalo #UBHornsUp https://t.co/Ml1MdcTKIV</t>
  </si>
  <si>
    <t>#UBuffalo football from 1899 with head coach Bemus Pierce in the back row. 🏈🦬 
This photo was donated a couple of years ago.
➡️ https://t.co/k93mVRHxvZ https://t.co/n6bH9m43IK</t>
  </si>
  <si>
    <t>📣UB History Students: The Spring 2022 Scholarship Competition is open! The Dept. has a wide variety of scholarships and prizes to award, deadline April 15th!* More info on qualifications and application form: https://t.co/1EXqbbySO0 #Ubuffalo
*Paper prize deadline May 1st https://t.co/nZb3Cio3MA</t>
  </si>
  <si>
    <t>Mark your calendars, #UBuffalo, Alumni Week is less than 3 months away! Stay tuned for a full schedule of events! https://t.co/LqA1wT7pXI</t>
  </si>
  <si>
    <t>Tackling health inequities from all sides 🤝 A new partnership between two #UBuffalo health centers is working to change health outcomes in #Buffalo neighborhoods. Learn more ▶️ https://t.co/jZu6QsNh7C https://t.co/6lxwVarhrt</t>
  </si>
  <si>
    <t>Next up in our alumni spotlight is Joe Ramos, MSAT, ATC UB MSAT class of 2020! Joe is an Assistant AT for the sports medicine staff at Florida Atlantic University. His primary patient care is for Men’s Basketball and Men’s Golf. #UBSPHHP #UBuffalo #UBAlumni #NATM2022 https://t.co/WiM4iCrIK2</t>
  </si>
  <si>
    <t>Do you know an outstanding nurse? Nominate them for our Patricia H. Garman Award for Excellence and Service in Nursing and our Distinguished Preceptor Award!🏆⭐
Nominations are due this Friday. #UBuffalo
https://t.co/ZZWw3fQf6z</t>
  </si>
  <si>
    <t>#UBuffalo SON alumni: We want to hear from you! Share your latest career accomplishments to be featured as a class note on our website and in our magazine.
https://t.co/B0KuOOFady https://t.co/JoYEE77u55</t>
  </si>
  <si>
    <t>Spirit Squads assembled and ready to cheer on @ubwomenshoops to a @macsports basketball tournament championship!! 
#UBhornsUP #UBuffalo https://t.co/5OLFf7G6DS</t>
  </si>
  <si>
    <t>Another reason to be tuned into this exciting game #UBuffalo! 🔥🔥🔥 https://t.co/axQI0haXbt</t>
  </si>
  <si>
    <t>Join us on April 1st at 3 PM in person or online for Dr. Jay Smith's talk, "The Amateurism Myth and the Impossibility of College Sports Reform." Registration: https://t.co/hWRgwnzNbT #UBuffalo @UNC https://t.co/L8BQtIgO8T</t>
  </si>
  <si>
    <t>Our @Jacobs_Med_UB  student reviewers @AlyssaReese98 and Nicole Favre weigh in here! Check out this #otolaryngology newsletter:
#otomatch2023
#womeninoto #ubuffalo https://t.co/1Qri3ruUUh</t>
  </si>
  <si>
    <t>#UBuffalo's virtual events for accepted students start this Saturday! Browse our events and register now via your Applicant Status Page or the Accepted Student Events tab on https://t.co/J0EkLzjaDg. https://t.co/hFcLv4NBHN</t>
  </si>
  <si>
    <t>Check out this great shot of One World Café, #UBuffalo's just-opened international eatery and gathering space. See it in person when you come visit campus. Special tour dates are available for accepted students on April 10, 14 &amp;amp; 23. Register now: https://t.co/tl5fxcSxHX https://t.co/9QjJHWoKlV</t>
  </si>
  <si>
    <t>Full of #UBTrueBlue pride for our MAC Champions! ##UBuffalo #UBhornsUP https://t.co/5L26rxNi04</t>
  </si>
  <si>
    <t>#UBuffalo President Satish K. Tripathi: Congratulations to our @UBWomenshoops team! Incredible @MACSports championship game! Looking forward to cheering on the team in the @MarchMadnessWBB tournament! Go Bulls!! #UBDancing #UBhornsUP</t>
  </si>
  <si>
    <t>Join us at 1 p.m. March 9 on Zoom for the second of three seminars this spring focused on diversity, equity and inclusion in business education throughout @SUNY.
Free to attend! For more information and to register, visit https://t.co/dNdCQzxG5R.
#UBMgt #UBuffalo https://t.co/Nbyw07lHFD</t>
  </si>
  <si>
    <t>So proud! Such an incredi-bull performance by @UBwomenshoops! 
#ubuffalo #UBhornsUp #UBDancing https://t.co/I113vMEaIM</t>
  </si>
  <si>
    <t>Go #UBuffalo! https://t.co/ZT0sft5dOm</t>
  </si>
  <si>
    <t>DYK the history of #UBTrueBlue? 💙 Long before it became a rallying cry for the #UBuffalo community, it all started with two friends and a whole lot of pride! 🤘🏿🤘🏻🤘🏽 https://t.co/Zp7XKpFAJA</t>
  </si>
  <si>
    <t>Break out your dancing shoes!  Your #UBuffalo Bulls are 2022 MAC Tournament Champions and going #UBDancing!! 🎉 🥳 🎉 Let’s get those #UBhornsUP and that #UBTrueBlue energy flowing! 🤘🏽🤘🏽🤘🏽 https://t.co/lHZ9x2gWHg</t>
  </si>
  <si>
    <t>The #UBuffalo CTSI Annual Forum is one week away! Learn more about the speakers, and register now to watch live via Zoom from 12:30 to 4:45 p.m. on March 16. - https://t.co/3mJUxbO8DU https://t.co/UGQe6yQtic</t>
  </si>
  <si>
    <t>Interested in learning more about the underlying causes, strategies and policies to reduce health inequities? Register for the #UBuffalo CTSI Health Inequities Workshop, running online via Zoom from 3-4:30 p.m. on March 10, 17, and 31, and April 7 and 14: https://t.co/pZRMhKcou2 https://t.co/0VzCOOAQxx</t>
  </si>
  <si>
    <t>In the March/April Buffalo Research News: A #UBuffalo researcher has an important message for anyone who is pregnant or trying to conceive: “The COVID-19 pandemic is not over. If you have waited to get the vaccine thus far, the time is now.” - https://t.co/d91wWaGrYk https://t.co/qHC0U3z5FB</t>
  </si>
  <si>
    <t>Participate in “Research 101,” a discussion on the importance of research in the Black community featuring a presentation by #UBuffalo CTSI Community Engagement Specialist Rosaura Romero and a Q&amp;amp;A period, tonight at 7 p.m. on Facebook live. 
https://t.co/Fof5LIPQu2 https://t.co/wkLFfvkMxs</t>
  </si>
  <si>
    <t>“At every point during the pandemic, our societal structures churned out brand new health and social inequities.”
Read more from our interview with Philip M. Alberti, PhD, keynote speaker at the #UBuffalo CTSI Annual Forum on Wednesday, March 16.
https://t.co/nuI5NoffoQ https://t.co/j9xCFspfub</t>
  </si>
  <si>
    <t>#UBuffalo @UBuffaloCTSI is hosting the Health Inequities Workshop Series.
The workshop is every Thursday beginning this Thursday, March 10th - Thursday, April 24th, 2022.
The series is FREE OF CHARGE. Learners can also earn a certificate of completion upon viewing all workshops https://t.co/jA753bnrcu</t>
  </si>
  <si>
    <t>Beautiful shot of our @UBwomenshoops celebrating their W‼️ yet another CONGRATULATIONS 💙🤘
#UBTrueBlue #UBuffalo @UBuffalo @UBAthletics https://t.co/yOcOzhwSVM</t>
  </si>
  <si>
    <t>On #InternationalWomensDay, we celebrate Dr. Kate Pellham Newcomb, M.D., #UBuffalo class of 1917.
She was a popular physician in Northern Wisconsin who provided health care where few medical services were available.
➡️ https://t.co/82vLv27pMK https://t.co/LoSopdBlkz</t>
  </si>
  <si>
    <t>📣Check out this upcoming event with @BuffaloHistory at 6 PM on March 9! Prof. @CaroleEmberton will discuss her new book, To Walk About in Freedom at the Buffalo History Museum. More info: https://t.co/JG3SUgcPwc #UBuffalo</t>
  </si>
  <si>
    <t>From May 4, 1973 - #Niagara vs. #Buffalo at Peelle Field on the #UBuffalo south campus. ⚾️🦬 
➡️ https://t.co/pSOL38oZwY https://t.co/6THdpTUZtN</t>
  </si>
  <si>
    <t>“I'm a BULL-iever” button from our #UBuffalo Marching Band digital collection. Best of luck to @UBwomenshoops today! 🏀🦬
➡️ https://t.co/v2kL9Fesea
#UBhornsUP https://t.co/9ka2uD7Wod</t>
  </si>
  <si>
    <t>Incredi-Bull Game #UBuffalo!
Incredi-bull job @UBwomenshoops and @UBCoachJack 🤘🏼🔥 https://t.co/wHH0xDPFtZ</t>
  </si>
  <si>
    <t>Feeling all the MACtion today! Ready to cheer on our Bulls at the Championship! 🤘🏼💙 #UBhornsUP #UBuffalo https://t.co/DWgDx0l75g</t>
  </si>
  <si>
    <t>🙌🏻🤘🏽
#UBuffalo https://t.co/EwQ2ANA7nh</t>
  </si>
  <si>
    <t>This #UBuffalo grad is brewing up something you won't want to miss at @bigditchbrewing. 🍻 Episode 3 is live now. Cheers! 💙🤘 #UBTrueBlue https://t.co/lvpFnxMJj1</t>
  </si>
  <si>
    <t>Excited to share the latest video my team brewed up featuring the co-founder of @bigditchbrewing! 🍻💙 #UBuffalo #UBTrueBlue
Watch (and subscribe if you don’t want to miss and episode) https://t.co/bAWJ1IAhHY</t>
  </si>
  <si>
    <t>This #UBuffalo grad took a leaf of faith into her passion for plants, and in doing so she's healing other people's pain. Watch how. 👉 https://t.co/a1FfgQgcjR https://t.co/QpDKBU5uwY</t>
  </si>
  <si>
    <t>Lets Go #UBuffalo! @UBwomenshoops is on 🔥🔥🔥
#UBhornsUP! https://t.co/pA4CMTC7Vj</t>
  </si>
  <si>
    <t>Join #UBGSE this Tues. for "The Reality of Researching Race in Your Dissertation: Strategies for Success and Keeping Your Sanity" with @RamonGoings.
Register: https://t.co/hDWhtIlxGS.
#UBuffalo @DrLaGarrettKing https://t.co/C5qHry9tZd</t>
  </si>
  <si>
    <t>If you know a #UBuffalo grad with a fast-growing business, don't forget to nominate them for the Fast 46 competition! Nominations close Thursday 3/18. https://t.co/b4nmKknVuk https://t.co/TlZkrO2vp0</t>
  </si>
  <si>
    <t>#UBuffalo engineers develop new method – inspired by kid’s pop-up books – for making 3D artificial tissue. Could help improve experimental drug testing, artificial organs &amp;amp; more: https://t.co/4GjnUMlZ1r https://t.co/ETq0tM0LoD</t>
  </si>
  <si>
    <t>Let’s go Bulls!! Excited to cheer on our @UBwomenshoops team against Tennessee in the @MarchMadnessWBB tourney! #UBDancing #UBuffalo https://t.co/aNv04rNkbE</t>
  </si>
  <si>
    <t>At the half, the #UBuffalo Women lead 33-18. The Bulls are playing a smothering defense! https://t.co/dUg3E7dJyA</t>
  </si>
  <si>
    <t>Tremendous win for the #UBuffalo Women! https://t.co/wvqND991td</t>
  </si>
  <si>
    <t>The #UBuffalo Men fall just short in a very competitive, back-and-forth game. https://t.co/8vg0yoTI7R</t>
  </si>
  <si>
    <t>The #UBuffalo Women WIN! Dyaisha Fair is the Michael Jordan of Women’s basketball. 🤘 https://t.co/PfsLozB8BS</t>
  </si>
  <si>
    <t>#UBuffalo #UBalumni #AlwaysABull 🏀 https://t.co/mqOeOKGyVK</t>
  </si>
  <si>
    <t>Tremendously exciting game! Turn it on NOW #UBuffalo and #UBalumni! 🦬🏀💙🤘 https://t.co/YEYJpZPgbI</t>
  </si>
  <si>
    <t>#UBuffalo #UBalumni https://t.co/H4Gej1Ehx7</t>
  </si>
  <si>
    <t>THE #UBUFFALO WOMEN ARE MAC CHAMPIONS! https://t.co/y213ldU4gU</t>
  </si>
  <si>
    <t>History doesn't repeat itself, but it does rhyme! #UBuffalo #UBalumni https://t.co/L1UELvtwd1</t>
  </si>
  <si>
    <t>Waking up MAC Champions! #UBuffalo #UBalumni https://t.co/EyvYFDxiEZ</t>
  </si>
  <si>
    <t>Smiling because we love our dentists! Who is your favorite #UBuffalo dentist? Share it in the comments! #NationalDentistDay https://t.co/IhqvvwfPPH</t>
  </si>
  <si>
    <t>Nothing on TV tonight? Don't worry, we've got you covered with the first two episodes of True Blue! 💙 #UBuffalo #UBTrueBlue 1/4 https://t.co/q8V9Zl3ffJ</t>
  </si>
  <si>
    <t>GO BULLS!📣 Can't wait for the game tomorrow! All the #UBalumni are rooting for you! 
#UBuffalo 
#UBhornsUP 🤘
#ClevelandIsTheReason https://t.co/gRb8hX0byI</t>
  </si>
  <si>
    <t>Practical training for passionate students! ⚖️ 💙 Read how this #UBuffalo grad and his wife are transforming programs at @UBSchoolofLaw. https://t.co/YFyqE8QOfJ https://t.co/JbsgUZA93j</t>
  </si>
  <si>
    <t>So ready for the game today! Just the start for this talented team. 🙌 GO BULLS!!!
#UBuffalo #UBhornsUP 🤘💙 https://t.co/IydV4gQCHS</t>
  </si>
  <si>
    <t>WOW!!! 😲 Dominant win from @UBwomenshoops. 💪Excited for the semifinal game Friday afternoon. The team will face Akron. GO BULLS! 
#UBuffalo #UBhornsUP 🤘
#MACtion https://t.co/qDksmqA7xf</t>
  </si>
  <si>
    <t>Good luck to our Men's team today as they take on Akron in their first game of the tournament! GO BULLS!!! 🙌🏀
#UBuffalo 🦬
#UBhornsUP 🤘 https://t.co/CZ8mTy4l7Q</t>
  </si>
  <si>
    <t>Not the result we hoped for but a great game and a great season from @UBmenshoops. 👏The future looks bright for this team!🙏 Can't wait until next season. Go Bulls! 🏀💙 
#UBuffalo #UBhornsUP 🤘
#ForeverABull https://t.co/1uK77mN130</t>
  </si>
  <si>
    <t>Semifinals day for @UBwomenshoops!📣 Ready for another big win this afternoon 💪. GO BULLS!!! 🦬🤘
#UBuffalo #UBhornsUP
#MACtion https://t.co/6lSWyHtYl6</t>
  </si>
  <si>
    <t>FINALS BOUND!!! 📣👏All of @UBwomenshoops's hard work is paying off. Can't wait for the game! GO BULLS!!!🦬💙 It will be shown on CBS Sports Network at 11:00am EST.
#UBuffalo #UBhornsUP
#UBalumni #MACtion https://t.co/vwmI0BZjzi</t>
  </si>
  <si>
    <t>The team looks ready for a big championship win today! Game time is 11:00am on CBS Sports Network. GO BULLS!!! 📣💪🤘
#UBuffalo #UBhornsUP
#MACtion https://t.co/QF6qxNnYhA</t>
  </si>
  <si>
    <t>Go Bulls!!! Love seeing #UBalumni cheering for our teams! #UBuffalo #UBhornsUP 🤘💙🙏
#ForeverABull https://t.co/nGeve0TBQU</t>
  </si>
  <si>
    <t>🏀MAC CHAMPIONS!!!🏀😤 Such an exciting game and now onto the NCAA tournament! Congratulations @UBwomenshoops and @UBCoachJack! 👏 All #UBalumni are proud of all of you! GO BULLS!!! 💙
#UBuffalo #UBhornsUP 🤘 https://t.co/piEnfCJDGV</t>
  </si>
  <si>
    <t>Last week, UB students participating in the NYC Program in Finance and Law visited the 7 World Trade Center to attend a talk from Robert Gutowski (JD ’99), General Counsel at MSCI Inc., on compliance and the role of a general counsel at a capital investment firm.  #UBuffalo https://t.co/kHEgAT4up1</t>
  </si>
  <si>
    <t>This #UBuffalo grad from @SMFOfficialy has some quick strategic tips to be most successful in your career. Watch the full video to see what those are! https://t.co/dxZt6KphfU https://t.co/KmzkLcbSpG</t>
  </si>
  <si>
    <t>AMSTS MAC Computer Rankings for Week 2:
78) #GoRockets
109) #OhioBobcats #OhioUniversity
115) #KentState
116) #GoZips
132) #UBuffalo
256) #BallState
260) #Redhawks
265) #BowlingGreen
287) #NIU
294) #EMU
309) #CentralMichigan
331) #WMU
 https://t.co/7e7zHIzn18</t>
  </si>
  <si>
    <t>Registration is open for #UBuffalo SON's 9th Annual Research Day and 25th Annual Bonnie Bullough Lecture!
Shannon Zenk, PhD, MPH, RN, FAAN, @NINR director, will speak about improving health and eliminating health inequities through nursing science.
https://t.co/VoKERHeL79 https://t.co/DwmkLivRbf</t>
  </si>
  <si>
    <t>Curious what it's like to be in a nursing PhD program? Here's a day in the life of current student PhD nursing Leann Balcerzak! #UBuffalo
https://t.co/ofoO5fyiYE</t>
  </si>
  <si>
    <t>Why pursue a DNP? Hone your skills in an area that you are passionate about! #UBuffalo
https://t.co/OEMIfFADjT https://t.co/k7aPlD2jzg</t>
  </si>
  <si>
    <t>@Tom_Symonds @UBAthletics @Alnutt41 @UB_ETGross Welcome to #UBuffalo!</t>
  </si>
  <si>
    <t>Calling All Poets!
The University Libraries invite #UBuffalo students to participate in our annual poetry competitions for undergraduate and graduate students. #poetry 
Entries are due by Friday, April 1 @5pm
Learn more at
https://t.co/sWwasVRPfQ https://t.co/pmE1ybfDuO</t>
  </si>
  <si>
    <t>Join Ron Hamilton, BS/MBA ’94, as he shares his insights on diversity, equity and inclusion—and how you can lead by serving and gain by giving.
6 p.m. Eastern, March 9 on Zoom. Register: https://t.co/dyJR0P7wsZ
#UBMgt #UBMBA #UBuffalo https://t.co/JDqvQ8J5my</t>
  </si>
  <si>
    <t>Level up your skills! ⬆️ 
Our growing selection of non-degree programs will help you improve your managerial skills and develop competencies in such areas as data analytics, project management, social media and supply chains: https://t.co/Is7gTQigcR
#UBMgt #UBuffalo</t>
  </si>
  <si>
    <t>Health information exchanges tend to divide the physician community into ‘technology-haves and have-nots,’ according to the researchers behind a new #UBMgt study. 
Read more: https://t.co/kZDSitrsKB
#UBuffalo #HealthCare</t>
  </si>
  <si>
    <t>Don’t forget: #UBuffalo faculty and staff who have had their #COVID19 vaccine(s) and/or booster shot are asked to upload proof to Human Resources as soon as possible. Learn more: https://t.co/o7J26c9q8M Questions about why to get a booster? Get answers: https://t.co/CogvbZlsAc https://t.co/KjoTGsgGeN</t>
  </si>
  <si>
    <t>Starting Saturday, March 5, masks will not be required in most settings at #UBuffalo. Details ⬇️ https://t.co/YyHReatN3Y</t>
  </si>
  <si>
    <t>Our alumni have #UBTrueBlue pride! Meet Brianna Tylec, who completed #UBuffalo’s master’s program in genetics, genomics &amp;amp; bioinformatics. She’s now a research tech in a @Jacobs_Med_UB lab &amp;amp; studies a neglected tropical pathogen. See why she’s a fan of UB: https://t.co/55xq3LHFWR https://t.co/kEL3jyCEwS</t>
  </si>
  <si>
    <t>Paresh Dandona, MD, PhD, #UBuffalo expert on #endocrinology, has led a study showing that bariatric surgery not only treats #obesity and reverses #Type2Diabetes, it also reverses low testosterone levels in severely obese male teens. 
Read on: https://t.co/AtPDCPsngI https://t.co/uGxwbmukq8</t>
  </si>
  <si>
    <t>To spread educational &amp;amp; empowering messages, #UBuffalo medical students in the Dermatology Interest Group recently organized an event for chronically homeless women &amp;amp; spearheaded a donation of skincare products at a domestic violence shelter. Learn more: https://t.co/1GtQCnXsqx https://t.co/FyBTSzd6sL</t>
  </si>
  <si>
    <t>New medical curriculum with anti-racism at its core is being designed &amp;amp; implemented at @Jacobs_Med_UB. Read all about it: https://t.co/Lh9Izaz5HZ 
Or check out Rod Watson’s piece in @TheBuffaloNews on #UBuffalo’s diversity &amp;amp; inclusion efforts in medicine: https://t.co/5KwQ3V9cq6 https://t.co/OlnfmfHdRj</t>
  </si>
  <si>
    <t>Looking for a group of like-minded people working to educate and collaborate about women in STEM? Find out more about the great work of the Women in STEM Cooperative #UBuffalo #InternationalWomensDay https://t.co/KRhOdK6FNj https://t.co/JN8dI3doTe</t>
  </si>
  <si>
    <t>@ubalumni @UBwomenshoops Never too late #UBuffalo 🤘🏼</t>
  </si>
  <si>
    <t>The Breakfast Club is ready and fueled for game day! 💙🥯🤘#UBuffalo https://t.co/A5Mn1MgRw9</t>
  </si>
  <si>
    <t>@UBMarchingBand Can't stop that feeling! #UBuffalo is ready for the Cowbell 🔔!</t>
  </si>
  <si>
    <t>LET’S GO #UBuffalo! 🤘🏻🤘🏿🤘🏽 https://t.co/Zy7s109ppw</t>
  </si>
  <si>
    <t>‼️Those #UBTrueBlue vibes are going STRONG #UBuffalo! ‼️ https://t.co/W310GEIPGU</t>
  </si>
  <si>
    <t>Happy #PiDay, #UBuffalo! This mathematical constant is all around (😉) us, from your homework to your favorite foods and activities! 🥧📓 🍕 https://t.co/Vs2bshi2DT</t>
  </si>
  <si>
    <t>Celebrating #InternationalWomensDay
with this photo from the #UBuffalo 1923 Iris Yearbook!
Lillias MacDonald, was appointed Dean of Women in 1922. She was UB's first female dean at a time when approximately 200 women attended UB. #100years
https://t.co/enEWsq5iV0 https://t.co/TVsMnCtK2Y</t>
  </si>
  <si>
    <t>Join us next week as we discuss how to advance diversity, equity, inclusion and justice at #UBuffalo in a series of town halls, presented by the President's Advisory Council on Race! For dates, times and to submit questions 🔽 https://t.co/aNpstvZAIb</t>
  </si>
  <si>
    <t>֍ ZODIAQUE DANCE COMPANY &amp;amp; “KISSED THE GIRLS AND MADE THEM CRY” each open in only THREE days! ֍ Here’s a sneak preview of ZDC! 
Get tickets now! https://t.co/8wWXzwYKig «
֍ Season sponsors include Fox Run at Orchard Park &amp;amp; Lake Shore Savings Bank.֍
#ubuffalo #ubcas #ubthd #ubcfa https://t.co/4YMdTIqpNS</t>
  </si>
  <si>
    <t>֍ ZODIAQUE DANCE COMPANY &amp;amp; “KISSED THE GIRLS AND MADE THEM CRY” each open in only TWO days! ֍ Here’s another ZDC sneak preview! 
Get tickets now! https://t.co/6jzZoARrAo 
֍ Season sponsors include Fox Run at Orchard Park &amp;amp; Lake Shore Savings Bank.֍
#ubuffalo #ubcas #ubthd #ubcfa https://t.co/DCUzLkTCOS</t>
  </si>
  <si>
    <t>֍ The Student Directed Series production of “KISSED THE GIRLS AND MADE THEM CRY” opens tomorrow for 2 performances at UB Katharine Cornell Theatre! ֍ Content Warning: This show contains language addressing sexual violence. Tickets: https://t.co/8wWXzxgl9O #ubuffalo #ubcas #ubthd https://t.co/JObCr7MY7Y</t>
  </si>
  <si>
    <t>֍ Today’s feature story on UB NOW is about our opening weekend of spring 2022 productions: Zodiaque Dance Company and “Kissed the Girls and Made Them Cry.” Both shows open TONIGHT! ֍
https://t.co/WPuSZFenZ7
Get tickets now! https://t.co/8wWXzwYKig ««««
#UBuffalo #ubcas #ubthd https://t.co/BjNQXTbdjn</t>
  </si>
  <si>
    <t>Congratulations to Kaylie Horowitz, UBIT student assistant and winner of the 2021 UBIT Innovative Technologies Grant! 🥳The award will fund tech to help create her @UBTheatreDance master's thesis.
Here she is celebrating with #UBuffalo VPCIO Brice Bible. #UBTrueBlue https://t.co/VKoO1hd5aT</t>
  </si>
  <si>
    <t>This #WomensHistoryMonth, we share Maya Angelou's words hanging #UBuffalo's Student Union: "My mission in life is not merely to survive, but to thrive; and to do so with some passion, some compassion, some humor, and some style."
👏👏 for our bright, thriving #UBGSE students! https://t.co/8iZIvU4X0e</t>
  </si>
  <si>
    <t>Happy Monday GSE community! My name is Ema and I am a student in #UBGSE's higher education and student affairs program. I am taking over GSE's Instagram today. Follow along to see a day in my life as a student academic advisor. See you on IG (handle: UBGSE)! 
#UBuffalo https://t.co/pl0xsDoC1P</t>
  </si>
  <si>
    <t>Did you know that LevelUp in Lockwood has more than games? 🎮🤔(By the way, the gaming spaces open Mon 3/14!)
It's a complete computing site where #UBuffalo students can find iMacs and PCs 🖥, printing kiosks 🖨, charging spots for your phone ⚡️and more!
https://t.co/rEZSMOPFlz https://t.co/NBuPc8NHjU</t>
  </si>
  <si>
    <t>#UBuffalo's Baird Point looks good at every angle. 💙🤘 #UBGSE https://t.co/kAs936FQFL</t>
  </si>
  <si>
    <t>What do parents, educators and mental health professionals need to know about cyberbullying? Stephanie Fredrick, #UBGSE assistant professor and associate director of the Alberti Center for Bullying Abuse Prevention, breaks down the details. #UBuffalo
 https://t.co/SPfHROjTA9</t>
  </si>
  <si>
    <t>Gather your friends and game on! 💙🤘The console gaming lounge at LevelUp is OPEN NOW!
- 📺Big screens
- 🎮Latest consoles (PS5, Xbox and Switch)
- 👾Library of preloaded games
#UBuffalo students can reserve a pod today at https://t.co/m1FlrGftRf https://t.co/U950lh2IP8</t>
  </si>
  <si>
    <t>What a game! Can’t wait to watch our @UBWomenshoops team play in tomorrow’s MAC Championship game! Go Bulls!! #UBhornsUP #UBuffalo https://t.co/MZq0ws9Bc2</t>
  </si>
  <si>
    <t>🤘🤘 Saturday can’t get here fast enough!! Go Bulls!! #UBhornsUP #UBuffalo #UBDancing https://t.co/MZerlu6oL7</t>
  </si>
  <si>
    <t>Provost A. Scott Weber and the President’s Advisory Council on Race Implementation Committee (PACOR) invite the #UBPSS and all members of the #UBuffalo community to 3 virtual town halls to discuss advancing diversity, equity, inclusion and justice at UB. 
https://t.co/1F6wdd5euk https://t.co/KvTlxjGe1l</t>
  </si>
  <si>
    <t>Check out this write up on Prof. @CaroleEmberton's new book, To Walk About in Freedom: The Long Emancipation of Pricilla Joyner! 
https://t.co/9VhoMHeJ5t #UBuffalo</t>
  </si>
  <si>
    <t>Join us in person or online on March 11th at 3 PM for a New Book 🎉Celebration 🎉 in honor of Prof. @dhbuffalo and his new book, White Market Drugs! More info and registration: https://t.co/hWRgwnzNbT #UBuffalo https://t.co/FMs44fIQ4S</t>
  </si>
  <si>
    <t>TODAY!
Join us in person or online on March 11th at 3 PM for a New Book 🎉Celebration 🎉 in honor of Prof. @dhbuffalo and his new book, White Market Drugs! More info and registration: https://t.co/hWRgwnickl #UBuffalo https://t.co/3RkIBUAJVP</t>
  </si>
  <si>
    <t>📣Upcoming Event: Join us on April 1st at 3 PM in person or online for Dr. Jay Smith's talk, "The Amateurism Myth and the Impossibility of College Sports Reform." Registration: https://t.co/hWRgwnickl #UBuffalo @UNC https://t.co/DJAbh6nKiT</t>
  </si>
  <si>
    <t>Start a mentored project to build skills and career experience! Check out @UBuffaloELN’s Project Portal to see your options: https://t.co/lpXp0jm3WD.  #UBuffalo https://t.co/Njxzc9FVUr</t>
  </si>
  <si>
    <t>Feeling that midterm stress? 😬
Check out these resources for #UBuffalo students, including apps to help with mindfulness and breathing.  You've got this! 🤘😎 
https://t.co/AsNMMnrvNW https://t.co/kRoIjsO6lz</t>
  </si>
  <si>
    <t>Where’s the Bus? Visit https://t.co/JySnxzyhLu to find the #UBuffalo Stampede or shuttles in real time.</t>
  </si>
  <si>
    <t>In keeping with state and federal regulations, masks will continue to be mandatory for everyone aboard #UBuffalo Stampede buses &amp;amp; shuttles through at least April 18th. 🚌😷
https://t.co/LuVSsSS7It</t>
  </si>
  <si>
    <t>Do you have a friend who just oozes honesty? Do you know a faculty/staff member who does what's right when nobody's watching? How about an academic department? 
Nominations for the Academic Integrity Awards are being accepted through March 31. https://t.co/YZ9gvHUqzS #UBuffalo</t>
  </si>
  <si>
    <t>Our crew is ready to Unplug &amp;amp; Play with you tonight at Alumni Arena from 5pm-8pm!
As always, FREE popcorn, life-sized games, music, coloring tables and 20% OFF for @ubuffalo students at the the Bulls Team Shop 🤘 #ubuffalo #ubhornsup https://t.co/3J2WxzRcZs</t>
  </si>
  <si>
    <t>#ubuffalo</t>
  </si>
  <si>
    <t>⏰ How are you feeling this morning? #DaylightSavingTime #ubuffalo</t>
  </si>
  <si>
    <t>All of #UBuffalo watching @UBwomenshoops right now: https://t.co/t4lpSKhIVR</t>
  </si>
  <si>
    <t>Your health matters. It's the last week to tell us what you think via the National College Health Assessment survey. Check your #UBuffalo email (and your spam folder) for the invite!
When you complete the survey, you'll be entered to win Campus Cash! https://t.co/Cemp0uu9pq https://t.co/xbmidml3Oo</t>
  </si>
  <si>
    <t>LEAD UB is an annual conference developed by and for students. This year, March 28-31, will feature both virtual and hands-on learning with a different topic each day: Leadership, Advocacy, Engagement and Development. Register by 3/25: https://t.co/BfPfsc8cTO #UBuffalo https://t.co/tda9UoYema</t>
  </si>
  <si>
    <t>Reminder to all new spring students: the deadline to submit your health insurance waiver is Wednesday, March 16 🚨 Submit your waiver before this date to avoid being charged the insurance fee. https://t.co/uktv0WAUTv #UBuffalo</t>
  </si>
  <si>
    <t>“Life is like a box of chocolates, you never know what you're going to get.” — Forrest Gump. 
Yet another Monday. You may like what happens today...or not. But, you're never going to know until you live it. Get out there and make the most of it!  🙌 #UBuffalo #MondayMotivation https://t.co/wRAh00lrQq</t>
  </si>
  <si>
    <t>Congrats to the 3 winners of the #UBuffalo Office of Academic Integrity Meme Contest! 
🥇 Oliver C. – Trade Offer Meme
🥈 Aditya S. – "I don't have the luxury of friends" Meme
🥉 Jasmine K. – Surprised Cat Meme
Which is your favorite? https://t.co/o6lI7Vm7VE</t>
  </si>
  <si>
    <t>#UBuffalo Wellness Coaches can help you identify goals related to academic, physical, or spiritual wellness. 
Meet with a Wellness Coach and start taking steps to reach your goals. Set up an appointment in Navigate via MyUB 👇https://t.co/CgHkOVIeLS</t>
  </si>
  <si>
    <t>Anyone know what a Zip is? Asking for a friend. #UBuffalo #UBhornsUP https://t.co/Ma33p4ocwM</t>
  </si>
  <si>
    <t>Drop in to #UBuffalo's weekly Meditation Group, and take care of that wonderful brain of yours! 🧘🏻‍♂️ No meditation experience? No problem. All experience levels are welcome! 
This group meets every Friday (that's TODAY) at 3pm in the SU and via Zoom. https://t.co/IGYRF46Ehy https://t.co/1cj4k517cL</t>
  </si>
  <si>
    <t>Legend has it that their first words were #UBhornsUP. They were born for greatness. #UBTrueBlue #UBuffalo https://t.co/x1HhglXdsb</t>
  </si>
  <si>
    <t>Daylight saving begins this Sunday – we all lose an hour of sleep tonight! 😫 Get some extra rest before Monday, so you aren't sleepy and grumpy in class 😴 #UBuffalo https://t.co/Q5uJH9tx1j</t>
  </si>
  <si>
    <t>New spring students: Only 2 more days to submit your health insurance waiver! #UBuffalo https://t.co/lPDKNC3CD3</t>
  </si>
  <si>
    <t>Let's level up! Level Up’s console gaming lounge and esports arena are officially open, today for students to preview the space and test the games. Come with your friends and play some games! 🎮 https://t.co/bSdlF7EeW4 #UBuffalo https://t.co/0zCVorSh3P</t>
  </si>
  <si>
    <t>🎉Congratulations PhD Candidate @BowlusPeck! Emily won first place at UB's 3 Minute Thesis Competition. Emily will move on to compete in the Northeastern Association of Graduate Schools 3MT Competition in April! Good luck, Emily! #UBuffalo  @3MT_official</t>
  </si>
  <si>
    <t>The Department of History Scholarship Competition is open! We have a wide variety of scholarships and prizes to award this Spring. Check out the qualifications and submit your applications by April 15! https://t.co/1EXqbbySO0 #UBuffalo</t>
  </si>
  <si>
    <t>Thinking about taking a 🌞Summer🌞 course? Check out the courses offered by the Department of History! #ubuffalo https://t.co/G0R3NkWmvi</t>
  </si>
  <si>
    <t>#UBuffalo is ready! 🤘🏽 https://t.co/I8NuUqy02T</t>
  </si>
  <si>
    <t>#UBuffalo is ready and have our 🤘🏼 #UBhornsUP! https://t.co/aCnfGGzXET</t>
  </si>
  <si>
    <t>Let's do this #UBuffalo! https://t.co/RculVUWdPp</t>
  </si>
  <si>
    <t>Daylight savings starts today! ⏰ Make sure to adjust your clocks and look forward to the longer days and stunning sunsets we're going to have at #UBuffalo! 😎 https://t.co/RgdqoWxnkM</t>
  </si>
  <si>
    <t>https://nursing.buffalo.edu/news-events/latest_news.host.html/content/shared/nursing/articles/academic_articles/gaughan-journal-publication.detail.html?utm_source=twitter&amp;utm_medium=social-organic&amp;utm_term=&amp;utm_content=c5975279-1a92-46da-a80c-ff1d4a2711f5&amp;utm_campaign=son-social</t>
  </si>
  <si>
    <t>https://nursing.buffalo.edu/news-events/nurses-report.host.html/content/shared/nursing/articles/nurses-report/posts/phd-student-day.detail.html?utm_source=twitter&amp;utm_medium=social-organic&amp;utm_term=&amp;utm_content=58d31467-cb58-4c2b-92cc-47dba31e0633&amp;utm_campaign=son-social</t>
  </si>
  <si>
    <t>https://www.buffalo.edu/coronavirus/bulletins/announcement-host.host.html/content/shared/www/coronavirus/previous-bulletins/b-3-2-22--Mask-mandate-lifted-as-of-March-5.detail.html?utm_source=TWITTER&amp;utm_medium=social&amp;utm_term=20220302&amp;utm_content=100002946820281&amp;utm_campaign=Together+We+Are...&amp;linkId=100000113235795</t>
  </si>
  <si>
    <t>https://buffalohealthcast.buzzsprout.com/1645006/9566172 https://buffalohealthcast.buzzsprout.com/1645006/9405025</t>
  </si>
  <si>
    <t>https://management.buffalo.edu/about/alumni-success.host.html/content/shared/mgt/students-faculty-alumni/alumni-success/george-stege.detail.html https://twitter.com/MarleeTuskesTV/status/1500880561530933258</t>
  </si>
  <si>
    <t>https://management.buffalo.edu/about/buffalo-business/2022spring/features/setting-the-stage.html https://twitter.com/JeffRussoWKBW/status/1501573694639980551</t>
  </si>
  <si>
    <t>https://medicine.buffalo.edu/news_and_events/news/2022/03/booster-vaccine-brashear-14623.html https://medicine.buffalo.edu/news_and_events/news/2022/02/booster-russo-14458.html</t>
  </si>
  <si>
    <t>https://medicine.buffalo.edu/news_and_events/news/2022/03/anti-racism-14586.html https://buffalonews.com/news/local/education/rod-watson-ub-s-anti-racist-effort-offers-cure-for-what-ails-medicine/article_fd1a0438-9f64-11ec-b8ae-878ad6af71ed.html#tracking-source=home-top-story</t>
  </si>
  <si>
    <t>https://www.buffalo.edu/.../2022/03/zodiaque-debut.html https://www.ubcfa.org/</t>
  </si>
  <si>
    <t>buffalo.edu</t>
  </si>
  <si>
    <t>twitter.com</t>
  </si>
  <si>
    <t>youtube.com</t>
  </si>
  <si>
    <t>veerbooks.com</t>
  </si>
  <si>
    <t>libcal.com</t>
  </si>
  <si>
    <t>zoom.us</t>
  </si>
  <si>
    <t>ubbulls.com</t>
  </si>
  <si>
    <t>buzzsprout.com buzzsprout.com</t>
  </si>
  <si>
    <t>buzzsprout.com</t>
  </si>
  <si>
    <t>buffalonews.com</t>
  </si>
  <si>
    <t>buffalohistory.org</t>
  </si>
  <si>
    <t>wbur.org</t>
  </si>
  <si>
    <t>google.com</t>
  </si>
  <si>
    <t>pickpub.com</t>
  </si>
  <si>
    <t>alisondesforges.org</t>
  </si>
  <si>
    <t>mailchi.mp</t>
  </si>
  <si>
    <t>buffalo.edu twitter.com</t>
  </si>
  <si>
    <t>cambridge.org</t>
  </si>
  <si>
    <t>oup.com</t>
  </si>
  <si>
    <t>eventsair.com</t>
  </si>
  <si>
    <t>facebook.com</t>
  </si>
  <si>
    <t>womeninwisconsin.org</t>
  </si>
  <si>
    <t>youtu.be</t>
  </si>
  <si>
    <t>allmysportsteamssuck.com</t>
  </si>
  <si>
    <t>buffalo.edu buffalo.edu</t>
  </si>
  <si>
    <t>buffalo.edu buffalonews.com</t>
  </si>
  <si>
    <t>ubcfa.org</t>
  </si>
  <si>
    <t>buffalo.edu ubcfa.org</t>
  </si>
  <si>
    <t>campuslabs.com</t>
  </si>
  <si>
    <t>napforum2022 ubuffalo ubsphhp ipe</t>
  </si>
  <si>
    <t>ubalumni ubhornsup ubuffalo womeninstem</t>
  </si>
  <si>
    <t>ubuffalo webinar spiritualism foxsisters americanhistory culturalhistory bookdiscussion</t>
  </si>
  <si>
    <t>marketing ubuffalo</t>
  </si>
  <si>
    <t>ubuffalo ubhornsup</t>
  </si>
  <si>
    <t>ubmgt womensday ubuffalo womeninbusiness</t>
  </si>
  <si>
    <t>ubmgt ubuffalo gradschool</t>
  </si>
  <si>
    <t>internationalwomensday ubuffalo</t>
  </si>
  <si>
    <t>ubuffalo pharmacology aspet22 expbio</t>
  </si>
  <si>
    <t>internationalwomensday ubmgt ubuffalo ubmgt</t>
  </si>
  <si>
    <t>ubuffalo ubtrueblue</t>
  </si>
  <si>
    <t>internationalwomensday ubuffalo ubpublichealth healthequity publichealth</t>
  </si>
  <si>
    <t>womenshistorymonth ubuffalo publichealth healthequity ubpublichealth abortionishealthcare</t>
  </si>
  <si>
    <t>ubuffalo schomburg</t>
  </si>
  <si>
    <t>ubgse ubuffalo</t>
  </si>
  <si>
    <t>ubuffalo ubgse</t>
  </si>
  <si>
    <t>ubsteminism ubwise ubseas ubengineering ubuffalo ubcas ubwisc</t>
  </si>
  <si>
    <t>ubclassof2022 ubuffalo</t>
  </si>
  <si>
    <t>ubuffalo ubalert</t>
  </si>
  <si>
    <t>research militaryvets ubuffalo storytelling</t>
  </si>
  <si>
    <t>maction ubuffalo ubtrueblue ubhornsup</t>
  </si>
  <si>
    <t>ubuffalo clevelandisthereason ubhornsup</t>
  </si>
  <si>
    <t>disability accessibility publichealth healthequity ubpublichealth ubuffalo</t>
  </si>
  <si>
    <t>ubmgt ubuffalo ubtrueblue</t>
  </si>
  <si>
    <t>ubuffalo picks gamblingtwitter</t>
  </si>
  <si>
    <t>ubuffalo picks</t>
  </si>
  <si>
    <t>womenshistorymonth ubuffalo</t>
  </si>
  <si>
    <t>ubuffalo zoroastrian</t>
  </si>
  <si>
    <t>ubuffalo covid19</t>
  </si>
  <si>
    <t>ubmgt ubuffalo</t>
  </si>
  <si>
    <t>ubmgt ubuffalo accounting business ubtrueblue</t>
  </si>
  <si>
    <t>ubtrueblue ubuffalo ubhornsup</t>
  </si>
  <si>
    <t>ubuffalo buffalo</t>
  </si>
  <si>
    <t>ubsphhp ubuffalo ubalumni natm2022</t>
  </si>
  <si>
    <t>ubhornsup ubuffalo</t>
  </si>
  <si>
    <t>otolaryngology otomatch2023 womeninoto ubuffalo</t>
  </si>
  <si>
    <t>ubuffalo ubdancing ubhornsup</t>
  </si>
  <si>
    <t>ubuffalo ubhornsup ubdancing</t>
  </si>
  <si>
    <t>ubtrueblue ubuffalo</t>
  </si>
  <si>
    <t>ubuffalo ubdancing ubhornsup ubtrueblue</t>
  </si>
  <si>
    <t>niagara buffalo ubuffalo</t>
  </si>
  <si>
    <t>ubdancing ubuffalo</t>
  </si>
  <si>
    <t>ubuffalo ubalumni alwaysabull</t>
  </si>
  <si>
    <t>ubuffalo ubalumni</t>
  </si>
  <si>
    <t>ubuffalo nationaldentistday</t>
  </si>
  <si>
    <t>ubalumni ubuffalo ubhornsup clevelandisthereason</t>
  </si>
  <si>
    <t>ubuffalo ubhornsup maction</t>
  </si>
  <si>
    <t>ubuffalo ubhornsup foreverabull</t>
  </si>
  <si>
    <t>ubuffalo ubhornsup ubalumni maction</t>
  </si>
  <si>
    <t>ubalumni ubuffalo ubhornsup foreverabull</t>
  </si>
  <si>
    <t>ubalumni ubuffalo ubhornsup</t>
  </si>
  <si>
    <t>gorockets ohiobobcats ohiouniversity kentstate gozips ubuffalo ballstate redhawks bowlinggreen niu emu centralmichigan wmu</t>
  </si>
  <si>
    <t>ubuffalo poetry</t>
  </si>
  <si>
    <t>ubmgt ubmba ubuffalo</t>
  </si>
  <si>
    <t>ubmgt ubuffalo healthcare</t>
  </si>
  <si>
    <t>ubuffalo endocrinology obesity type2diabetes</t>
  </si>
  <si>
    <t>ubuffalo internationalwomensday</t>
  </si>
  <si>
    <t>piday ubuffalo</t>
  </si>
  <si>
    <t>internationalwomensday ubuffalo 100years</t>
  </si>
  <si>
    <t>ubuffalo ubcas ubthd ubcfa</t>
  </si>
  <si>
    <t>ubuffalo ubcas ubthd</t>
  </si>
  <si>
    <t>womenshistorymonth ubuffalo ubgse</t>
  </si>
  <si>
    <t>ubhornsup ubuffalo ubdancing</t>
  </si>
  <si>
    <t>ubpss ubuffalo</t>
  </si>
  <si>
    <t>daylightsavingtime ubuffalo</t>
  </si>
  <si>
    <t>ubuffalo mondaymotivation</t>
  </si>
  <si>
    <t>ubhornsup ubtrueblue ubuffalo</t>
  </si>
  <si>
    <t>13:14:56</t>
  </si>
  <si>
    <t>13:44:36</t>
  </si>
  <si>
    <t>15:00:42</t>
  </si>
  <si>
    <t>01:54:04</t>
  </si>
  <si>
    <t>04:47:31</t>
  </si>
  <si>
    <t>04:59:59</t>
  </si>
  <si>
    <t>05:05:23</t>
  </si>
  <si>
    <t>11:35:41</t>
  </si>
  <si>
    <t>13:33:32</t>
  </si>
  <si>
    <t>14:03:04</t>
  </si>
  <si>
    <t>16:54:06</t>
  </si>
  <si>
    <t>16:58:44</t>
  </si>
  <si>
    <t>16:57:42</t>
  </si>
  <si>
    <t>17:34:32</t>
  </si>
  <si>
    <t>16:53:32</t>
  </si>
  <si>
    <t>17:44:44</t>
  </si>
  <si>
    <t>18:32:02</t>
  </si>
  <si>
    <t>20:37:24</t>
  </si>
  <si>
    <t>02:22:22</t>
  </si>
  <si>
    <t>12:54:51</t>
  </si>
  <si>
    <t>13:00:02</t>
  </si>
  <si>
    <t>01:13:16</t>
  </si>
  <si>
    <t>13:54:06</t>
  </si>
  <si>
    <t>14:03:00</t>
  </si>
  <si>
    <t>15:02:42</t>
  </si>
  <si>
    <t>15:07:54</t>
  </si>
  <si>
    <t>15:18:19</t>
  </si>
  <si>
    <t>16:11:11</t>
  </si>
  <si>
    <t>16:12:01</t>
  </si>
  <si>
    <t>15:46:47</t>
  </si>
  <si>
    <t>16:22:06</t>
  </si>
  <si>
    <t>17:24:23</t>
  </si>
  <si>
    <t>15:07:28</t>
  </si>
  <si>
    <t>16:40:54</t>
  </si>
  <si>
    <t>20:21:37</t>
  </si>
  <si>
    <t>22:01:12</t>
  </si>
  <si>
    <t>04:25:52</t>
  </si>
  <si>
    <t>13:35:44</t>
  </si>
  <si>
    <t>14:41:32</t>
  </si>
  <si>
    <t>16:46:14</t>
  </si>
  <si>
    <t>14:31:48</t>
  </si>
  <si>
    <t>19:10:18</t>
  </si>
  <si>
    <t>14:48:43</t>
  </si>
  <si>
    <t>15:40:56</t>
  </si>
  <si>
    <t>18:00:29</t>
  </si>
  <si>
    <t>18:40:46</t>
  </si>
  <si>
    <t>20:53:34</t>
  </si>
  <si>
    <t>21:51:16</t>
  </si>
  <si>
    <t>23:41:56</t>
  </si>
  <si>
    <t>23:51:49</t>
  </si>
  <si>
    <t>02:09:37</t>
  </si>
  <si>
    <t>02:21:25</t>
  </si>
  <si>
    <t>02:44:25</t>
  </si>
  <si>
    <t>20:09:21</t>
  </si>
  <si>
    <t>12:37:45</t>
  </si>
  <si>
    <t>12:29:48</t>
  </si>
  <si>
    <t>12:43:47</t>
  </si>
  <si>
    <t>13:59:42</t>
  </si>
  <si>
    <t>13:45:58</t>
  </si>
  <si>
    <t>14:02:16</t>
  </si>
  <si>
    <t>14:53:41</t>
  </si>
  <si>
    <t>15:09:44</t>
  </si>
  <si>
    <t>16:42:06</t>
  </si>
  <si>
    <t>15:54:36</t>
  </si>
  <si>
    <t>15:37:20</t>
  </si>
  <si>
    <t>16:38:34</t>
  </si>
  <si>
    <t>15:54:46</t>
  </si>
  <si>
    <t>16:28:04</t>
  </si>
  <si>
    <t>17:50:03</t>
  </si>
  <si>
    <t>17:57:04</t>
  </si>
  <si>
    <t>14:06:04</t>
  </si>
  <si>
    <t>20:37:43</t>
  </si>
  <si>
    <t>20:38:17</t>
  </si>
  <si>
    <t>21:17:25</t>
  </si>
  <si>
    <t>21:24:55</t>
  </si>
  <si>
    <t>13:45:53</t>
  </si>
  <si>
    <t>23:04:34</t>
  </si>
  <si>
    <t>02:43:11</t>
  </si>
  <si>
    <t>18:13:30</t>
  </si>
  <si>
    <t>02:43:46</t>
  </si>
  <si>
    <t>21:07:18</t>
  </si>
  <si>
    <t>13:48:52</t>
  </si>
  <si>
    <t>20:15:00</t>
  </si>
  <si>
    <t>01:25:58</t>
  </si>
  <si>
    <t>12:24:42</t>
  </si>
  <si>
    <t>20:37:46</t>
  </si>
  <si>
    <t>13:17:09</t>
  </si>
  <si>
    <t>17:38:50</t>
  </si>
  <si>
    <t>17:52:24</t>
  </si>
  <si>
    <t>15:38:03</t>
  </si>
  <si>
    <t>13:39:08</t>
  </si>
  <si>
    <t>02:42:27</t>
  </si>
  <si>
    <t>16:24:43</t>
  </si>
  <si>
    <t>20:40:03</t>
  </si>
  <si>
    <t>20:54:19</t>
  </si>
  <si>
    <t>21:55:41</t>
  </si>
  <si>
    <t>05:07:18</t>
  </si>
  <si>
    <t>22:34:45</t>
  </si>
  <si>
    <t>02:15:25</t>
  </si>
  <si>
    <t>12:28:45</t>
  </si>
  <si>
    <t>10:33:36</t>
  </si>
  <si>
    <t>07:25:25</t>
  </si>
  <si>
    <t>13:21:23</t>
  </si>
  <si>
    <t>14:05:21</t>
  </si>
  <si>
    <t>14:13:27</t>
  </si>
  <si>
    <t>05:13:19</t>
  </si>
  <si>
    <t>14:34:52</t>
  </si>
  <si>
    <t>20:07:09</t>
  </si>
  <si>
    <t>16:11:17</t>
  </si>
  <si>
    <t>16:24:16</t>
  </si>
  <si>
    <t>17:17:52</t>
  </si>
  <si>
    <t>17:01:08</t>
  </si>
  <si>
    <t>17:23:58</t>
  </si>
  <si>
    <t>17:51:51</t>
  </si>
  <si>
    <t>17:58:14</t>
  </si>
  <si>
    <t>01:30:15</t>
  </si>
  <si>
    <t>15:02:39</t>
  </si>
  <si>
    <t>18:00:03</t>
  </si>
  <si>
    <t>18:09:42</t>
  </si>
  <si>
    <t>18:13:01</t>
  </si>
  <si>
    <t>18:18:50</t>
  </si>
  <si>
    <t>13:31:17</t>
  </si>
  <si>
    <t>17:02:10</t>
  </si>
  <si>
    <t>18:44:48</t>
  </si>
  <si>
    <t>13:50:44</t>
  </si>
  <si>
    <t>18:54:49</t>
  </si>
  <si>
    <t>20:19:44</t>
  </si>
  <si>
    <t>22:43:19</t>
  </si>
  <si>
    <t>18:12:30</t>
  </si>
  <si>
    <t>19:06:32</t>
  </si>
  <si>
    <t>20:02:15</t>
  </si>
  <si>
    <t>15:13:04</t>
  </si>
  <si>
    <t>22:59:24</t>
  </si>
  <si>
    <t>22:59:42</t>
  </si>
  <si>
    <t>12:47:48</t>
  </si>
  <si>
    <t>15:09:47</t>
  </si>
  <si>
    <t>03:03:51</t>
  </si>
  <si>
    <t>19:07:43</t>
  </si>
  <si>
    <t>19:07:47</t>
  </si>
  <si>
    <t>19:07:57</t>
  </si>
  <si>
    <t>19:11:55</t>
  </si>
  <si>
    <t>19:37:17</t>
  </si>
  <si>
    <t>19:41:04</t>
  </si>
  <si>
    <t>19:49:15</t>
  </si>
  <si>
    <t>20:03:36</t>
  </si>
  <si>
    <t>05:58:33</t>
  </si>
  <si>
    <t>15:01:16</t>
  </si>
  <si>
    <t>15:02:44</t>
  </si>
  <si>
    <t>15:56:52</t>
  </si>
  <si>
    <t>15:35:21</t>
  </si>
  <si>
    <t>04:04:21</t>
  </si>
  <si>
    <t>17:02:36</t>
  </si>
  <si>
    <t>22:47:51</t>
  </si>
  <si>
    <t>06:41:56</t>
  </si>
  <si>
    <t>14:55:23</t>
  </si>
  <si>
    <t>18:15:05</t>
  </si>
  <si>
    <t>19:07:33</t>
  </si>
  <si>
    <t>20:07:44</t>
  </si>
  <si>
    <t>20:16:41</t>
  </si>
  <si>
    <t>19:47:45</t>
  </si>
  <si>
    <t>21:02:00</t>
  </si>
  <si>
    <t>21:02:19</t>
  </si>
  <si>
    <t>21:08:16</t>
  </si>
  <si>
    <t>19:35:54</t>
  </si>
  <si>
    <t>21:20:39</t>
  </si>
  <si>
    <t>22:35:46</t>
  </si>
  <si>
    <t>21:50:13</t>
  </si>
  <si>
    <t>21:50:34</t>
  </si>
  <si>
    <t>00:18:22</t>
  </si>
  <si>
    <t>00:53:33</t>
  </si>
  <si>
    <t>00:54:51</t>
  </si>
  <si>
    <t>23:37:01</t>
  </si>
  <si>
    <t>17:24:31</t>
  </si>
  <si>
    <t>01:17:43</t>
  </si>
  <si>
    <t>01:29:38</t>
  </si>
  <si>
    <t>01:30:19</t>
  </si>
  <si>
    <t>01:32:02</t>
  </si>
  <si>
    <t>01:53:39</t>
  </si>
  <si>
    <t>02:49:28</t>
  </si>
  <si>
    <t>02:54:51</t>
  </si>
  <si>
    <t>03:01:41</t>
  </si>
  <si>
    <t>03:23:18</t>
  </si>
  <si>
    <t>04:04:30</t>
  </si>
  <si>
    <t>05:20:57</t>
  </si>
  <si>
    <t>05:59:45</t>
  </si>
  <si>
    <t>07:25:05</t>
  </si>
  <si>
    <t>08:27:29</t>
  </si>
  <si>
    <t>19:20:09</t>
  </si>
  <si>
    <t>19:05:16</t>
  </si>
  <si>
    <t>19:35:58</t>
  </si>
  <si>
    <t>10:45:15</t>
  </si>
  <si>
    <t>12:00:29</t>
  </si>
  <si>
    <t>12:53:36</t>
  </si>
  <si>
    <t>13:25:25</t>
  </si>
  <si>
    <t>13:45:27</t>
  </si>
  <si>
    <t>21:35:10</t>
  </si>
  <si>
    <t>00:34:35</t>
  </si>
  <si>
    <t>11:11:24</t>
  </si>
  <si>
    <t>16:32:02</t>
  </si>
  <si>
    <t>21:55:38</t>
  </si>
  <si>
    <t>22:56:08</t>
  </si>
  <si>
    <t>20:42:28</t>
  </si>
  <si>
    <t>19:36:36</t>
  </si>
  <si>
    <t>14:41:41</t>
  </si>
  <si>
    <t>16:50:29</t>
  </si>
  <si>
    <t>17:14:41</t>
  </si>
  <si>
    <t>18:09:11</t>
  </si>
  <si>
    <t>18:15:46</t>
  </si>
  <si>
    <t>23:47:44</t>
  </si>
  <si>
    <t>14:43:42</t>
  </si>
  <si>
    <t>00:55:28</t>
  </si>
  <si>
    <t>15:40:34</t>
  </si>
  <si>
    <t>14:52:52</t>
  </si>
  <si>
    <t>17:37:19</t>
  </si>
  <si>
    <t>14:39:47</t>
  </si>
  <si>
    <t>18:00:16</t>
  </si>
  <si>
    <t>13:29:48</t>
  </si>
  <si>
    <t>03:34:59</t>
  </si>
  <si>
    <t>04:04:54</t>
  </si>
  <si>
    <t>13:57:21</t>
  </si>
  <si>
    <t>17:50:02</t>
  </si>
  <si>
    <t>04:40:50</t>
  </si>
  <si>
    <t>13:07:34</t>
  </si>
  <si>
    <t>14:44:14</t>
  </si>
  <si>
    <t>16:25:13</t>
  </si>
  <si>
    <t>18:13:25</t>
  </si>
  <si>
    <t>18:14:04</t>
  </si>
  <si>
    <t>20:04:18</t>
  </si>
  <si>
    <t>14:29:19</t>
  </si>
  <si>
    <t>00:36:24</t>
  </si>
  <si>
    <t>02:05:08</t>
  </si>
  <si>
    <t>02:06:14</t>
  </si>
  <si>
    <t>02:19:54</t>
  </si>
  <si>
    <t>04:47:26</t>
  </si>
  <si>
    <t>02:39:27</t>
  </si>
  <si>
    <t>14:35:41</t>
  </si>
  <si>
    <t>17:47:00</t>
  </si>
  <si>
    <t>16:06:22</t>
  </si>
  <si>
    <t>17:09:00</t>
  </si>
  <si>
    <t>04:03:13</t>
  </si>
  <si>
    <t>14:20:18</t>
  </si>
  <si>
    <t>16:53:15</t>
  </si>
  <si>
    <t>18:22:05</t>
  </si>
  <si>
    <t>19:27:44</t>
  </si>
  <si>
    <t>10:59:50</t>
  </si>
  <si>
    <t>16:46:10</t>
  </si>
  <si>
    <t>22:05:35</t>
  </si>
  <si>
    <t>12:46:01</t>
  </si>
  <si>
    <t>12:46:09</t>
  </si>
  <si>
    <t>11:46:01</t>
  </si>
  <si>
    <t>12:00:04</t>
  </si>
  <si>
    <t>18:00:20</t>
  </si>
  <si>
    <t>18:00:37</t>
  </si>
  <si>
    <t>20:00:39</t>
  </si>
  <si>
    <t>20:00:37</t>
  </si>
  <si>
    <t>18:30:12</t>
  </si>
  <si>
    <t>16:00:40</t>
  </si>
  <si>
    <t>13:00:12</t>
  </si>
  <si>
    <t>19:27:05</t>
  </si>
  <si>
    <t>01:44:31</t>
  </si>
  <si>
    <t>15:54:38</t>
  </si>
  <si>
    <t>01:28:42</t>
  </si>
  <si>
    <t>15:56:04</t>
  </si>
  <si>
    <t>13:00:00</t>
  </si>
  <si>
    <t>14:32:39</t>
  </si>
  <si>
    <t>20:38:23</t>
  </si>
  <si>
    <t>12:52:18</t>
  </si>
  <si>
    <t>14:32:07</t>
  </si>
  <si>
    <t>14:24:47</t>
  </si>
  <si>
    <t>18:52:41</t>
  </si>
  <si>
    <t>19:30:08</t>
  </si>
  <si>
    <t>18:50:31</t>
  </si>
  <si>
    <t>20:40:46</t>
  </si>
  <si>
    <t>15:52:55</t>
  </si>
  <si>
    <t>14:33:22</t>
  </si>
  <si>
    <t>19:25:47</t>
  </si>
  <si>
    <t>22:51:38</t>
  </si>
  <si>
    <t>23:15:03</t>
  </si>
  <si>
    <t>01:00:05</t>
  </si>
  <si>
    <t>14:00:18</t>
  </si>
  <si>
    <t>18:30:22</t>
  </si>
  <si>
    <t>00:00:04</t>
  </si>
  <si>
    <t>14:00:32</t>
  </si>
  <si>
    <t>21:48:19</t>
  </si>
  <si>
    <t>21:31:34</t>
  </si>
  <si>
    <t>14:34:13</t>
  </si>
  <si>
    <t>19:12:32</t>
  </si>
  <si>
    <t>21:09:44</t>
  </si>
  <si>
    <t>18:16:39</t>
  </si>
  <si>
    <t>16:55:53</t>
  </si>
  <si>
    <t>18:32:40</t>
  </si>
  <si>
    <t>16:13:01</t>
  </si>
  <si>
    <t>05:38:39</t>
  </si>
  <si>
    <t>03:11:45</t>
  </si>
  <si>
    <t>17:02:29</t>
  </si>
  <si>
    <t>02:11:59</t>
  </si>
  <si>
    <t>14:23:08</t>
  </si>
  <si>
    <t>21:38:25</t>
  </si>
  <si>
    <t>02:14:33</t>
  </si>
  <si>
    <t>16:12:34</t>
  </si>
  <si>
    <t>21:43:06</t>
  </si>
  <si>
    <t>18:17:04</t>
  </si>
  <si>
    <t>12:46:06</t>
  </si>
  <si>
    <t>00:46:00</t>
  </si>
  <si>
    <t>01:46:07</t>
  </si>
  <si>
    <t>16:52:00</t>
  </si>
  <si>
    <t>13:52:08</t>
  </si>
  <si>
    <t>21:03:30</t>
  </si>
  <si>
    <t>21:46:01</t>
  </si>
  <si>
    <t>12:46:10</t>
  </si>
  <si>
    <t>16:26:07</t>
  </si>
  <si>
    <t>00:20:27</t>
  </si>
  <si>
    <t>12:46:02</t>
  </si>
  <si>
    <t>16:24:48</t>
  </si>
  <si>
    <t>21:54:43</t>
  </si>
  <si>
    <t>20:44:45</t>
  </si>
  <si>
    <t>15:04:11</t>
  </si>
  <si>
    <t>18:33:11</t>
  </si>
  <si>
    <t>16:03:53</t>
  </si>
  <si>
    <t>19:33:06</t>
  </si>
  <si>
    <t>16:10:38</t>
  </si>
  <si>
    <t>19:33:26</t>
  </si>
  <si>
    <t>19:16:36</t>
  </si>
  <si>
    <t>23:38:10</t>
  </si>
  <si>
    <t>19:37:24</t>
  </si>
  <si>
    <t>20:55:12</t>
  </si>
  <si>
    <t>19:06:19</t>
  </si>
  <si>
    <t>13:36:07</t>
  </si>
  <si>
    <t>13:36:14</t>
  </si>
  <si>
    <t>17:48:27</t>
  </si>
  <si>
    <t>13:51:34</t>
  </si>
  <si>
    <t>18:39:56</t>
  </si>
  <si>
    <t>14:12:15</t>
  </si>
  <si>
    <t>21:11:28</t>
  </si>
  <si>
    <t>19:19:07</t>
  </si>
  <si>
    <t>15:49:32</t>
  </si>
  <si>
    <t>19:09:46</t>
  </si>
  <si>
    <t>18:56:50</t>
  </si>
  <si>
    <t>15:00:46</t>
  </si>
  <si>
    <t>17:00:01</t>
  </si>
  <si>
    <t>17:03:17</t>
  </si>
  <si>
    <t>18:27:17</t>
  </si>
  <si>
    <t>20:02:35</t>
  </si>
  <si>
    <t>20:02:06</t>
  </si>
  <si>
    <t>18:02:31</t>
  </si>
  <si>
    <t>16:16:48</t>
  </si>
  <si>
    <t>03:21:34</t>
  </si>
  <si>
    <t>16:02:05</t>
  </si>
  <si>
    <t>21:08:13</t>
  </si>
  <si>
    <t>11:45:03</t>
  </si>
  <si>
    <t>18:26:54</t>
  </si>
  <si>
    <t>16:03:45</t>
  </si>
  <si>
    <t>21:12:14</t>
  </si>
  <si>
    <t>14:03:23</t>
  </si>
  <si>
    <t>11:01:26</t>
  </si>
  <si>
    <t>14:51:53</t>
  </si>
  <si>
    <t>14:52:00</t>
  </si>
  <si>
    <t>18:18:40</t>
  </si>
  <si>
    <t>18:11:30</t>
  </si>
  <si>
    <t>00:32:13</t>
  </si>
  <si>
    <t>20:59:07</t>
  </si>
  <si>
    <t>14:56:39</t>
  </si>
  <si>
    <t>15:05:32</t>
  </si>
  <si>
    <t>15:19:00</t>
  </si>
  <si>
    <t>12:20:00</t>
  </si>
  <si>
    <t>13:58:35</t>
  </si>
  <si>
    <t>15:47:47</t>
  </si>
  <si>
    <t>15:34:55</t>
  </si>
  <si>
    <t>15:33:00</t>
  </si>
  <si>
    <t>13:38:04</t>
  </si>
  <si>
    <t>19:35:00</t>
  </si>
  <si>
    <t>14:00:02</t>
  </si>
  <si>
    <t>17:11:06</t>
  </si>
  <si>
    <t>17:31:00</t>
  </si>
  <si>
    <t>15:43:05</t>
  </si>
  <si>
    <t>21:03:25</t>
  </si>
  <si>
    <t>19:12:37</t>
  </si>
  <si>
    <t>21:07:34</t>
  </si>
  <si>
    <t>21:08:33</t>
  </si>
  <si>
    <t>18:24:05</t>
  </si>
  <si>
    <t>15:32:26</t>
  </si>
  <si>
    <t>17:46:36</t>
  </si>
  <si>
    <t>14:38:26</t>
  </si>
  <si>
    <t>14:49:47</t>
  </si>
  <si>
    <t>17:59:43</t>
  </si>
  <si>
    <t>14:41:52</t>
  </si>
  <si>
    <t>18:37:35</t>
  </si>
  <si>
    <t>19:09:53</t>
  </si>
  <si>
    <t>13:15:29</t>
  </si>
  <si>
    <t>21:31:47</t>
  </si>
  <si>
    <t>19:51:56</t>
  </si>
  <si>
    <t>14:19:00</t>
  </si>
  <si>
    <t>21:08:00</t>
  </si>
  <si>
    <t>12:24:32</t>
  </si>
  <si>
    <t>12:17:28</t>
  </si>
  <si>
    <t>12:23:59</t>
  </si>
  <si>
    <t>12:26:05</t>
  </si>
  <si>
    <t>19:28:32</t>
  </si>
  <si>
    <t>17:06:25</t>
  </si>
  <si>
    <t>18:12:39</t>
  </si>
  <si>
    <t>17:49:33</t>
  </si>
  <si>
    <t>14:35:08</t>
  </si>
  <si>
    <t>18:24:35</t>
  </si>
  <si>
    <t>21:06:34</t>
  </si>
  <si>
    <t>21:07:48</t>
  </si>
  <si>
    <t>13:33:55</t>
  </si>
  <si>
    <t>13:55:01</t>
  </si>
  <si>
    <t>18:31:03</t>
  </si>
  <si>
    <t>18:37:28</t>
  </si>
  <si>
    <t>14:03:01</t>
  </si>
  <si>
    <t>14:55:05</t>
  </si>
  <si>
    <t>15:03:19</t>
  </si>
  <si>
    <t>19:46:05</t>
  </si>
  <si>
    <t>21:03:03</t>
  </si>
  <si>
    <t>17:03:01</t>
  </si>
  <si>
    <t>20:28:15</t>
  </si>
  <si>
    <t>17:02:08</t>
  </si>
  <si>
    <t>18:03:01</t>
  </si>
  <si>
    <t>19:56:29</t>
  </si>
  <si>
    <t>21:13:40</t>
  </si>
  <si>
    <t>18:03:07</t>
  </si>
  <si>
    <t>14:35:00</t>
  </si>
  <si>
    <t>15:17:43</t>
  </si>
  <si>
    <t>14:36:41</t>
  </si>
  <si>
    <t>14:22:18</t>
  </si>
  <si>
    <t>18:47:23</t>
  </si>
  <si>
    <t>16:50:56</t>
  </si>
  <si>
    <t>17:19:16</t>
  </si>
  <si>
    <t>14:49:18</t>
  </si>
  <si>
    <t>12:57:50</t>
  </si>
  <si>
    <t>15:13:36</t>
  </si>
  <si>
    <t>17:15:08</t>
  </si>
  <si>
    <t>16:40:01</t>
  </si>
  <si>
    <t>13:32:15</t>
  </si>
  <si>
    <t>14:33:00</t>
  </si>
  <si>
    <t>18:31:00</t>
  </si>
  <si>
    <t>23:37:49</t>
  </si>
  <si>
    <t>19:37:18</t>
  </si>
  <si>
    <t>20:55:00</t>
  </si>
  <si>
    <t>12:36:39</t>
  </si>
  <si>
    <t>16:09:14</t>
  </si>
  <si>
    <t>16:22:41</t>
  </si>
  <si>
    <t>17:16:44</t>
  </si>
  <si>
    <t>18:37:38</t>
  </si>
  <si>
    <t>19:05:44</t>
  </si>
  <si>
    <t>15:00:20</t>
  </si>
  <si>
    <t>13:35:07</t>
  </si>
  <si>
    <t>15:31:08</t>
  </si>
  <si>
    <t>1500459919513849859</t>
  </si>
  <si>
    <t>1500467383340871680</t>
  </si>
  <si>
    <t>1500486535602450445</t>
  </si>
  <si>
    <t>1500650960611381249</t>
  </si>
  <si>
    <t>1500694613073571840</t>
  </si>
  <si>
    <t>1500697747648917505</t>
  </si>
  <si>
    <t>1500699108071333888</t>
  </si>
  <si>
    <t>1500797329905008643</t>
  </si>
  <si>
    <t>1500826987027484674</t>
  </si>
  <si>
    <t>1500834417887129608</t>
  </si>
  <si>
    <t>1500877460732358659</t>
  </si>
  <si>
    <t>1500878629533802499</t>
  </si>
  <si>
    <t>1500515979578724354</t>
  </si>
  <si>
    <t>1500887637086908419</t>
  </si>
  <si>
    <t>1500514931908689927</t>
  </si>
  <si>
    <t>1500890203157843972</t>
  </si>
  <si>
    <t>1500902105573429248</t>
  </si>
  <si>
    <t>1500933655979601922</t>
  </si>
  <si>
    <t>1501020472649175042</t>
  </si>
  <si>
    <t>1501179641939345414</t>
  </si>
  <si>
    <t>1501180944635596800</t>
  </si>
  <si>
    <t>1501003079726080014</t>
  </si>
  <si>
    <t>1501180944660766721</t>
  </si>
  <si>
    <t>1501194552757080071</t>
  </si>
  <si>
    <t>1501196790988738567</t>
  </si>
  <si>
    <t>1501211813307944967</t>
  </si>
  <si>
    <t>1501213122320814094</t>
  </si>
  <si>
    <t>1501215744327098373</t>
  </si>
  <si>
    <t>1501229048155885571</t>
  </si>
  <si>
    <t>1501229258244444163</t>
  </si>
  <si>
    <t>1500860519170859008</t>
  </si>
  <si>
    <t>1501231797601927173</t>
  </si>
  <si>
    <t>1501247469199532042</t>
  </si>
  <si>
    <t>1499038688004694023</t>
  </si>
  <si>
    <t>1500874141477621763</t>
  </si>
  <si>
    <t>1500929684313411587</t>
  </si>
  <si>
    <t>1501317132403060740</t>
  </si>
  <si>
    <t>1501413940340867072</t>
  </si>
  <si>
    <t>1501552317698613250</t>
  </si>
  <si>
    <t>1501568873941934082</t>
  </si>
  <si>
    <t>1500875484133011461</t>
  </si>
  <si>
    <t>1501204039723274242</t>
  </si>
  <si>
    <t>1501274124269854725</t>
  </si>
  <si>
    <t>1501570684337672193</t>
  </si>
  <si>
    <t>1501583823590461442</t>
  </si>
  <si>
    <t>1501618943852752900</t>
  </si>
  <si>
    <t>1501629081884020745</t>
  </si>
  <si>
    <t>1501662500944855051</t>
  </si>
  <si>
    <t>1501677020308283393</t>
  </si>
  <si>
    <t>1501704871388590081</t>
  </si>
  <si>
    <t>1501707358099378179</t>
  </si>
  <si>
    <t>1501742038244634628</t>
  </si>
  <si>
    <t>1501745005639122947</t>
  </si>
  <si>
    <t>1501750795171151875</t>
  </si>
  <si>
    <t>1500564209960108034</t>
  </si>
  <si>
    <t>1501900111747911687</t>
  </si>
  <si>
    <t>1501173336897957896</t>
  </si>
  <si>
    <t>1501901630907817989</t>
  </si>
  <si>
    <t>1501558347975335943</t>
  </si>
  <si>
    <t>1501554893924020224</t>
  </si>
  <si>
    <t>1501921381256204299</t>
  </si>
  <si>
    <t>1501934321736695819</t>
  </si>
  <si>
    <t>1501938360310382596</t>
  </si>
  <si>
    <t>1499787276930457608</t>
  </si>
  <si>
    <t>1501224875549028355</t>
  </si>
  <si>
    <t>1501945308065923082</t>
  </si>
  <si>
    <t>1501235938608959490</t>
  </si>
  <si>
    <t>1501949695337263104</t>
  </si>
  <si>
    <t>1501958073128308743</t>
  </si>
  <si>
    <t>1501978704318275589</t>
  </si>
  <si>
    <t>1501980471818960896</t>
  </si>
  <si>
    <t>1501197560630947842</t>
  </si>
  <si>
    <t>1502020902149525504</t>
  </si>
  <si>
    <t>1502021043078279172</t>
  </si>
  <si>
    <t>1502030892662935562</t>
  </si>
  <si>
    <t>1502032778690543626</t>
  </si>
  <si>
    <t>1501192483304263680</t>
  </si>
  <si>
    <t>1502057854651543553</t>
  </si>
  <si>
    <t>1502112873572712457</t>
  </si>
  <si>
    <t>1501622220635914242</t>
  </si>
  <si>
    <t>1502113020553707541</t>
  </si>
  <si>
    <t>1501665955298123780</t>
  </si>
  <si>
    <t>1502280399241850891</t>
  </si>
  <si>
    <t>1500928018511970305</t>
  </si>
  <si>
    <t>1501368666457350146</t>
  </si>
  <si>
    <t>1501896830191349762</t>
  </si>
  <si>
    <t>1500933750909292544</t>
  </si>
  <si>
    <t>1501547639971762176</t>
  </si>
  <si>
    <t>1502338270176419849</t>
  </si>
  <si>
    <t>1500892135473790981</t>
  </si>
  <si>
    <t>1501945486432866310</t>
  </si>
  <si>
    <t>1502277950238044170</t>
  </si>
  <si>
    <t>1502112687030951937</t>
  </si>
  <si>
    <t>1499420514942607363</t>
  </si>
  <si>
    <t>1502383876152471553</t>
  </si>
  <si>
    <t>1502387465390276609</t>
  </si>
  <si>
    <t>1502402907571949574</t>
  </si>
  <si>
    <t>1501786751282692098</t>
  </si>
  <si>
    <t>1502412739700002816</t>
  </si>
  <si>
    <t>1502468275103584256</t>
  </si>
  <si>
    <t>1501173071310647300</t>
  </si>
  <si>
    <t>1502593646373310471</t>
  </si>
  <si>
    <t>1500734346118180868</t>
  </si>
  <si>
    <t>1502635869072633856</t>
  </si>
  <si>
    <t>1502646932598136836</t>
  </si>
  <si>
    <t>1502648970941714436</t>
  </si>
  <si>
    <t>1500338716895703040</t>
  </si>
  <si>
    <t>1502654360374890497</t>
  </si>
  <si>
    <t>1501650821896974338</t>
  </si>
  <si>
    <t>1502678625761509380</t>
  </si>
  <si>
    <t>1502681892650377216</t>
  </si>
  <si>
    <t>1502695383067148296</t>
  </si>
  <si>
    <t>1500879233375113218</t>
  </si>
  <si>
    <t>1502696915661570056</t>
  </si>
  <si>
    <t>1502703934128939012</t>
  </si>
  <si>
    <t>1502705540199329796</t>
  </si>
  <si>
    <t>1501369741629345792</t>
  </si>
  <si>
    <t>1501211800305639432</t>
  </si>
  <si>
    <t>1502343609005355015</t>
  </si>
  <si>
    <t>1502708425624596483</t>
  </si>
  <si>
    <t>1502709260333068296</t>
  </si>
  <si>
    <t>1502710725214707724</t>
  </si>
  <si>
    <t>1500826420674801669</t>
  </si>
  <si>
    <t>1498705165825855490</t>
  </si>
  <si>
    <t>1500905320616452097</t>
  </si>
  <si>
    <t>1501556091611762690</t>
  </si>
  <si>
    <t>1502719778481389572</t>
  </si>
  <si>
    <t>1502378760775086087</t>
  </si>
  <si>
    <t>1502414896553734144</t>
  </si>
  <si>
    <t>1502709129990885379</t>
  </si>
  <si>
    <t>1502722728687808519</t>
  </si>
  <si>
    <t>1502011973940228100</t>
  </si>
  <si>
    <t>1500852035402485762</t>
  </si>
  <si>
    <t>1501331781340971012</t>
  </si>
  <si>
    <t>1501694243592617985</t>
  </si>
  <si>
    <t>1501902641286324229</t>
  </si>
  <si>
    <t>1502300761547542530</t>
  </si>
  <si>
    <t>1501755686358814729</t>
  </si>
  <si>
    <t>1502723024881078273</t>
  </si>
  <si>
    <t>1502723041708621824</t>
  </si>
  <si>
    <t>1502723085375520769</t>
  </si>
  <si>
    <t>1502724085255704580</t>
  </si>
  <si>
    <t>1502730468420169729</t>
  </si>
  <si>
    <t>1502731418291609610</t>
  </si>
  <si>
    <t>1502733479175340034</t>
  </si>
  <si>
    <t>1502737088671727622</t>
  </si>
  <si>
    <t>1501074874512539650</t>
  </si>
  <si>
    <t>1501211454527188998</t>
  </si>
  <si>
    <t>1501211823747567625</t>
  </si>
  <si>
    <t>1501225448474578946</t>
  </si>
  <si>
    <t>1501582418465239049</t>
  </si>
  <si>
    <t>1501770912550555648</t>
  </si>
  <si>
    <t>1502329153160462343</t>
  </si>
  <si>
    <t>1502416038629101574</t>
  </si>
  <si>
    <t>1502535345828777984</t>
  </si>
  <si>
    <t>1502659526000054275</t>
  </si>
  <si>
    <t>1502709782884536323</t>
  </si>
  <si>
    <t>1502722984326348802</t>
  </si>
  <si>
    <t>1502738129907761153</t>
  </si>
  <si>
    <t>1502740384253984774</t>
  </si>
  <si>
    <t>1502733100387864582</t>
  </si>
  <si>
    <t>1502751785475313671</t>
  </si>
  <si>
    <t>1502751866316328963</t>
  </si>
  <si>
    <t>1502753365691977728</t>
  </si>
  <si>
    <t>1502730118518693898</t>
  </si>
  <si>
    <t>1502756481275506688</t>
  </si>
  <si>
    <t>1500601057914855430</t>
  </si>
  <si>
    <t>1502763919223492612</t>
  </si>
  <si>
    <t>1502764009698861063</t>
  </si>
  <si>
    <t>1502801204870590464</t>
  </si>
  <si>
    <t>1502810060669558786</t>
  </si>
  <si>
    <t>1502810385371566081</t>
  </si>
  <si>
    <t>1502428409959485441</t>
  </si>
  <si>
    <t>1502697053708767239</t>
  </si>
  <si>
    <t>1502816139524689920</t>
  </si>
  <si>
    <t>1502819141115392002</t>
  </si>
  <si>
    <t>1502819310447779841</t>
  </si>
  <si>
    <t>1502819741504790537</t>
  </si>
  <si>
    <t>1502825183639388161</t>
  </si>
  <si>
    <t>1502839231877689347</t>
  </si>
  <si>
    <t>1502840584289107972</t>
  </si>
  <si>
    <t>1502842302917718017</t>
  </si>
  <si>
    <t>1502847743672397830</t>
  </si>
  <si>
    <t>1502858112079998978</t>
  </si>
  <si>
    <t>1502877352405184516</t>
  </si>
  <si>
    <t>1502887116057063425</t>
  </si>
  <si>
    <t>1502908590847414274</t>
  </si>
  <si>
    <t>1502924296032817158</t>
  </si>
  <si>
    <t>1502363769816637445</t>
  </si>
  <si>
    <t>1502722409794834448</t>
  </si>
  <si>
    <t>1502730138232008717</t>
  </si>
  <si>
    <t>1502958965814091776</t>
  </si>
  <si>
    <t>1502977896184520708</t>
  </si>
  <si>
    <t>1502991265574658050</t>
  </si>
  <si>
    <t>1502999270806495234</t>
  </si>
  <si>
    <t>1503004315660734469</t>
  </si>
  <si>
    <t>1503122522451152900</t>
  </si>
  <si>
    <t>1503167675014561799</t>
  </si>
  <si>
    <t>1501153605574922247</t>
  </si>
  <si>
    <t>1501234294521536520</t>
  </si>
  <si>
    <t>1501678121455697926</t>
  </si>
  <si>
    <t>1501693347496402950</t>
  </si>
  <si>
    <t>1502022093839425546</t>
  </si>
  <si>
    <t>1502367907967377409</t>
  </si>
  <si>
    <t>1502656075400634373</t>
  </si>
  <si>
    <t>1502688491888594951</t>
  </si>
  <si>
    <t>1502694582282244101</t>
  </si>
  <si>
    <t>1502708294879690753</t>
  </si>
  <si>
    <t>1502709954272235527</t>
  </si>
  <si>
    <t>1502793496146886659</t>
  </si>
  <si>
    <t>1503018974463811587</t>
  </si>
  <si>
    <t>1502810541898805249</t>
  </si>
  <si>
    <t>1503033284514746373</t>
  </si>
  <si>
    <t>1500484565252644870</t>
  </si>
  <si>
    <t>1500525951821791236</t>
  </si>
  <si>
    <t>1500843659817889793</t>
  </si>
  <si>
    <t>1500894112966492169</t>
  </si>
  <si>
    <t>1501188433959657472</t>
  </si>
  <si>
    <t>1501401134052876290</t>
  </si>
  <si>
    <t>1501771049310068736</t>
  </si>
  <si>
    <t>1501920145970802700</t>
  </si>
  <si>
    <t>1502341089717637127</t>
  </si>
  <si>
    <t>1502504869986508800</t>
  </si>
  <si>
    <t>1502632393798262784</t>
  </si>
  <si>
    <t>1502656719238881281</t>
  </si>
  <si>
    <t>1502682130891091972</t>
  </si>
  <si>
    <t>1502709362720190469</t>
  </si>
  <si>
    <t>1502709525467607043</t>
  </si>
  <si>
    <t>1502737268565495808</t>
  </si>
  <si>
    <t>1503015352032186371</t>
  </si>
  <si>
    <t>1503168132155908096</t>
  </si>
  <si>
    <t>1503190461103710210</t>
  </si>
  <si>
    <t>1503190736568782848</t>
  </si>
  <si>
    <t>1503194176975949824</t>
  </si>
  <si>
    <t>1500694590478770176</t>
  </si>
  <si>
    <t>1501387158652923904</t>
  </si>
  <si>
    <t>1501652795094536193</t>
  </si>
  <si>
    <t>1501929790541942790</t>
  </si>
  <si>
    <t>1501977936999555072</t>
  </si>
  <si>
    <t>1502314999615827970</t>
  </si>
  <si>
    <t>1502330761831010304</t>
  </si>
  <si>
    <t>1502495402968371200</t>
  </si>
  <si>
    <t>1502650695811584010</t>
  </si>
  <si>
    <t>1502689187253870597</t>
  </si>
  <si>
    <t>1502711542571274245</t>
  </si>
  <si>
    <t>1502728065235001349</t>
  </si>
  <si>
    <t>1500788306497445895</t>
  </si>
  <si>
    <t>1500875464071647237</t>
  </si>
  <si>
    <t>1501318234976444424</t>
  </si>
  <si>
    <t>1501902194609635328</t>
  </si>
  <si>
    <t>1502264613605359624</t>
  </si>
  <si>
    <t>1503336645147480067</t>
  </si>
  <si>
    <t>1503340182174863366</t>
  </si>
  <si>
    <t>1499444579996741638</t>
  </si>
  <si>
    <t>1502343750865109003</t>
  </si>
  <si>
    <t>1501286797237751810</t>
  </si>
  <si>
    <t>1501649174143643649</t>
  </si>
  <si>
    <t>1501988808967004162</t>
  </si>
  <si>
    <t>1502675952618323969</t>
  </si>
  <si>
    <t>1503355315194114052</t>
  </si>
  <si>
    <t>1502727898737872906</t>
  </si>
  <si>
    <t>1501373332884758549</t>
  </si>
  <si>
    <t>1502674437228974083</t>
  </si>
  <si>
    <t>1502818904879640577</t>
  </si>
  <si>
    <t>1502674796823420933</t>
  </si>
  <si>
    <t>1501543325349789696</t>
  </si>
  <si>
    <t>1501566641255194636</t>
  </si>
  <si>
    <t>1500933902512410632</t>
  </si>
  <si>
    <t>1501179000315600904</t>
  </si>
  <si>
    <t>1501204120128176128</t>
  </si>
  <si>
    <t>1501564661635891203</t>
  </si>
  <si>
    <t>1501632081427894283</t>
  </si>
  <si>
    <t>1501641504812675076</t>
  </si>
  <si>
    <t>1502356312260329472</t>
  </si>
  <si>
    <t>1500934505665900551</t>
  </si>
  <si>
    <t>1501224453216342018</t>
  </si>
  <si>
    <t>1501566820582834179</t>
  </si>
  <si>
    <t>1500915633722175494</t>
  </si>
  <si>
    <t>1500967436409270273</t>
  </si>
  <si>
    <t>1501335717733183492</t>
  </si>
  <si>
    <t>1501362151621074959</t>
  </si>
  <si>
    <t>1501558501138735108</t>
  </si>
  <si>
    <t>1501626462201389057</t>
  </si>
  <si>
    <t>1501709433679892497</t>
  </si>
  <si>
    <t>1501920947741200388</t>
  </si>
  <si>
    <t>1502038669254873092</t>
  </si>
  <si>
    <t>1500947287136219138</t>
  </si>
  <si>
    <t>1501567034878042120</t>
  </si>
  <si>
    <t>1501637073782063105</t>
  </si>
  <si>
    <t>1502028957201604608</t>
  </si>
  <si>
    <t>1448714381513084930</t>
  </si>
  <si>
    <t>1502327463241826310</t>
  </si>
  <si>
    <t>1502714207636238342</t>
  </si>
  <si>
    <t>1502316672476237824</t>
  </si>
  <si>
    <t>1501069867725869059</t>
  </si>
  <si>
    <t>1501757672588255232</t>
  </si>
  <si>
    <t>1502329123758395395</t>
  </si>
  <si>
    <t>1502467411156639752</t>
  </si>
  <si>
    <t>1502651407081562118</t>
  </si>
  <si>
    <t>1502398565221650442</t>
  </si>
  <si>
    <t>1502468055477194753</t>
  </si>
  <si>
    <t>1502678947749928962</t>
  </si>
  <si>
    <t>1502399740754944003</t>
  </si>
  <si>
    <t>1502710282161999878</t>
  </si>
  <si>
    <t>1500452663518978050</t>
  </si>
  <si>
    <t>1500271443057295360</t>
  </si>
  <si>
    <t>1500286573174267904</t>
  </si>
  <si>
    <t>1500514544254427146</t>
  </si>
  <si>
    <t>1500831668369776641</t>
  </si>
  <si>
    <t>1501177419033677830</t>
  </si>
  <si>
    <t>1501302615245672448</t>
  </si>
  <si>
    <t>1501675702248251395</t>
  </si>
  <si>
    <t>1502627007359819776</t>
  </si>
  <si>
    <t>1502682358188752901</t>
  </si>
  <si>
    <t>1502801726906281984</t>
  </si>
  <si>
    <t>1502989360140107776</t>
  </si>
  <si>
    <t>1502682028487196683</t>
  </si>
  <si>
    <t>1503127442243960834</t>
  </si>
  <si>
    <t>1501660280882876430</t>
  </si>
  <si>
    <t>1502299352252964870</t>
  </si>
  <si>
    <t>1502351948648955909</t>
  </si>
  <si>
    <t>1502676762370654211</t>
  </si>
  <si>
    <t>1502367026525917186</t>
  </si>
  <si>
    <t>1502678463756525579</t>
  </si>
  <si>
    <t>1502367109430525961</t>
  </si>
  <si>
    <t>1501638096751931400</t>
  </si>
  <si>
    <t>1501703923077423105</t>
  </si>
  <si>
    <t>1502368110082469893</t>
  </si>
  <si>
    <t>1502387688082714631</t>
  </si>
  <si>
    <t>1502722673314521090</t>
  </si>
  <si>
    <t>1503364354334498818</t>
  </si>
  <si>
    <t>1503364381010276354</t>
  </si>
  <si>
    <t>1501253525761888264</t>
  </si>
  <si>
    <t>1503368239245582337</t>
  </si>
  <si>
    <t>1501628873196376065</t>
  </si>
  <si>
    <t>1503373447367438342</t>
  </si>
  <si>
    <t>1501304619481378816</t>
  </si>
  <si>
    <t>1501638733069701131</t>
  </si>
  <si>
    <t>1501948377419829255</t>
  </si>
  <si>
    <t>1502361153586049027</t>
  </si>
  <si>
    <t>1502357902153195520</t>
  </si>
  <si>
    <t>1501211329721516032</t>
  </si>
  <si>
    <t>1501241337902948365</t>
  </si>
  <si>
    <t>1501242162096320519</t>
  </si>
  <si>
    <t>1501263299694022656</t>
  </si>
  <si>
    <t>1501287282032230400</t>
  </si>
  <si>
    <t>1501287159436877826</t>
  </si>
  <si>
    <t>1501619456426094595</t>
  </si>
  <si>
    <t>1501592849187426304</t>
  </si>
  <si>
    <t>1502847308853043206</t>
  </si>
  <si>
    <t>1502676308786094080</t>
  </si>
  <si>
    <t>1502028574257262593</t>
  </si>
  <si>
    <t>1500799686814408708</t>
  </si>
  <si>
    <t>1501263203527008263</t>
  </si>
  <si>
    <t>1501951956356530185</t>
  </si>
  <si>
    <t>1502029585352998916</t>
  </si>
  <si>
    <t>1502284051134226440</t>
  </si>
  <si>
    <t>1503325426730557440</t>
  </si>
  <si>
    <t>1503383420524802051</t>
  </si>
  <si>
    <t>1503383450782507010</t>
  </si>
  <si>
    <t>1502710681312940036</t>
  </si>
  <si>
    <t>1502708881163702279</t>
  </si>
  <si>
    <t>1503167077263286275</t>
  </si>
  <si>
    <t>1502388672708100099</t>
  </si>
  <si>
    <t>1503384619076534278</t>
  </si>
  <si>
    <t>1503386853700947976</t>
  </si>
  <si>
    <t>1500853528142569477</t>
  </si>
  <si>
    <t>1501170868994539520</t>
  </si>
  <si>
    <t>1501195680970387456</t>
  </si>
  <si>
    <t>1501223159458111491</t>
  </si>
  <si>
    <t>1501582311174950913</t>
  </si>
  <si>
    <t>1501219439395717123</t>
  </si>
  <si>
    <t>1501552905706422275</t>
  </si>
  <si>
    <t>1501581827055788035</t>
  </si>
  <si>
    <t>1500555564635459584</t>
  </si>
  <si>
    <t>1501642728282591237</t>
  </si>
  <si>
    <t>1502283208083349507</t>
  </si>
  <si>
    <t>1500881741359333384</t>
  </si>
  <si>
    <t>1502698686266019840</t>
  </si>
  <si>
    <t>1500859590497423363</t>
  </si>
  <si>
    <t>1496953938578493443</t>
  </si>
  <si>
    <t>1501637097060458501</t>
  </si>
  <si>
    <t>1502028412919193601</t>
  </si>
  <si>
    <t>1502028661209415688</t>
  </si>
  <si>
    <t>1501624884052561921</t>
  </si>
  <si>
    <t>1501944073048846346</t>
  </si>
  <si>
    <t>1501977836667936768</t>
  </si>
  <si>
    <t>1503380035297845253</t>
  </si>
  <si>
    <t>1503382890553434117</t>
  </si>
  <si>
    <t>1501981140290318342</t>
  </si>
  <si>
    <t>1500844183527079940</t>
  </si>
  <si>
    <t>1500903505686675457</t>
  </si>
  <si>
    <t>1501274020657958915</t>
  </si>
  <si>
    <t>1502271994578055173</t>
  </si>
  <si>
    <t>1500947342878511106</t>
  </si>
  <si>
    <t>1501284600860983296</t>
  </si>
  <si>
    <t>1502287980765003776</t>
  </si>
  <si>
    <t>1500941356193177604</t>
  </si>
  <si>
    <t>1502356854478938118</t>
  </si>
  <si>
    <t>1502621563434278914</t>
  </si>
  <si>
    <t>1502982170805161985</t>
  </si>
  <si>
    <t>1502983812858400777</t>
  </si>
  <si>
    <t>1502984339281354755</t>
  </si>
  <si>
    <t>1502365877777440774</t>
  </si>
  <si>
    <t>1502692499994914825</t>
  </si>
  <si>
    <t>1502709167458594824</t>
  </si>
  <si>
    <t>1502703356707586059</t>
  </si>
  <si>
    <t>1501567266894270465</t>
  </si>
  <si>
    <t>1501625008585678857</t>
  </si>
  <si>
    <t>1502028161860743171</t>
  </si>
  <si>
    <t>1502028470477537297</t>
  </si>
  <si>
    <t>1501551858246168581</t>
  </si>
  <si>
    <t>1500832394458411012</t>
  </si>
  <si>
    <t>1500901859690749955</t>
  </si>
  <si>
    <t>1500903475512811521</t>
  </si>
  <si>
    <t>1501196793471770628</t>
  </si>
  <si>
    <t>1501209897802899461</t>
  </si>
  <si>
    <t>1501211969961013250</t>
  </si>
  <si>
    <t>1501283128618340352</t>
  </si>
  <si>
    <t>1501302500443447300</t>
  </si>
  <si>
    <t>1501604482689515524</t>
  </si>
  <si>
    <t>1501973910195167232</t>
  </si>
  <si>
    <t>1502018517364879364</t>
  </si>
  <si>
    <t>1502329033979310088</t>
  </si>
  <si>
    <t>1502344356757389314</t>
  </si>
  <si>
    <t>1502372912552103938</t>
  </si>
  <si>
    <t>1502392336533405701</t>
  </si>
  <si>
    <t>1502706771034624002</t>
  </si>
  <si>
    <t>1503379170641985537</t>
  </si>
  <si>
    <t>1503389923126263808</t>
  </si>
  <si>
    <t>1501567653701468161</t>
  </si>
  <si>
    <t>1501564034184880129</t>
  </si>
  <si>
    <t>1501630744568938501</t>
  </si>
  <si>
    <t>1500876664556953606</t>
  </si>
  <si>
    <t>1501608570403573768</t>
  </si>
  <si>
    <t>1502295605049241602</t>
  </si>
  <si>
    <t>1503354719179268098</t>
  </si>
  <si>
    <t>1503388884058755077</t>
  </si>
  <si>
    <t>1499070814527836162</t>
  </si>
  <si>
    <t>1500873917086547972</t>
  </si>
  <si>
    <t>1501189053055741956</t>
  </si>
  <si>
    <t>1501566727284473861</t>
  </si>
  <si>
    <t>1501626624650981379</t>
  </si>
  <si>
    <t>1501703835013820417</t>
  </si>
  <si>
    <t>1502368085231165450</t>
  </si>
  <si>
    <t>1502387638292160512</t>
  </si>
  <si>
    <t>1502624613486022664</t>
  </si>
  <si>
    <t>1502678110298324996</t>
  </si>
  <si>
    <t>1502681493453389824</t>
  </si>
  <si>
    <t>1502695098664075270</t>
  </si>
  <si>
    <t>1502715455047356422</t>
  </si>
  <si>
    <t>1502722525658337282</t>
  </si>
  <si>
    <t>1503023157078372354</t>
  </si>
  <si>
    <t>1503364101640179713</t>
  </si>
  <si>
    <t>1503393296059621378</t>
  </si>
  <si>
    <t>1503340181004369922</t>
  </si>
  <si>
    <t>1501336019857203206</t>
  </si>
  <si>
    <t>1502668318322282504</t>
  </si>
  <si>
    <t>1502983536764149765</t>
  </si>
  <si>
    <t/>
  </si>
  <si>
    <t>13830252</t>
  </si>
  <si>
    <t>129645673</t>
  </si>
  <si>
    <t>41876935</t>
  </si>
  <si>
    <t>558822195</t>
  </si>
  <si>
    <t>169445629</t>
  </si>
  <si>
    <t>119885955</t>
  </si>
  <si>
    <t>en</t>
  </si>
  <si>
    <t>und</t>
  </si>
  <si>
    <t>1498906622613065728</t>
  </si>
  <si>
    <t>1499731494885281793</t>
  </si>
  <si>
    <t>1501573694639980551</t>
  </si>
  <si>
    <t>1501612042448478214</t>
  </si>
  <si>
    <t>1500880561530933258</t>
  </si>
  <si>
    <t>1502693312439934980</t>
  </si>
  <si>
    <t>1502303438721458177</t>
  </si>
  <si>
    <t>1502707861029326854</t>
  </si>
  <si>
    <t>1502708562472148997</t>
  </si>
  <si>
    <t>1502367244831150087</t>
  </si>
  <si>
    <t>1502713680798130180</t>
  </si>
  <si>
    <t>1502689759491248135</t>
  </si>
  <si>
    <t>1501677700934680581</t>
  </si>
  <si>
    <t>1501693139962273795</t>
  </si>
  <si>
    <t>1502020303219798018</t>
  </si>
  <si>
    <t>1502645010528931842</t>
  </si>
  <si>
    <t>1502688131304333313</t>
  </si>
  <si>
    <t>1501382934640701447</t>
  </si>
  <si>
    <t>1501576887000309762</t>
  </si>
  <si>
    <t>1501692732032659462</t>
  </si>
  <si>
    <t>1501917433128529925</t>
  </si>
  <si>
    <t>1502289815450099715</t>
  </si>
  <si>
    <t>1502368515000578055</t>
  </si>
  <si>
    <t>1501694702747369476</t>
  </si>
  <si>
    <t>1503378389566111745</t>
  </si>
  <si>
    <t>1502295888701571076</t>
  </si>
  <si>
    <t>1502630488690741248</t>
  </si>
  <si>
    <t>Twitter for iPhone</t>
  </si>
  <si>
    <t>Twitter Web App</t>
  </si>
  <si>
    <t>Twitter for Android</t>
  </si>
  <si>
    <t>SciBot</t>
  </si>
  <si>
    <t>stem_inist_bot</t>
  </si>
  <si>
    <t>mental2023</t>
  </si>
  <si>
    <t>Buffer</t>
  </si>
  <si>
    <t>Twitter for iPad</t>
  </si>
  <si>
    <t>Sprinklr Publishing</t>
  </si>
  <si>
    <t>Hootsuite Inc.</t>
  </si>
  <si>
    <t>Rave Mobile Safety</t>
  </si>
  <si>
    <t>PickPub Tweet Distribution</t>
  </si>
  <si>
    <t>Tweetbot for iΟS</t>
  </si>
  <si>
    <t>Mailchimp</t>
  </si>
  <si>
    <t>AMSTS TwitterBot</t>
  </si>
  <si>
    <t>TweetDeck</t>
  </si>
  <si>
    <t>-78.832497,42.948903 
-78.696766,42.948903 
-78.696766,43.06933 
-78.832497,43.06933</t>
  </si>
  <si>
    <t>-78.912276,42.826008 
-78.79485,42.826008 
-78.79485,42.966451 
-78.912276,42.966451</t>
  </si>
  <si>
    <t>-79.76259,40.477383 
-71.777492,40.477383 
-71.777492,45.015851 
-79.76259,45.015851</t>
  </si>
  <si>
    <t>-75.280284,39.871811 
-74.955712,39.871811 
-74.955712,40.13792 
-75.280284,40.13792</t>
  </si>
  <si>
    <t>United States</t>
  </si>
  <si>
    <t>US</t>
  </si>
  <si>
    <t>Amherst, NY</t>
  </si>
  <si>
    <t>Buffalo, NY</t>
  </si>
  <si>
    <t>New York, USA</t>
  </si>
  <si>
    <t>Philadelphia, PA</t>
  </si>
  <si>
    <t>7dabbf75534f6cee</t>
  </si>
  <si>
    <t>a307591cd0413588</t>
  </si>
  <si>
    <t>94965b2c45386f87</t>
  </si>
  <si>
    <t>e4a0d228eb6be76b</t>
  </si>
  <si>
    <t>Amherst</t>
  </si>
  <si>
    <t>Buffalo</t>
  </si>
  <si>
    <t>New York</t>
  </si>
  <si>
    <t>Philadelphia</t>
  </si>
  <si>
    <t>city</t>
  </si>
  <si>
    <t>admin</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</si>
  <si>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</si>
  <si>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</si>
  <si>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</si>
  <si>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</si>
  <si>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</si>
  <si>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</si>
  <si>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</si>
  <si>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</si>
  <si>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</si>
  <si>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</si>
  <si>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</si>
  <si>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</si>
  <si>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</si>
  <si>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</si>
  <si>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</si>
  <si>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</si>
  <si>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</si>
  <si>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</si>
  <si>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</si>
  <si>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</si>
  <si>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</si>
  <si>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</si>
  <si>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NATA Office</t>
  </si>
  <si>
    <t>NYSATA</t>
  </si>
  <si>
    <t>UB AT Program</t>
  </si>
  <si>
    <t>Rebecca Lorenz</t>
  </si>
  <si>
    <t>CIN Journal</t>
  </si>
  <si>
    <t>Nursing | University at Buffalo</t>
  </si>
  <si>
    <t>Heartland IPE</t>
  </si>
  <si>
    <t>Mark Laursen MS, ATC</t>
  </si>
  <si>
    <t>ScienceStop</t>
  </si>
  <si>
    <t>Dharshan Jayasinghe</t>
  </si>
  <si>
    <t>STEMINIST BOT</t>
  </si>
  <si>
    <t>Women Health</t>
  </si>
  <si>
    <t>HD 🇹🇹</t>
  </si>
  <si>
    <t>UBuffalo Alumni</t>
  </si>
  <si>
    <t>Divya Victor</t>
  </si>
  <si>
    <t>English | University at Buffalo</t>
  </si>
  <si>
    <t>New York State Library</t>
  </si>
  <si>
    <t>UB Marketing Association</t>
  </si>
  <si>
    <t>Carrie Tirado Bramen</t>
  </si>
  <si>
    <t>University of Louisville</t>
  </si>
  <si>
    <t>Victoria W. Wolcott</t>
  </si>
  <si>
    <t>Gender Institute</t>
  </si>
  <si>
    <t>UB History</t>
  </si>
  <si>
    <t>ACZ</t>
  </si>
  <si>
    <t>UB Women's Hoops</t>
  </si>
  <si>
    <t>UB Men's Basketball</t>
  </si>
  <si>
    <t>Krystal Testa</t>
  </si>
  <si>
    <t>Ryan McPherson</t>
  </si>
  <si>
    <t>UBuffalo</t>
  </si>
  <si>
    <t>Walter D. Greason</t>
  </si>
  <si>
    <t>Dyaisha Fair</t>
  </si>
  <si>
    <t>Dr. Sarah Handley-Cousins</t>
  </si>
  <si>
    <t>MBA and MS Programs | UB School of Management</t>
  </si>
  <si>
    <t>Professional MBA | UB School of Management</t>
  </si>
  <si>
    <t>Mike Sabato</t>
  </si>
  <si>
    <t>ASPET</t>
  </si>
  <si>
    <t>Jacobs School at University at Buffalo</t>
  </si>
  <si>
    <t>Matt Biddle</t>
  </si>
  <si>
    <t>University at Buffalo School of Management</t>
  </si>
  <si>
    <t>Lynn</t>
  </si>
  <si>
    <t>UBuffalo Student Experience</t>
  </si>
  <si>
    <t>armdrag.com</t>
  </si>
  <si>
    <t>Scott Hollander</t>
  </si>
  <si>
    <t>Melly Mel</t>
  </si>
  <si>
    <t>Tia Palermo</t>
  </si>
  <si>
    <t>Buffalo HealthCast | University at Buffalo</t>
  </si>
  <si>
    <t>Public Health and Health Professions | UBuffalo</t>
  </si>
  <si>
    <t>University at Buffalo School of Law</t>
  </si>
  <si>
    <t>Planned Parenthood</t>
  </si>
  <si>
    <t>Chris Hamm</t>
  </si>
  <si>
    <t>Elizabeth Colucci</t>
  </si>
  <si>
    <t>UBuffalo GSE | Education</t>
  </si>
  <si>
    <t>UB Science News</t>
  </si>
  <si>
    <t>Alberti Center</t>
  </si>
  <si>
    <t>UBuffalo Online Programs</t>
  </si>
  <si>
    <t>Dr. Ramon Goings</t>
  </si>
  <si>
    <t>miranda fae</t>
  </si>
  <si>
    <t>Stephanie Fredrick</t>
  </si>
  <si>
    <t>Women in Science and Engineering (WiSE) | UBuffalo</t>
  </si>
  <si>
    <t>UB Honors College</t>
  </si>
  <si>
    <t>UB Parking</t>
  </si>
  <si>
    <t>UB Alert</t>
  </si>
  <si>
    <t>UBuffalo Social Work</t>
  </si>
  <si>
    <t>Lindsay Hahn</t>
  </si>
  <si>
    <t>University at Buffalo Information Technology</t>
  </si>
  <si>
    <t>kp</t>
  </si>
  <si>
    <t>University at Buffalo Marching Band</t>
  </si>
  <si>
    <t>Matt</t>
  </si>
  <si>
    <t>Julie Gorlewski</t>
  </si>
  <si>
    <t>The Buffalo News</t>
  </si>
  <si>
    <t>jenna</t>
  </si>
  <si>
    <t>University at Buffalo Esports</t>
  </si>
  <si>
    <t>Actions Speak 716</t>
  </si>
  <si>
    <t>History, She Wrote</t>
  </si>
  <si>
    <t>The Buffalo History Museum</t>
  </si>
  <si>
    <t>Erin Kearney</t>
  </si>
  <si>
    <t>Allison Brashear, MD, MBA</t>
  </si>
  <si>
    <t>Buffalo Business First</t>
  </si>
  <si>
    <t>UB Sociology</t>
  </si>
  <si>
    <t>NPR</t>
  </si>
  <si>
    <t>Boone Enser</t>
  </si>
  <si>
    <t>University of Rochester History</t>
  </si>
  <si>
    <t>Mical Raz</t>
  </si>
  <si>
    <t>Baldy Center | UBuffalo</t>
  </si>
  <si>
    <t>Harvard Law School</t>
  </si>
  <si>
    <t>Anna Lvovsky</t>
  </si>
  <si>
    <t>Yan Liu</t>
  </si>
  <si>
    <t>DavidHerzberg</t>
  </si>
  <si>
    <t>Gene Zubovich</t>
  </si>
  <si>
    <t>Research Foundation</t>
  </si>
  <si>
    <t>SUNY - The State University of New York</t>
  </si>
  <si>
    <t>UB Engineering News</t>
  </si>
  <si>
    <t>UB Center for Entrepreneurial Leadership (CEL)</t>
  </si>
  <si>
    <t>PickPub</t>
  </si>
  <si>
    <t>Institute for Myelin and Glia Exploration</t>
  </si>
  <si>
    <t>Amy Lass Kauderer</t>
  </si>
  <si>
    <t>Naveen Udhay</t>
  </si>
  <si>
    <t>Economics | University at Buffalo</t>
  </si>
  <si>
    <t>Arts and Sciences | University at Buffalo</t>
  </si>
  <si>
    <t>Walter Hakala</t>
  </si>
  <si>
    <t>SAADA</t>
  </si>
  <si>
    <t>Asian Studies Program | University at Buffalo</t>
  </si>
  <si>
    <t>ParkMobile (USA)</t>
  </si>
  <si>
    <t>Andrew Wilcox</t>
  </si>
  <si>
    <t>Big Ditch Brewing</t>
  </si>
  <si>
    <t>UB CTSI</t>
  </si>
  <si>
    <t>Philip M. Alberti, PhD</t>
  </si>
  <si>
    <t>Murat Demirbas (Distributolog)</t>
  </si>
  <si>
    <t>Ford Gum</t>
  </si>
  <si>
    <t>PwC</t>
  </si>
  <si>
    <t>Dr. H</t>
  </si>
  <si>
    <t>mary (she/her)</t>
  </si>
  <si>
    <t>Scott Wilson</t>
  </si>
  <si>
    <t>Patrick McDevitt</t>
  </si>
  <si>
    <t>Andrew Tan</t>
  </si>
  <si>
    <t>Thomas McArthur</t>
  </si>
  <si>
    <t>Architecture and Planning | UBuffalo</t>
  </si>
  <si>
    <t>Martha Bergren</t>
  </si>
  <si>
    <t>Osman Fahan account+ 🇺🇲🇸🇴</t>
  </si>
  <si>
    <t>#MACtion</t>
  </si>
  <si>
    <t>UB Athletics</t>
  </si>
  <si>
    <t>Cam Miller</t>
  </si>
  <si>
    <t>🇺🇦Sukhdev Sidhu</t>
  </si>
  <si>
    <t>UNC-Chapel Hill</t>
  </si>
  <si>
    <t>UBMD Dept of Otolaryngology</t>
  </si>
  <si>
    <t>Alyssa Reese</t>
  </si>
  <si>
    <t>UBuffalo Admissions</t>
  </si>
  <si>
    <t>Joe Sexton</t>
  </si>
  <si>
    <t>NCAA March Madness</t>
  </si>
  <si>
    <t>University @ Buffalo</t>
  </si>
  <si>
    <t>Denise🌹</t>
  </si>
  <si>
    <t>JesusLife12</t>
  </si>
  <si>
    <t>UB NewsSource</t>
  </si>
  <si>
    <t>UB STEM/LSAMP</t>
  </si>
  <si>
    <t>Jeff Dubinsky</t>
  </si>
  <si>
    <t>Bradley Anhouse</t>
  </si>
  <si>
    <t>True Blue</t>
  </si>
  <si>
    <t>Matthew F Matt</t>
  </si>
  <si>
    <t>Danielle</t>
  </si>
  <si>
    <t>Jahkeel Reef</t>
  </si>
  <si>
    <t>Nicholas Lowe</t>
  </si>
  <si>
    <t>David Saw</t>
  </si>
  <si>
    <t>GHofmar</t>
  </si>
  <si>
    <t>University at Buffalo Libraries</t>
  </si>
  <si>
    <t>Felisha Legette-Jack</t>
  </si>
  <si>
    <t>Stephen McCarthy</t>
  </si>
  <si>
    <t>Kerri Keyes</t>
  </si>
  <si>
    <t>Lori DeFranco</t>
  </si>
  <si>
    <t>huddles1025</t>
  </si>
  <si>
    <t>Bryan</t>
  </si>
  <si>
    <t>Alexis</t>
  </si>
  <si>
    <t>Adam Melluso</t>
  </si>
  <si>
    <t>Kristen Sharkey</t>
  </si>
  <si>
    <t>Joseph DiDomizio</t>
  </si>
  <si>
    <t>Marcanthony</t>
  </si>
  <si>
    <t>Cedric Douglas</t>
  </si>
  <si>
    <t>Rasheen Q Wilson</t>
  </si>
  <si>
    <t>Joe Price</t>
  </si>
  <si>
    <t>Zachary Krzysiak🦬⚔️</t>
  </si>
  <si>
    <t>Dale Young</t>
  </si>
  <si>
    <t>Corey Ball</t>
  </si>
  <si>
    <t>JB</t>
  </si>
  <si>
    <t>Allana</t>
  </si>
  <si>
    <t>LaGarrett King</t>
  </si>
  <si>
    <t>Daniel Roberts, Doctoral Student (he/him/his)</t>
  </si>
  <si>
    <t>John Maring</t>
  </si>
  <si>
    <t>Michelle Sterner</t>
  </si>
  <si>
    <t>Ridin' High</t>
  </si>
  <si>
    <t>Marina Christie</t>
  </si>
  <si>
    <t>Bill D</t>
  </si>
  <si>
    <t>Daniel Tucholski</t>
  </si>
  <si>
    <t>Spencer Freedman</t>
  </si>
  <si>
    <t>PatDeezy.Com</t>
  </si>
  <si>
    <t>Vixey Foxwish Douglas</t>
  </si>
  <si>
    <t>Dawn Reed</t>
  </si>
  <si>
    <t>Gary J. Jastrzab</t>
  </si>
  <si>
    <t>Ronald Balter</t>
  </si>
  <si>
    <t>UBuffalo Dance Team</t>
  </si>
  <si>
    <t>Sam Kaufman</t>
  </si>
  <si>
    <t>Eric Gross</t>
  </si>
  <si>
    <t>Smart Multi Finance</t>
  </si>
  <si>
    <t>AllMySportsTeamsSuck</t>
  </si>
  <si>
    <t>NINR</t>
  </si>
  <si>
    <t>Mark Alnutt</t>
  </si>
  <si>
    <t>Tom Symonds</t>
  </si>
  <si>
    <t>5pm.co.uk</t>
  </si>
  <si>
    <t>David Burris</t>
  </si>
  <si>
    <t>Crosswater Digital Media</t>
  </si>
  <si>
    <t>♓🅾️LUW🅰️✝️OBIL🅾️B🅰️</t>
  </si>
  <si>
    <t>UB Theatre and Dance</t>
  </si>
  <si>
    <t>Professional Staff Senate - University at Buffalo</t>
  </si>
  <si>
    <t>UB Experiential Learning Network</t>
  </si>
  <si>
    <t>UB Recreation</t>
  </si>
  <si>
    <t>Three Minute Thesis</t>
  </si>
  <si>
    <t>Emily Bowlus-Peck</t>
  </si>
  <si>
    <t>NATA Interprofessional Collaboration Group</t>
  </si>
  <si>
    <t>39566443</t>
  </si>
  <si>
    <t>977135736</t>
  </si>
  <si>
    <t>940318754155778048</t>
  </si>
  <si>
    <t>249302091</t>
  </si>
  <si>
    <t>223970751</t>
  </si>
  <si>
    <t>586721428</t>
  </si>
  <si>
    <t>1154118107541180422</t>
  </si>
  <si>
    <t>4869536819</t>
  </si>
  <si>
    <t>1331611799053955073</t>
  </si>
  <si>
    <t>877929293799727104</t>
  </si>
  <si>
    <t>2962298817</t>
  </si>
  <si>
    <t>1452707267099377671</t>
  </si>
  <si>
    <t>264490098</t>
  </si>
  <si>
    <t>1188807912753373184</t>
  </si>
  <si>
    <t>2411292110</t>
  </si>
  <si>
    <t>1258132673819742211</t>
  </si>
  <si>
    <t>801830682</t>
  </si>
  <si>
    <t>869375872834433024</t>
  </si>
  <si>
    <t>39566272</t>
  </si>
  <si>
    <t>2790500587</t>
  </si>
  <si>
    <t>2423865745</t>
  </si>
  <si>
    <t>79438076</t>
  </si>
  <si>
    <t>2198661452</t>
  </si>
  <si>
    <t>764413795</t>
  </si>
  <si>
    <t>764395134</t>
  </si>
  <si>
    <t>398045016</t>
  </si>
  <si>
    <t>432850155</t>
  </si>
  <si>
    <t>2326061460</t>
  </si>
  <si>
    <t>526621470</t>
  </si>
  <si>
    <t>1006571833150320640</t>
  </si>
  <si>
    <t>724953552</t>
  </si>
  <si>
    <t>17025377</t>
  </si>
  <si>
    <t>2906339807</t>
  </si>
  <si>
    <t>1095911572529135618</t>
  </si>
  <si>
    <t>17631005</t>
  </si>
  <si>
    <t>1187367147422568450</t>
  </si>
  <si>
    <t>97977423</t>
  </si>
  <si>
    <t>615288467</t>
  </si>
  <si>
    <t>1481220270</t>
  </si>
  <si>
    <t>499880785</t>
  </si>
  <si>
    <t>15586827</t>
  </si>
  <si>
    <t>2443363235</t>
  </si>
  <si>
    <t>311679916</t>
  </si>
  <si>
    <t>1468996227261939723</t>
  </si>
  <si>
    <t>19781776</t>
  </si>
  <si>
    <t>15087302</t>
  </si>
  <si>
    <t>402957663</t>
  </si>
  <si>
    <t>3187257364</t>
  </si>
  <si>
    <t>56423188</t>
  </si>
  <si>
    <t>44698485</t>
  </si>
  <si>
    <t>257466644</t>
  </si>
  <si>
    <t>631240049</t>
  </si>
  <si>
    <t>397263665</t>
  </si>
  <si>
    <t>1256105887</t>
  </si>
  <si>
    <t>520847027</t>
  </si>
  <si>
    <t>739954327981314048</t>
  </si>
  <si>
    <t>712029865067806720</t>
  </si>
  <si>
    <t>88695378</t>
  </si>
  <si>
    <t>1658465328</t>
  </si>
  <si>
    <t>159544207</t>
  </si>
  <si>
    <t>62908533</t>
  </si>
  <si>
    <t>45907293</t>
  </si>
  <si>
    <t>2565555960</t>
  </si>
  <si>
    <t>2859875452</t>
  </si>
  <si>
    <t>24542304</t>
  </si>
  <si>
    <t>1229963272121724928</t>
  </si>
  <si>
    <t>43805270</t>
  </si>
  <si>
    <t>1684573370</t>
  </si>
  <si>
    <t>1177739827518885888</t>
  </si>
  <si>
    <t>938620930338775040</t>
  </si>
  <si>
    <t>1355208187</t>
  </si>
  <si>
    <t>52098165</t>
  </si>
  <si>
    <t>798944883339890690</t>
  </si>
  <si>
    <t>2324022408</t>
  </si>
  <si>
    <t>25549003</t>
  </si>
  <si>
    <t>1942759790</t>
  </si>
  <si>
    <t>5392522</t>
  </si>
  <si>
    <t>249924357</t>
  </si>
  <si>
    <t>771412316487356417</t>
  </si>
  <si>
    <t>800152203973398529</t>
  </si>
  <si>
    <t>44654547</t>
  </si>
  <si>
    <t>19259102</t>
  </si>
  <si>
    <t>1123378380559278080</t>
  </si>
  <si>
    <t>1408451501052268549</t>
  </si>
  <si>
    <t>124824708</t>
  </si>
  <si>
    <t>253618371</t>
  </si>
  <si>
    <t>76442501</t>
  </si>
  <si>
    <t>71048920</t>
  </si>
  <si>
    <t>1430469198</t>
  </si>
  <si>
    <t>1245166484134989830</t>
  </si>
  <si>
    <t>1295465054171799554</t>
  </si>
  <si>
    <t>942753341414703104</t>
  </si>
  <si>
    <t>1168917216</t>
  </si>
  <si>
    <t>1349914874</t>
  </si>
  <si>
    <t>1270383605848649730</t>
  </si>
  <si>
    <t>88738882</t>
  </si>
  <si>
    <t>1485518358</t>
  </si>
  <si>
    <t>222213918</t>
  </si>
  <si>
    <t>905491343107031040</t>
  </si>
  <si>
    <t>39594720</t>
  </si>
  <si>
    <t>1454320392</t>
  </si>
  <si>
    <t>409459383</t>
  </si>
  <si>
    <t>825095119116333056</t>
  </si>
  <si>
    <t>2250511795</t>
  </si>
  <si>
    <t>34295510</t>
  </si>
  <si>
    <t>4877917546</t>
  </si>
  <si>
    <t>40937524</t>
  </si>
  <si>
    <t>1276231620983488513</t>
  </si>
  <si>
    <t>2274947023</t>
  </si>
  <si>
    <t>260270551</t>
  </si>
  <si>
    <t>210515865</t>
  </si>
  <si>
    <t>23457580</t>
  </si>
  <si>
    <t>309191305</t>
  </si>
  <si>
    <t>392748863</t>
  </si>
  <si>
    <t>74409745</t>
  </si>
  <si>
    <t>1500081511877554177</t>
  </si>
  <si>
    <t>29098812</t>
  </si>
  <si>
    <t>47412141</t>
  </si>
  <si>
    <t>1444508811792891904</t>
  </si>
  <si>
    <t>1487263638</t>
  </si>
  <si>
    <t>14089460</t>
  </si>
  <si>
    <t>20683724</t>
  </si>
  <si>
    <t>1257108198391193602</t>
  </si>
  <si>
    <t>1349892643694780425</t>
  </si>
  <si>
    <t>55270452</t>
  </si>
  <si>
    <t>20214036</t>
  </si>
  <si>
    <t>63799043</t>
  </si>
  <si>
    <t>19715694</t>
  </si>
  <si>
    <t>700795416825040896</t>
  </si>
  <si>
    <t>112493408</t>
  </si>
  <si>
    <t>28255148</t>
  </si>
  <si>
    <t>1154488459</t>
  </si>
  <si>
    <t>447656478</t>
  </si>
  <si>
    <t>31539969</t>
  </si>
  <si>
    <t>394173627</t>
  </si>
  <si>
    <t>748899187744448512</t>
  </si>
  <si>
    <t>453617713</t>
  </si>
  <si>
    <t>855979119456251904</t>
  </si>
  <si>
    <t>719957218544656384</t>
  </si>
  <si>
    <t>121257530</t>
  </si>
  <si>
    <t>30213351</t>
  </si>
  <si>
    <t>27019786</t>
  </si>
  <si>
    <t>703783368</t>
  </si>
  <si>
    <t>348534261</t>
  </si>
  <si>
    <t>1534660232</t>
  </si>
  <si>
    <t>328264521</t>
  </si>
  <si>
    <t>959845173479002113</t>
  </si>
  <si>
    <t>912012946607403010</t>
  </si>
  <si>
    <t>273656189</t>
  </si>
  <si>
    <t>1045012562335715329</t>
  </si>
  <si>
    <t>2418015080</t>
  </si>
  <si>
    <t>107489607</t>
  </si>
  <si>
    <t>101738436</t>
  </si>
  <si>
    <t>3031368833</t>
  </si>
  <si>
    <t>339491725</t>
  </si>
  <si>
    <t>700823920652513280</t>
  </si>
  <si>
    <t>340024689</t>
  </si>
  <si>
    <t>3252972893</t>
  </si>
  <si>
    <t>953679535802863616</t>
  </si>
  <si>
    <t>322077601</t>
  </si>
  <si>
    <t>2740654439</t>
  </si>
  <si>
    <t>617579498</t>
  </si>
  <si>
    <t>970679137127096321</t>
  </si>
  <si>
    <t>952740986064703488</t>
  </si>
  <si>
    <t>1460463658799140868</t>
  </si>
  <si>
    <t>3188761629</t>
  </si>
  <si>
    <t>3336631907</t>
  </si>
  <si>
    <t>51760175</t>
  </si>
  <si>
    <t>850407550616977408</t>
  </si>
  <si>
    <t>1451847239048077312</t>
  </si>
  <si>
    <t>38786271</t>
  </si>
  <si>
    <t>884121679395520513</t>
  </si>
  <si>
    <t>1125307027</t>
  </si>
  <si>
    <t>20657429</t>
  </si>
  <si>
    <t>82266118</t>
  </si>
  <si>
    <t>630675691</t>
  </si>
  <si>
    <t>1973125830</t>
  </si>
  <si>
    <t>2755866959</t>
  </si>
  <si>
    <t>988950461880328193</t>
  </si>
  <si>
    <t>70771821</t>
  </si>
  <si>
    <t>260531972</t>
  </si>
  <si>
    <t>8247952</t>
  </si>
  <si>
    <t>1011523423405793280</t>
  </si>
  <si>
    <t>1105456703569620992</t>
  </si>
  <si>
    <t>1496064217643954177</t>
  </si>
  <si>
    <t>28061816</t>
  </si>
  <si>
    <t>1416440089</t>
  </si>
  <si>
    <t>19601271</t>
  </si>
  <si>
    <t>467124072</t>
  </si>
  <si>
    <t>1139194984437911552</t>
  </si>
  <si>
    <t>2970315627</t>
  </si>
  <si>
    <t>The National Athletic Trainers’ Association is the professional membership association for athletic trainers and others who support the profession.</t>
  </si>
  <si>
    <t>New York State Athletic Trainers' Assn. Serving NY Athletic Trainers since 1976 #GetInTheGameNY #HealthcareThroughAction #AT4ALL</t>
  </si>
  <si>
    <t>CAATE Accredited Masters in Athletic Training Program within the School of Public Health and Health Professions at the University at Buffalo.</t>
  </si>
  <si>
    <t>CIN: Computers Informatics Nursing is a monthly research journal, publishing the latest developments in Nursing Informatics, Health IT, &amp; educational technology</t>
  </si>
  <si>
    <t>Official account of the University at Buffalo School of Nursing. | Tweets, RTs are not an endorsement. | #UBuffalo #UBTrueBlue</t>
  </si>
  <si>
    <t>Midwest Conference on Interprofessional Education</t>
  </si>
  <si>
    <t>Clinical Associate Professor of Athletic Training and Director of Athletic Training Services at Boston University</t>
  </si>
  <si>
    <t>Hi visitor! I'm a friendly bot. Follow me for (infreqnt) re/tweets on #scicomm #scipol #scidip #sciart &amp; inclusivity in STEM. By @PragyaChaube</t>
  </si>
  <si>
    <t>President of the @UBuffalo Alumni Association Board of Directors  #UBuffalo #UBalumni #BoldlyBuffalo #UBHornsUP 🤘</t>
  </si>
  <si>
    <t>Technology is feminine 👩‍💻 Let's break stereotypes together!
by Nastiia @steminist_ua</t>
  </si>
  <si>
    <t>By Doctor @KrittanawongMD. Our mission: Establish women's community health groups. Sharing and Retweeting #Womenhealth to support our communities.</t>
  </si>
  <si>
    <t>Certified Azure &amp; AWS Solutions Architect #BlackTechTwitter Geniusinhd on the gram. I throw Rum Punch Brunch so link up!</t>
  </si>
  <si>
    <t>The #UBalumni keep leading the charge! Here #UBuffalo grads put their #UBhornsUP, connect, and give back. Home to 280k+ alumni. RTs ≠ endorsements.</t>
  </si>
  <si>
    <t>POET | EDITOR | ASSOCIATE PROFESSOR 
Curb (Nightboat, 2021), Kith (Fence/Book*hug) &amp; Things to Do with Your Mouth (Les Figues)| Michigan State University</t>
  </si>
  <si>
    <t>The Department of English at the University at Buffalo, SUNY, offers students a liberal arts experience at a large, public, research university.</t>
  </si>
  <si>
    <t>A research library serving the government and people of New York State since 1818.</t>
  </si>
  <si>
    <t>Networking | Social Events | Exclusive Internships | Case Competitions | Consulting | Activities | Guest Speakers | Every Tuesday at 5pm on Zoom!</t>
  </si>
  <si>
    <t>Prof of English, U at Buffalo; Director of UB Gender Institute. Author of American Niceness: A Cultural History @Harvard_Press. Tweets = my opinion. she/her</t>
  </si>
  <si>
    <t>The University of Louisville is a vibrant research institution located in Kentucky's largest metropolitan area.</t>
  </si>
  <si>
    <t>Historian, feminist, and Mom to two grown daughters and one small dog.</t>
  </si>
  <si>
    <t>The UB Gender Institute supports and promotes research and teaching related to women, gender, and sexuality. RTs are not endorsements.</t>
  </si>
  <si>
    <t>History department of University at Buffalo. Providing rigorous education for next gen of scholars &amp; helping to foster an informed &amp; engaged public.</t>
  </si>
  <si>
    <t>WNY born &amp; raised •
University at Buffalo BA '16 EdM '21 🤘📚 •
#GoBills #GoBulls • Digital Marketing Specialist @ubalumni</t>
  </si>
  <si>
    <t>The Official Twitter of University at Buffalo Women's Basketball.</t>
  </si>
  <si>
    <t>The Official Twitter of University at Buffalo, The State University of New York Men's Basketball</t>
  </si>
  <si>
    <t>Trying to make the most of what's between the dash. 
#BillsMafia #GoSabres #UBHornsUp</t>
  </si>
  <si>
    <t>@UBuffalo Chief Sustainability Officer, #ClimateAction advocate, adventurer, endurance junkie, biophilia believer &amp; proponent of resilient sustainable evolution</t>
  </si>
  <si>
    <t>University at Buffalo | At #UBuffalo we lead the charge! Here is how our extraordinary people and research change the world. Put your #UBhornsUP!</t>
  </si>
  <si>
    <t>Professor of Digital History &amp; the World Economy, @macalester. #WakandaSyllabus, #RacialViolenceSyllabus, #TThomasFortune, #SojournersTrail. He/him.</t>
  </si>
  <si>
    <t>Holmes🕊| Pistol🕊| Buffalo WBB✍️💙 | 🌈</t>
  </si>
  <si>
    <t>Civil War Era #dishist #histgender #histmed / Teacher / Contingent / Author, Bodies in Blue @UGAPress / Executive Editor @nursingclio / Producer @dig_history</t>
  </si>
  <si>
    <t>Invest in your most valuable asset—yourself—with an MBA or MS degree from the University at Buffalo School of Management. #SUNY #UBuffalo #Bschool #MBA</t>
  </si>
  <si>
    <t>The University at Buffalo School of Management’s Professional MBA is a hybrid, part-time program, designed for busy working professionals like you.</t>
  </si>
  <si>
    <t>|| Recruiting Specialist, Coach &amp; Father || Bills, Braves &amp; Huskies || Fredonia '05 || UB Law '10 ||</t>
  </si>
  <si>
    <t>American Society for Pharmacology &amp; Experimental Therapeutics: Our members conduct research that develops disease-fighting medicines and therapeutic agents.</t>
  </si>
  <si>
    <t>The Jacobs School of Medicine and Biomedical Sciences at the University at Buffalo.</t>
  </si>
  <si>
    <t>Reader, writer &amp; runner. Dad, husband &amp; friend. Buffalo kid. He/him.</t>
  </si>
  <si>
    <t>Official account of the University at Buffalo School of Management, a vibrant and inclusive community of big thinkers and even bigger doers. #UBMgt #UBuffalo</t>
  </si>
  <si>
    <t>Making the most of every #UBuffalo moment in the herd 🤘 丨 Student Life at the University at Buffalo</t>
  </si>
  <si>
    <t>Recipient of @NWHOF Stanbro Media Award (2015), WNY Wrestling Coaches' Assoc. Media Award (2013) &amp; Terry Robert Justice Memorial Award (2004). #GrowWrestling</t>
  </si>
  <si>
    <t>University at Buffalo Libraries, Administration and Distinctive Collections - UB &amp; Canisius College alumnus</t>
  </si>
  <si>
    <t>Director of Learning Services for @ubbullsadvising and Academic Advisor for @ubmenshoops #ALL41 #PhD2Be🤘📚</t>
  </si>
  <si>
    <t>Associate Professor @UBuffalo @ubsphhp | social protection &amp; health @PrestoPolicy &amp; @TransferProjct | Co-host @UBHealthCast</t>
  </si>
  <si>
    <t>A health equity podcast produced by faculty and students in the @ubuffalo School of Public Health and Health Professions (@ubsphhp).</t>
  </si>
  <si>
    <t>Improving the health of populations, communities and individuals in Buffalo and beyond @ubuffalo.</t>
  </si>
  <si>
    <t>Official Twitter account for the University at Buffalo School of Law</t>
  </si>
  <si>
    <t>Hi! We’re America’s most trusted provider of sexual and reproductive health care, and we think we look pretty good for over 100 years old.</t>
  </si>
  <si>
    <t>Higher Education Professional, Bills Fan, Photography and Biking Enthusiast.</t>
  </si>
  <si>
    <t>Proud Buffalonian! University at Buffalo’s Assistant Dean for Graduate Professional Development. St. Lawrence '87,and Alumni Executive Council member</t>
  </si>
  <si>
    <t>University at Buffalo Graduate School of Education. Knowledge informed by research in counseling, leadership, teaching &amp; info science. #UBGSE #GSEGrad #UBuffalo</t>
  </si>
  <si>
    <t>Curated by Charlotte Hsu, who writes about science research at the University at Buffalo. Welcome students, alumni, faculty and friends!</t>
  </si>
  <si>
    <t>Working to reduce bullying abuse in schools and in the community</t>
  </si>
  <si>
    <t>The University at Buffalo Graduate School of Education offers fully online programs with tenure-track faculty &amp; field experts. Visit https://t.co/eqpj2BiRKi</t>
  </si>
  <si>
    <t>Founder of @DoneDissCoach | Speaker | Education Consultant | Musician | Author of “14 Secrets to a Done Dissertation”</t>
  </si>
  <si>
    <t>municipal engineer/water operator/marathon canoeist/beer connoisseur/belt buckle collector/Poté’s mom 🐶</t>
  </si>
  <si>
    <t>Assistant Professor of School Psychology; Associate Director @UB_BullyPrevCtr, @UBGSE, University at Buffalo; Licensed Psychologist; NCSP</t>
  </si>
  <si>
    <t>University at Buffalo WiSE organizes opportunities for female students in the STEM fields with the goal of increasing recruitment and retention. #UBuffaloWiSE</t>
  </si>
  <si>
    <t>Providing transformative life experiences to intellectually gifted students at the University at Buffalo.</t>
  </si>
  <si>
    <t>University at Buffalo's Parking &amp; Transportation Services. Notices and service announcements.
Phone (716) 645-3943
E-mail parking@buffalo.edu</t>
  </si>
  <si>
    <t>Official source for notifications about University at Buffalo (UB) emergencies and campus closings -- we test weekly.
More details: https://t.co/5w74fdfkVH</t>
  </si>
  <si>
    <t>We offer MSW, PhD, and online MSW and DSW degrees, all with a trauma-informed, antiracist, human rights perspective. Feed maintained by @PatShellySSW</t>
  </si>
  <si>
    <t>asst. professor @CommDepUB • phd @CommDeptMSU • media psychology, morality • horror fan, metalhead</t>
  </si>
  <si>
    <t>Official UBIT Twitter, bringing tech tips, news &amp; resources to people who work or study at #UBuffalo. Need help? https://t.co/7k5dRuIl6S 😁</t>
  </si>
  <si>
    <t>UB ‘22</t>
  </si>
  <si>
    <t>We are the University at Buffalo Thunder of the East Marching Band Celebrating 100 years of tradition! #UBHornsUP Link Tree to comment guidelines and more:</t>
  </si>
  <si>
    <t>@Ubuffalo @UBalumni @UBAthletics @Mariners @49ers @NYRangers #UBuffalo #ubinnyc</t>
  </si>
  <si>
    <t>Scholar. Educator. Advocate. Tweets entirely mine.</t>
  </si>
  <si>
    <t>News alerts, headlines &amp; more from WNY’s largest newsroom.</t>
  </si>
  <si>
    <t>University at Buffalo’s Official Home for Buffalo Esports &amp; the Student Gaming Association within Student Life | Join Discord for Esports and Club News!</t>
  </si>
  <si>
    <t>Promoting community service organizations in the 716 &amp; surrounding areas. Retweets = events. Likes = jobs.</t>
  </si>
  <si>
    <t>Historian. Southern Expat. She/Her/Ya’ll. Author of To Walk About in Freedom: The Long Emancipation of Priscilla Joyner (W.W. Norton, 2022)</t>
  </si>
  <si>
    <t>Experiencing history with you! #BuffaloHistory</t>
  </si>
  <si>
    <t>Language lover, educational linguist, civically engaged researcher. (she/elle)</t>
  </si>
  <si>
    <t>Vice President of Health Sciences, University at Buffalo &amp; Dean, Jacobs School of Medicine and Biomedical Sciences Posts reflect my views not my employer’s.</t>
  </si>
  <si>
    <t>The No. 1 source for business news in the #Buffalo area.</t>
  </si>
  <si>
    <t>Sociology at the University at Buffalo is home to excellent teachers and productive scholars engaged in cutting-edge and collaborative research.</t>
  </si>
  <si>
    <t>News. Arts &amp; Life. Music &amp; more. This is NPR. 🕵️ Securely send us news tips: https://t.co/qfEoMDe1Hw</t>
  </si>
  <si>
    <t>Associate Athletic Director, Communications &amp; Broadcasting State University of New York - Buffalo. Bleeds blue, loves WNY, proud Dad &amp; Emmy Winner.</t>
  </si>
  <si>
    <t>The Department of History offers programs of study for both undergraduates and graduates. Committed to teaching and scholarship and to intellectual rigor.</t>
  </si>
  <si>
    <t>Physician. Historian. Health policy prof. Mom of 4. Navy wife. Opinions = not my employer's. Author: https://t.co/iLTRihf9v8 &amp; https://t.co/wRuXVwCyiP</t>
  </si>
  <si>
    <t>Baldy Center for Law and Social Policy. Supports interdisciplinary research. Founded in 1978 at the University at Buffalo. #UBuffalo</t>
  </si>
  <si>
    <t>Official Harvard Law School Twitter account. Run by the HLS Office of Communications.</t>
  </si>
  <si>
    <t>Assistant professor @Harvard_Law. Historian of policing, expertise, courts, and gay life in the United States. Author of Vice Patrol.</t>
  </si>
  <si>
    <t>History of medicine &amp; science, Chinese history. Assist Prof 
@UB_History. Affiliated with @UBAsianStudies.
Author of Healing with Poisons @UWAPress, 2021</t>
  </si>
  <si>
    <t>Historian of drugs/pharma
White Market Drugs (https://t.co/VzoSwjxOYR…)
Co-Ed SHAD (https://t.co/Y9S9kjKons…)
he/him/his</t>
  </si>
  <si>
    <t>Author of BEFORE THE RELIGIOUS RIGHT (2022) | Historian of Modern US | PhD @UCBHistory | Assistant Professor, University at Buffalo, SUNY | '21-22 Kluge Fellow</t>
  </si>
  <si>
    <t>Making SUNY the best place to research, innovate, and solve the world's most pressing problems.</t>
  </si>
  <si>
    <t>The largest comprehensive system of higher education in the country. SUNY's 64 colleges are located within 30 miles of every home, school, and business in NY.</t>
  </si>
  <si>
    <t>Administered by Cory Nealon, who writes about engineering research at the University at Buffalo. Welcome students, alumni, faculty and friends!</t>
  </si>
  <si>
    <t>The CEL recognizes and supports the power of #entrepreneurship to unlock human potential, create jobs, inspire wealth and create jobs in Western New York.</t>
  </si>
  <si>
    <t>The most detailed sports previews, forecasts, and picks around.  Best of all, it's free.  #Picks #PickPub #sportsbetting Check out:  https://t.co/xovBm0uBFW</t>
  </si>
  <si>
    <t>Unlocking the secrets of myelination in the nervous system, finding therapies for myelin disease, with a focus on Krabbe disease. @JacobsMedUB #UBuffalo</t>
  </si>
  <si>
    <t>Doctor of Physical Therapy, Science Fiction or Fantasy reader, Rotarian, taiko player, recreational cycling, EerieCon, cook, amateur cheese maker.</t>
  </si>
  <si>
    <t>Made of Coffee and Counter Strike</t>
  </si>
  <si>
    <t>The official Twitter account for the Department of Economics at the University at Buffalo</t>
  </si>
  <si>
    <t>Home to the arts, humanities, social sciences, natural sciences and mathematics at #UBuffalo. Comment guidelines: https://t.co/YSl72IC2Z4</t>
  </si>
  <si>
    <t>Associate Professor, Department of English and Asian Studies Program, University at Buffalo, SUNY</t>
  </si>
  <si>
    <t>SAADA is a community-based culture change organization working to ensure that South Asian Americans are included in the American story: past, present, &amp; future.</t>
  </si>
  <si>
    <t>The Asian Studies Program at the University at Buffalo offers a major and a minor in Asian Studies and hosts academic and artistic events on Asia.</t>
  </si>
  <si>
    <t>A Smarter Way to Park. Use our app to skip the meter or reserve parking in advance, right from your phone! Typical social support hours are Mon-Sat: 8AM - 8PM</t>
  </si>
  <si>
    <t>Big Ditch Brewing is a production brewery and tap room in downtown Buffalo. Mon-Thu 11-10pm, Fri 11-12am, Sat 12-12am, Sun 10-8pm</t>
  </si>
  <si>
    <t>The University at Buffalo Clinical and Translational Science Institute: Advancing research discoveries to improve health for all.</t>
  </si>
  <si>
    <t>Health Equity Advocate, Scientist &amp; Systems Thinker #healthequity #SDOH #publichealth #communityengagement @AAMCjustice 🏳️‍🌈 Views my own</t>
  </si>
  <si>
    <t>AWS Distributed {Systems, Databases, Consensus}. Professor at SUNY Buffalo.  Opinions are my own. Blog at https://t.co/IqZPhhtcCC</t>
  </si>
  <si>
    <t>Ford Gum &amp; Machine Co. is a leading U.S. manufacturer of bubble gum products, gumball machines &amp; more. Helping the world chew more gum since 1913!</t>
  </si>
  <si>
    <t>Latest news and insights from and about the PwC worldwide network.</t>
  </si>
  <si>
    <t>|Scholar- Activist 👨🏿‍🎓✊🏿|School Psychologist 🧠|Phi Beta Sigma Fraternity Inc.,🤘🏿|Cincinnati, Ohio Native</t>
  </si>
  <si>
    <t>is russ still in the navy? / archaeologist UB / blm</t>
  </si>
  <si>
    <t>Color Analyst for @UBFootball Buffalo Bulls Radio Network on @Learfield - in Buffalo covering the Bills, Sabres, #UBBulls &amp; NCAAF. The #MACtion never stops.</t>
  </si>
  <si>
    <t>Academic Director of @UBHonors. Historian of modern Ireland &amp; the British empire. @FulbrightPrgrm Advisor for @UBuffalo.</t>
  </si>
  <si>
    <t>Board Member @UBAlumni and Country Manager @WantedlySG with @ShiokSG @ubsing_alumni #ynwa Ex @UBSgSA @bemyguesttravel @oborvc</t>
  </si>
  <si>
    <t>Assistant Vice President for Alumni &amp; Family Engagement, The College of Wooster. Go Scots! All tweets and opinions are my own. RTs are not endorsements. 🏳️‍🌈</t>
  </si>
  <si>
    <t>Study architecture and planning embedded in the City of Buffalo and our world. Bring your ideas to life full scale as we build a better world together.</t>
  </si>
  <si>
    <t>school nurse, population health nurse
Executive Editor, The Journal of School Nursing
All opinions are my own</t>
  </si>
  <si>
    <t>Master's student in Political Science at the University of Buffalo
@ubuffalo 
 django @theDemocrats 
 Somali-American citizen,ex refugee
 my1st account @dafrah1</t>
  </si>
  <si>
    <t>This is the Official Twitter home of the Mid-American Conference. Bringing you #MACtion 365 days a year! | IG: MACSports</t>
  </si>
  <si>
    <t>Home of all 16 Intercollegiate sports at the University at Buffalo. New York's Public Powerhouse</t>
  </si>
  <si>
    <t>Mark p. Musician</t>
  </si>
  <si>
    <t>Studied @UBuffalo 
Masters in Economics. 
Recycler working for a sustainable life for future generations. #FBR #BLM #VotingRights #StandForUkraine</t>
  </si>
  <si>
    <t>Historian. Professor.  Author, “Race and Redemption in Puritan New England” (OUP, 2011).  northern AL in western NY Fly fisher  •|||||||• RT ≠ endorsements</t>
  </si>
  <si>
    <t>America’s first public university. One of the world's leading research universities. See how we've served N.C. and beyond for more than two centuries at https://t.co/7o256ET31a</t>
  </si>
  <si>
    <t>Jacobs School of Medicine University at Buffalo Dept of Otolaryngology. Likes/retweets/follows≠endorsement. On YouTube and Instagram @univbuffalooto</t>
  </si>
  <si>
    <t>MS2. Research. Humanities in MedEd. Health Policy/Equity. Child Health. @UBHumanRightsInitiative @UBHealthLawSociety  @ALZ_NENY @AmerMedicalAssn @theauricle_oto</t>
  </si>
  <si>
    <t>This is the Office of Admissions for the University at Buffalo (UB). Follow us, use #UBuffalo and check us out at https://t.co/PVqogOj1L2.</t>
  </si>
  <si>
    <t>To live is to change; to be perfect is to have changed often. --John Henry Cardinal Newman</t>
  </si>
  <si>
    <t>The official account of NCAA DI Women’s Basketball! Join us with #NCAAWBB | #MarchMadness and #WFinalFour</t>
  </si>
  <si>
    <t>Your source for the latest University at Buffalo community news and campus events information. #UBuffalo</t>
  </si>
  <si>
    <t>Wife|Mother of 2 Amazing Young Men|Sports Enthusiast|Love to read| ΔΣΘ ❤️🐘🔺</t>
  </si>
  <si>
    <t>Follower of the Way, the Truth, and the Life</t>
  </si>
  <si>
    <t>John Della Contrada, #UBuffalo's vice president for communications |University at Buffalo | A top-ranked public research university | #UBhornsUP</t>
  </si>
  <si>
    <t>@UBEngineering Office of Diversity. LSAMP, UB NERDS, STEMinism &amp; MoCinSTEM at @UBuffalo. Info &amp; news about scholarships, internships, research, grad school etc.</t>
  </si>
  <si>
    <t>Award winning television producer/editor... Award winning television watcher. I'm whatever the opposite of an "influencer" is.</t>
  </si>
  <si>
    <t>SEM professional and lover of dad jokes. Fan of the Mets, Colts, Islanders. Proud UB Alum. My wife tells me to say I’m married. My opinions are my own</t>
  </si>
  <si>
    <t>Student Section of @UBuffalo &amp; @UBAthletics. @NCSSA_Official 2017 Top 3 Student Section of the Year. We get rowdy and you should too. Insta/Snap: UBTrueBlue</t>
  </si>
  <si>
    <t>Matt for Historian Class of 2019 Sc mattfmatt03 #BillsMafia #LetsGoPens (25-10-5) #GoHabsGo #LetsGoCanes (27-8-2) didthehabslose dot com</t>
  </si>
  <si>
    <t>Wife, Mom, ER Nurse, Foodie, Buffalo Bills, Buffalo Sabres, FC Buffalo, PSU Alum by marriage. My family is my life, nothing means more to me than them.</t>
  </si>
  <si>
    <t>718| Grad Student and CB at Alabama A&amp;M | UB Graduate Fall ‘21</t>
  </si>
  <si>
    <t>A very passionate, sometimes critic, about women's basketball. Live in #LosAngeles but from #Baltimore, hon!</t>
  </si>
  <si>
    <t>Official Twitter account for the #UBuffalo Libraries.</t>
  </si>
  <si>
    <t>Head women's basketball coach at the University at Buffalo.</t>
  </si>
  <si>
    <t>Be the change you wish to see in the world | @catiegiebner is my person</t>
  </si>
  <si>
    <t>she/her, wife, mom, lover of Disney. Slightly neurotic.</t>
  </si>
  <si>
    <t>Go Bulls! 🎟🎟🎟🎟🎟🎟🎟🎟🎟🎟🎟🎟🙂🙂🙂🙂🙂</t>
  </si>
  <si>
    <t>Buffalo Bills super fan and season ticket holder for life, Humanitarian, Latino Music, RN, Masters in Counseling Education</t>
  </si>
  <si>
    <t>UB Alumi, Preconstruction Professional, Father and Husband</t>
  </si>
  <si>
    <t>Proud @RMU alum. Aspiring hockey broadcaster/sports reporter. Sabres and hockey, UB, RMU, Liberty, William Byron fan. Passionate follower of Christ.</t>
  </si>
  <si>
    <t>Assistant Coach - UB Women's Basketball</t>
  </si>
  <si>
    <t>Digital comms and strategy @ubalumni; Arts &amp; culture writer; Video producer; Pluviophile. He/him. https://t.co/3eBytSJztK</t>
  </si>
  <si>
    <t>➡️ @itstechsports | @technicallyfc</t>
  </si>
  <si>
    <t>DL Coach/ Run Game Coordinator| No greater power than the power of belief| Christ Follower: Heb 11:1 Eph 6:10-20| insta: @the_samurai_coach #SamuraiMindset</t>
  </si>
  <si>
    <t>Just one Buffalo championship before I die. #God #Family #BillsMafia #LetsGoBuffalo #WeAreBlueJays</t>
  </si>
  <si>
    <t>THE FAMILY THAT PRAYS TOGETHER STAYS TOGETHER...</t>
  </si>
  <si>
    <t>🍁🔥🍺☀️🌙🌻🌲🌎💎♋️🦬🐶🎨 #2manwolfpack #billsmafia</t>
  </si>
  <si>
    <t>HT, FCCT, educator working for highest standards. 
@BAMEednetwork @VitaetPaxPrep
Champions authentic leadership,true EDI in education.🇹🇹🇬🇧
All views mine.</t>
  </si>
  <si>
    <t>Husband, Father, Black history educator, professor, scholar, writer, consultant, lover of food, movies, and sports.</t>
  </si>
  <si>
    <t>God #1 | Assistant Director of Event Operations @purduesports #BoilerUp | @UBuffalo ‘13 | @CanisiusSPMT ‘18 | @NorthcentralU ’22 | *views are my own* #SMIB</t>
  </si>
  <si>
    <t>Hi, My Name Is John &amp; I Like To Watch Gotham, I ❤️ Movies Like The MCU, I’m A Huge NY Jets’ Fan, I ❤️ Castlevania On Netflix &amp; I ❤️ To Watch CBS New York On 📺!</t>
  </si>
  <si>
    <t>I’m a bowler who loves her Buffalo Bills, family and nickelback 😍🥰</t>
  </si>
  <si>
    <t>Dad, husband, politics</t>
  </si>
  <si>
    <t>#billsmafia #buffalo🦬 #webdesign 👨🏽‍💻#photography📷 #art 🎨#ballislife🏀 #UB #ubalumni  #letsgobuffalo twitter wont let me follow anyone else</t>
  </si>
  <si>
    <t>Rensselaer '18 biomedical engineer with strong lab technician and writing skills currently looking for new scientific research opportunities. Founder @RPIiGEM</t>
  </si>
  <si>
    <t>Food and Buffalo and Sports - Oh My!                       MarCom • HigherEd • Start-ups • Athletics</t>
  </si>
  <si>
    <t>Immediate Past President of the #UBuffalo Alumni Association. Retired Planning Director for the #CityOfPhiladelphia. Proud grandfather of six.</t>
  </si>
  <si>
    <t>World's Greatest University at Buffalo Supporter. UB HOF 2008 Read Through a Bull's Eye_x000D_ _x000D_ All opinions are mine &amp; do not reflect the opinions of any others.</t>
  </si>
  <si>
    <t>The Official Dance Team of the University at Buffalo... ★ ☆ GO BULLS!!! ☆ ★ #UbhornsUP</t>
  </si>
  <si>
    <t>⚽️ Barstool Athlete</t>
  </si>
  <si>
    <t>Deputy Director of Athletics, External Operations at the University at Buffalo.</t>
  </si>
  <si>
    <t>A website where we analyze bad sports teams and other data driven stuff. Once again conveniently located in Germany! (Orioles/Dolphins/Coyotes/Purdue/Eisbären)</t>
  </si>
  <si>
    <t>Official account of the National Institute of Nursing Research @NIH. Following/followers ≠ endorsement. -SZ tweets by Dr. Shannon Zenk. Privacy: https://t.co/gy4CQTR7ah</t>
  </si>
  <si>
    <t>Vice President and Director of Athletics at the University at Buffalo. Loving husband and father of four. Kansas City, MO native and proud Mizzou Alum.</t>
  </si>
  <si>
    <t>Jessi’s boy, Benji’s dad, dog dad to Max, runner, hooper, golfer, football junkie, burger aficionado, No Shoes Nation member, beach bum, second line strutter.</t>
  </si>
  <si>
    <t>Restaurant booking &amp; lifestyle deals. Many food based musings. 
We don't check this account frequently, please contact customercare@5pm.co.uk with any queries</t>
  </si>
  <si>
    <t>NFL! BLACK LIVES MATTER!! DALLAS COWBOYS!!</t>
  </si>
  <si>
    <t>🏆 Award winning media content creators
🔍 Research based medical, education, &amp; ALZ treatment initiatives with VR/AR
Expanding Reality with Immersive solutions</t>
  </si>
  <si>
    <t>Civil Engineer
CNC Machinist
#ToastPunkArmy (#32) 🥪 😋  #GetThatBread
#DentalFrens
#MadCartels
Crypto Forever 😜</t>
  </si>
  <si>
    <t>The official scoop on the University at Buffalo's Theatre and Dance program! 
Follow us on Facebook &amp; Instagram!
@ubtheatredance</t>
  </si>
  <si>
    <t>#UBPSS represents Professional Staff by participating in Shared Governance, Professional Development, and by Cultivating Community &amp; Collegiality.</t>
  </si>
  <si>
    <t>#UBuffalo’s Experiential Learning Network connects students to mentored research and community projects to build skills for their career.</t>
  </si>
  <si>
    <t>UB Recreation offers a fitness center, intramural sports leagues, swimming pools, group fitness classes, open gym, a jogging track and more!</t>
  </si>
  <si>
    <t>Three Minute Thesis (3MT®) official account, #3MT is a global PhD research communication competition developed by The University of Queensland in 2008 #UQ</t>
  </si>
  <si>
    <t>PhD candidate at the University at Buffalo, NY in the history of medicine and early modern European history.</t>
  </si>
  <si>
    <t>Advocates for the profession of Athletic Training in the areas of Interprofessional Education (IPE) and Interprofessional Collaborative Practice (IPCP)</t>
  </si>
  <si>
    <t>Dallas, TX</t>
  </si>
  <si>
    <t>The Empire State</t>
  </si>
  <si>
    <t>Saint Louis</t>
  </si>
  <si>
    <t>Buffalo, New York</t>
  </si>
  <si>
    <t>Omaha, NE</t>
  </si>
  <si>
    <t>Boston, MA</t>
  </si>
  <si>
    <t>MF world</t>
  </si>
  <si>
    <t>NYC</t>
  </si>
  <si>
    <t>University at Buffalo, Buffalo</t>
  </si>
  <si>
    <t>East Lansing, Michigan</t>
  </si>
  <si>
    <t>Albany, NY</t>
  </si>
  <si>
    <t>University At Buffalo</t>
  </si>
  <si>
    <t>Louisville, KY</t>
  </si>
  <si>
    <t>Buffalo, N.Y.</t>
  </si>
  <si>
    <t>207 UB Commons</t>
  </si>
  <si>
    <t>Minnesota</t>
  </si>
  <si>
    <t>Rochester, NY</t>
  </si>
  <si>
    <t>NY</t>
  </si>
  <si>
    <t>Rockville, MD</t>
  </si>
  <si>
    <t>955 Main St. Buffalo, NY, US</t>
  </si>
  <si>
    <t>Western New York</t>
  </si>
  <si>
    <t>Williamsville, NY</t>
  </si>
  <si>
    <t>All over the world.</t>
  </si>
  <si>
    <t>Buffalo, NY · Online Worldwide</t>
  </si>
  <si>
    <t>From VA/CT to the DMV</t>
  </si>
  <si>
    <t>Upstate NY</t>
  </si>
  <si>
    <t>University at Buffalo</t>
  </si>
  <si>
    <t>Buffalo NY=Seneca Nation lands</t>
  </si>
  <si>
    <t>Niagara Falls, NY</t>
  </si>
  <si>
    <t xml:space="preserve">Rochester NY </t>
  </si>
  <si>
    <t>Cambridge, MA</t>
  </si>
  <si>
    <t>Buffalo, NY / SUNY Buffalo</t>
  </si>
  <si>
    <t>DC &amp; Buffalo</t>
  </si>
  <si>
    <t xml:space="preserve">Research Foundation for SUNY </t>
  </si>
  <si>
    <t>Chennai</t>
  </si>
  <si>
    <t>Buffalo, NY, USA</t>
  </si>
  <si>
    <t>WNY</t>
  </si>
  <si>
    <t>Clemens 412</t>
  </si>
  <si>
    <t>Getzville, NY</t>
  </si>
  <si>
    <t>Washington, DC</t>
  </si>
  <si>
    <t>Akron, NY</t>
  </si>
  <si>
    <t>Global</t>
  </si>
  <si>
    <t>Newfane, NY</t>
  </si>
  <si>
    <t>ÜT: 1.2908334,103.8240933</t>
  </si>
  <si>
    <t>Wooster, OH</t>
  </si>
  <si>
    <t>Naples, Florida</t>
  </si>
  <si>
    <t>USA,East Africa,🇵🇷</t>
  </si>
  <si>
    <t>Cleveland, Ohio</t>
  </si>
  <si>
    <t>iPhone: 42.922688,-78.876846</t>
  </si>
  <si>
    <t>Chapel Hill, NC</t>
  </si>
  <si>
    <t>@Jacobs_Med_UB</t>
  </si>
  <si>
    <t xml:space="preserve">Always "here", 'cause I can't </t>
  </si>
  <si>
    <t>Indianapolis, IN</t>
  </si>
  <si>
    <t>Buffalo, New York USA</t>
  </si>
  <si>
    <t>PA</t>
  </si>
  <si>
    <t>University at Buffalo, SUNY</t>
  </si>
  <si>
    <t>Charlotte, NC</t>
  </si>
  <si>
    <t xml:space="preserve">Wherever the Bulls play </t>
  </si>
  <si>
    <t>Horseheads, NY</t>
  </si>
  <si>
    <t>Brooklyn, NY</t>
  </si>
  <si>
    <t>Spring Creek, NV</t>
  </si>
  <si>
    <t>Los Angeles</t>
  </si>
  <si>
    <t>Wilson/Buffalo, NY</t>
  </si>
  <si>
    <t>Buffalo New York</t>
  </si>
  <si>
    <t>Parkville, MD</t>
  </si>
  <si>
    <t>BFLO NY (716)</t>
  </si>
  <si>
    <t>Empty Ass Apartment</t>
  </si>
  <si>
    <t>Buff🍗➡️Atl🍑</t>
  </si>
  <si>
    <t>Wisconsin, USA</t>
  </si>
  <si>
    <t>Wilson, NY</t>
  </si>
  <si>
    <t>London</t>
  </si>
  <si>
    <t>East, England</t>
  </si>
  <si>
    <t>USA</t>
  </si>
  <si>
    <t>Rocky Mountain West (it/its)</t>
  </si>
  <si>
    <t>Philadelphia, PA USA</t>
  </si>
  <si>
    <t>Brooklyn, New York</t>
  </si>
  <si>
    <t>Berlin, Germany</t>
  </si>
  <si>
    <t>Bethesda, MD</t>
  </si>
  <si>
    <t>UK</t>
  </si>
  <si>
    <t>Cheektowaga, NY</t>
  </si>
  <si>
    <t>New</t>
  </si>
  <si>
    <t>Everywhere</t>
  </si>
  <si>
    <t>Brisbane, Australia</t>
  </si>
  <si>
    <t>Open Twitter Page for This Person</t>
  </si>
  <si>
    <t xml:space="preserve">nata1950
</t>
  </si>
  <si>
    <t xml:space="preserve">go_nysata
</t>
  </si>
  <si>
    <t>buffalo_at
Next up in our alumni spotlight
is Joe Ramos, MSAT, ATC UB MSAT
class of 2020! Joe is an Assistant
AT for the sports medicine staff
at Florida Atlantic University.
His primary patient care is for
Men’s Basketball and Men’s Golf.
#UBSPHHP #UBuffalo #UBAlumni #NATM2022
https://t.co/WiM4iCrIK2</t>
  </si>
  <si>
    <t>bectrobe
Nursing PhD student Mary Rose Gaughan
was published in the February 2022
issue of @CIN_online for her insight
into the factors identified as
benefits and drawbacks of technology
use by nurses. #UBuffalo https://t.co/htzEZ8GtTG</t>
  </si>
  <si>
    <t xml:space="preserve">cin_online
</t>
  </si>
  <si>
    <t>ubnursing
Tackling health inequities from
all sides 🤝 A new partnership
between two #UBuffalo health centers
is working to change health outcomes
in #Buffalo neighborhoods. Learn
more ▶️ https://t.co/jZu6QsNh7C
https://t.co/6lxwVarhrt</t>
  </si>
  <si>
    <t>heartlandipe
So honored to be representing Buffalo
IPE Leadership team at the #NAPForum2022
in San Diego to receive our IPE
Group Recognition award! #UBuffalo
#UBSPHHP #IPE @GO_NYSATA @NATA1950
https://t.co/rnBBMjpAr7</t>
  </si>
  <si>
    <t>bostonuat1st
So honored to be representing Buffalo
IPE Leadership team at the #NAPForum2022
in San Diego to receive our IPE
Group Recognition award! #UBuffalo
#UBSPHHP #IPE @GO_NYSATA @NATA1950
https://t.co/rnBBMjpAr7</t>
  </si>
  <si>
    <t>b0tsci
Love seeing our #UBalumni give
back. It's one of the many things
that keeps me putting my #UBhornsUP!
💙🤘 #UBuffalo #WomenInSTEM https://t.co/etwx4rK40D</t>
  </si>
  <si>
    <t>ubaa_president
🏀MAC CHAMPIONS!!!🏀😤 Such an
exciting game and now onto the
NCAA tournament! Congratulations
@UBwomenshoops and @UBCoachJack!
👏 All #UBalumni are proud of all
of you! GO BULLS!!! 💙 #UBuffalo
#UBhornsUP 🤘 https://t.co/piEnfCJDGV</t>
  </si>
  <si>
    <t>steminist_bot
Love seeing our #UBalumni give
back. It's one of the many things
that keeps me putting my #UBhornsUP!
💙🤘 #UBuffalo #WomenInSTEM https://t.co/etwx4rK40D</t>
  </si>
  <si>
    <t>womenhealthbot
Love seeing our #UBalumni give
back. It's one of the many things
that keeps me putting my #UBhornsUP!
💙🤘 #UBuffalo #WomenInSTEM https://t.co/etwx4rK40D</t>
  </si>
  <si>
    <t>geniusinhd
This #UBuffalo rebel grad is breaking
barriers and helping other women
in STEM do it too. Watch her story
now 👇 https://t.co/uv7374M3kW</t>
  </si>
  <si>
    <t>ubalumni
This #UBuffalo grad from @SMFOfficialy
has some quick strategic tips to
be most successful in your career.
Watch the full video to see what
those are! https://t.co/dxZt6KphfU
https://t.co/KmzkLcbSpG</t>
  </si>
  <si>
    <t>sugaronthegash
Congratulations to #UBuffalo Professor
Steve McCaffery! 55 years in the
making, 𝘊𝘢𝘳𝘯𝘪𝘷𝘢𝘭: 𝘛𝘩𝘦
𝘊𝘰𝘮𝘱𝘭𝘦𝘵𝘦 𝘌𝘥𝘪𝘵𝘪𝘰𝘯
1967-2022 has just been published
by Veer Books in the UK: https://t.co/Pn83h51u6i
https://t.co/Ke8k5ed5lG</t>
  </si>
  <si>
    <t>ub_english
Professor Nicole Morris Johnson's
essay "On Opacity: Toni Morrison’s
and Paule Marshall’s Narrative
Vision Therapy" has just been published
in the journal 𝘔𝘌𝘓𝘜𝘚. Visit
https://t.co/QZF3cCkNxW to learn
more! #UBuffalo https://t.co/oT5Kta3gPm</t>
  </si>
  <si>
    <t>nyslibrary
Join us 3/8 for our next webinar
“Speaking with the Dead in Early
America” presented by #UBuffalo
professor and author Erik R. Seeman.
For more info &amp;amp; to reg: https://t.co/j4DujwqNg9
#Webinar #Spiritualism #FoxSisters
#AmericanHistory #CulturalHistory
#BookDiscussion https://t.co/9PBP1ghhn1</t>
  </si>
  <si>
    <t>ub_marketing
This week we will be consulting
on a local business, Rob's Comedy
Playhouse. We will be discussing
ways to increase their social presence
and expand their customer base.
This will be great experience to
discuss when interviewing and looks
great on a resume! #marketing #ubuffalo
https://t.co/RfnQZg7lfz</t>
  </si>
  <si>
    <t>cbramen
📣Check out this upcoming event
w/ @UBGenderIn! Join us on Tue,
March 8 @ 12PM for a book launch
event New Books, New Feminist Directions.
Prof. @VWidgeon will discuss her
book &amp;amp; @uofl Prof. Tracy E.
K'Meyer will offer commentary.
Register Here: https://t.co/fOap8XVSuc
#UBuffalo</t>
  </si>
  <si>
    <t xml:space="preserve">uofl
</t>
  </si>
  <si>
    <t>vwidgeon
On #InternationalWomensDay, we
celebrate the powerful women of
#UBuffalo, past and present 💪🏾
including these prominent figures
in our city's history 👇 https://t.co/dJJsE82uXI</t>
  </si>
  <si>
    <t xml:space="preserve">ubgenderin
</t>
  </si>
  <si>
    <t>ub_history
Thinking about taking a 🌞Summer🌞
course? Check out the courses offered
by the Department of History! #ubuffalo
https://t.co/G0R3NkWmvi</t>
  </si>
  <si>
    <t>acannonzelasko
Get on your #UBuffalo gear and
join us at a watch party for the
@UBmenshoops and @UBwomenshoops
teams heading to the MAC tournament!
#UBhornsUP https://t.co/a6qC5HHM1G
https://t.co/liwphK5jZU</t>
  </si>
  <si>
    <t xml:space="preserve">ubwomenshoops
</t>
  </si>
  <si>
    <t xml:space="preserve">ubmenshoops
</t>
  </si>
  <si>
    <t>lovinonbuffalo
Get on your #UBuffalo gear and
join us at a watch party for the
@UBmenshoops and @UBwomenshoops
teams heading to the MAC tournament!
#UBhornsUP https://t.co/a6qC5HHM1G
https://t.co/liwphK5jZU</t>
  </si>
  <si>
    <t>rymcpherson
A pretty special day on the #UBuffalo
campus today--first time we've
been able to see smiling student
faces since two years ago with
masks become optional. Nice work
@UBuffalo you've all done an amazing
job fighting this pandemic and
thinking about the greater good!</t>
  </si>
  <si>
    <t>ubuffalo
Happy #PiDay, #UBuffalo! This mathematical
constant is all around (😉) us,
from your homework to your favorite
foods and activities! 🥧📓 🍕 https://t.co/Vs2bshi2DT</t>
  </si>
  <si>
    <t>walterdgreason
📣Check out this upcoming event
w/ @UBGenderIn! Join us on Tue,
March 8 @ 12PM for a book launch
event New Books, New Feminist Directions.
Prof. @VWidgeon will discuss her
book &amp;amp; @uofl Prof. Tracy E.
K'Meyer will offer commentary.
Register Here: https://t.co/fOap8XVSuc
#UBuffalo</t>
  </si>
  <si>
    <t>dyaishafair
Get on your #UBuffalo gear and
join us at a watch party for the
@UBmenshoops and @UBwomenshoops
teams heading to the MAC tournament!
#UBhornsUP https://t.co/a6qC5HHM1G
https://t.co/liwphK5jZU</t>
  </si>
  <si>
    <t>sarahbelle721
📣 Join us and @UBGenderIn today,
March 8 @ 12PM for a book launch
event New Books, New Feminist Directions.
Prof. @VWidgeon will discuss her
book &amp;amp; @uofl Prof. Tracy E.
K'Meyer will offer commentary.
Register Here: https://t.co/fOap8XVSuc
#UBuffalo</t>
  </si>
  <si>
    <t>ubmbaandms
At #UBMgt, we celebrate women’s
achievements every day. We are
proud to recognize our students,
faculty and staff’s success. Learn
more about the achievements earned
by women in the UB MBA program:
https://t.co/S108xXDVuu #WomensDay
#UBuffalo #WomeninBusiness https://t.co/sQJ4UKXC2z</t>
  </si>
  <si>
    <t>ubpmba
At #UBMgt, we celebrate women’s
achievements every day. We are
proud to recognize our students,
faculty and staff’s success. Learn
more about the achievements earned
by women in the UB MBA program:
https://t.co/icVKFcofTi #WomensDay
#UBuffalo #WomeninBusiness https://t.co/sSAlQ1SL8W</t>
  </si>
  <si>
    <t>coach_bato
On #InternationalWomensDay, we
celebrate the powerful women of
#UBuffalo, past and present 💪🏾
including these prominent figures
in our city's history 👇 https://t.co/dJJsE82uXI</t>
  </si>
  <si>
    <t>aspet
Congratulations to Dr. Margarita
L. Dubocovich from the State University
of New York at Buffalo, winner
of the 2022 Julius Axelrod Award
in Pharmacology. #UBuffalo, @Jacobs_Med_UB
#pharmacology, #ASPET22, #expbio
https://t.co/GX7FBoRSUq</t>
  </si>
  <si>
    <t>jacobs_med_ub
The #UBuffalo CTSI Annual Forum
is one week away! Learn more about
the speakers, and register now
to watch live via Zoom from 12:30
to 4:45 p.m. on March 16. - https://t.co/3mJUxbO8DU
https://t.co/UGQe6yQtic</t>
  </si>
  <si>
    <t>matthew_biddle
On this #InternationalWomensDay,
we’re proud to highlight these
outstanding #UBMgt alumnae. They're
just a few of the amazing women
who have graduated from the UB
School of Management over the years.
#UBuffalo #UBMgt https://t.co/4s28ziJBS6</t>
  </si>
  <si>
    <t>ubschoolofmgt
Health information exchanges tend
to divide the physician community
into ‘technology-haves and have-nots,’
according to the researchers behind
a new #UBMgt study. Read more:
https://t.co/kZDSitrsKB #UBuffalo
#HealthCare</t>
  </si>
  <si>
    <t>lynnbernas1
Eating well can do a LOT to help
you feel your best 🥗💵 Two upcoming
virtual workshops for all #UBuffalo
students can help you learn to
make peace with food and plan meals
ahead to save money: https://t.co/uD5NNcltGa
📆 Intuitive Eating on 3/9 📆 Meal
Planning 3/16 https://t.co/ExualQMW4l</t>
  </si>
  <si>
    <t>ubstudentexp
Let's level up! Level Up’s console
gaming lounge and esports arena
are officially open, today for
students to preview the space and
test the games. Come with your
friends and play some games! 🎮
https://t.co/bSdlF7EeW4 #UBuffalo
https://t.co/0zCVorSh3P</t>
  </si>
  <si>
    <t>wnywrestling
Introducing: “Buster, the Buffalo
Bull” ➡️ This 1954 version of Buster
was designed by Stuart Hample,
a 1949 #UBuffalo graduate. #UBTrueBlue
https://t.co/REOR2a3QZB</t>
  </si>
  <si>
    <t>shollander2
“I'm a BULL-iever” button from
our #UBuffalo Marching Band digital
collection. Best of luck to @UBwomenshoops
today! 🏀🦬 ➡️ https://t.co/v2kL9Fesea
#UBhornsUP https://t.co/9ka2uD7Wod</t>
  </si>
  <si>
    <t>advisormellymel
On #InternationalWomensDay, we
celebrate the powerful women of
#UBuffalo, past and present 💪🏾
including these prominent figures
in our city's history 👇 https://t.co/dJJsE82uXI</t>
  </si>
  <si>
    <t>tiapalermo
Happy #InternationalWomensDay!
Learn about women's issues in health
care with Buffalo HealthCast. ♀️
Abortion Access: https://t.co/bl0s2PZLCg
Breast Cancer Disparities: https://t.co/2WqIZzDuDk
#UBuffalo #UBPublicHealth #HealthEquity
#PublicHealth https://t.co/AyZbrqwbmZ</t>
  </si>
  <si>
    <t>ubhealthcast
Attitudes Around #Disability, with
Dr. Sue Mann Dolce, the Associate
Director of Accessibility Resources
here at @UBuffalo comes out on
St. Patrick's Day next week. Mark
your calendars! #Accessibility
#PublicHealth #HealthEquity #UBPublicHealth
#UBuffalo https://t.co/INNAdC2UVp</t>
  </si>
  <si>
    <t>ubsphhp
Happy #InternationalWomensDay!
Learn about women's issues in health
care with Buffalo HealthCast. ♀️
Abortion Access: https://t.co/bl0s2PZLCg
Breast Cancer Disparities: https://t.co/2WqIZzDuDk
#UBuffalo #UBPublicHealth #HealthEquity
#PublicHealth https://t.co/AyZbrqwbmZ</t>
  </si>
  <si>
    <t>ubschooloflaw
Last week, UB students participating
in the NYC Program in Finance and
Law visited the 7 World Trade Center
to attend a talk from Robert Gutowski
(JD ’99), General Counsel at MSCI
Inc., on compliance and the role
of a general counsel at a capital
investment firm. #UBuffalo https://t.co/kHEgAT4up1</t>
  </si>
  <si>
    <t xml:space="preserve">ppfa
</t>
  </si>
  <si>
    <t>chamm1015
On #InternationalWomensDay, we
celebrate the powerful women of
#UBuffalo, past and present 💪🏾
including these prominent figures
in our city's history 👇 https://t.co/dJJsE82uXI</t>
  </si>
  <si>
    <t>elizcolucci
DYK? If COVID-19 has affected your
finances, you could be eligible
for a federal aid adjustment. Request
a professional judgment review
through #UBuffalo's Financial Aid
Office. The COVID-19 support team
is here to help! Learn more about
this process ▶️ https://t.co/sSLcFO6Agn
https://t.co/U2lnSzqkIY</t>
  </si>
  <si>
    <t>ubgse
Happy #PiDay, #UBuffalo! This mathematical
constant is all around (😉) us,
from your homework to your favorite
foods and activities! 🥧📓 🍕 https://t.co/Vs2bshi2DT</t>
  </si>
  <si>
    <t>ubscience
Happy #PiDay, #UBuffalo! This mathematical
constant is all around (😉) us,
from your homework to your favorite
foods and activities! 🥧📓 🍕 https://t.co/Vs2bshi2DT</t>
  </si>
  <si>
    <t>ub_bullyprevctr
Coming together to stop school
violence: The Annual Safe Schools
Initiative Seminar at #UBuffalo
will allow education professionals
to discuss approaches to averting
school violence. #UBGSE's @UB_BullyPrevCtr
is a founding sponsor of the event.
🏫 More: https://t.co/6ZP4VyRxwc.</t>
  </si>
  <si>
    <t>ubglobaled
One week away! Join #UBGSE for
"The Reality of Researching Race
in Your Dissertation: Strategies
for Success and Keeping Your Sanity,"
with @RamonGoings. Learn more and
register: https://t.co/Rmnd4Shprw.
#UBuffalo https://t.co/J0oWgbsEKl</t>
  </si>
  <si>
    <t>ramongoings
Join #UBGSE this Tues. for "The
Reality of Researching Race in
Your Dissertation: Strategies for
Success and Keeping Your Sanity"
with @RamonGoings. Register: https://t.co/hDWhtIlxGS.
#UBuffalo @DrLaGarrettKing https://t.co/C5qHry9tZd</t>
  </si>
  <si>
    <t>miranda_fae
On #InternationalWomensDay, we
celebrate the powerful women of
#UBuffalo, past and present 💪🏾
including these prominent figures
in our city's history 👇 https://t.co/dJJsE82uXI</t>
  </si>
  <si>
    <t>stephsfredrick
Coming together to stop school
violence: The Annual Safe Schools
Initiative Seminar at #UBuffalo
will allow education professionals
to discuss approaches to averting
school violence. #UBGSE's @UB_BullyPrevCtr
is a founding sponsor of the event.
🏫 More: https://t.co/6ZP4VyRxwc.</t>
  </si>
  <si>
    <t>wiseatub
UB WiSE and UB STEMinism co-hosted
a Picture Yourself in STEM photo
booth on March 8th to empower women
in STEM. It was fun too! #ubSTEMinism,
#ubwise, #ubseas, #ubengineering,
#UBuffalo, #ubcas, #ubwisc https://t.co/gWJIVQrTkV</t>
  </si>
  <si>
    <t>ubhonors
#UBClassOf2022 grads - this Friday
3/11 is the last day to order your
caps and gowns online 👩🏽‍🎓 Don't
wait til the last minute, since
in-store stock is not guaranteed
🎓 Order here now: https://t.co/WR6Cfo1hxR
#UBuffalo https://t.co/QkJmgKXjqc</t>
  </si>
  <si>
    <t>ubparking
In keeping with state and federal
regulations, masks will continue
to be mandatory for everyone aboard
#UBuffalo Stampede buses &amp;amp;
shuttles through at least April
18th. 🚌😷 https://t.co/LuVSsSS7It</t>
  </si>
  <si>
    <t>ub_alert
UB Alert: This is a test. Please
sign up to receive alerts at https://t.co/xOoylvdiO9.
#UBuffalo #UBAlert</t>
  </si>
  <si>
    <t>ubssw
“Odyssey: Warriors Come Home:"
A collective story of coming home
from battle https://t.co/dIobK6c3Bk
&amp;lt;Photos part of a #research
project on use of the humanities
for U.S. #MilitaryVets to think
more deeply about issues raised
by war, military service. #UBuffalo
#Storytelling</t>
  </si>
  <si>
    <t>lindsayhahn_
Let's GOOO! 🎮🎧🤩 The LevelUp
Esports arena and console lounge
in Lockwood are opening this month!
Take your gaming to the next level
with PCs and consoles preloaded
with an epic library of games available
to all #UBuffalo students! 🤘 https://t.co/AOMdXwz3L7</t>
  </si>
  <si>
    <t>ubinfotech
Gather your friends and game on!
💙🤘The console gaming lounge at
LevelUp is OPEN NOW! - 📺Big screens
- 🎮Latest consoles (PS5, Xbox
and Switch) - 👾Library of preloaded
games #UBuffalo students can reserve
a pod today at https://t.co/m1FlrGftRf
https://t.co/U950lh2IP8</t>
  </si>
  <si>
    <t>kaitlyn_prater6
Let the #MACtion Begin! 🎶🏀 #UBuffalo
#UBTrueBlue #UBHornsUp https://t.co/KFkhzK59lq</t>
  </si>
  <si>
    <t>ubmarchingband
Feeling all the MACtion today!
Ready to cheer on our Bulls at
the Championship! 🤘🏼💙 #UBhornsUP
#UBuffalo https://t.co/DWgDx0l75g</t>
  </si>
  <si>
    <t>wfan99
Do you know a #UBuffalo grad who
owns a thriving, fast-growing business?
Nominate them for Fast46 today!
https://t.co/KxlliGxRWI https://t.co/Q99VcFZ1kI</t>
  </si>
  <si>
    <t>gorlewskijulie
Students in the WNY Youth Alliance
for Education (YAE) speak up! 👏
@TheBuffaloNews published a letter
from YAE, calling on others to
voice their thoughts on education.
Founded by #UBGSE, YAE helps students
develop policy recommendations.
More: https://t.co/G7ipnB3O9O #UBuffalo</t>
  </si>
  <si>
    <t xml:space="preserve">thebuffalonews
</t>
  </si>
  <si>
    <t>jenna_armband_
Let the #MACtion Begin! 🎶🏀 #UBuffalo
#UBTrueBlue #UBHornsUp https://t.co/KFkhzK59lq</t>
  </si>
  <si>
    <t>ubuffaloesports
Game on! 🎮 Here's your sneak peek
👀 into the NEW LevelUp computing
space in Lockwood Library at #UBuffalo!
This space, complete with computers
for work and play + the latest
gaming consoles, is slated to open
in March! @ubinfotech https://t.co/F75ccUN43s</t>
  </si>
  <si>
    <t>actionsspeak716
TODAY! 📣Check out this upcoming
event with @BuffaloHistory at 6
PM on March 9! Prof. @CaroleEmberton
will discuss her new book, To Walk
About in Freedom at the Buffalo
History Museum. More info: https://t.co/JG3SUgcPwc
#UBuffalo</t>
  </si>
  <si>
    <t xml:space="preserve">caroleemberton
</t>
  </si>
  <si>
    <t>buffalohistory
TODAY! 📣Check out this upcoming
event with @BuffaloHistory at 6
PM on March 9! Prof. @CaroleEmberton
will discuss her new book, To Walk
About in Freedom at the Buffalo
History Museum. More info: https://t.co/JG3SUgcPwc
#UBuffalo</t>
  </si>
  <si>
    <t>erinkearney78
Students in the WNY Youth Alliance
for Education (YAE) speak up! 👏
@TheBuffaloNews published a letter
from YAE, calling on others to
voice their thoughts on education.
Founded by #UBGSE, YAE helps students
develop policy recommendations.
More: https://t.co/G7ipnB3O9O #UBuffalo</t>
  </si>
  <si>
    <t>drabrashear
Medical education at @Jacobs_Med_UB
is undergoing fundamental changes
addressing structural racism in
medicine in an effort initially
inspired by our students. #UBuffalo
https://t.co/XQ5SQzpsNk</t>
  </si>
  <si>
    <t xml:space="preserve">bflobizfirst
</t>
  </si>
  <si>
    <t>ubsociology
Professor Brenda Moore speaks with
@NPR about the 855 Black women
who became the first and only all-female
Black U.S. Army Corps unit to serve
overseas during World War II. This
year, Congress awarded the group
the Congressional Gold Medal. #UBuffalo
https://t.co/L1XG71WFJU</t>
  </si>
  <si>
    <t xml:space="preserve">npr
</t>
  </si>
  <si>
    <t>ub_boone
#UBuffalo basketball has been around
for over 100 years. Anything is
possible! 🏀🦬 #ClevelandIsTheReason
#UBhornsUP ➡️ https://t.co/jyhvlfuNZ4
https://t.co/2uOxGXfdtv</t>
  </si>
  <si>
    <t>urhistorydept
Tomorrow at 4pm, @Mical_Raz from
@urhistorydept will be speaking
on the origins of the child welfare
system and how abusive practices
came to be so entrenched in the
system. Register now to attend
via Zoom or in person: #UBuffalo
https://t.co/8r5yeTAF5o</t>
  </si>
  <si>
    <t xml:space="preserve">mical_raz
</t>
  </si>
  <si>
    <t>baldycenter
Join us tomorrow at 12:30pm as
we welcome @Anna_Lvovsky from @Harvard_Law
as she discusses police professionalism
and its inability to mitigate police
misconduct. Stop by 509 O’Brian
Hall or register now via Zoom:
#UBuffalo https://t.co/ZSm5k4s9hf</t>
  </si>
  <si>
    <t xml:space="preserve">harvard_law
</t>
  </si>
  <si>
    <t xml:space="preserve">anna_lvovsky
</t>
  </si>
  <si>
    <t>yan_liu_histmed
Join us in person or online on
March 11th at 3 PM for a New Book
🎉Celebration 🎉 in honor of Prof.
@dhbuffalo and his new book, White
Market Drugs! More info and registration:
https://t.co/hWRgwnzNbT #UBuffalo
https://t.co/v9KBbMwKpu</t>
  </si>
  <si>
    <t xml:space="preserve">dhbuffalo
</t>
  </si>
  <si>
    <t>genezubovich
Join us in person or online on
March 11th at 3 PM for a New Book
🎉Celebration 🎉 in honor of Prof.
@dhbuffalo and his new book, White
Market Drugs! More info and registration:
https://t.co/hWRgwnzNbT #UBuffalo
https://t.co/v9KBbMwKpu</t>
  </si>
  <si>
    <t>rfsuny
Dr. Joe Atkinson from @UBengineering
discusses the “moving target” that
is water quality management in
Lake Ontario in our newest blog.
Read now: #UBuffalo https://t.co/iHKaWVQTiC</t>
  </si>
  <si>
    <t xml:space="preserve">suny
</t>
  </si>
  <si>
    <t>ubengineering
#UBuffalo President Satish K. Tripathi:
Congratulations to our @UBWomenshoops
team! Incredible @MACSports championship
game! Looking forward to cheering
on the team in the @MarchMadnessWBB
tournament! Go Bulls!! #UBDancing
#UBhornsUP</t>
  </si>
  <si>
    <t>ub_cel
Rebecca Brady, MWEE '18, is setting
the stage: https://t.co/r6MWICbQS6
#UBMgt #UBuffalo #UBTrueBlue https://t.co/4XsgRnfrIY</t>
  </si>
  <si>
    <t>pickpub
It is GAMEDAY and we have a FREE
preview of the Buffalo-Akron game
happening today. Click or tap now!
#UBuffalo #Picks https://t.co/sMoN2HkKYB</t>
  </si>
  <si>
    <t>ubhjkri
As part of #WomensHistoryMonth,
today we’re honoring Mary Blair
Moody, MD, the first woman to earn
a medical degree at #UBuffalo.
Her motto? “The greatest good to
the greatest number at the smallest
cost to them.” Learn about her
life and time at UB: https://t.co/uhpA3oEAtN
https://t.co/uEp9wD0Jwr</t>
  </si>
  <si>
    <t>amerunipt
As part of #WomensHistoryMonth,
today we’re honoring Mary Blair
Moody, MD, the first woman to earn
a medical degree at #UBuffalo.
Her motto? “The greatest good to
the greatest number at the smallest
cost to them.” Learn about her
life and time at UB: https://t.co/uhpA3oEAtN
https://t.co/uEp9wD0Jwr</t>
  </si>
  <si>
    <t>ntechnocrat
Let's GOOO! 🎮🎧🤩 The LevelUp
Esports arena and console lounge
in Lockwood are opening this month!
Take your gaming to the next level
with PCs and consoles preloaded
with an epic library of games available
to all #UBuffalo students! 🤘 https://t.co/AOMdXwz3L7</t>
  </si>
  <si>
    <t>ubuffaloecon
Join us tomorrow (Friday) for our
virtual seminar, during which Dr.
Philipp Kircher (Cornell) will
discuss the impacts of lockdowns
and social distancing based on
age! More info and Zoom link: https://t.co/PoQLT5jkyM
#UBuffalo @UBCAS https://t.co/06iB2WjwlS</t>
  </si>
  <si>
    <t>ubcas
Happy #PiDay, #UBuffalo! This mathematical
constant is all around (😉) us,
from your homework to your favorite
foods and activities! 🥧📓 🍕 https://t.co/Vs2bshi2DT</t>
  </si>
  <si>
    <t>wnhakala
#UBuffalo @UB_English PhD student
and @SAADAonline fellow Sharmeen
Mehri has written a moving essay
about her father and #Zoroastrian
identities in South Asia and North
America. https://t.co/WcQRc7txr8</t>
  </si>
  <si>
    <t>saadaonline
#UBuffalo @UB_English PhD student
and @SAADAonline fellow Sharmeen
Mehri has written a moving essay
about her father and #Zoroastrian
identities in South Asia and North
America. https://t.co/WcQRc7txr8</t>
  </si>
  <si>
    <t>ubasianstudies
#UBuffalo @UB_English PhD student
and @SAADAonline fellow Sharmeen
Mehri has written a moving essay
about her father and #Zoroastrian
identities in South Asia and North
America. https://t.co/WcQRc7txr8</t>
  </si>
  <si>
    <t xml:space="preserve">parkmobile
</t>
  </si>
  <si>
    <t>theajwilcox
@ubalumni @bigditchbrewing Love
this. Matt is a great guy and a
fantastic #UBuffalo grad!</t>
  </si>
  <si>
    <t xml:space="preserve">bigditchbrewing
</t>
  </si>
  <si>
    <t>ubuffaloctsi
“At every point during the pandemic,
our societal structures churned
out brand new health and social
inequities.” Read more from our
interview with Philip M. Alberti,
PhD, keynote speaker at the #UBuffalo
CTSI Annual Forum on Wednesday,
March 16. https://t.co/nuI5NoffoQ
https://t.co/j9xCFspfub</t>
  </si>
  <si>
    <t xml:space="preserve">pm_alberti
</t>
  </si>
  <si>
    <t>muratdemirbas
"Hari cherished his role as a researcher,
professor and scientist, and he
will be deeply missed by his department,
our school and our university."
The #UBuffalo community's thoughts
are with professor Srihari's family
at this time. @UBengineering https://t.co/3bah3R89j5</t>
  </si>
  <si>
    <t xml:space="preserve">fordguminc
</t>
  </si>
  <si>
    <t xml:space="preserve">pwc
</t>
  </si>
  <si>
    <t>drkamonta
Students in the WNY Youth Alliance
for Education (YAE) speak up! 👏
@TheBuffaloNews published a letter
from YAE, calling on others to
voice their thoughts on education.
Founded by #UBGSE, YAE helps students
develop policy recommendations.
More: https://t.co/G7ipnB3O9O #UBuffalo</t>
  </si>
  <si>
    <t>mdixon18255
Sending all of our #UBTrueBlue
spirit to everyone watching back
home in Buffalo! 💙🤘#UBuffalo
#UBHornsUp https://t.co/Ml1MdcTKIV</t>
  </si>
  <si>
    <t>scottwilsonbuf
#UBuffalo football from 1899 with
head coach Bemus Pierce in the
back row. 🏈🦬 This photo was donated
a couple of years ago. ➡️ https://t.co/k93mVRHxvZ
https://t.co/n6bH9m43IK</t>
  </si>
  <si>
    <t>pfmcdevitt
📣UB History Students: The Spring
2022 Scholarship Competition is
open! The Dept. has a wide variety
of scholarships and prizes to award,
deadline April 15th!* More info
on qualifications and application
form: https://t.co/1EXqbbySO0 #Ubuffalo
*Paper prize deadline May 1st https://t.co/nZb3Cio3MA</t>
  </si>
  <si>
    <t>saefarq
Mark your calendars, #UBuffalo,
Alumni Week is less than 3 months
away! Stay tuned for a full schedule
of events! https://t.co/LqA1wT7pXI</t>
  </si>
  <si>
    <t>thomasmcarthur1
Mark your calendars, #UBuffalo,
Alumni Week is less than 3 months
away! Stay tuned for a full schedule
of events! https://t.co/LqA1wT7pXI</t>
  </si>
  <si>
    <t>buffaloarchplan
Tackling health inequities from
all sides 🤝 A new partnership
between two #UBuffalo health centers
is working to change health outcomes
in #Buffalo neighborhoods. Learn
more ▶️ https://t.co/jZu6QsNh7C
https://t.co/6lxwVarhrt</t>
  </si>
  <si>
    <t>bergren
#UBuffalo SON alumni: We want to
hear from you! Share your latest
career accomplishments to be featured
as a class note on our website
and in our magazine. https://t.co/B0KuOOFady
https://t.co/JoYEE77u55</t>
  </si>
  <si>
    <t>osmanfaran
Spirit Squads assembled and ready
to cheer on @ubwomenshoops to a
@macsports basketball tournament
championship!! #UBhornsUP #UBuffalo
https://t.co/5OLFf7G6DS</t>
  </si>
  <si>
    <t xml:space="preserve">macsports
</t>
  </si>
  <si>
    <t>ubathletics
Break out your dancing shoes! Your
#UBuffalo Bulls are 2022 MAC Tournament
Champions and going #UBDancing!!
🎉 🥳 🎉 Let’s get those #UBhornsUP
and that #UBTrueBlue energy flowing!
🤘🏽🤘🏽🤘🏽 https://t.co/lHZ9x2gWHg</t>
  </si>
  <si>
    <t>cammill06830348
Spirit Squads assembled and ready
to cheer on @ubwomenshoops to a
@macsports basketball tournament
championship!! #UBhornsUP #UBuffalo
https://t.co/5OLFf7G6DS</t>
  </si>
  <si>
    <t>sukhdevsidhu3
Another reason to be tuned into
this exciting game #UBuffalo! 🔥🔥🔥
https://t.co/axQI0haXbt</t>
  </si>
  <si>
    <t>richardabailey
Join us on April 1st at 3 PM in
person or online for Dr. Jay Smith's
talk, "The Amateurism Myth and
the Impossibility of College Sports
Reform." Registration: https://t.co/hWRgwnzNbT
#UBuffalo @UNC https://t.co/L8BQtIgO8T</t>
  </si>
  <si>
    <t xml:space="preserve">unc
</t>
  </si>
  <si>
    <t>univbuffalooto
Our @Jacobs_Med_UB student reviewers
@AlyssaReese98 and Nicole Favre
weigh in here! Check out this #otolaryngology
newsletter: #otomatch2023 #womeninoto
#ubuffalo https://t.co/1Qri3ruUUh</t>
  </si>
  <si>
    <t xml:space="preserve">alyssareese98
</t>
  </si>
  <si>
    <t>ubadmissions
Full of #UBTrueBlue pride for our
MAC Champions! ##UBuffalo #UBhornsUP
https://t.co/5L26rxNi04</t>
  </si>
  <si>
    <t>jsexton9
#UBuffalo President Satish K. Tripathi:
Congratulations to our @UBWomenshoops
team! Incredible @MACSports championship
game! Looking forward to cheering
on the team in the @MarchMadnessWBB
tournament! Go Bulls!! #UBDancing
#UBhornsUP</t>
  </si>
  <si>
    <t xml:space="preserve">marchmadnesswbb
</t>
  </si>
  <si>
    <t>ubcommunity
🤘🤘 Saturday can’t get here fast
enough!! Go Bulls!! #UBhornsUP
#UBuffalo #UBDancing https://t.co/MZerlu6oL7</t>
  </si>
  <si>
    <t>bronxbuddy
#UBuffalo President Satish K. Tripathi:
Congratulations to our @UBWomenshoops
team! Incredible @MACSports championship
game! Looking forward to cheering
on the team in the @MarchMadnessWBB
tournament! Go Bulls!! #UBDancing
#UBhornsUP</t>
  </si>
  <si>
    <t>jesuslife12
So proud! Such an incredi-bull
performance by @UBwomenshoops!
#ubuffalo #UBhornsUp #UBDancing
https://t.co/I113vMEaIM</t>
  </si>
  <si>
    <t>ubnewssource
Break out your dancing shoes! Your
#UBuffalo Bulls are 2022 MAC Tournament
Champions and going #UBDancing!!
🎉 🥳 🎉 Let’s get those #UBhornsUP
and that #UBTrueBlue energy flowing!
🤘🏽🤘🏽🤘🏽 https://t.co/lHZ9x2gWHg</t>
  </si>
  <si>
    <t>ubstem
Break out your dancing shoes! Your
#UBuffalo Bulls are 2022 MAC Tournament
Champions and going #UBDancing!!
🎉 🥳 🎉 Let’s get those #UBhornsUP
and that #UBTrueBlue energy flowing!
🤘🏽🤘🏽🤘🏽 https://t.co/lHZ9x2gWHg</t>
  </si>
  <si>
    <t>jdubclt
Break out your dancing shoes! Your
#UBuffalo Bulls are 2022 MAC Tournament
Champions and going #UBDancing!!
🎉 🥳 🎉 Let’s get those #UBhornsUP
and that #UBTrueBlue energy flowing!
🤘🏽🤘🏽🤘🏽 https://t.co/lHZ9x2gWHg</t>
  </si>
  <si>
    <t>braddigan89
Beautiful shot of our @UBwomenshoops
celebrating their W‼️ yet another
CONGRATULATIONS 💙🤘 #UBTrueBlue
#UBuffalo @UBuffalo @UBAthletics
https://t.co/yOcOzhwSVM</t>
  </si>
  <si>
    <t>ubtrueblue
Beautiful shot of our @UBwomenshoops
celebrating their W‼️ yet another
CONGRATULATIONS 💙🤘 #UBTrueBlue
#UBuffalo @UBuffalo @UBAthletics
https://t.co/yOcOzhwSVM</t>
  </si>
  <si>
    <t>matthewk112358
Beautiful shot of our @UBwomenshoops
celebrating their W‼️ yet another
CONGRATULATIONS 💙🤘 #UBTrueBlue
#UBuffalo @UBuffalo @UBAthletics
https://t.co/yOcOzhwSVM</t>
  </si>
  <si>
    <t>icemycoffee
So proud! Such an incredi-bull
performance by @UBwomenshoops!
#ubuffalo #UBhornsUp #UBDancing
https://t.co/I113vMEaIM</t>
  </si>
  <si>
    <t>jahreef4
Break out your dancing shoes! Your
#UBuffalo Bulls are 2022 MAC Tournament
Champions and going #UBDancing!!
🎉 🥳 🎉 Let’s get those #UBhornsUP
and that #UBTrueBlue energy flowing!
🤘🏽🤘🏽🤘🏽 https://t.co/lHZ9x2gWHg</t>
  </si>
  <si>
    <t>buffalowelowe
So proud! Such an incredi-bull
performance by @UBwomenshoops!
#ubuffalo #UBhornsUp #UBDancing
https://t.co/I113vMEaIM</t>
  </si>
  <si>
    <t>lawomenshoops
So proud! Such an incredi-bull
performance by @UBwomenshoops!
#ubuffalo #UBhornsUp #UBDancing
https://t.co/I113vMEaIM</t>
  </si>
  <si>
    <t>ghofmar
Incredi-Bull Game #UBuffalo! Incredi-bull
job @UBwomenshoops and @UBCoachJack
🤘🏼🔥 https://t.co/wHH0xDPFtZ</t>
  </si>
  <si>
    <t>ublibraries
Calling All Poets! The University
Libraries invite #UBuffalo students
to participate in our annual poetry
competitions for undergraduate
and graduate students. #poetry
Entries are due by Friday, April
1 @5pm Learn more at https://t.co/sWwasVRPfQ
https://t.co/pmE1ybfDuO</t>
  </si>
  <si>
    <t>ubcoachjack
Sending all of our #UBTrueBlue
spirit to everyone watching back
home in Buffalo! 💙🤘#UBuffalo
#UBHornsUp https://t.co/Ml1MdcTKIV</t>
  </si>
  <si>
    <t>stephen11mcc
Break out your dancing shoes! Your
#UBuffalo Bulls are 2022 MAC Tournament
Champions and going #UBDancing!!
🎉 🥳 🎉 Let’s get those #UBhornsUP
and that #UBTrueBlue energy flowing!
🤘🏽🤘🏽🤘🏽 https://t.co/lHZ9x2gWHg</t>
  </si>
  <si>
    <t>keyes1211
Sending all of our #UBTrueBlue
spirit to everyone watching back
home in Buffalo! 💙🤘#UBuffalo
#UBHornsUp https://t.co/Ml1MdcTKIV</t>
  </si>
  <si>
    <t>loride99
Break out your dancing shoes! Your
#UBuffalo Bulls are 2022 MAC Tournament
Champions and going #UBDancing!!
🎉 🥳 🎉 Let’s get those #UBhornsUP
and that #UBTrueBlue energy flowing!
🤘🏽🤘🏽🤘🏽 https://t.co/lHZ9x2gWHg</t>
  </si>
  <si>
    <t>huddles10251
🙌🏻🤘🏽 #UBuffalo https://t.co/EwQ2ANA7nh</t>
  </si>
  <si>
    <t>bniles408
Feeling all the MACtion today!
Ready to cheer on our Bulls at
the Championship! 🤘🏼💙 #UBhornsUP
#UBuffalo https://t.co/DWgDx0l75g</t>
  </si>
  <si>
    <t>sexylex1984
Break out your dancing shoes! Your
#UBuffalo Bulls are 2022 MAC Tournament
Champions and going #UBDancing!!
🎉 🥳 🎉 Let’s get those #UBhornsUP
and that #UBTrueBlue energy flowing!
🤘🏽🤘🏽🤘🏽 https://t.co/lHZ9x2gWHg</t>
  </si>
  <si>
    <t>amellusosports
Break out your dancing shoes! Your
#UBuffalo Bulls are 2022 MAC Tournament
Champions and going #UBDancing!!
🎉 🥳 🎉 Let’s get those #UBhornsUP
and that #UBTrueBlue energy flowing!
🤘🏽🤘🏽🤘🏽 https://t.co/lHZ9x2gWHg</t>
  </si>
  <si>
    <t>ksharkey25
Break out your dancing shoes! Your
#UBuffalo Bulls are 2022 MAC Tournament
Champions and going #UBDancing!!
🎉 🥳 🎉 Let’s get those #UBhornsUP
and that #UBTrueBlue energy flowing!
🤘🏽🤘🏽🤘🏽 https://t.co/lHZ9x2gWHg</t>
  </si>
  <si>
    <t>josephdid
This #UBuffalo grad took a leaf
of faith into her passion for plants,
and in doing so she's healing other
people's pain. Watch how. 👉 https://t.co/a1FfgQgcjR
https://t.co/QpDKBU5uwY</t>
  </si>
  <si>
    <t>mvanharrison
Break out your dancing shoes! Your
#UBuffalo Bulls are 2022 MAC Tournament
Champions and going #UBDancing!!
🎉 🥳 🎉 Let’s get those #UBhornsUP
and that #UBTrueBlue energy flowing!
🤘🏽🤘🏽🤘🏽 https://t.co/lHZ9x2gWHg</t>
  </si>
  <si>
    <t>thesamuraicoach
Break out your dancing shoes! Your
#UBuffalo Bulls are 2022 MAC Tournament
Champions and going #UBDancing!!
🎉 🥳 🎉 Let’s get those #UBhornsUP
and that #UBTrueBlue energy flowing!
🤘🏽🤘🏽🤘🏽 https://t.co/lHZ9x2gWHg</t>
  </si>
  <si>
    <t>wils_dogg
Break out your dancing shoes! Your
#UBuffalo Bulls are 2022 MAC Tournament
Champions and going #UBDancing!!
🎉 🥳 🎉 Let’s get those #UBhornsUP
and that #UBTrueBlue energy flowing!
🤘🏽🤘🏽🤘🏽 https://t.co/lHZ9x2gWHg</t>
  </si>
  <si>
    <t>joe_jp_price
Break out your dancing shoes! Your
#UBuffalo Bulls are 2022 MAC Tournament
Champions and going #UBDancing!!
🎉 🥳 🎉 Let’s get those #UBhornsUP
and that #UBTrueBlue energy flowing!
🤘🏽🤘🏽🤘🏽 https://t.co/lHZ9x2gWHg</t>
  </si>
  <si>
    <t>zacharykrzysiak
Break out your dancing shoes! Your
#UBuffalo Bulls are 2022 MAC Tournament
Champions and going #UBDancing!!
🎉 🥳 🎉 Let’s get those #UBhornsUP
and that #UBTrueBlue energy flowing!
🤘🏽🤘🏽🤘🏽 https://t.co/lHZ9x2gWHg</t>
  </si>
  <si>
    <t>74_dy
Lets Go #UBuffalo! @UBwomenshoops
is on 🔥🔥🔥 #UBhornsUP! https://t.co/pA4CMTC7Vj</t>
  </si>
  <si>
    <t>cballermpire55
Break out your dancing shoes! Your
#UBuffalo Bulls are 2022 MAC Tournament
Champions and going #UBDancing!!
🎉 🥳 🎉 Let’s get those #UBhornsUP
and that #UBTrueBlue energy flowing!
🤘🏽🤘🏽🤘🏽 https://t.co/lHZ9x2gWHg</t>
  </si>
  <si>
    <t>jb_doeee
Break out your dancing shoes! Your
#UBuffalo Bulls are 2022 MAC Tournament
Champions and going #UBDancing!!
🎉 🥳 🎉 Let’s get those #UBhornsUP
and that #UBTrueBlue energy flowing!
🤘🏽🤘🏽🤘🏽 https://t.co/lHZ9x2gWHg</t>
  </si>
  <si>
    <t>allanag13
Join #UBGSE this Tues. for "The
Reality of Researching Race in
Your Dissertation: Strategies for
Success and Keeping Your Sanity"
with @RamonGoings. Register: https://t.co/hDWhtIlxGS.
#UBuffalo @DrLaGarrettKing https://t.co/C5qHry9tZd</t>
  </si>
  <si>
    <t>drlagarrettking
TODAY! 📣Check out this upcoming
event with @BuffaloHistory at 6
PM on March 9! Prof. @CaroleEmberton
will discuss her new book, To Walk
About in Freedom at the Buffalo
History Museum. More info: https://t.co/JG3SUgcPwc
#UBuffalo</t>
  </si>
  <si>
    <t>futuredrroberts
Break out your dancing shoes! Your
#UBuffalo Bulls are 2022 MAC Tournament
Champions and going #UBDancing!!
🎉 🥳 🎉 Let’s get those #UBhornsUP
and that #UBTrueBlue energy flowing!
🤘🏽🤘🏽🤘🏽 https://t.co/lHZ9x2gWHg</t>
  </si>
  <si>
    <t>johnmaring2
Break out your dancing shoes! Your
#UBuffalo Bulls are 2022 MAC Tournament
Champions and going #UBDancing!!
🎉 🥳 🎉 Let’s get those #UBhornsUP
and that #UBTrueBlue energy flowing!
🤘🏽🤘🏽🤘🏽 https://t.co/lHZ9x2gWHg</t>
  </si>
  <si>
    <t>redsterner
So proud! Such an incredi-bull
performance by @UBwomenshoops!
#ubuffalo #UBhornsUp #UBDancing
https://t.co/I113vMEaIM</t>
  </si>
  <si>
    <t>smokinstix
Break out your dancing shoes! Your
#UBuffalo Bulls are 2022 MAC Tournament
Champions and going #UBDancing!!
🎉 🥳 🎉 Let’s get those #UBhornsUP
and that #UBTrueBlue energy flowing!
🤘🏽🤘🏽🤘🏽 https://t.co/lHZ9x2gWHg</t>
  </si>
  <si>
    <t>mazzycc
Break out your dancing shoes! Your
#UBuffalo Bulls are 2022 MAC Tournament
Champions and going #UBDancing!!
🎉 🥳 🎉 Let’s get those #UBhornsUP
and that #UBTrueBlue energy flowing!
🤘🏽🤘🏽🤘🏽 https://t.co/lHZ9x2gWHg</t>
  </si>
  <si>
    <t>billybison
Break out your dancing shoes! Your
#UBuffalo Bulls are 2022 MAC Tournament
Champions and going #UBDancing!!
🎉 🥳 🎉 Let’s get those #UBhornsUP
and that #UBTrueBlue energy flowing!
🤘🏽🤘🏽🤘🏽 https://t.co/lHZ9x2gWHg</t>
  </si>
  <si>
    <t>danieltucholski
If you know a #UBuffalo grad with
a fast-growing business, don't
forget to nominate them for the
Fast 46 competition! Nominations
close Thursday 3/18. https://t.co/b4nmKknVuk
https://t.co/TlZkrO2vp0</t>
  </si>
  <si>
    <t>spencerfreedma8
Break out your dancing shoes! Your
#UBuffalo Bulls are 2022 MAC Tournament
Champions and going #UBDancing!!
🎉 🥳 🎉 Let’s get those #UBhornsUP
and that #UBTrueBlue energy flowing!
🤘🏽🤘🏽🤘🏽 https://t.co/lHZ9x2gWHg</t>
  </si>
  <si>
    <t>patdeezy
Break out your dancing shoes! Your
#UBuffalo Bulls are 2022 MAC Tournament
Champions and going #UBDancing!!
🎉 🥳 🎉 Let’s get those #UBhornsUP
and that #UBTrueBlue energy flowing!
🤘🏽🤘🏽🤘🏽 https://t.co/lHZ9x2gWHg</t>
  </si>
  <si>
    <t>vixeyfoxdouglas
#UBuffalo engineers develop new
method – inspired by kid’s pop-up
books – for making 3D artificial
tissue. Could help improve experimental
drug testing, artificial organs
&amp;amp; more: https://t.co/4GjnUMlZ1r
https://t.co/ETq0tM0LoD</t>
  </si>
  <si>
    <t>buffalodr
Let’s go Bulls!! Excited to cheer
on our @UBwomenshoops team against
Tennessee in the @MarchMadnessWBB
tourney! #UBDancing #UBuffalo https://t.co/aNv04rNkbE</t>
  </si>
  <si>
    <t>jastrzab
Waking up MAC Champions! #UBuffalo
#UBalumni https://t.co/EyvYFDxiEZ</t>
  </si>
  <si>
    <t>ubbulls1
Let’s go Bulls!! Excited to cheer
on our @UBwomenshoops team against
Tennessee in the @MarchMadnessWBB
tourney! #UBDancing #UBuffalo https://t.co/aNv04rNkbE</t>
  </si>
  <si>
    <t>ubdazzlers
Break out your dancing shoes! Your
#UBuffalo Bulls are 2022 MAC Tournament
Champions and going #UBDancing!!
🎉 🥳 🎉 Let’s get those #UBhornsUP
and that #UBTrueBlue energy flowing!
🤘🏽🤘🏽🤘🏽 https://t.co/lHZ9x2gWHg</t>
  </si>
  <si>
    <t>samkallday23
Break out your dancing shoes! Your
#UBuffalo Bulls are 2022 MAC Tournament
Champions and going #UBDancing!!
🎉 🥳 🎉 Let’s get those #UBhornsUP
and that #UBTrueBlue energy flowing!
🤘🏽🤘🏽🤘🏽 https://t.co/lHZ9x2gWHg</t>
  </si>
  <si>
    <t>ub_etgross
🏀MAC CHAMPIONS!!!🏀😤 Such an
exciting game and now onto the
NCAA tournament! Congratulations
@UBwomenshoops and @UBCoachJack!
👏 All #UBalumni are proud of all
of you! GO BULLS!!! 💙 #UBuffalo
#UBhornsUP 🤘 https://t.co/piEnfCJDGV</t>
  </si>
  <si>
    <t xml:space="preserve">smfofficialy
</t>
  </si>
  <si>
    <t>amsts
AMSTS MAC Computer Rankings for
Week 2: 78) #GoRockets 109) #OhioBobcats
#OhioUniversity 115) #KentState
116) #GoZips 132) #UBuffalo 256)
#BallState 260) #Redhawks 265)
#BowlingGreen 287) #NIU 294) #EMU
309) #CentralMichigan 331) #WMU
https://t.co/7e7zHIzn18</t>
  </si>
  <si>
    <t xml:space="preserve">ninr
</t>
  </si>
  <si>
    <t xml:space="preserve">alnutt41
</t>
  </si>
  <si>
    <t xml:space="preserve">tom_symonds
</t>
  </si>
  <si>
    <t xml:space="preserve">5pm
</t>
  </si>
  <si>
    <t>davidburris0621
Happy #PiDay, #UBuffalo! This mathematical
constant is all around (😉) us,
from your homework to your favorite
foods and activities! 🥧📓 🍕 https://t.co/Vs2bshi2DT</t>
  </si>
  <si>
    <t>xwater_media
Break out your dancing shoes! Your
#UBuffalo Bulls are 2022 MAC Tournament
Champions and going #UBDancing!!
🎉 🥳 🎉 Let’s get those #UBhornsUP
and that #UBTrueBlue energy flowing!
🤘🏽🤘🏽🤘🏽 https://t.co/lHZ9x2gWHg</t>
  </si>
  <si>
    <t>tobylorbha
Happy #PiDay, #UBuffalo! This mathematical
constant is all around (😉) us,
from your homework to your favorite
foods and activities! 🥧📓 🍕 https://t.co/Vs2bshi2DT</t>
  </si>
  <si>
    <t>ubtheatredance
֍ Today’s feature story on UB NOW
is about our opening weekend of
spring 2022 productions: Zodiaque
Dance Company and “Kissed the Girls
and Made Them Cry.” Both shows
open TONIGHT! ֍ https://t.co/WPuSZFenZ7
Get tickets now! https://t.co/8wWXzwYKig
«««« #UBuffalo #ubcas #ubthd https://t.co/BjNQXTbdjn</t>
  </si>
  <si>
    <t>ubpss
Provost A. Scott Weber and the
President’s Advisory Council on
Race Implementation Committee (PACOR)
invite the #UBPSS and all members
of the #UBuffalo community to 3
virtual town halls to discuss advancing
diversity, equity, inclusion and
justice at UB. https://t.co/1F6wdd5euk
https://t.co/KvTlxjGe1l</t>
  </si>
  <si>
    <t xml:space="preserve">ubuffaloeln
</t>
  </si>
  <si>
    <t>ubrecreation
⏰ How are you feeling this morning?
#DaylightSavingTime #ubuffalo</t>
  </si>
  <si>
    <t xml:space="preserve">3mt_official
</t>
  </si>
  <si>
    <t xml:space="preserve">bowluspeck
</t>
  </si>
  <si>
    <t>nata_ipep
So honored to be representing Buffalo
IPE Leadership team at the #NAPForum2022
in San Diego to receive our IPE
Group Recognition award! #UBuffalo
#UBSPHHP #IPE @GO_NYSATA @NATA1950
https://t.co/rnBBMjpAr7</t>
  </si>
  <si>
    <t>Directed</t>
  </si>
  <si>
    <t>GraphSource░TwitterSearch▓GraphTerm░#UBuffalo▓ImportDescription░The graph represents a network of 197 Twitter users whose recent tweets contained "#UBuffalo", or who were replied to or mentioned in those tweets, taken from a data set limited to a maximum of 2,000 tweets.  The network was obtained from Twitter on Monday, 14 March 2022 at 15:42 UTC._x000D_
_x000D_
The tweets in the network were tweeted over the 7-day, 22-hour, 25-minute period from Sunday, 06 March 2022 at 16:52 UTC to Monday, 14 March 2022 at 15:17 UTC._x000D_
_x000D_
Additional tweets that were mentioned in this data set were also collected from prior time periods.  These tweets may expand the complete time period of the data._x000D_
_x000D_
There is an edge for each "replies-to" relationship in a tweet, an edge for each "mentions" relationship in a tweet, and a self-loop edge for each tweet that is not a "replies-to" or "mentions".▓ImportSuggestedTitle░#UBuffalo Twitter NodeXL SNA Map and Report for Monday, 14 March 2022 at 15:41 UTC▓ImportSuggestedFileNameNoExtension░2022-03-14 15-41-01 NodeXL Twitter Search #UBuffalo▓LayoutAlgorithm░The graph was laid out using the Fruchterman-Reingold layout algorithm.▓GraphDirectedness░The graph is directed.</t>
  </si>
  <si>
    <t>Top URLs in Tweet in Entire Graph</t>
  </si>
  <si>
    <t>https://twitter.com/UBAthletics/status/1502708562472148997</t>
  </si>
  <si>
    <t>https://buffalohistory.org/event/to-walk-about-in-freedom-lecture/</t>
  </si>
  <si>
    <t>https://arts-sciences.buffalo.edu/history/news-events/upcoming-events.html</t>
  </si>
  <si>
    <t>https://ubbulls.com/sports/2022/2/24/mac-basketball-2022.aspx?linkId=100000113931700</t>
  </si>
  <si>
    <t>https://financialaid.buffalo.edu/did-you-know/?utm_source=TWITTER&amp;utm_medium=social&amp;utm_term=20220307&amp;utm_content=100002956838777&amp;utm_campaign=General+Content&amp;linkId=100000113938382</t>
  </si>
  <si>
    <t>https://buffalo.zoom.us/meeting/register/tJApdu2upz8uH91uWWEt4_SQWWdLuqt6gkng</t>
  </si>
  <si>
    <t>https://www.buffalo.edu/ubnow/stories/2022/03/true-blue-club.html?utm_source=TWITTER&amp;utm_medium=social&amp;utm_term=20220311&amp;utm_content=100002967585037&amp;utm_campaign=UB+True+Blue&amp;linkId=100000114683785</t>
  </si>
  <si>
    <t>https://twitter.com/UBwomenshoops/status/1502367244831150087</t>
  </si>
  <si>
    <t>https://library.buffalo.edu/ub-sports/mens-sports/football/1899-buffalo-football/</t>
  </si>
  <si>
    <t>http://www.buffalo.edu/commencement/student-checklists/capsandgowns.html</t>
  </si>
  <si>
    <t>Entire Graph Count</t>
  </si>
  <si>
    <t>Top URLs in Tweet</t>
  </si>
  <si>
    <t>Top Domains in Tweet in Entire Graph</t>
  </si>
  <si>
    <t>Top Domains in Tweet</t>
  </si>
  <si>
    <t>Top Hashtags in Tweet in Entire Graph</t>
  </si>
  <si>
    <t>ubhornsup</t>
  </si>
  <si>
    <t>ubdancing</t>
  </si>
  <si>
    <t>internationalwomensday</t>
  </si>
  <si>
    <t>ubmgt</t>
  </si>
  <si>
    <t>womenshistorymonth</t>
  </si>
  <si>
    <t>maction</t>
  </si>
  <si>
    <t>Top Hashtags in Tweet</t>
  </si>
  <si>
    <t>Top Words in Tweet in Entire Graph</t>
  </si>
  <si>
    <t>#ubhornsup</t>
  </si>
  <si>
    <t>s</t>
  </si>
  <si>
    <t>#ubtrueblue</t>
  </si>
  <si>
    <t>bulls</t>
  </si>
  <si>
    <t>more</t>
  </si>
  <si>
    <t>out</t>
  </si>
  <si>
    <t>tournament</t>
  </si>
  <si>
    <t>#ubdancing</t>
  </si>
  <si>
    <t>students</t>
  </si>
  <si>
    <t>Top Words in Tweet</t>
  </si>
  <si>
    <t>Top Word Pairs in Tweet in Entire Graph</t>
  </si>
  <si>
    <t>mac,tournament</t>
  </si>
  <si>
    <t>break,out</t>
  </si>
  <si>
    <t>out,dancing</t>
  </si>
  <si>
    <t>dancing,shoes</t>
  </si>
  <si>
    <t>shoes,#ubuffalo</t>
  </si>
  <si>
    <t>#ubuffalo,bulls</t>
  </si>
  <si>
    <t>bulls,2022</t>
  </si>
  <si>
    <t>2022,mac</t>
  </si>
  <si>
    <t>tournament,champions</t>
  </si>
  <si>
    <t>champions,going</t>
  </si>
  <si>
    <t>Top Word Pairs in Tweet</t>
  </si>
  <si>
    <t>Top Replied-To in Entire Graph</t>
  </si>
  <si>
    <t>Top Mentioned in Entire Graph</t>
  </si>
  <si>
    <t>Top Replied-To in Tweet</t>
  </si>
  <si>
    <t>Top Mentioned in Tweet</t>
  </si>
  <si>
    <t>Top Tweeters in Entire Graph</t>
  </si>
  <si>
    <t>Top Tweeters</t>
  </si>
  <si>
    <t>Top URLs in Tweet by Count</t>
  </si>
  <si>
    <t>https://nursing.buffalo.edu/news-events/upcoming_events/bullough-lecture-register.html?utm_source=twitter&amp;utm_medium=social-organic&amp;utm_term=&amp;utm_content=dc8dd2ad-635a-402f-9dc5-b86462832cc5&amp;utm_campaign=son-social https://www.buffalo.edu/how/articles.host.html/content/shared/www/eub/here-is-how/neighborhood-health.detail.html https://nursing.buffalo.edu/additional-info/alumni.html?utm_source=twitter&amp;utm_medium=social-organic&amp;utm_term=&amp;utm_content=555f92f0-dbbf-48af-adb3-1c541c014fac&amp;utm_campaign=son-social https://nursing.buffalo.edu/dnp?utm_source=twitter&amp;utm_medium=social-organic&amp;utm_term=&amp;utm_content=fcdc6d8a-0a88-41e8-a633-5ca753f44ed8&amp;utm_campaign=son-social https://nursing.buffalo.edu/additional-info/alumni/award-nomination-form.html?utm_source=twitter&amp;utm_medium=social-organic&amp;utm_term=&amp;utm_content=2eb9dab6-cfb0-4788-a653-c8ad48a2e5e3&amp;utm_campaign=son-social https://nursing.buffalo.edu/news-events/nurses-report.host.html/content/shared/nursing/articles/nurses-report/posts/phd-student-day.detail.html?utm_source=twitter&amp;utm_medium=social-organic&amp;utm_term=&amp;utm_content=58d31467-cb58-4c2b-92cc-47dba31e0633&amp;utm_campaign=son-social https://nursing.buffalo.edu/news-events/latest_news.host.html/content/shared/nursing/articles/academic_articles/gaughan-journal-publication.detail.html?utm_source=twitter&amp;utm_medium=social-organic&amp;utm_term=&amp;utm_content=c5975279-1a92-46da-a80c-ff1d4a2711f5&amp;utm_campaign=son-social</t>
  </si>
  <si>
    <t>https://twitter.com/ubalumni/status/1500271443057295360</t>
  </si>
  <si>
    <t>https://twitter.com/UBwomenshoops/status/1502707861029326854 https://twitter.com/UBmenshoops/status/1502020303219798018 https://twitter.com/UBAthletics/status/1502368515000578055 https://twitter.com/UBwomenshoops/status/1502289815450099715 https://twitter.com/MACSports/status/1501692732032659462 https://twitter.com/ubalumni/status/1502668318322282504 https://twitter.com/MACSports/status/1502645010528931842 https://twitter.com/UBmenshoops/status/1501917433128529925 https://twitter.com/UBAthletics/status/1501576887000309762 https://twitter.com/UBwomenshoops/status/1501382934640701447</t>
  </si>
  <si>
    <t>https://www.youtube.com/watch?v=tTU9qOZlGks&amp;linkId=100000113767931</t>
  </si>
  <si>
    <t>https://www.youtube.com/watch?v=PvHijrOHvFY&amp;linkId=100000114434066 https://www.law.buffalo.edu/links/2022-January/rose-gift.html?utm_source=TWITTER&amp;utm_medium=social&amp;utm_term=20220224&amp;utm_content=100002916220435&amp;utm_campaign=General+Content&amp;linkId=100000110222512 https://library.buffalo.edu/ub-sports/mens-sports/football/1899-buffalo-football/ https://digital.lib.buffalo.edu/items/show/83413 https://buffalo.zoom.us/meeting/register/tJYuc-qrqzIpG9K0b2m-XA5YW3eDYS1wI0ba https://medicine.buffalo.edu/oiace/diversity/diversity-month/women-history-month.host.html/content/shared/smbs/instruction_and_help_oiace/women/mary-blair-moody.detail.html https://ubbulls.com/sports/2022/2/24/mac-basketball-2022.aspx?linkId=100000113931700 http://www.buffalo.edu/alumni/get-involved/fast46.html?utm_source=TWITTER&amp;utm_medium=social&amp;utm_term=20220313&amp;utm_content=100002964466833&amp;utm_campaign=General+Content&amp;linkId=100000114433772 https://youtu.be/KgpsoBIxtb4?linkId=100000114502845 http://www.buffalo.edu/alumni/get-involved/fast46.html?utm_source=TWITTER&amp;utm_medium=social&amp;utm_term=20220309&amp;utm_content=100002931127566&amp;utm_campaign=General+Content&amp;linkId=100000111934986</t>
  </si>
  <si>
    <t>https://veerbooks.com/filter/veer-books/Steve-McCaffery-Carnival</t>
  </si>
  <si>
    <t>https://twitter.com/SAADAonline/status/1501612042448478214 https://academic.oup.com/melus/advance-article/doi/10.1093/melus/mlac010/6535169 https://www.cambridge.org/core/books/african-american-literature-in-transition-19201930/EBD39A1DA36E59B175B1B76FA5921929 https://veerbooks.com/filter/veer-books/Steve-McCaffery-Carnival</t>
  </si>
  <si>
    <t>https://nyslibrary.libcal.com/event/8499502</t>
  </si>
  <si>
    <t>https://arts-sciences.buffalo.edu/history/news-events/upcoming-events.html https://buffalohistory.org/event/to-walk-about-in-freedom-lecture/ https://arts-sciences.buffalo.edu/history/undergraduate/scholarships-awards.html https://buffalo.zoom.us/meeting/register/tJApdu2upz8uH91uWWEt4_SQWWdLuqt6gkng https://www.buffalo.edu/ubnow/stories/2022/03/emberton-joyner-book.html http://www.buffalo.edu/commencement/student-checklists/capsandgowns.html https://financialaid.buffalo.edu/did-you-know/?utm_source=TWITTER&amp;utm_medium=social&amp;utm_term=20220307&amp;utm_content=100002956838777&amp;utm_campaign=General+Content&amp;linkId=100000113938382 https://www.alisondesforges.org/upcoming-events</t>
  </si>
  <si>
    <t>https://ubbulls.com/sports/2022/2/24/mac-basketball-2022.aspx?linkId=100000113931700 https://www.youtube.com/watch?v=tTU9qOZlGks&amp;linkId=100000113767931</t>
  </si>
  <si>
    <t>https://ubbulls.com/sports/2022/2/24/mac-basketball-2022.aspx?linkId=100000113931700 http://www.buffalo.edu/alumni/get-involved/fast46.html?utm_source=TWITTER&amp;utm_medium=social&amp;utm_term=20220306&amp;utm_content=100002954388711&amp;utm_campaign=General+Content&amp;linkId=100000113770589</t>
  </si>
  <si>
    <t>https://library.buffalo.edu/news/2022/03/08/announcing-ub-libraries-2022-student-poetry-competitions/ https://twitter.com/UBwomenshoops/status/1502707861029326854 https://library.buffalo.edu/archives/ubpeople/detail.html?ID=2519 https://www.buffalo.edu/ubnow/stories/2022/03/hari-srihari-obit.html?utm_source=TWITTER&amp;utm_medium=social&amp;utm_term=20220311&amp;utm_content=100002967032042&amp;utm_campaign=General+Content&amp;linkId=100000114633763 http://www.buffalo.edu/studentlife/who-we-are/departments/health-promotion.html https://www.buffalo.edu/ubit/service-guides/computing-sites/north-campus/levelup.html https://digital.lib.buffalo.edu/collection/LIB-UA021/ https://www.buffalo.edu/studentlife/life-on-campus/health/medical-care/health-insurance.html https://buffalo.campuslabs.com/engage/event/7652834 https://www.buffalo.edu/studentlife/who-we-are/announcements.host.html/content/shared/www/studentlife/gateway-wide-content/announcements/2022/national-college-health-assessment.detail.html</t>
  </si>
  <si>
    <t>https://management.buffalo.edu/degree-programs/master-of-business-mba/community/women.html?utm_source=TWITTER&amp;utm_medium=social&amp;utm_term=20220308&amp;utm_content=100002701885769&amp;utm_campaign=General+Content&amp;linkId=100000087216582</t>
  </si>
  <si>
    <t>https://management.buffalo.edu/degree-programs/master-of-business-mba/community/women.html?utm_source=TWITTER&amp;utm_medium=social&amp;utm_term=20220308&amp;utm_content=100002701885768&amp;utm_campaign=General+Content&amp;linkId=100000087216583 https://ubmgtconnect.buffalo.edu/portal/pmba-ambassadors?utm_source=TWITTER&amp;utm_medium=social&amp;utm_term=20220308&amp;utm_content=100002908405593&amp;utm_campaign=General+Content&amp;linkId=100000109350919</t>
  </si>
  <si>
    <t>https://mailchi.mp/buffalo/2022-ctsi-annual-forum-one-week-away https://medicine.buffalo.edu/news_and_events/news/2022/03/anti-racism-14586.html https://buffalonews.com/news/local/education/rod-watson-ub-s-anti-racist-effort-offers-cure-for-what-ails-medicine/article_fd1a0438-9f64-11ec-b8ae-878ad6af71ed.html#tracking-source=home-top-story https://medicine.buffalo.edu/oiace/diversity/diversity-month/women-history-month.host.html/content/shared/smbs/instruction_and_help_oiace/women/mary-blair-moody.detail.html https://medicine.buffalo.edu/news_and_events/news/2022/03/dermatology-community-outreach-14418.html https://medicine.buffalo.edu/news_and_events/news/2022/02/dandona-testosterone-14463.html https://medicine.buffalo.edu/about/students_faculty_alumni/our_alumni.host.html/content/shared/smbs/faces_and_voices/alumni/brianna-tylec.detail.html https://www.buffalo.edu/coronavirus/bulletins/announcement-host.host.html/content/shared/www/coronavirus/previous-bulletins/b-3-2-22--Mask-mandate-lifted-as-of-March-5.detail.html?utm_source=TWITTER&amp;utm_medium=social&amp;utm_term=20220302&amp;utm_content=100002946820281&amp;utm_campaign=Together+We+Are...&amp;linkId=100000113235795 https://medicine.buffalo.edu/news_and_events/news/2022/03/booster-vaccine-brashear-14623.html https://medicine.buffalo.edu/news_and_events/news/2022/02/booster-russo-14458.html</t>
  </si>
  <si>
    <t>https://management.buffalo.edu/about/news.host.html/content/shared/mgt/news/ub-undergrads-rise-to-challenge.detail.html https://management.buffalo.edu/about/alumni-success.host.html/content/shared/mgt/students-faculty-alumni/alumni-success/george-stege.detail.html https://twitter.com/MarleeTuskesTV/status/1500880561530933258 https://sunycpd.eventsair.com/bsdc22/session-2 https://management.buffalo.edu/about/news.host.html/content/shared/mgt/news/haves-have-nots-health-information-exchanges.detail.html https://management.buffalo.edu/about/buffalo-business/2022spring/features/setting-the-stage.html https://twitter.com/JeffRussoWKBW/status/1501573694639980551 https://management.buffalo.edu/about/buffalo-business/2022spring/features/leveling-up.html https://financialaid.buffalo.edu/did-you-know/?utm_source=TWITTER&amp;utm_medium=social&amp;utm_term=20220307&amp;utm_content=100002956838777&amp;utm_campaign=General+Content&amp;linkId=100000113938382 https://buffalo.zoom.us/meeting/register/tJYuc-qrqzIpG9K0b2m-XA5YW3eDYS1wI0ba</t>
  </si>
  <si>
    <t>https://www.buffalo.edu/studentlife/life-on-campus/health/wellness-events-calendar.html</t>
  </si>
  <si>
    <t>https://www.buffalo.edu/eln/students/project-portal.html https://www.buffalo.edu/ubit/service-guides/computing-sites/north-campus/levelup.html https://www.buffalo.edu/parking/service-advisories.host.html/content/shared/www/parking/advisories/2021-22/masks-still-required-riding-transportation.detail.html https://www.buffalo.edu/parking/announcements.host.html/content/shared/www/parking/need-to-know/2021-22/seats-available-spring-break-express-bus.detail.html https://www.buffalo.edu/ubit/service-guides/computing-sites/north-campus/levelup.html?utm_source=TWITTER&amp;utm_medium=social&amp;utm_term=20220314&amp;utm_content=100002972208692&amp;utm_campaign=General+Content&amp;linkId=100000115076337 https://twitter.com/UBStudentExp/status/1501973910195167232 https://twitter.com/UBuffalo/status/1502387638292160512 https://twitter.com/UBwomenshoops/status/1502367244831150087 https://calendar.buffalo.edu/event/drop-in-meditation-group-16/ https://twitter.com/UBAthletics/status/1502295888701571076</t>
  </si>
  <si>
    <t>https://digital.lib.buffalo.edu/collection/LIB-UA021/ https://library.buffalo.edu/ub-sports/mens-sports/football/1899-buffalo-football/ https://digital.lib.buffalo.edu/items/show/83413 https://library.buffalo.edu/ub-sports/</t>
  </si>
  <si>
    <t>https://twitter.com/gloriaanglon/status/1498906622613065728 https://financialaid.buffalo.edu/did-you-know/?utm_source=TWITTER&amp;utm_medium=social&amp;utm_term=20220307&amp;utm_content=100002956838777&amp;utm_campaign=General+Content&amp;linkId=100000113938382</t>
  </si>
  <si>
    <t>https://ed.buffalo.edu/black-history-ed/programs/researching-race.html https://library.buffalo.edu/archives/ubpeople/detail.html?ID=2519 https://buffalonews.com/opinion/letters/letter-students-should-be-given-an-opportunity-to-be-heard/article_6d82bbb0-99a8-11ec-98a5-3b28e37ae6e0.html http://www.buffalo.edu/ubit/levelup https://www.buffalo.edu/ubit/service-guides/computing-sites/north-campus/levelup.html https://ed.buffalo.edu/news-brief https://ed.buffalo.edu/magazine/issues/fall-2021/cyberbullying.html</t>
  </si>
  <si>
    <t>https://www.buffalo.edu/ubnow/stories/2022/02/pacor-town-halls.html?utm_source=TWITTER&amp;utm_medium=social&amp;utm_term=20220309&amp;utm_content=100002962578936&amp;utm_campaign=General+Content&amp;linkId=100000114302482</t>
  </si>
  <si>
    <t>https://ed.buffalo.edu/news-brief https://twitter.com/gloriaanglon/status/1498906622613065728</t>
  </si>
  <si>
    <t>https://ed.buffalo.edu/black-history-ed</t>
  </si>
  <si>
    <t>https://ed.buffalo.edu/black-history-ed/programs/researching-race.html</t>
  </si>
  <si>
    <t>https://ed.buffalo.edu/news-brief</t>
  </si>
  <si>
    <t>https://www.buffalo.edu/parking/announcements.host.html/content/shared/www/parking/need-to-know/2021-22/seats-available-spring-break-express-bus.detail.html http://www.buffalo.edu/commencement/student-checklists/capsandgowns.html https://financialaid.buffalo.edu/did-you-know/?utm_source=TWITTER&amp;utm_medium=social&amp;utm_term=20220307&amp;utm_content=100002956838777&amp;utm_campaign=General+Content&amp;linkId=100000113938382</t>
  </si>
  <si>
    <t>http://www.buffalo.edu/parking/parking-places/parking-for-me/visitors-parking.html https://www.buffalo.edu/parking/service-advisories.host.html/content/shared/www/parking/advisories/2021-22/masks-still-required-riding-transportation.detail.html https://www.buffalo.edu/parking/announcements.host.html/content/shared/www/parking/need-to-know/2021-22/seats-available-spring-break-express-bus.detail.html https://www.buffalo.edu/parking/getting-around-UB/wayfinding.html</t>
  </si>
  <si>
    <t>https://emergency.buffalo.edu</t>
  </si>
  <si>
    <t>https://www.buffalo.edu/ubnow/stories/2022/03/vet-photo-exhibit.html</t>
  </si>
  <si>
    <t>http://www.buffalo.edu/ubit/levelup https://www.buffalo.edu/ubit/service-guides/computing-sites/north-campus/levelup.html http://www.buffalo.edu/studentlife/who-we-are/departments/health-promotion.html</t>
  </si>
  <si>
    <t>http://www.buffalo.edu/alumni/get-involved/fast46.html?utm_source=TWITTER&amp;utm_medium=social&amp;utm_term=20220309&amp;utm_content=100002931127566&amp;utm_campaign=General+Content&amp;linkId=100000111934986</t>
  </si>
  <si>
    <t>https://buffalonews.com/opinion/letters/letter-students-should-be-given-an-opportunity-to-be-heard/article_6d82bbb0-99a8-11ec-98a5-3b28e37ae6e0.html</t>
  </si>
  <si>
    <t>https://twitter.com/BfloBizFirst/status/1499731494885281793 https://twitter.com/Jacobs_Med_UB/status/1501709433679892497 http://www.buffalo.edu/ubnow/stories/2022/03/mask-mandate-lifted.html</t>
  </si>
  <si>
    <t>https://www.wbur.org/hereandnow/2022/03/09/6888th-black-women-wwii</t>
  </si>
  <si>
    <t>https://library.buffalo.edu/ub-sports/</t>
  </si>
  <si>
    <t>https://docs.google.com/forms/d/1PbZYvwie2ULhI6Dakwv9R_PiDFkiTBau736nHBGRAa0/viewform?ts=62165348&amp;edit_requested=true</t>
  </si>
  <si>
    <t>https://www.buffalo.edu/baldycenter/multimedia/blog/21-22-posts.html#Joe-Atkinson https://buffalo.zoom.us/meeting/register/tJEqce2urDkpG9Yett6jcba37pRQiC5M2snU https://docs.google.com/forms/d/1PbZYvwie2ULhI6Dakwv9R_PiDFkiTBau736nHBGRAa0/viewform?ts=62165348&amp;edit_requested=true</t>
  </si>
  <si>
    <t>https://www.buffalo.edu/baldycenter/multimedia/blog/21-22-posts.html#Joe-Atkinson https://engineering.buffalo.edu/home/news/seas.host.html/content/shared/engineering/home/articles/news-articles/2022/three-seas-students-receive-suny-great-awards.detail.html</t>
  </si>
  <si>
    <t>https://www.buffalo.edu/ubnow/stories/2022/03/hari-srihari-obit.html?utm_source=TWITTER&amp;utm_medium=social&amp;utm_term=20220311&amp;utm_content=100002967032042&amp;utm_campaign=General+Content&amp;linkId=100000114633763 https://www.buffalo.edu/news/releases/2021/10/016.html https://www.buffalo.edu/baldycenter/multimedia/blog/21-22-posts.html#Joe-Atkinson https://engineering.buffalo.edu/home/news/seas.host.html/content/shared/engineering/home/articles/news-articles/2022/three-seas-students-receive-suny-great-awards.detail.html</t>
  </si>
  <si>
    <t>https://management.buffalo.edu/about/buffalo-business/2022spring/features/setting-the-stage.html</t>
  </si>
  <si>
    <t>https://pickpub.com/buffalo-akron-prediction-preview-college-basketball-2022-03-10/</t>
  </si>
  <si>
    <t>https://medicine.buffalo.edu/oiace/diversity/diversity-month/women-history-month.host.html/content/shared/smbs/instruction_and_help_oiace/women/mary-blair-moody.detail.html https://twitter.com/Jacobs_Med_UB/status/1501709433679892497 https://www.buffalo.edu/coronavirus/health-and-safety/testing.html</t>
  </si>
  <si>
    <t>https://medicine.buffalo.edu/oiace/diversity/diversity-month/women-history-month.host.html/content/shared/smbs/instruction_and_help_oiace/women/mary-blair-moody.detail.html</t>
  </si>
  <si>
    <t>https://arts-sciences.buffalo.edu/economics/news-events/seminar-series/philipp-kircher.html https://arts-sciences.buffalo.edu/economics/news-events/seminar-series/michael-koved.html</t>
  </si>
  <si>
    <t>https://twitter.com/SAADAonline/status/1501612042448478214</t>
  </si>
  <si>
    <t>https://twitter.com/SAADAonline/status/1501612042448478214 https://www.alisondesforges.org/upcoming-events</t>
  </si>
  <si>
    <t>https://mailchi.mp/buffalo/ctsi-translational-spotlight-march-2-2022 http://www.buffalo.edu/ctsi/ctsi-news.host.html/content/shared/www/ctsi/articles/academic_articles/paths-to-achieving-health-equity.detail.html https://www.facebook.com/ourcurlsinc.org/live_videos/ https://mailchi.mp/buffalo/2022-ctsi-annual-forum-one-week-away https://mailchi.mp/buffalo/buffalo-research-news-march-april-2022 http://www.buffalo.edu/ctsi/cores/workforce-development/career-competency-workshops/health-inequities.html http://www.buffalo.edu/ubnow/stories/2022/03/mask-mandate-lifted.html</t>
  </si>
  <si>
    <t>https://www.buffalo.edu/ubnow/stories/2022/03/hari-srihari-obit.html?utm_source=TWITTER&amp;utm_medium=social&amp;utm_term=20220311&amp;utm_content=100002967032042&amp;utm_campaign=General+Content&amp;linkId=100000114633763</t>
  </si>
  <si>
    <t>https://arts-sciences.buffalo.edu/history/undergraduate/scholarships-awards.html https://buffalo.zoom.us/meeting/register/tJApdu2upz8uH91uWWEt4_SQWWdLuqt6gkng</t>
  </si>
  <si>
    <t>http://www.buffalo.edu/alumni/get-involved/fast46.html?utm_source=TWITTER&amp;utm_medium=social&amp;utm_term=20220306&amp;utm_content=100002954388711&amp;utm_campaign=General+Content&amp;linkId=100000113770589</t>
  </si>
  <si>
    <t>https://www.buffalo.edu/how/articles.host.html/content/shared/www/eub/here-is-how/neighborhood-health.detail.html</t>
  </si>
  <si>
    <t>https://nursing.buffalo.edu/additional-info/alumni.html?utm_source=twitter&amp;utm_medium=social-organic&amp;utm_term=&amp;utm_content=555f92f0-dbbf-48af-adb3-1c541c014fac&amp;utm_campaign=son-social https://nursing.buffalo.edu/additional-info/alumni/award-nomination-form.html?utm_source=twitter&amp;utm_medium=social-organic&amp;utm_term=&amp;utm_content=2eb9dab6-cfb0-4788-a653-c8ad48a2e5e3&amp;utm_campaign=son-social</t>
  </si>
  <si>
    <t>https://twitter.com/UBwomenshoops/status/1502693312439934980 https://financialaid.buffalo.edu/did-you-know/?utm_source=TWITTER&amp;utm_medium=social&amp;utm_term=20220307&amp;utm_content=100002956838777&amp;utm_campaign=General+Content&amp;linkId=100000113938382</t>
  </si>
  <si>
    <t>https://twitter.com/theauricle_oto/status/1502303438721458177</t>
  </si>
  <si>
    <t>https://twitter.com/ubwomenshoops/status/1502707861029326854 https://admissions.buffalo.edu/visit/index.php?utm_source=social-media&amp;utm_medium=links&amp;utm_campaign=visit#accepted https://admissions.buffalo.edu/visit/index.php?utm_source=social-media&amp;utm_medium=links&amp;utm_campaign=visit</t>
  </si>
  <si>
    <t>https://twitter.com/ubwomenshoops/status/1503378389566111745 https://twitter.com/UBwomenshoops/status/1502367244831150087</t>
  </si>
  <si>
    <t>https://www.buffalo.edu/ubnow/stories/2022/03/true-blue-club.html?utm_source=TWITTER&amp;utm_medium=social&amp;utm_term=20220311&amp;utm_content=100002967585037&amp;utm_campaign=UB+True+Blue&amp;linkId=100000114683785 https://twitter.com/UBwomenshoops/status/1502367244831150087</t>
  </si>
  <si>
    <t>https://buffalohistory.org/event/to-walk-about-in-freedom-lecture/ https://twitter.com/UBwomenshoops/status/1502707861029326854 https://womeninwisconsin.org/profile/kate-newcomb/ https://digital.lib.buffalo.edu/collection/LIB-UA021/ https://library.buffalo.edu/ub-sports/mens-sports/football/1899-buffalo-football/ https://www.buffalo.edu/ubnow/stories/2022/03/true-blue-club.html?utm_source=TWITTER&amp;utm_medium=social&amp;utm_term=20220311&amp;utm_content=100002967585037&amp;utm_campaign=UB+True+Blue&amp;linkId=100000114683785 https://digital.lib.buffalo.edu/items/show/83413 https://library.buffalo.edu/ub-sports/</t>
  </si>
  <si>
    <t>https://library.buffalo.edu/news/2022/03/08/announcing-ub-libraries-2022-student-poetry-competitions/ https://library.buffalo.edu/archives/ubpeople/detail.html?ID=2519 https://womeninwisconsin.org/profile/kate-newcomb/</t>
  </si>
  <si>
    <t>https://twitter.com/UBAthletics/status/1502713680798130180</t>
  </si>
  <si>
    <t>https://youtu.be/KgpsoBIxtb4?linkId=100000114502845 https://www.youtube.com/watch?v=vI_xPkhZY8g&amp;feature=youtu.be</t>
  </si>
  <si>
    <t>https://twitter.com/UBAthletics/status/1502689759491248135</t>
  </si>
  <si>
    <t>http://www.buffalo.edu/alumni/get-involved/fast46.html?utm_source=TWITTER&amp;utm_medium=social&amp;utm_term=20220313&amp;utm_content=100002964466833&amp;utm_campaign=General+Content&amp;linkId=100000114433772</t>
  </si>
  <si>
    <t>https://www.buffalo.edu/news/releases/2021/10/016.html</t>
  </si>
  <si>
    <t>https://twitter.com/UBAthletics/status/1502708562472148997 https://twitter.com/ubwomenshoops/status/1502707861029326854 https://twitter.com/ubwomenshoops/status/1502693312439934980 https://twitter.com/UBwomenshoops/status/1502688131304333313 https://twitter.com/MACSports/status/1502645010528931842 https://twitter.com/ubwomenshoops/status/1502367244831150087 https://twitter.com/ubmenshoops/status/1502020303219798018 https://twitter.com/ubwomenshoops/status/1501693139962273795 https://twitter.com/UBwomenshoops/status/1501677700934680581 https://ubbulls.com/sports/2022/2/24/mac-basketball-2022.aspx?linkId=100000113931700</t>
  </si>
  <si>
    <t>http://www.buffalo.edu/alumni/get-involved/fast46.html?utm_source=TWITTER&amp;utm_medium=social&amp;utm_term=20220313&amp;utm_content=100002964466833&amp;utm_campaign=General+Content&amp;linkId=100000114433772 https://twitter.com/UBAthletics/status/1502708562472148997 https://digital.lib.buffalo.edu/collection/LIB-UA021/ https://library.buffalo.edu/ub-sports/mens-sports/football/1899-buffalo-football/ https://digital.lib.buffalo.edu/items/show/83413 https://www.law.buffalo.edu/links/2022-January/rose-gift.html?utm_source=TWITTER&amp;utm_medium=social&amp;utm_term=20220224&amp;utm_content=100002916220435&amp;utm_campaign=General+Content&amp;linkId=100000110222512 https://library.buffalo.edu/ub-sports/ https://twitter.com/UBwomenshoops/status/1501382934640701447 https://ubbulls.com/sports/2022/2/24/mac-basketball-2022.aspx?linkId=100000113931700 http://www.buffalo.edu/alumni/get-involved/fast46.html?utm_source=TWITTER&amp;utm_medium=social&amp;utm_term=20220306&amp;utm_content=100002954388711&amp;utm_campaign=General+Content&amp;linkId=100000113770589</t>
  </si>
  <si>
    <t>https://twitter.com/UBwomenshoops/status/1502707861029326854</t>
  </si>
  <si>
    <t>https://www.allmysportsteamssuck.com/ncaa-college-basketball-rankings/</t>
  </si>
  <si>
    <t>https://www.buffalo.edu/ubnow/stories/2022/03/true-blue-club.html?utm_source=TWITTER&amp;utm_medium=social&amp;utm_term=20220311&amp;utm_content=100002967585037&amp;utm_campaign=UB+True+Blue&amp;linkId=100000114683785 https://twitter.com/UBwomenshoops/status/1502367244831150087 https://twitter.com/UBAthletics/status/1501694702747369476</t>
  </si>
  <si>
    <t>https://library.buffalo.edu/archives/ubpeople/detail.html?ID=2519</t>
  </si>
  <si>
    <t>https://www.ubcfa.org/ https://www.buffalo.edu/.../2022/03/zodiaque-debut.html http://www.ubcfa.org/</t>
  </si>
  <si>
    <t>https://www.buffalo.edu/provost/pacor-implementation/town-halls.html</t>
  </si>
  <si>
    <t>https://www.buffalo.edu/ubnow/stories/2022/03/true-blue-club.html?utm_source=TWITTER&amp;utm_medium=social&amp;utm_term=20220311&amp;utm_content=100002967585037&amp;utm_campaign=UB+True+Blue&amp;linkId=100000114683785 https://www.buffalo.edu/academic-integrity/awards.html</t>
  </si>
  <si>
    <t>Top URLs in Tweet by Salience</t>
  </si>
  <si>
    <t>https://buffalohealthcast.buzzsprout.com/1645006/9405025 https://buffalohealthcast.buzzsprout.com/1645006/9566172</t>
  </si>
  <si>
    <t>https://www.buffalo.edu/.../2022/03/zodiaque-debut.html http://www.ubcfa.org/ https://www.ubcfa.org/</t>
  </si>
  <si>
    <t>Top Domains in Tweet by Count</t>
  </si>
  <si>
    <t>buffalo.edu youtube.com zoom.us ubbulls.com youtu.be twitter.com</t>
  </si>
  <si>
    <t>twitter.com oup.com cambridge.org veerbooks.com</t>
  </si>
  <si>
    <t>buffalo.edu buffalohistory.org zoom.us alisondesforges.org</t>
  </si>
  <si>
    <t>ubbulls.com youtube.com</t>
  </si>
  <si>
    <t>ubbulls.com buffalo.edu</t>
  </si>
  <si>
    <t>buffalo.edu twitter.com campuslabs.com youtu.be</t>
  </si>
  <si>
    <t>buffalo.edu mailchi.mp buffalonews.com</t>
  </si>
  <si>
    <t>buffalo.edu twitter.com eventsair.com zoom.us</t>
  </si>
  <si>
    <t>buffalo.edu twitter.com campuslabs.com</t>
  </si>
  <si>
    <t>twitter.com buffalo.edu</t>
  </si>
  <si>
    <t>buffalo.edu zoom.us google.com</t>
  </si>
  <si>
    <t>twitter.com alisondesforges.org</t>
  </si>
  <si>
    <t>mailchi.mp buffalo.edu facebook.com</t>
  </si>
  <si>
    <t>buffalo.edu zoom.us</t>
  </si>
  <si>
    <t>buffalo.edu buffalohistory.org twitter.com womeninwisconsin.org</t>
  </si>
  <si>
    <t>buffalo.edu womeninwisconsin.org</t>
  </si>
  <si>
    <t>youtu.be youtube.com</t>
  </si>
  <si>
    <t>twitter.com ubbulls.com</t>
  </si>
  <si>
    <t>buffalo.edu twitter.com ubbulls.com</t>
  </si>
  <si>
    <t>ubcfa.org buffalo.edu</t>
  </si>
  <si>
    <t>Top Domains in Tweet by Salience</t>
  </si>
  <si>
    <t>twitter.com buffalo.edu campuslabs.com youtu.be</t>
  </si>
  <si>
    <t>mailchi.mp buffalonews.com buffalo.edu</t>
  </si>
  <si>
    <t>twitter.com eventsair.com zoom.us buffalo.edu</t>
  </si>
  <si>
    <t>twitter.com buffalo.edu campuslabs.com</t>
  </si>
  <si>
    <t>buffalonews.com buffalo.edu</t>
  </si>
  <si>
    <t>buffalohistory.org buffalo.edu twitter.com womeninwisconsin.org</t>
  </si>
  <si>
    <t>womeninwisconsin.org buffalo.edu</t>
  </si>
  <si>
    <t>ubbulls.com twitter.com</t>
  </si>
  <si>
    <t>twitter.com buffalo.edu ubbulls.com</t>
  </si>
  <si>
    <t>Top Hashtags in Tweet by Count</t>
  </si>
  <si>
    <t>ubsphhp ubuffalo ubalumni natm2022 napforum2022 ipe</t>
  </si>
  <si>
    <t>ubuffalo ubhornsup ubalumni maction foreverabull clevelandisthereason womeninstem</t>
  </si>
  <si>
    <t>ubuffalo ubhornsup ubtrueblue internationalwomensday ubmgt niagara buffalo ubmba womenshistorymonth nationaldentistday</t>
  </si>
  <si>
    <t>ubuffalo ubclassof2022</t>
  </si>
  <si>
    <t>ubuffalo ubhornsup ubtrueblue ubdancing internationalwomensday womenshistorymonth poetry 100years ubgse ubclassof2022</t>
  </si>
  <si>
    <t>ubmgt ubuffalo womensday womeninbusiness gradschool</t>
  </si>
  <si>
    <t>ubuffalo womenshistorymonth endocrinology obesity type2diabetes internationalwomensday ubtrueblue covid19</t>
  </si>
  <si>
    <t>ubmgt internationalwomensday ubuffalo</t>
  </si>
  <si>
    <t>ubuffalo ubmgt ubtrueblue accounting business healthcare internationalwomensday ubmba</t>
  </si>
  <si>
    <t>ubuffalo ubhornsup ubtrueblue ubclassof2022 internationalwomensday mondaymotivation</t>
  </si>
  <si>
    <t>ubuffalo ubhornsup niagara buffalo clevelandisthereason ubtrueblue</t>
  </si>
  <si>
    <t>ubuffalo publichealth healthequity ubpublichealth womenshistorymonth abortionishealthcare disability accessibility internationalwomensday</t>
  </si>
  <si>
    <t>ubuffalo publichealth healthequity ubpublichealth womenshistorymonth abortionishealthcare internationalwomensday</t>
  </si>
  <si>
    <t>ubuffalo ubgse internationalwomensday 100years piday womenshistorymonth</t>
  </si>
  <si>
    <t>ubuffalo piday</t>
  </si>
  <si>
    <t>ubuffalo ubgse schomburg</t>
  </si>
  <si>
    <t>ubuffalo ubtrueblue piday</t>
  </si>
  <si>
    <t>ubuffalo ubhornsup ubtrueblue maction</t>
  </si>
  <si>
    <t>ubuffalo ubtrueblue internationalwomensday covid19</t>
  </si>
  <si>
    <t>ubuffalo clevelandisthereason ubhornsup ubtrueblue</t>
  </si>
  <si>
    <t>ubuffalo womenshistorymonth</t>
  </si>
  <si>
    <t>ubuffalo piday ubclassof2022</t>
  </si>
  <si>
    <t>ubtrueblue ubuffalo ubhornsup maction</t>
  </si>
  <si>
    <t>ubuffalo ubhornsup ubdancing ubtrueblue</t>
  </si>
  <si>
    <t>ubuffalo otolaryngology otomatch2023 womeninoto internationalwomensday</t>
  </si>
  <si>
    <t>ubuffalo ubtrueblue ubhornsup</t>
  </si>
  <si>
    <t>ubuffalo ubhornsup ubtrueblue internationalwomensday ubdancing niagara buffalo clevelandisthereason</t>
  </si>
  <si>
    <t>ubuffalo internationalwomensday poetry 100years</t>
  </si>
  <si>
    <t>ubuffalo ubhornsup ubtrueblue ubdancing</t>
  </si>
  <si>
    <t>ubuffalo ubtrueblue ubdancing ubhornsup</t>
  </si>
  <si>
    <t>ubuffalo ubalumni ubhornsup ubdancing alwaysabull internationalwomensday</t>
  </si>
  <si>
    <t>ubuffalo ubhornsup ubdancing ubtrueblue ubalumni clevelandisthereason niagara buffalo nationaldentistday</t>
  </si>
  <si>
    <t>ubuffalo ubhornsup ubalumni ubdancing ubtrueblue</t>
  </si>
  <si>
    <t>gorockets ohiobobcats ohiouniversity kentstate gozips ubuffalo ballstate redhawks bowlinggreen niu</t>
  </si>
  <si>
    <t>ubuffalo ubtrueblue ubhornsup piday ubdancing</t>
  </si>
  <si>
    <t>ubuffalo piday internationalwomensday 100years</t>
  </si>
  <si>
    <t>ubuffalo ubhornsup ubtrueblue daylightsavingtime ubdancing</t>
  </si>
  <si>
    <t>Top Hashtags in Tweet by Salience</t>
  </si>
  <si>
    <t>ubalumni natm2022 napforum2022 ipe ubsphhp ubuffalo</t>
  </si>
  <si>
    <t>buffalo ubuffalo</t>
  </si>
  <si>
    <t>maction ubalumni foreverabull clevelandisthereason womeninstem ubuffalo ubhornsup</t>
  </si>
  <si>
    <t>ubmgt ubhornsup ubtrueblue internationalwomensday niagara buffalo ubmba womenshistorymonth nationaldentistday ubalumni</t>
  </si>
  <si>
    <t>zoroastrian ubuffalo</t>
  </si>
  <si>
    <t>ubhornsup ubtrueblue ubdancing internationalwomensday womenshistorymonth poetry 100years ubgse ubclassof2022 ubmgt</t>
  </si>
  <si>
    <t>womensday womeninbusiness gradschool ubmgt ubuffalo</t>
  </si>
  <si>
    <t>womenshistorymonth endocrinology obesity type2diabetes internationalwomensday ubtrueblue covid19 ubuffalo</t>
  </si>
  <si>
    <t>ubtrueblue accounting business healthcare internationalwomensday ubmba ubmgt ubuffalo</t>
  </si>
  <si>
    <t>ubhornsup ubtrueblue ubclassof2022 internationalwomensday mondaymotivation ubuffalo</t>
  </si>
  <si>
    <t>ubhornsup niagara buffalo clevelandisthereason ubtrueblue ubuffalo</t>
  </si>
  <si>
    <t>womenshistorymonth abortionishealthcare disability accessibility internationalwomensday ubuffalo publichealth healthequity ubpublichealth</t>
  </si>
  <si>
    <t>womenshistorymonth abortionishealthcare internationalwomensday ubuffalo publichealth healthequity ubpublichealth</t>
  </si>
  <si>
    <t>schomburg ubuffalo</t>
  </si>
  <si>
    <t>ubgse internationalwomensday 100years piday womenshistorymonth ubuffalo</t>
  </si>
  <si>
    <t>ubgse schomburg ubuffalo</t>
  </si>
  <si>
    <t>ubtrueblue piday ubuffalo</t>
  </si>
  <si>
    <t>ubtrueblue maction ubhornsup ubuffalo</t>
  </si>
  <si>
    <t>ubtrueblue internationalwomensday covid19 ubuffalo</t>
  </si>
  <si>
    <t>clevelandisthereason ubhornsup ubtrueblue ubuffalo</t>
  </si>
  <si>
    <t>ubdancing ubhornsup ubuffalo</t>
  </si>
  <si>
    <t>gamblingtwitter ubuffalo picks</t>
  </si>
  <si>
    <t>piday ubclassof2022 ubuffalo</t>
  </si>
  <si>
    <t>covid19 ubuffalo</t>
  </si>
  <si>
    <t>maction ubtrueblue ubuffalo ubhornsup</t>
  </si>
  <si>
    <t>ubdancing ubtrueblue ubuffalo ubhornsup</t>
  </si>
  <si>
    <t>otolaryngology otomatch2023 womeninoto internationalwomensday ubuffalo</t>
  </si>
  <si>
    <t>ubtrueblue ubhornsup ubuffalo</t>
  </si>
  <si>
    <t>ubhornsup ubdancing ubuffalo</t>
  </si>
  <si>
    <t>ubdancing ubhornsup ubtrueblue ubuffalo</t>
  </si>
  <si>
    <t>ubhornsup ubtrueblue internationalwomensday ubdancing niagara buffalo clevelandisthereason ubuffalo</t>
  </si>
  <si>
    <t>poetry 100years internationalwomensday ubuffalo</t>
  </si>
  <si>
    <t>ubdancing ubhornsup ubuffalo ubtrueblue</t>
  </si>
  <si>
    <t>ubalumni ubhornsup ubdancing alwaysabull internationalwomensday ubuffalo</t>
  </si>
  <si>
    <t>ubhornsup ubdancing ubtrueblue ubalumni clevelandisthereason niagara buffalo nationaldentistday ubuffalo</t>
  </si>
  <si>
    <t>ubhornsup ubtrueblue ubuffalo ubdancing</t>
  </si>
  <si>
    <t>ubalumni ubdancing ubtrueblue ubuffalo ubhornsup</t>
  </si>
  <si>
    <t>ubhornsup ubtrueblue piday ubdancing ubuffalo</t>
  </si>
  <si>
    <t>piday internationalwomensday 100years ubuffalo</t>
  </si>
  <si>
    <t>ubcfa ubuffalo ubcas ubthd</t>
  </si>
  <si>
    <t>ubhornsup ubtrueblue daylightsavingtime ubdancing ubuffalo</t>
  </si>
  <si>
    <t>Top Words in Tweet by Count</t>
  </si>
  <si>
    <t>ipe honored representing buffalo leadership team #napforum2022 san diego receive</t>
  </si>
  <si>
    <t>joe msat men s #ubsphhp ipe next up alumni spotlight</t>
  </si>
  <si>
    <t>nursing phd student mary rose gaughan published february 2022 issue</t>
  </si>
  <si>
    <t>health nursing phd annual day inequities award student registration open</t>
  </si>
  <si>
    <t>love seeing #ubalumni give back one many things keeps putting</t>
  </si>
  <si>
    <t>#ubhornsup go bulls game #ubalumni team #maction ubwomenshoops wait ready</t>
  </si>
  <si>
    <t>rebel grad breaking barriers helping women stem watch story now</t>
  </si>
  <si>
    <t>grad women fast watch ubwomenshoops #ubhornsup 3 #ubtrueblue 4 #internationalwomensday</t>
  </si>
  <si>
    <t>congratulations professor steve mccaffery 55 years making 1967 2022 published</t>
  </si>
  <si>
    <t>professor ub_english essay s published congratulations phd student saadaonline fellow</t>
  </si>
  <si>
    <t>join 3 8 next webinar speaking dead early america presented</t>
  </si>
  <si>
    <t>great week consulting local business rob's comedy playhouse discussing ways</t>
  </si>
  <si>
    <t>event book new prof check out upcoming w ubgenderin join</t>
  </si>
  <si>
    <t>#internationalwomensday celebrate powerful women past present including prominent figures city's</t>
  </si>
  <si>
    <t>new book prof join more 3 pm registration event march</t>
  </si>
  <si>
    <t>watch gear join party ubmenshoops ubwomenshoops teams heading mac tournament</t>
  </si>
  <si>
    <t>fast gear join watch party ubmenshoops ubwomenshoops teams heading mac</t>
  </si>
  <si>
    <t>pretty special day campus today first time we've see smiling</t>
  </si>
  <si>
    <t>students more #ubhornsup s learn ubwomenshoops health #ubtrueblue bull game</t>
  </si>
  <si>
    <t>gear join watch party ubmenshoops ubwomenshoops teams heading mac tournament</t>
  </si>
  <si>
    <t>book new prof join ubgenderin today march 8 12pm launch</t>
  </si>
  <si>
    <t>women s achievements #ubmgt celebrate day proud recognize students faculty</t>
  </si>
  <si>
    <t>s #ubmgt women achievements ub program celebrate day proud recognize</t>
  </si>
  <si>
    <t>congratulations dr margarita l dubocovich state university new york buffalo</t>
  </si>
  <si>
    <t>s amp learn more medical jacobs_med_ub now march read medicine</t>
  </si>
  <si>
    <t>#ubmgt #internationalwomensday re proud highlight outstanding alumnae few amazing women</t>
  </si>
  <si>
    <t>#ubmgt more challenge #ubtrueblue mba join p m march 9</t>
  </si>
  <si>
    <t>eating help 3 well lot feel best two upcoming virtual</t>
  </si>
  <si>
    <t>students 3 know games up health academic meme #ubhornsup experience</t>
  </si>
  <si>
    <t>buster introducing buffalo bull 1954 version designed stuart hample 1949</t>
  </si>
  <si>
    <t>bull #ubhornsup years buster iever button marching band digital collection</t>
  </si>
  <si>
    <t>happy #internationalwomensday learn women's issues health care buffalo healthcast abortion</t>
  </si>
  <si>
    <t>#publichealth #healthequity #ubpublichealth learn abortion access ppfa ubschooloflaw united states</t>
  </si>
  <si>
    <t>learn abortion access #publichealth #healthequity #ubpublichealth ppfa ubschooloflaw united states</t>
  </si>
  <si>
    <t>general counsel last week ub students participating nyc program finance</t>
  </si>
  <si>
    <t>covid 19 aid phd candidates #schomburg ubscience ubgse dyk affected</t>
  </si>
  <si>
    <t>#ubgse students education more student women yae #internationalwomensday dean gaming</t>
  </si>
  <si>
    <t>happy #piday mathematical constant around homework favorite foods activities join</t>
  </si>
  <si>
    <t>school violence coming together stop annual safe schools initiative seminar</t>
  </si>
  <si>
    <t>one week away join #ubgse reality researching race dissertation strategies</t>
  </si>
  <si>
    <t>join #ubgse tues reality researching race dissertation strategies success keeping</t>
  </si>
  <si>
    <t>ub stem wise steminism co hosted picture yourself photo booth</t>
  </si>
  <si>
    <t>federal last order here covid 19 aid sign up seats</t>
  </si>
  <si>
    <t>stampede shuttles keeping state federal regulations masks continue mandatory everyone</t>
  </si>
  <si>
    <t>ub alert test please sign up receive alerts #ubalert</t>
  </si>
  <si>
    <t>home odyssey warriors come collective story coming battle lt photos</t>
  </si>
  <si>
    <t>let's gooo levelup esports arena console lounge lockwood opening month</t>
  </si>
  <si>
    <t>students gaming levelup games ubit help console lounge open consoles</t>
  </si>
  <si>
    <t>#maction begin #ubtrueblue #ubhornsup</t>
  </si>
  <si>
    <t>#ubhornsup ready #ubtrueblue feeling maction today cheer bulls championship sending</t>
  </si>
  <si>
    <t>know grad owns thriving fast growing business nominate fast46 today</t>
  </si>
  <si>
    <t>yae students education wny youth alliance speak up thebuffalonews published</t>
  </si>
  <si>
    <t>space game here's sneak peek new levelup computing lockwood library</t>
  </si>
  <si>
    <t>today check out upcoming event buffalohistory 6 pm march 9</t>
  </si>
  <si>
    <t>check out upcoming event buffalohistory 6 pm march 9 prof</t>
  </si>
  <si>
    <t>jacobs_med_ub list amp 250 people faculty medicine many congrats honorees</t>
  </si>
  <si>
    <t>black professor brenda moore speaks npr 855 women became first</t>
  </si>
  <si>
    <t>buster basketball around over 100 years anything possible #clevelandisthereason #ubhornsup</t>
  </si>
  <si>
    <t>system tomorrow 4pm mical_raz urhistorydept speaking origins child welfare abusive</t>
  </si>
  <si>
    <t>now discusses tomorrow police register via zoom system dr joe</t>
  </si>
  <si>
    <t>new book join person online march 11th 3 pm celebration</t>
  </si>
  <si>
    <t>dr joe atkinson ubengineering discusses moving target water quality management</t>
  </si>
  <si>
    <t>team professor ubengineering artificial amp president satish k tripathi congratulations</t>
  </si>
  <si>
    <t>rebecca brady mwee '18 setting stage #ubmgt #ubtrueblue</t>
  </si>
  <si>
    <t>buffalo akron preview #picks taking gameday free game happening today</t>
  </si>
  <si>
    <t>medical greatest campus fully vaccinated part #womenshistorymonth today re honoring</t>
  </si>
  <si>
    <t>greatest part #womenshistorymonth today re honoring mary blair moody md</t>
  </si>
  <si>
    <t>join virtual during dr discuss more info zoom link ubcas</t>
  </si>
  <si>
    <t>emily 3 minute competition last order congratulations phd candidate bowluspeck</t>
  </si>
  <si>
    <t>ub_english phd student saadaonline fellow sharmeen mehri written moving essay</t>
  </si>
  <si>
    <t>symposium registration ub_english phd student saadaonline fellow sharmeen mehri written</t>
  </si>
  <si>
    <t>ubalumni bigditchbrewing love matt great guy fantastic grad</t>
  </si>
  <si>
    <t>ctsi march health inequities m annual forum now more research</t>
  </si>
  <si>
    <t>professor hari cherished role researcher scientist deeply missed department school</t>
  </si>
  <si>
    <t>#ubtrueblue #ubhornsup sending spirit everyone watching back home buffalo #maction</t>
  </si>
  <si>
    <t>football 1899 head coach bemus pierce back row photo donated</t>
  </si>
  <si>
    <t>deadline book new prof ub history students spring 2022 scholarship</t>
  </si>
  <si>
    <t>fast mark calendars alumni week less 3 months away stay</t>
  </si>
  <si>
    <t>mark calendars alumni week less 3 months away stay tuned</t>
  </si>
  <si>
    <t>health tackling inequities sides new partnership between two centers working</t>
  </si>
  <si>
    <t>award son alumni want hear share latest career accomplishments featured</t>
  </si>
  <si>
    <t>spirit squads assembled ready cheer ubwomenshoops macsports basketball tournament championship</t>
  </si>
  <si>
    <t>tournament #ubhornsup break out dancing shoes bulls 2022 mac champions</t>
  </si>
  <si>
    <t>covid 19 aid another reason tuned exciting game dyk affected</t>
  </si>
  <si>
    <t>join april 1st 3 pm person online dr jay smith's</t>
  </si>
  <si>
    <t>jacobs_med_ub student reviewers alyssareese98 nicole favre weigh here check out</t>
  </si>
  <si>
    <t>accepted events #ubuffalo's students register now full #ubtrueblue pride mac</t>
  </si>
  <si>
    <t>team president satish k tripathi congratulations ubwomenshoops incredible macsports championship</t>
  </si>
  <si>
    <t>go bulls team #ubhornsup #ubdancing ubwomenshoops game t s marchmadnesswbb</t>
  </si>
  <si>
    <t>proud such incredi bull performance ubwomenshoops #ubhornsup #ubdancing</t>
  </si>
  <si>
    <t>bulls tournament #ubdancing #ubhornsup #ubtrueblue team go break out dancing</t>
  </si>
  <si>
    <t>thursday 2022 workshop series break out dancing shoes bulls mac</t>
  </si>
  <si>
    <t>break out dancing shoes bulls 2022 mac tournament champions going</t>
  </si>
  <si>
    <t>beautiful shot ubwomenshoops celebrating w another congratulations #ubtrueblue ubuffalo ubathletics</t>
  </si>
  <si>
    <t>#ubtrueblue beautiful shot ubwomenshoops celebrating w another congratulations ubuffalo ubathletics</t>
  </si>
  <si>
    <t>bull #ubhornsup history ubwomenshoops out #ubtrueblue buffalo incredi game #internationalwomensday</t>
  </si>
  <si>
    <t>students #internationalwomensday dean women calling poets university libraries invite participate</t>
  </si>
  <si>
    <t>sending #ubtrueblue spirit everyone watching back home buffalo #ubhornsup</t>
  </si>
  <si>
    <t>#ubhornsup #ubtrueblue bulls sending spirit everyone watching back home buffalo</t>
  </si>
  <si>
    <t>ready cheer championship #ubhornsup feeling maction today bulls spirit squads</t>
  </si>
  <si>
    <t>grad watch up bigditchbrewing #ubtrueblue want miss episode took leaf</t>
  </si>
  <si>
    <t>lets go ubwomenshoops #ubhornsup</t>
  </si>
  <si>
    <t>#ubtrueblue break out dancing shoes bulls 2022 mac tournament champions</t>
  </si>
  <si>
    <t>fast know grad growing business forget nominate 46 competition nominations</t>
  </si>
  <si>
    <t>artificial engineers develop new method inspired kid s pop up</t>
  </si>
  <si>
    <t>s go bulls excited cheer ubwomenshoops team against tennessee marchmadnesswbb</t>
  </si>
  <si>
    <t>women #ubalumni mac champions history ubwomenshoops #ubhornsup game win waking</t>
  </si>
  <si>
    <t>#ubhornsup ubwomenshoops bulls #ubdancing fast tournament go team grad mac</t>
  </si>
  <si>
    <t>bulls #ubdancing s break out dancing shoes 2022 mac tournament</t>
  </si>
  <si>
    <t>mac champions tournament bulls #ubhornsup such exciting game now onto</t>
  </si>
  <si>
    <t>amsts mac computer rankings week 2 78 #gorockets 109 #ohiobobcats</t>
  </si>
  <si>
    <t>#ubtrueblue going s those #ubhornsup happy #piday mathematical constant around</t>
  </si>
  <si>
    <t>dean women happy #piday mathematical constant around homework favorite foods</t>
  </si>
  <si>
    <t>now kissed girls made cry tickets #ubcas #ubthd amp s</t>
  </si>
  <si>
    <t>provost scott weber president s advisory council race implementation committee</t>
  </si>
  <si>
    <t>bulls #ubhornsup #ubtrueblue academic feeling morning #daylightsavingtime break out dancing</t>
  </si>
  <si>
    <t>Top Words in Tweet by Salience</t>
  </si>
  <si>
    <t>joe msat men s ipe next up alumni spotlight ramos</t>
  </si>
  <si>
    <t>health annual award phd nursing day inequities student registration open</t>
  </si>
  <si>
    <t>great season #maction #ubalumni team ubwomenshoops wait ready win today</t>
  </si>
  <si>
    <t>fast women grad #ubmgt stem watch greatest ubwomenshoops #ubhornsup 3</t>
  </si>
  <si>
    <t>s ub_english essay published congratulations phd student saadaonline fellow sharmeen</t>
  </si>
  <si>
    <t>new book emily symposium prof registration event competition april online</t>
  </si>
  <si>
    <t>gear join party ubmenshoops ubwomenshoops teams heading mac tournament #ubhornsup</t>
  </si>
  <si>
    <t>s health students more #ubhornsup amp learn ubwomenshoops #ubtrueblue bull</t>
  </si>
  <si>
    <t>women achievements celebrate day proud recognize students faculty staff success</t>
  </si>
  <si>
    <t>s amp greatest reverses booster more medical jacobs_med_ub learn now</t>
  </si>
  <si>
    <t>challenge skills covid 19 aid more #ubtrueblue mba join p</t>
  </si>
  <si>
    <t>meme wellness 3 know students games up health academic experience</t>
  </si>
  <si>
    <t>buster bull #ubhornsup years iever button marching band digital collection</t>
  </si>
  <si>
    <t>ppfa ubschooloflaw united states celebrate #womenshistorymonth visit #abortionishealthcare attitudes around</t>
  </si>
  <si>
    <t>ppfa ubschooloflaw united states celebrate #womenshistorymonth visit #abortionishealthcare happy #internationalwomensday</t>
  </si>
  <si>
    <t>yae student education more students women dean school violence see</t>
  </si>
  <si>
    <t>last order covid 19 aid federal here sign up seats</t>
  </si>
  <si>
    <t>keeping state federal regulations masks continue mandatory everyone aboard bus</t>
  </si>
  <si>
    <t>ubit more help console lounge open consoles library preloaded lockwood</t>
  </si>
  <si>
    <t>ready #ubtrueblue feeling maction today cheer bulls championship sending spirit</t>
  </si>
  <si>
    <t>list 250 amp people faculty medicine many congrats honorees bflobizfirst</t>
  </si>
  <si>
    <t>police system dr joe atkinson ubengineering moving target water quality</t>
  </si>
  <si>
    <t>team professor artificial ubengineering amp president satish k tripathi congratulations</t>
  </si>
  <si>
    <t>taking gameday free game happening today click tap now detailed</t>
  </si>
  <si>
    <t>greatest campus fully vaccinated part #womenshistorymonth today re honoring mary</t>
  </si>
  <si>
    <t>tomorrow friday seminar philipp kircher cornell impacts lockdowns social distancing</t>
  </si>
  <si>
    <t>emily competition last order congratulations phd candidate bowluspeck won first</t>
  </si>
  <si>
    <t>community research health inequities annual forum now more p interview</t>
  </si>
  <si>
    <t>sending spirit everyone watching back home buffalo #maction begin #ubtrueblue</t>
  </si>
  <si>
    <t>break out dancing shoes bulls 2022 mac champions going #ubdancing</t>
  </si>
  <si>
    <t>student reviewers alyssareese98 nicole favre weigh here check out #otolaryngology</t>
  </si>
  <si>
    <t>events accepted full #ubtrueblue pride mac champions ##ubuffalo #ubhornsup check</t>
  </si>
  <si>
    <t>game t s marchmadnesswbb championship saturday here fast enough excited</t>
  </si>
  <si>
    <t>team bulls tournament #ubdancing #ubhornsup #ubtrueblue go break out dancing</t>
  </si>
  <si>
    <t>thursday workshop series break out dancing shoes bulls mac tournament</t>
  </si>
  <si>
    <t>beautiful shot ubwomenshoops celebrating w another congratulations ubuffalo ubathletics sending</t>
  </si>
  <si>
    <t>bull incredi team buster #ubhornsup history ubwomenshoops out #ubtrueblue buffalo</t>
  </si>
  <si>
    <t>students dean women calling poets university libraries invite participate annual</t>
  </si>
  <si>
    <t>sending spirit everyone watching back home buffalo feeling maction today</t>
  </si>
  <si>
    <t>feeling maction today bulls spirit squads assembled ubwomenshoops macsports basketball</t>
  </si>
  <si>
    <t>took leaf faith passion plants doing healing people's pain excited</t>
  </si>
  <si>
    <t>fast #ubhornsup ubwomenshoops team bulls #ubdancing tournament buster go grad</t>
  </si>
  <si>
    <t>break out dancing shoes 2022 mac tournament champions going those</t>
  </si>
  <si>
    <t>such exciting game now onto ncaa congratulations ubwomenshoops ubcoachjack #ubalumni</t>
  </si>
  <si>
    <t>going s those #ubhornsup #ubtrueblue happy #piday mathematical constant around</t>
  </si>
  <si>
    <t>amp ub each days here zdc sneak preview season sponsors</t>
  </si>
  <si>
    <t>academic bulls #ubhornsup #ubtrueblue feeling morning #daylightsavingtime break out dancing</t>
  </si>
  <si>
    <t>Top Word Pairs in Tweet by Count</t>
  </si>
  <si>
    <t>honored,representing  representing,buffalo  buffalo,ipe  ipe,leadership  leadership,team  team,#napforum2022  #napforum2022,san  san,diego  diego,receive  receive,ipe</t>
  </si>
  <si>
    <t>men,s  next,up  up,alumni  alumni,spotlight  spotlight,joe  joe,ramos  ramos,msat  msat,atc  atc,ub  ub,msat</t>
  </si>
  <si>
    <t>nursing,phd  phd,student  student,mary  mary,rose  rose,gaughan  gaughan,published  published,february  february,2022  2022,issue  issue,cin_online</t>
  </si>
  <si>
    <t>health,inequities  nursing,phd  registration,open  open,#ubuffalo  #ubuffalo,son's  son's,9th  9th,annual  annual,research  research,day  day,25th</t>
  </si>
  <si>
    <t>love,seeing  seeing,#ubalumni  #ubalumni,give  give,back  back,one  one,many  many,things  things,keeps  keeps,putting  putting,#ubhornsup</t>
  </si>
  <si>
    <t>go,bulls  #ubuffalo,#ubhornsup  bulls,#ubuffalo  #ubhornsup,#maction  #ubhornsup,#foreverabull  wait,game  cbs,sports  sports,network  11,00am  love,seeing</t>
  </si>
  <si>
    <t>#ubuffalo,rebel  rebel,grad  grad,breaking  breaking,barriers  barriers,helping  helping,women  women,stem  stem,watch  watch,story  story,now</t>
  </si>
  <si>
    <t>#ubuffalo,grad  fast,growing  growing,business  women,stem  #ubhornsup,#ubuffalo  know,#ubuffalo  grad,fast  fast,46  46,competition  nothing,tv</t>
  </si>
  <si>
    <t>congratulations,#ubuffalo  #ubuffalo,professor  professor,steve  steve,mccaffery  mccaffery,55  55,years  years,making  making,1967  1967,2022  2022,published</t>
  </si>
  <si>
    <t>#ubuffalo,ub_english  congratulations,#ubuffalo  ub_english,phd  phd,student  student,saadaonline  saadaonline,fellow  fellow,sharmeen  sharmeen,mehri  mehri,written  written,moving</t>
  </si>
  <si>
    <t>join,3  3,8  8,next  next,webinar  webinar,speaking  speaking,dead  dead,early  early,america  america,presented  presented,#ubuffalo</t>
  </si>
  <si>
    <t>week,consulting  consulting,local  local,business  business,rob's  rob's,comedy  comedy,playhouse  playhouse,discussing  discussing,ways  ways,increase  increase,social</t>
  </si>
  <si>
    <t>check,out  out,upcoming  upcoming,event  event,w  w,ubgenderin  ubgenderin,join  join,tue  tue,march  march,8  8,12pm</t>
  </si>
  <si>
    <t>#internationalwomensday,celebrate  celebrate,powerful  powerful,women  women,#ubuffalo  #ubuffalo,past  past,present  present,including  including,prominent  prominent,figures  figures,city's</t>
  </si>
  <si>
    <t>new,book  more,info  check,out  3,pm  person,online  registration,#ubuffalo  upcoming,event  join,april  join,person  online,march</t>
  </si>
  <si>
    <t>#ubuffalo,gear  gear,join  join,watch  watch,party  party,ubmenshoops  ubmenshoops,ubwomenshoops  ubwomenshoops,teams  teams,heading  heading,mac  mac,tournament</t>
  </si>
  <si>
    <t>pretty,special  special,day  day,#ubuffalo  #ubuffalo,campus  campus,today  today,first  first,time  time,we've  we've,see  see,smiling</t>
  </si>
  <si>
    <t>learn,more  #ubuffalo,students  incredi,bull  #ubuffalo,ready  game,#ubuffalo  #ubuffalo,#ubhornsup  go,#ubuffalo  covid,19  calling,poets  poets,university</t>
  </si>
  <si>
    <t>join,ubgenderin  ubgenderin,today  today,march  march,8  8,12pm  12pm,book  book,launch  launch,event  event,new  new,books</t>
  </si>
  <si>
    <t>#ubmgt,celebrate  celebrate,women  women,s  s,achievements  achievements,day  day,proud  proud,recognize  recognize,students  students,faculty  faculty,staff</t>
  </si>
  <si>
    <t>congratulations,dr  dr,margarita  margarita,l  l,dubocovich  dubocovich,state  state,university  university,new  new,york  york,buffalo  buffalo,winner</t>
  </si>
  <si>
    <t>learn,more  #ubuffalo,s  #ubuffalo,ctsi  ctsi,annual  annual,forum  forum,one  one,week  week,away  away,learn  more,speakers</t>
  </si>
  <si>
    <t>#internationalwomensday,re  re,proud  proud,highlight  highlight,outstanding  outstanding,#ubmgt  #ubmgt,alumnae  alumnae,few  few,amazing  amazing,women  women,graduated</t>
  </si>
  <si>
    <t>#ubmgt,#ubuffalo  p,m  march,9  9,zoom  diversity,equity  equity,inclusion  covid,19  rising,challenge  challenge,congratulations  congratulations,pencil</t>
  </si>
  <si>
    <t>eating,well  well,lot  lot,help  help,feel  feel,best  best,two  two,upcoming  upcoming,virtual  virtual,workshops  workshops,#ubuffalo</t>
  </si>
  <si>
    <t>#ubuffalo,#ubhornsup  #ubuffalo,students  level,up  new,spring  spring,students  submit,health  health,insurance  insurance,waiver  fully,vaccinated  academic,integrity</t>
  </si>
  <si>
    <t>introducing,buster  buster,buffalo  buffalo,bull  bull,1954  1954,version  version,buster  buster,designed  designed,stuart  stuart,hample  hample,1949</t>
  </si>
  <si>
    <t>bull,iever  iever,button  button,#ubuffalo  #ubuffalo,marching  marching,band  band,digital  digital,collection  collection,best  best,luck  luck,ubwomenshoops</t>
  </si>
  <si>
    <t>happy,#internationalwomensday  #internationalwomensday,learn  learn,women's  women's,issues  issues,health  health,care  care,buffalo  buffalo,healthcast  healthcast,abortion  abortion,access</t>
  </si>
  <si>
    <t>abortion,access  #publichealth,#healthequity  #healthequity,#ubpublichealth  learn,ppfa  ppfa,ubschooloflaw  ubschooloflaw,abortion  access,united  united,states  states,celebrate  celebrate,#womenshistorymonth</t>
  </si>
  <si>
    <t>abortion,access  learn,ppfa  ppfa,ubschooloflaw  ubschooloflaw,abortion  access,united  united,states  states,celebrate  celebrate,#womenshistorymonth  #womenshistorymonth,visit  visit,#ubuffalo</t>
  </si>
  <si>
    <t>general,counsel  last,week  week,ub  ub,students  students,participating  participating,nyc  nyc,program  program,finance  finance,law  law,visited</t>
  </si>
  <si>
    <t>covid,19  #ubuffalo,phd  phd,candidates  candidates,#schomburg  #schomburg,ubscience  ubscience,ubgse  dyk,covid  19,affected  affected,finances  finances,eligible</t>
  </si>
  <si>
    <t>#ubuffalo,students  school,violence  join,#ubgse  #ubgse,tues  tues,reality  reality,researching  researching,race  race,dissertation  dissertation,strategies  strategies,success</t>
  </si>
  <si>
    <t>happy,#piday  #piday,#ubuffalo  #ubuffalo,mathematical  mathematical,constant  constant,around  around,homework  homework,favorite  favorite,foods  foods,activities  join,next</t>
  </si>
  <si>
    <t>school,violence  coming,together  together,stop  stop,school  violence,annual  annual,safe  safe,schools  schools,initiative  initiative,seminar  seminar,#ubuffalo</t>
  </si>
  <si>
    <t>one,week  week,away  away,join  join,#ubgse  #ubgse,reality  reality,researching  researching,race  race,dissertation  dissertation,strategies  strategies,success</t>
  </si>
  <si>
    <t>join,#ubgse  #ubgse,tues  tues,reality  reality,researching  researching,race  race,dissertation  dissertation,strategies  strategies,success  success,keeping  keeping,sanity</t>
  </si>
  <si>
    <t>ub,wise  wise,ub  ub,steminism  steminism,co  co,hosted  hosted,picture  picture,yourself  yourself,stem  stem,photo  photo,booth</t>
  </si>
  <si>
    <t>covid,19  sign,up  up,seats  seats,available  available,spring  spring,break  break,express  express,bus  bus,home  home,#ubuffalo</t>
  </si>
  <si>
    <t>#ubuffalo,stampede  keeping,state  state,federal  federal,regulations  regulations,masks  masks,continue  continue,mandatory  mandatory,everyone  everyone,aboard  aboard,#ubuffalo</t>
  </si>
  <si>
    <t>ub,alert  alert,test  test,please  please,sign  sign,up  up,receive  receive,alerts  alerts,#ubuffalo  #ubuffalo,#ubalert</t>
  </si>
  <si>
    <t>odyssey,warriors  warriors,come  come,home  home,collective  collective,story  story,coming  coming,home  home,battle  battle,lt  lt,photos</t>
  </si>
  <si>
    <t>let's,gooo  gooo,levelup  levelup,esports  esports,arena  arena,console  console,lounge  lounge,lockwood  lockwood,opening  opening,month  month,take</t>
  </si>
  <si>
    <t>#ubuffalo,students  congratulations,kaylie  kaylie,horowitz  horowitz,ubit  ubit,student  student,assistant  assistant,winner  winner,2021  2021,ubit  ubit,innovative</t>
  </si>
  <si>
    <t>#maction,begin  begin,#ubuffalo  #ubuffalo,#ubtrueblue  #ubtrueblue,#ubhornsup</t>
  </si>
  <si>
    <t>feeling,maction  maction,today  today,ready  ready,cheer  cheer,bulls  bulls,championship  championship,#ubhornsup  #ubhornsup,#ubuffalo  sending,#ubtrueblue  #ubtrueblue,spirit</t>
  </si>
  <si>
    <t>know,#ubuffalo  #ubuffalo,grad  grad,owns  owns,thriving  thriving,fast  fast,growing  growing,business  business,nominate  nominate,fast46  fast46,today</t>
  </si>
  <si>
    <t>students,wny  wny,youth  youth,alliance  alliance,education  education,yae  yae,speak  speak,up  up,thebuffalonews  thebuffalonews,published  published,letter</t>
  </si>
  <si>
    <t>game,here's  here's,sneak  sneak,peek  peek,new  new,levelup  levelup,computing  computing,space  space,lockwood  lockwood,library  library,#ubuffalo</t>
  </si>
  <si>
    <t>today,check  check,out  out,upcoming  upcoming,event  event,buffalohistory  buffalohistory,6  6,pm  pm,march  march,9  9,prof</t>
  </si>
  <si>
    <t>check,out  out,upcoming  upcoming,event  event,buffalohistory  buffalohistory,6  6,pm  pm,march  march,9  9,prof  prof,caroleemberton</t>
  </si>
  <si>
    <t>congrats,jacobs_med_ub  jacobs_med_ub,amp  amp,#ubuffalo  #ubuffalo,honorees  honorees,bflobizfirst  bflobizfirst,power  power,250  250,list  list,roster  roster,region</t>
  </si>
  <si>
    <t>professor,brenda  brenda,moore  moore,speaks  speaks,npr  npr,855  855,black  black,women  women,became  became,first  first,female</t>
  </si>
  <si>
    <t>#ubuffalo,basketball  basketball,around  around,over  over,100  100,years  years,anything  anything,possible  possible,#clevelandisthereason  #clevelandisthereason,#ubhornsup  introducing,buster</t>
  </si>
  <si>
    <t>tomorrow,4pm  4pm,mical_raz  mical_raz,urhistorydept  urhistorydept,speaking  speaking,origins  origins,child  child,welfare  welfare,system  system,abusive  abusive,practices</t>
  </si>
  <si>
    <t>register,now  via,zoom  dr,joe  joe,atkinson  atkinson,ubengineering  ubengineering,discusses  discusses,moving  moving,target  target,water  water,quality</t>
  </si>
  <si>
    <t>new,book  join,person  person,online  online,march  march,11th  11th,3  3,pm  pm,new  book,celebration  celebration,honor</t>
  </si>
  <si>
    <t>dr,joe  joe,atkinson  atkinson,ubengineering  ubengineering,discusses  discusses,moving  moving,target  target,water  water,quality  quality,management  management,lake</t>
  </si>
  <si>
    <t>#ubuffalo,president  president,satish  satish,k  k,tripathi  tripathi,congratulations  congratulations,ubwomenshoops  ubwomenshoops,team  team,incredible  incredible,macsports  macsports,championship</t>
  </si>
  <si>
    <t>rebecca,brady  brady,mwee  mwee,'18  '18,setting  setting,stage  stage,#ubmgt  #ubmgt,#ubuffalo  #ubuffalo,#ubtrueblue</t>
  </si>
  <si>
    <t>buffalo,akron  #ubuffalo,#picks  gameday,free  free,preview  preview,buffalo  akron,game  game,happening  happening,today  today,click  click,tap</t>
  </si>
  <si>
    <t>fully,vaccinated  part,#womenshistorymonth  #womenshistorymonth,today  today,re  re,honoring  honoring,mary  mary,blair  blair,moody  moody,md  md,first</t>
  </si>
  <si>
    <t>part,#womenshistorymonth  #womenshistorymonth,today  today,re  re,honoring  honoring,mary  mary,blair  blair,moody  moody,md  md,first  first,woman</t>
  </si>
  <si>
    <t>during,dr  more,info  info,zoom  zoom,link  link,#ubuffalo  #ubuffalo,ubcas  join,tomorrow  tomorrow,friday  friday,virtual  virtual,seminar</t>
  </si>
  <si>
    <t>congratulations,phd  phd,candidate  candidate,bowluspeck  bowluspeck,emily  emily,won  won,first  first,place  place,ub's  ub's,3  3,minute</t>
  </si>
  <si>
    <t>#ubuffalo,ub_english  ub_english,phd  phd,student  student,saadaonline  saadaonline,fellow  fellow,sharmeen  sharmeen,mehri  mehri,written  written,moving  moving,essay</t>
  </si>
  <si>
    <t>ubalumni,bigditchbrewing  bigditchbrewing,love  love,matt  matt,great  great,guy  guy,fantastic  fantastic,#ubuffalo  #ubuffalo,grad</t>
  </si>
  <si>
    <t>#ubuffalo,ctsi  ctsi,annual  annual,forum  health,inequities  p,m  keynote,speaker  ctsi,health  inequities,workshop  march,16  via,zoom</t>
  </si>
  <si>
    <t>hari,cherished  cherished,role  role,researcher  researcher,professor  professor,scientist  scientist,deeply  deeply,missed  missed,department  department,school  school,university</t>
  </si>
  <si>
    <t>sending,#ubtrueblue  #ubtrueblue,spirit  spirit,everyone  everyone,watching  watching,back  back,home  home,buffalo  buffalo,#ubuffalo  #ubuffalo,#ubhornsup  #maction,begin</t>
  </si>
  <si>
    <t>#ubuffalo,football  football,1899  1899,head  head,coach  coach,bemus  bemus,pierce  pierce,back  back,row  row,photo  photo,donated</t>
  </si>
  <si>
    <t>ub,history  history,students  students,spring  spring,2022  2022,scholarship  scholarship,competition  competition,open  open,dept  dept,wide  wide,variety</t>
  </si>
  <si>
    <t>mark,calendars  calendars,#ubuffalo  #ubuffalo,alumni  alumni,week  week,less  less,3  3,months  months,away  away,stay  stay,tuned</t>
  </si>
  <si>
    <t>tackling,health  health,inequities  inequities,sides  sides,new  new,partnership  partnership,between  between,two  two,#ubuffalo  #ubuffalo,health  health,centers</t>
  </si>
  <si>
    <t>#ubuffalo,son  son,alumni  alumni,want  want,hear  hear,share  share,latest  latest,career  career,accomplishments  accomplishments,featured  featured,class</t>
  </si>
  <si>
    <t>spirit,squads  squads,assembled  assembled,ready  ready,cheer  cheer,ubwomenshoops  ubwomenshoops,macsports  macsports,basketball  basketball,tournament  tournament,championship  championship,#ubhornsup</t>
  </si>
  <si>
    <t>break,out  out,dancing  dancing,shoes  shoes,#ubuffalo  #ubuffalo,bulls  bulls,2022  2022,mac  mac,tournament  tournament,champions  champions,going</t>
  </si>
  <si>
    <t>covid,19  another,reason  reason,tuned  tuned,exciting  exciting,game  game,#ubuffalo  dyk,covid  19,affected  affected,finances  finances,eligible</t>
  </si>
  <si>
    <t>join,april  april,1st  1st,3  3,pm  pm,person  person,online  online,dr  dr,jay  jay,smith's  smith's,talk</t>
  </si>
  <si>
    <t>jacobs_med_ub,student  student,reviewers  reviewers,alyssareese98  alyssareese98,nicole  nicole,favre  favre,weigh  weigh,here  here,check  check,out  out,#otolaryngology</t>
  </si>
  <si>
    <t>accepted,students  register,now  full,#ubtrueblue  #ubtrueblue,pride  pride,mac  mac,champions  champions,##ubuffalo  ##ubuffalo,#ubhornsup  check,out  out,great</t>
  </si>
  <si>
    <t>go,bulls  ubwomenshoops,team  bulls,#ubhornsup  #ubhornsup,#ubuffalo  championship,game  saturday,t  t,here  here,fast  fast,enough  enough,go</t>
  </si>
  <si>
    <t>proud,such  such,incredi  incredi,bull  bull,performance  performance,ubwomenshoops  ubwomenshoops,#ubuffalo  #ubuffalo,#ubhornsup  #ubhornsup,#ubdancing</t>
  </si>
  <si>
    <t>beautiful,shot  shot,ubwomenshoops  ubwomenshoops,celebrating  celebrating,w  w,another  another,congratulations  congratulations,#ubtrueblue  #ubtrueblue,#ubuffalo  #ubuffalo,ubuffalo  ubuffalo,ubathletics</t>
  </si>
  <si>
    <t>incredi,bull  #internationalwomensday,celebrate  check,out  out,upcoming  upcoming,event  event,buffalohistory  buffalohistory,6  6,pm  pm,march  march,9</t>
  </si>
  <si>
    <t>calling,poets  poets,university  university,libraries  libraries,invite  invite,#ubuffalo  #ubuffalo,students  students,participate  participate,annual  annual,poetry  poetry,competitions</t>
  </si>
  <si>
    <t>sending,#ubtrueblue  #ubtrueblue,spirit  spirit,everyone  everyone,watching  watching,back  back,home  home,buffalo  buffalo,#ubuffalo  #ubuffalo,#ubhornsup</t>
  </si>
  <si>
    <t>sending,#ubtrueblue  #ubtrueblue,spirit  spirit,everyone  everyone,watching  watching,back  back,home  home,buffalo  buffalo,#ubuffalo  #ubuffalo,#ubhornsup  feeling,maction</t>
  </si>
  <si>
    <t>ready,cheer  championship,#ubhornsup  #ubhornsup,#ubuffalo  feeling,maction  maction,today  today,ready  cheer,bulls  bulls,championship  spirit,squads  squads,assembled</t>
  </si>
  <si>
    <t>#ubuffalo,grad  want,miss  grad,took  took,leaf  leaf,faith  faith,passion  passion,plants  plants,doing  doing,healing  healing,people's</t>
  </si>
  <si>
    <t>lets,go  go,#ubuffalo  #ubuffalo,ubwomenshoops  ubwomenshoops,#ubhornsup</t>
  </si>
  <si>
    <t>know,#ubuffalo  #ubuffalo,grad  grad,fast  fast,growing  growing,business  business,forget  forget,nominate  nominate,fast  fast,46  46,competition</t>
  </si>
  <si>
    <t>#ubuffalo,engineers  engineers,develop  develop,new  new,method  method,inspired  inspired,kid  kid,s  s,pop  pop,up  up,books</t>
  </si>
  <si>
    <t>s,go  go,bulls  bulls,excited  excited,cheer  cheer,ubwomenshoops  ubwomenshoops,team  team,against  against,tennessee  tennessee,marchmadnesswbb  marchmadnesswbb,tourney</t>
  </si>
  <si>
    <t>#ubuffalo,#ubalumni  #ubuffalo,women  mac,champions  waking,up  up,mac  champions,#ubuffalo  history,repeat  repeat,itself  itself,rhyme  rhyme,#ubuffalo</t>
  </si>
  <si>
    <t>go,bulls  #ubuffalo,grad  cheer,ubwomenshoops  ubwomenshoops,team  grad,fast  fast,growing  growing,business  fast,46  46,competition  mac,tournament</t>
  </si>
  <si>
    <t>mac,champions  champions,such  such,exciting  exciting,game  game,now  now,onto  onto,ncaa  ncaa,tournament  tournament,congratulations  congratulations,ubwomenshoops</t>
  </si>
  <si>
    <t>amsts,mac  mac,computer  computer,rankings  rankings,week  week,2  2,78  78,#gorockets  #gorockets,109  109,#ohiobobcats  #ohiobobcats,#ohiouniversity</t>
  </si>
  <si>
    <t>happy,#piday  #piday,#ubuffalo  #ubuffalo,mathematical  mathematical,constant  constant,around  around,homework  homework,favorite  favorite,foods  foods,activities  break,out</t>
  </si>
  <si>
    <t>happy,#piday  #piday,#ubuffalo  #ubuffalo,mathematical  mathematical,constant  constant,around  around,homework  homework,favorite  favorite,foods  foods,activities  celebrating,#internationalwomensday</t>
  </si>
  <si>
    <t>kissed,girls  girls,made  made,cry  #ubuffalo,#ubcas  #ubcas,#ubthd  zodiaque,dance  dance,company  tickets,now  company,amp  amp,kissed</t>
  </si>
  <si>
    <t>provost,scott  scott,weber  weber,president  president,s  s,advisory  advisory,council  council,race  race,implementation  implementation,committee  committee,pacor</t>
  </si>
  <si>
    <t>feeling,morning  morning,#daylightsavingtime  #daylightsavingtime,#ubuffalo  break,out  out,dancing  dancing,shoes  shoes,#ubuffalo  #ubuffalo,bulls  bulls,2022  2022,mac</t>
  </si>
  <si>
    <t>Top Word Pairs in Tweet by Salience</t>
  </si>
  <si>
    <t>#ubhornsup,#maction  #ubhornsup,#foreverabull  wait,game  cbs,sports  sports,network  11,00am  love,seeing  seeing,#ubalumni  bulls,#ubuffalo  mac,champions</t>
  </si>
  <si>
    <t>#ubuffalo,grad  women,stem  fast,growing  growing,business  #ubhornsup,#ubuffalo  know,#ubuffalo  grad,fast  fast,46  46,competition  nothing,tv</t>
  </si>
  <si>
    <t>new,book  check,out  more,info  3,pm  person,online  registration,#ubuffalo  upcoming,event  covid,19  join,april  join,person</t>
  </si>
  <si>
    <t>learn,more  #ubuffalo,students  incredi,bull  #ubuffalo,ready  covid,19  game,#ubuffalo  #ubuffalo,#ubhornsup  go,#ubuffalo  calling,poets  poets,university</t>
  </si>
  <si>
    <t>covid,19  #ubmgt,#ubuffalo  p,m  march,9  9,zoom  diversity,equity  equity,inclusion  rising,challenge  challenge,congratulations  congratulations,pencil</t>
  </si>
  <si>
    <t>level,up  fully,vaccinated  #ubuffalo,#ubhornsup  #ubuffalo,students  new,spring  spring,students  submit,health  health,insurance  insurance,waiver  academic,integrity</t>
  </si>
  <si>
    <t>learn,ppfa  ppfa,ubschooloflaw  ubschooloflaw,abortion  access,united  united,states  states,celebrate  celebrate,#womenshistorymonth  #womenshistorymonth,visit  visit,#ubuffalo  #ubuffalo,#publichealth</t>
  </si>
  <si>
    <t>school,violence  #ubuffalo,students  join,#ubgse  #ubgse,tues  tues,reality  reality,researching  researching,race  race,dissertation  dissertation,strategies  strategies,success</t>
  </si>
  <si>
    <t>keeping,state  state,federal  federal,regulations  regulations,masks  masks,continue  continue,mandatory  mandatory,everyone  everyone,aboard  aboard,#ubuffalo  stampede,shuttles</t>
  </si>
  <si>
    <t>congratulations,kaylie  kaylie,horowitz  horowitz,ubit  ubit,student  student,assistant  assistant,winner  winner,2021  2021,ubit  ubit,innovative  innovative,technologies</t>
  </si>
  <si>
    <t>gameday,free  free,preview  preview,buffalo  akron,game  game,happening  happening,today  today,click  click,tap  tap,now  now,#ubuffalo</t>
  </si>
  <si>
    <t>join,tomorrow  tomorrow,friday  friday,virtual  virtual,seminar  seminar,during  dr,philipp  philipp,kircher  kircher,cornell  cornell,discuss  discuss,impacts</t>
  </si>
  <si>
    <t>health,inequities  ctsi,annual  annual,forum  p,m  keynote,speaker  ctsi,health  inequities,workshop  march,16  via,zoom  m,march</t>
  </si>
  <si>
    <t>full,#ubtrueblue  #ubtrueblue,pride  pride,mac  mac,champions  champions,##ubuffalo  ##ubuffalo,#ubhornsup  check,out  out,great  great,shot  shot,one</t>
  </si>
  <si>
    <t>bulls,#ubhornsup  #ubhornsup,#ubuffalo  championship,game  saturday,t  t,here  here,fast  fast,enough  enough,go  #ubuffalo,#ubdancing  s,go</t>
  </si>
  <si>
    <t>feeling,maction  maction,today  today,ready  cheer,bulls  bulls,championship  spirit,squads  squads,assembled  assembled,ready  cheer,ubwomenshoops  ubwomenshoops,macsports</t>
  </si>
  <si>
    <t>grad,took  took,leaf  leaf,faith  faith,passion  passion,plants  plants,doing  doing,healing  healing,people's  people's,pain  pain,watch</t>
  </si>
  <si>
    <t>company,amp  amp,kissed  cry,each  each,open  days,here  here,s  sneak,preview  now,season  season,sponsors  sponsors,include</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</si>
  <si>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</si>
  <si>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</si>
  <si>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</si>
  <si>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</si>
  <si>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</si>
  <si>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</si>
  <si>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</si>
  <si>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</si>
  <si>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</si>
  <si>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</si>
  <si>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</si>
  <si>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</si>
  <si>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</si>
  <si>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</si>
  <si>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</si>
  <si>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</si>
  <si>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</si>
  <si>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</si>
  <si>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1.0.1.449</t>
  </si>
  <si>
    <t>Key</t>
  </si>
  <si>
    <t>Action Label</t>
  </si>
  <si>
    <t>Action URL</t>
  </si>
  <si>
    <t>Brand Logo</t>
  </si>
  <si>
    <t>Brand URL</t>
  </si>
  <si>
    <t>Hashtag</t>
  </si>
  <si>
    <t>URL</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</si>
  <si>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 Paths, NetworkTopItems&lt;/value&gt;_x000D_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&lt;PlugInUserSettings&gt;_x000D_
      &lt;setting name="PlugInFolderPath" serializeAs="String"&gt;_x000D_
        &lt;value&gt;D:\PhotonUser\My Files\Home Folder&lt;/value&gt;_x000D_
      &lt;/setting&gt;_x000D_
    &lt;/PlugInUserSettings&gt;_x000D_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</si>
</sst>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0" fillId="0" borderId="0" xfId="0" quotePrefix="1" applyAlignment="1"/>
    <xf numFmtId="0" fontId="0" fillId="0" borderId="0" xfId="0" quotePrefix="1" applyFill="1" applyAlignment="1"/>
    <xf numFmtId="0" fontId="13" fillId="0" borderId="0" xfId="9"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49" fontId="0" fillId="0" borderId="0" xfId="0" applyNumberFormat="1" applyAlignment="1"/>
    <xf numFmtId="49" fontId="0" fillId="0" borderId="0" xfId="0" applyNumberFormat="1" applyFill="1" applyAlignment="1"/>
    <xf numFmtId="49" fontId="5" fillId="4" borderId="1" xfId="5" applyNumberFormat="1" applyAlignment="1">
      <alignment wrapText="1"/>
    </xf>
    <xf numFmtId="1" fontId="5" fillId="4" borderId="1" xfId="5" quotePrefix="1" applyNumberFormat="1" applyAlignment="1"/>
    <xf numFmtId="0" fontId="5" fillId="5" borderId="1" xfId="8" applyNumberFormat="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216">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215"/>
      <tableStyleElement type="headerRow" dxfId="214"/>
    </tableStyle>
    <tableStyle name="NodeXL Table" pivot="0" count="1" xr9:uid="{00000000-0011-0000-FFFF-FFFF01000000}">
      <tableStyleElement type="headerRow" dxfId="2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E65-448F-9E1C-8D47DD685733}"/>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153</c:v>
                </c:pt>
              </c:strCache>
            </c:strRef>
          </c:tx>
          <c:spPr>
            <a:solidFill>
              <a:schemeClr val="accent1"/>
            </a:solidFill>
          </c:spPr>
          <c:invertIfNegative val="0"/>
          <c:cat>
            <c:numRef>
              <c:f>'Overall Metrics'!$F$2:$F$41</c:f>
              <c:numCache>
                <c:formatCode>#,##0.00</c:formatCode>
                <c:ptCount val="40"/>
                <c:pt idx="0">
                  <c:v>0</c:v>
                </c:pt>
                <c:pt idx="1">
                  <c:v>2.0588235294117645</c:v>
                </c:pt>
                <c:pt idx="2">
                  <c:v>4.117647058823529</c:v>
                </c:pt>
                <c:pt idx="3">
                  <c:v>6.1764705882352935</c:v>
                </c:pt>
                <c:pt idx="4">
                  <c:v>8.235294117647058</c:v>
                </c:pt>
                <c:pt idx="5">
                  <c:v>10.294117647058822</c:v>
                </c:pt>
                <c:pt idx="6">
                  <c:v>12.352941176470587</c:v>
                </c:pt>
                <c:pt idx="7">
                  <c:v>14.411764705882351</c:v>
                </c:pt>
                <c:pt idx="8">
                  <c:v>16.470588235294116</c:v>
                </c:pt>
                <c:pt idx="9">
                  <c:v>18.52941176470588</c:v>
                </c:pt>
                <c:pt idx="10">
                  <c:v>20.588235294117645</c:v>
                </c:pt>
                <c:pt idx="11">
                  <c:v>22.647058823529409</c:v>
                </c:pt>
                <c:pt idx="12">
                  <c:v>24.705882352941174</c:v>
                </c:pt>
                <c:pt idx="13">
                  <c:v>26.764705882352938</c:v>
                </c:pt>
                <c:pt idx="14">
                  <c:v>28.823529411764703</c:v>
                </c:pt>
                <c:pt idx="15">
                  <c:v>30.882352941176467</c:v>
                </c:pt>
                <c:pt idx="16">
                  <c:v>32.941176470588232</c:v>
                </c:pt>
                <c:pt idx="17">
                  <c:v>35</c:v>
                </c:pt>
                <c:pt idx="18">
                  <c:v>37.058823529411768</c:v>
                </c:pt>
                <c:pt idx="19">
                  <c:v>39.117647058823536</c:v>
                </c:pt>
                <c:pt idx="20">
                  <c:v>41.176470588235304</c:v>
                </c:pt>
                <c:pt idx="21">
                  <c:v>43.235294117647072</c:v>
                </c:pt>
                <c:pt idx="22">
                  <c:v>45.29411764705884</c:v>
                </c:pt>
                <c:pt idx="23">
                  <c:v>47.352941176470608</c:v>
                </c:pt>
                <c:pt idx="24">
                  <c:v>49.411764705882376</c:v>
                </c:pt>
                <c:pt idx="25">
                  <c:v>51.470588235294144</c:v>
                </c:pt>
                <c:pt idx="26">
                  <c:v>53.529411764705912</c:v>
                </c:pt>
                <c:pt idx="27">
                  <c:v>55.58823529411768</c:v>
                </c:pt>
                <c:pt idx="28">
                  <c:v>57.647058823529449</c:v>
                </c:pt>
                <c:pt idx="29">
                  <c:v>59.705882352941217</c:v>
                </c:pt>
                <c:pt idx="30">
                  <c:v>61.764705882352985</c:v>
                </c:pt>
                <c:pt idx="31">
                  <c:v>63.823529411764753</c:v>
                </c:pt>
                <c:pt idx="32">
                  <c:v>65.882352941176521</c:v>
                </c:pt>
                <c:pt idx="33">
                  <c:v>67.941176470588289</c:v>
                </c:pt>
                <c:pt idx="34">
                  <c:v>70</c:v>
                </c:pt>
              </c:numCache>
            </c:numRef>
          </c:cat>
          <c:val>
            <c:numRef>
              <c:f>'Overall Metrics'!$G$2:$G$41</c:f>
              <c:numCache>
                <c:formatCode>General</c:formatCode>
                <c:ptCount val="40"/>
                <c:pt idx="0">
                  <c:v>153</c:v>
                </c:pt>
                <c:pt idx="1">
                  <c:v>18</c:v>
                </c:pt>
                <c:pt idx="2">
                  <c:v>10</c:v>
                </c:pt>
                <c:pt idx="3">
                  <c:v>5</c:v>
                </c:pt>
                <c:pt idx="4">
                  <c:v>6</c:v>
                </c:pt>
                <c:pt idx="5">
                  <c:v>0</c:v>
                </c:pt>
                <c:pt idx="6">
                  <c:v>2</c:v>
                </c:pt>
                <c:pt idx="7">
                  <c:v>1</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5D9D-48CC-A878-2B2B10854B5D}"/>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34</c:v>
                </c:pt>
              </c:strCache>
            </c:strRef>
          </c:tx>
          <c:spPr>
            <a:solidFill>
              <a:schemeClr val="accent1"/>
            </a:solidFill>
          </c:spPr>
          <c:invertIfNegative val="0"/>
          <c:cat>
            <c:numRef>
              <c:f>'Overall Metrics'!$H$2:$H$41</c:f>
              <c:numCache>
                <c:formatCode>#,##0.00</c:formatCode>
                <c:ptCount val="40"/>
                <c:pt idx="0">
                  <c:v>0</c:v>
                </c:pt>
                <c:pt idx="1">
                  <c:v>0.6470588235294118</c:v>
                </c:pt>
                <c:pt idx="2">
                  <c:v>1.2941176470588236</c:v>
                </c:pt>
                <c:pt idx="3">
                  <c:v>1.9411764705882355</c:v>
                </c:pt>
                <c:pt idx="4">
                  <c:v>2.5882352941176472</c:v>
                </c:pt>
                <c:pt idx="5">
                  <c:v>3.2352941176470589</c:v>
                </c:pt>
                <c:pt idx="6">
                  <c:v>3.8823529411764706</c:v>
                </c:pt>
                <c:pt idx="7">
                  <c:v>4.5294117647058822</c:v>
                </c:pt>
                <c:pt idx="8">
                  <c:v>5.1764705882352944</c:v>
                </c:pt>
                <c:pt idx="9">
                  <c:v>5.8235294117647065</c:v>
                </c:pt>
                <c:pt idx="10">
                  <c:v>6.4705882352941186</c:v>
                </c:pt>
                <c:pt idx="11">
                  <c:v>7.1176470588235308</c:v>
                </c:pt>
                <c:pt idx="12">
                  <c:v>7.7647058823529429</c:v>
                </c:pt>
                <c:pt idx="13">
                  <c:v>8.411764705882355</c:v>
                </c:pt>
                <c:pt idx="14">
                  <c:v>9.0588235294117663</c:v>
                </c:pt>
                <c:pt idx="15">
                  <c:v>9.7058823529411775</c:v>
                </c:pt>
                <c:pt idx="16">
                  <c:v>10.352941176470589</c:v>
                </c:pt>
                <c:pt idx="17">
                  <c:v>11</c:v>
                </c:pt>
                <c:pt idx="18">
                  <c:v>11.647058823529411</c:v>
                </c:pt>
                <c:pt idx="19">
                  <c:v>12.294117647058822</c:v>
                </c:pt>
                <c:pt idx="20">
                  <c:v>12.941176470588234</c:v>
                </c:pt>
                <c:pt idx="21">
                  <c:v>13.588235294117645</c:v>
                </c:pt>
                <c:pt idx="22">
                  <c:v>14.235294117647056</c:v>
                </c:pt>
                <c:pt idx="23">
                  <c:v>14.882352941176467</c:v>
                </c:pt>
                <c:pt idx="24">
                  <c:v>15.529411764705879</c:v>
                </c:pt>
                <c:pt idx="25">
                  <c:v>16.17647058823529</c:v>
                </c:pt>
                <c:pt idx="26">
                  <c:v>16.823529411764703</c:v>
                </c:pt>
                <c:pt idx="27">
                  <c:v>17.470588235294116</c:v>
                </c:pt>
                <c:pt idx="28">
                  <c:v>18.117647058823529</c:v>
                </c:pt>
                <c:pt idx="29">
                  <c:v>18.764705882352942</c:v>
                </c:pt>
                <c:pt idx="30">
                  <c:v>19.411764705882355</c:v>
                </c:pt>
                <c:pt idx="31">
                  <c:v>20.058823529411768</c:v>
                </c:pt>
                <c:pt idx="32">
                  <c:v>20.705882352941181</c:v>
                </c:pt>
                <c:pt idx="33">
                  <c:v>21.352941176470594</c:v>
                </c:pt>
                <c:pt idx="34">
                  <c:v>22</c:v>
                </c:pt>
              </c:numCache>
            </c:numRef>
          </c:cat>
          <c:val>
            <c:numRef>
              <c:f>'Overall Metrics'!$I$2:$I$41</c:f>
              <c:numCache>
                <c:formatCode>General</c:formatCode>
                <c:ptCount val="40"/>
                <c:pt idx="0">
                  <c:v>34</c:v>
                </c:pt>
                <c:pt idx="1">
                  <c:v>75</c:v>
                </c:pt>
                <c:pt idx="2">
                  <c:v>0</c:v>
                </c:pt>
                <c:pt idx="3">
                  <c:v>31</c:v>
                </c:pt>
                <c:pt idx="4">
                  <c:v>26</c:v>
                </c:pt>
                <c:pt idx="5">
                  <c:v>0</c:v>
                </c:pt>
                <c:pt idx="6">
                  <c:v>17</c:v>
                </c:pt>
                <c:pt idx="7">
                  <c:v>4</c:v>
                </c:pt>
                <c:pt idx="8">
                  <c:v>0</c:v>
                </c:pt>
                <c:pt idx="9">
                  <c:v>2</c:v>
                </c:pt>
                <c:pt idx="10">
                  <c:v>1</c:v>
                </c:pt>
                <c:pt idx="11">
                  <c:v>0</c:v>
                </c:pt>
                <c:pt idx="12">
                  <c:v>2</c:v>
                </c:pt>
                <c:pt idx="13">
                  <c:v>0</c:v>
                </c:pt>
                <c:pt idx="14">
                  <c:v>0</c:v>
                </c:pt>
                <c:pt idx="15">
                  <c:v>0</c:v>
                </c:pt>
                <c:pt idx="16">
                  <c:v>0</c:v>
                </c:pt>
                <c:pt idx="17">
                  <c:v>1</c:v>
                </c:pt>
                <c:pt idx="18">
                  <c:v>2</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3F67-4D8D-9447-8BD74C02CE6D}"/>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179</c:v>
                </c:pt>
              </c:strCache>
            </c:strRef>
          </c:tx>
          <c:spPr>
            <a:solidFill>
              <a:schemeClr val="accent1"/>
            </a:solidFill>
          </c:spPr>
          <c:invertIfNegative val="0"/>
          <c:cat>
            <c:numRef>
              <c:f>'Overall Metrics'!$J$2:$J$41</c:f>
              <c:numCache>
                <c:formatCode>#,##0.00</c:formatCode>
                <c:ptCount val="40"/>
                <c:pt idx="0">
                  <c:v>0</c:v>
                </c:pt>
                <c:pt idx="1">
                  <c:v>687.63582032352952</c:v>
                </c:pt>
                <c:pt idx="2">
                  <c:v>1375.271640647059</c:v>
                </c:pt>
                <c:pt idx="3">
                  <c:v>2062.9074609705885</c:v>
                </c:pt>
                <c:pt idx="4">
                  <c:v>2750.5432812941181</c:v>
                </c:pt>
                <c:pt idx="5">
                  <c:v>3438.1791016176476</c:v>
                </c:pt>
                <c:pt idx="6">
                  <c:v>4125.8149219411771</c:v>
                </c:pt>
                <c:pt idx="7">
                  <c:v>4813.4507422647066</c:v>
                </c:pt>
                <c:pt idx="8">
                  <c:v>5501.0865625882361</c:v>
                </c:pt>
                <c:pt idx="9">
                  <c:v>6188.7223829117656</c:v>
                </c:pt>
                <c:pt idx="10">
                  <c:v>6876.3582032352952</c:v>
                </c:pt>
                <c:pt idx="11">
                  <c:v>7563.9940235588247</c:v>
                </c:pt>
                <c:pt idx="12">
                  <c:v>8251.6298438823542</c:v>
                </c:pt>
                <c:pt idx="13">
                  <c:v>8939.2656642058828</c:v>
                </c:pt>
                <c:pt idx="14">
                  <c:v>9626.9014845294114</c:v>
                </c:pt>
                <c:pt idx="15">
                  <c:v>10314.53730485294</c:v>
                </c:pt>
                <c:pt idx="16">
                  <c:v>11002.173125176469</c:v>
                </c:pt>
                <c:pt idx="17">
                  <c:v>11689.808945499997</c:v>
                </c:pt>
                <c:pt idx="18">
                  <c:v>12377.444765823526</c:v>
                </c:pt>
                <c:pt idx="19">
                  <c:v>13065.080586147054</c:v>
                </c:pt>
                <c:pt idx="20">
                  <c:v>13752.716406470583</c:v>
                </c:pt>
                <c:pt idx="21">
                  <c:v>14440.352226794112</c:v>
                </c:pt>
                <c:pt idx="22">
                  <c:v>15127.98804711764</c:v>
                </c:pt>
                <c:pt idx="23">
                  <c:v>15815.623867441169</c:v>
                </c:pt>
                <c:pt idx="24">
                  <c:v>16503.259687764697</c:v>
                </c:pt>
                <c:pt idx="25">
                  <c:v>17190.895508088226</c:v>
                </c:pt>
                <c:pt idx="26">
                  <c:v>17878.531328411755</c:v>
                </c:pt>
                <c:pt idx="27">
                  <c:v>18566.167148735283</c:v>
                </c:pt>
                <c:pt idx="28">
                  <c:v>19253.802969058812</c:v>
                </c:pt>
                <c:pt idx="29">
                  <c:v>19941.43878938234</c:v>
                </c:pt>
                <c:pt idx="30">
                  <c:v>20629.074609705869</c:v>
                </c:pt>
                <c:pt idx="31">
                  <c:v>21316.710430029398</c:v>
                </c:pt>
                <c:pt idx="32">
                  <c:v>22004.346250352926</c:v>
                </c:pt>
                <c:pt idx="33">
                  <c:v>22691.982070676455</c:v>
                </c:pt>
                <c:pt idx="34">
                  <c:v>23379.617891000002</c:v>
                </c:pt>
              </c:numCache>
            </c:numRef>
          </c:cat>
          <c:val>
            <c:numRef>
              <c:f>'Overall Metrics'!$K$2:$K$41</c:f>
              <c:numCache>
                <c:formatCode>General</c:formatCode>
                <c:ptCount val="40"/>
                <c:pt idx="0">
                  <c:v>179</c:v>
                </c:pt>
                <c:pt idx="1">
                  <c:v>7</c:v>
                </c:pt>
                <c:pt idx="2">
                  <c:v>4</c:v>
                </c:pt>
                <c:pt idx="3">
                  <c:v>4</c:v>
                </c:pt>
                <c:pt idx="4">
                  <c:v>0</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9113-482C-B033-7E7BB939B66E}"/>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13</c:v>
                </c:pt>
              </c:strCache>
            </c:strRef>
          </c:tx>
          <c:spPr>
            <a:solidFill>
              <a:schemeClr val="accent1"/>
            </a:solidFill>
          </c:spPr>
          <c:invertIfNegative val="0"/>
          <c:cat>
            <c:numRef>
              <c:f>'Overall Metrics'!$L$2:$L$41</c:f>
              <c:numCache>
                <c:formatCode>#,##0.00</c:formatCode>
                <c:ptCount val="40"/>
                <c:pt idx="0">
                  <c:v>0</c:v>
                </c:pt>
                <c:pt idx="1">
                  <c:v>1.6211147058823528E-2</c:v>
                </c:pt>
                <c:pt idx="2">
                  <c:v>3.2422294117647056E-2</c:v>
                </c:pt>
                <c:pt idx="3">
                  <c:v>4.8633441176470588E-2</c:v>
                </c:pt>
                <c:pt idx="4">
                  <c:v>6.4844588235294112E-2</c:v>
                </c:pt>
                <c:pt idx="5">
                  <c:v>8.1055735294117637E-2</c:v>
                </c:pt>
                <c:pt idx="6">
                  <c:v>9.7266882352941161E-2</c:v>
                </c:pt>
                <c:pt idx="7">
                  <c:v>0.11347802941176469</c:v>
                </c:pt>
                <c:pt idx="8">
                  <c:v>0.12968917647058822</c:v>
                </c:pt>
                <c:pt idx="9">
                  <c:v>0.14590032352941176</c:v>
                </c:pt>
                <c:pt idx="10">
                  <c:v>0.1621114705882353</c:v>
                </c:pt>
                <c:pt idx="11">
                  <c:v>0.17832261764705884</c:v>
                </c:pt>
                <c:pt idx="12">
                  <c:v>0.19453376470588238</c:v>
                </c:pt>
                <c:pt idx="13">
                  <c:v>0.21074491176470592</c:v>
                </c:pt>
                <c:pt idx="14">
                  <c:v>0.22695605882352946</c:v>
                </c:pt>
                <c:pt idx="15">
                  <c:v>0.24316720588235299</c:v>
                </c:pt>
                <c:pt idx="16">
                  <c:v>0.2593783529411765</c:v>
                </c:pt>
                <c:pt idx="17">
                  <c:v>0.27558950000000004</c:v>
                </c:pt>
                <c:pt idx="18">
                  <c:v>0.29180064705882358</c:v>
                </c:pt>
                <c:pt idx="19">
                  <c:v>0.30801179411764712</c:v>
                </c:pt>
                <c:pt idx="20">
                  <c:v>0.32422294117647066</c:v>
                </c:pt>
                <c:pt idx="21">
                  <c:v>0.3404340882352942</c:v>
                </c:pt>
                <c:pt idx="22">
                  <c:v>0.35664523529411774</c:v>
                </c:pt>
                <c:pt idx="23">
                  <c:v>0.37285638235294127</c:v>
                </c:pt>
                <c:pt idx="24">
                  <c:v>0.38906752941176481</c:v>
                </c:pt>
                <c:pt idx="25">
                  <c:v>0.40527867647058835</c:v>
                </c:pt>
                <c:pt idx="26">
                  <c:v>0.42148982352941189</c:v>
                </c:pt>
                <c:pt idx="27">
                  <c:v>0.43770097058823543</c:v>
                </c:pt>
                <c:pt idx="28">
                  <c:v>0.45391211764705897</c:v>
                </c:pt>
                <c:pt idx="29">
                  <c:v>0.4701232647058825</c:v>
                </c:pt>
                <c:pt idx="30">
                  <c:v>0.48633441176470604</c:v>
                </c:pt>
                <c:pt idx="31">
                  <c:v>0.50254555882352958</c:v>
                </c:pt>
                <c:pt idx="32">
                  <c:v>0.51875670588235312</c:v>
                </c:pt>
                <c:pt idx="33">
                  <c:v>0.53496785294117666</c:v>
                </c:pt>
                <c:pt idx="34">
                  <c:v>0.55117899999999997</c:v>
                </c:pt>
              </c:numCache>
            </c:numRef>
          </c:cat>
          <c:val>
            <c:numRef>
              <c:f>'Overall Metrics'!$M$2:$M$41</c:f>
              <c:numCache>
                <c:formatCode>General</c:formatCode>
                <c:ptCount val="40"/>
                <c:pt idx="0">
                  <c:v>13</c:v>
                </c:pt>
                <c:pt idx="1">
                  <c:v>6</c:v>
                </c:pt>
                <c:pt idx="2">
                  <c:v>0</c:v>
                </c:pt>
                <c:pt idx="3">
                  <c:v>0</c:v>
                </c:pt>
                <c:pt idx="4">
                  <c:v>0</c:v>
                </c:pt>
                <c:pt idx="5">
                  <c:v>0</c:v>
                </c:pt>
                <c:pt idx="6">
                  <c:v>0</c:v>
                </c:pt>
                <c:pt idx="7">
                  <c:v>0</c:v>
                </c:pt>
                <c:pt idx="8">
                  <c:v>0</c:v>
                </c:pt>
                <c:pt idx="9">
                  <c:v>0</c:v>
                </c:pt>
                <c:pt idx="10">
                  <c:v>2</c:v>
                </c:pt>
                <c:pt idx="11">
                  <c:v>0</c:v>
                </c:pt>
                <c:pt idx="12">
                  <c:v>8</c:v>
                </c:pt>
                <c:pt idx="13">
                  <c:v>2</c:v>
                </c:pt>
                <c:pt idx="14">
                  <c:v>3</c:v>
                </c:pt>
                <c:pt idx="15">
                  <c:v>10</c:v>
                </c:pt>
                <c:pt idx="16">
                  <c:v>43</c:v>
                </c:pt>
                <c:pt idx="17">
                  <c:v>22</c:v>
                </c:pt>
                <c:pt idx="18">
                  <c:v>6</c:v>
                </c:pt>
                <c:pt idx="19">
                  <c:v>0</c:v>
                </c:pt>
                <c:pt idx="20">
                  <c:v>0</c:v>
                </c:pt>
                <c:pt idx="21">
                  <c:v>59</c:v>
                </c:pt>
                <c:pt idx="22">
                  <c:v>14</c:v>
                </c:pt>
                <c:pt idx="23">
                  <c:v>6</c:v>
                </c:pt>
                <c:pt idx="24">
                  <c:v>0</c:v>
                </c:pt>
                <c:pt idx="25">
                  <c:v>2</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A310-49B5-84B6-725DF2DEC00B}"/>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83</c:v>
                </c:pt>
              </c:strCache>
            </c:strRef>
          </c:tx>
          <c:spPr>
            <a:solidFill>
              <a:schemeClr val="accent1"/>
            </a:solidFill>
          </c:spPr>
          <c:invertIfNegative val="0"/>
          <c:cat>
            <c:numRef>
              <c:f>'Overall Metrics'!$N$2:$N$41</c:f>
              <c:numCache>
                <c:formatCode>#,##0.00</c:formatCode>
                <c:ptCount val="40"/>
                <c:pt idx="0">
                  <c:v>0</c:v>
                </c:pt>
                <c:pt idx="1">
                  <c:v>1.6360058823529412E-2</c:v>
                </c:pt>
                <c:pt idx="2">
                  <c:v>3.2720117647058823E-2</c:v>
                </c:pt>
                <c:pt idx="3">
                  <c:v>4.9080176470588238E-2</c:v>
                </c:pt>
                <c:pt idx="4">
                  <c:v>6.5440235294117646E-2</c:v>
                </c:pt>
                <c:pt idx="5">
                  <c:v>8.1800294117647054E-2</c:v>
                </c:pt>
                <c:pt idx="6">
                  <c:v>9.8160352941176462E-2</c:v>
                </c:pt>
                <c:pt idx="7">
                  <c:v>0.11452041176470587</c:v>
                </c:pt>
                <c:pt idx="8">
                  <c:v>0.13088047058823529</c:v>
                </c:pt>
                <c:pt idx="9">
                  <c:v>0.14724052941176471</c:v>
                </c:pt>
                <c:pt idx="10">
                  <c:v>0.16360058823529414</c:v>
                </c:pt>
                <c:pt idx="11">
                  <c:v>0.17996064705882356</c:v>
                </c:pt>
                <c:pt idx="12">
                  <c:v>0.19632070588235298</c:v>
                </c:pt>
                <c:pt idx="13">
                  <c:v>0.2126807647058824</c:v>
                </c:pt>
                <c:pt idx="14">
                  <c:v>0.22904082352941182</c:v>
                </c:pt>
                <c:pt idx="15">
                  <c:v>0.24540088235294125</c:v>
                </c:pt>
                <c:pt idx="16">
                  <c:v>0.26176094117647064</c:v>
                </c:pt>
                <c:pt idx="17">
                  <c:v>0.27812100000000006</c:v>
                </c:pt>
                <c:pt idx="18">
                  <c:v>0.29448105882352948</c:v>
                </c:pt>
                <c:pt idx="19">
                  <c:v>0.31084111764705891</c:v>
                </c:pt>
                <c:pt idx="20">
                  <c:v>0.32720117647058833</c:v>
                </c:pt>
                <c:pt idx="21">
                  <c:v>0.34356123529411775</c:v>
                </c:pt>
                <c:pt idx="22">
                  <c:v>0.35992129411764717</c:v>
                </c:pt>
                <c:pt idx="23">
                  <c:v>0.37628135294117659</c:v>
                </c:pt>
                <c:pt idx="24">
                  <c:v>0.39264141176470602</c:v>
                </c:pt>
                <c:pt idx="25">
                  <c:v>0.40900147058823544</c:v>
                </c:pt>
                <c:pt idx="26">
                  <c:v>0.42536152941176486</c:v>
                </c:pt>
                <c:pt idx="27">
                  <c:v>0.44172158823529428</c:v>
                </c:pt>
                <c:pt idx="28">
                  <c:v>0.4580816470588237</c:v>
                </c:pt>
                <c:pt idx="29">
                  <c:v>0.47444170588235313</c:v>
                </c:pt>
                <c:pt idx="30">
                  <c:v>0.49080176470588255</c:v>
                </c:pt>
                <c:pt idx="31">
                  <c:v>0.50716182352941197</c:v>
                </c:pt>
                <c:pt idx="32">
                  <c:v>0.52352188235294139</c:v>
                </c:pt>
                <c:pt idx="33">
                  <c:v>0.53988194117647081</c:v>
                </c:pt>
                <c:pt idx="34">
                  <c:v>0.55624200000000001</c:v>
                </c:pt>
              </c:numCache>
            </c:numRef>
          </c:cat>
          <c:val>
            <c:numRef>
              <c:f>'Overall Metrics'!$O$2:$O$41</c:f>
              <c:numCache>
                <c:formatCode>General</c:formatCode>
                <c:ptCount val="40"/>
                <c:pt idx="0">
                  <c:v>83</c:v>
                </c:pt>
                <c:pt idx="1">
                  <c:v>20</c:v>
                </c:pt>
                <c:pt idx="2">
                  <c:v>37</c:v>
                </c:pt>
                <c:pt idx="3">
                  <c:v>19</c:v>
                </c:pt>
                <c:pt idx="4">
                  <c:v>14</c:v>
                </c:pt>
                <c:pt idx="5">
                  <c:v>8</c:v>
                </c:pt>
                <c:pt idx="6">
                  <c:v>1</c:v>
                </c:pt>
                <c:pt idx="7">
                  <c:v>6</c:v>
                </c:pt>
                <c:pt idx="8">
                  <c:v>1</c:v>
                </c:pt>
                <c:pt idx="9">
                  <c:v>1</c:v>
                </c:pt>
                <c:pt idx="10">
                  <c:v>3</c:v>
                </c:pt>
                <c:pt idx="11">
                  <c:v>1</c:v>
                </c:pt>
                <c:pt idx="12">
                  <c:v>0</c:v>
                </c:pt>
                <c:pt idx="13">
                  <c:v>1</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F9BC-4289-9499-24E5F9EA9113}"/>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87</c:v>
                </c:pt>
              </c:strCache>
            </c:strRef>
          </c:tx>
          <c:spPr>
            <a:solidFill>
              <a:schemeClr val="accent1"/>
            </a:solidFill>
          </c:spPr>
          <c:invertIfNegative val="0"/>
          <c:cat>
            <c:numRef>
              <c:f>'Overall Metrics'!$R$2:$R$41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Metrics'!$S$2:$S$41</c:f>
              <c:numCache>
                <c:formatCode>General</c:formatCode>
                <c:ptCount val="40"/>
                <c:pt idx="0">
                  <c:v>87</c:v>
                </c:pt>
                <c:pt idx="1">
                  <c:v>5</c:v>
                </c:pt>
                <c:pt idx="2">
                  <c:v>5</c:v>
                </c:pt>
                <c:pt idx="3">
                  <c:v>5</c:v>
                </c:pt>
                <c:pt idx="4">
                  <c:v>1</c:v>
                </c:pt>
                <c:pt idx="5">
                  <c:v>10</c:v>
                </c:pt>
                <c:pt idx="6">
                  <c:v>4</c:v>
                </c:pt>
                <c:pt idx="7">
                  <c:v>3</c:v>
                </c:pt>
                <c:pt idx="8">
                  <c:v>13</c:v>
                </c:pt>
                <c:pt idx="9">
                  <c:v>1</c:v>
                </c:pt>
                <c:pt idx="10">
                  <c:v>1</c:v>
                </c:pt>
                <c:pt idx="11">
                  <c:v>20</c:v>
                </c:pt>
                <c:pt idx="12">
                  <c:v>0</c:v>
                </c:pt>
                <c:pt idx="13">
                  <c:v>1</c:v>
                </c:pt>
                <c:pt idx="14">
                  <c:v>1</c:v>
                </c:pt>
                <c:pt idx="15">
                  <c:v>1</c:v>
                </c:pt>
                <c:pt idx="16">
                  <c:v>0</c:v>
                </c:pt>
                <c:pt idx="17">
                  <c:v>27</c:v>
                </c:pt>
                <c:pt idx="18">
                  <c:v>0</c:v>
                </c:pt>
                <c:pt idx="19">
                  <c:v>3</c:v>
                </c:pt>
                <c:pt idx="20">
                  <c:v>0</c:v>
                </c:pt>
                <c:pt idx="21">
                  <c:v>0</c:v>
                </c:pt>
                <c:pt idx="22">
                  <c:v>3</c:v>
                </c:pt>
                <c:pt idx="23">
                  <c:v>0</c:v>
                </c:pt>
                <c:pt idx="24">
                  <c:v>0</c:v>
                </c:pt>
                <c:pt idx="25">
                  <c:v>0</c:v>
                </c:pt>
                <c:pt idx="26">
                  <c:v>0</c:v>
                </c:pt>
                <c:pt idx="27">
                  <c:v>0</c:v>
                </c:pt>
                <c:pt idx="28">
                  <c:v>0</c:v>
                </c:pt>
                <c:pt idx="29">
                  <c:v>0</c:v>
                </c:pt>
                <c:pt idx="30">
                  <c:v>0</c:v>
                </c:pt>
                <c:pt idx="31">
                  <c:v>0</c:v>
                </c:pt>
                <c:pt idx="32">
                  <c:v>0</c:v>
                </c:pt>
                <c:pt idx="33">
                  <c:v>0</c:v>
                </c:pt>
                <c:pt idx="34">
                  <c:v>6</c:v>
                </c:pt>
              </c:numCache>
            </c:numRef>
          </c:val>
          <c:extLst>
            <c:ext xmlns:c16="http://schemas.microsoft.com/office/drawing/2014/chart" uri="{C3380CC4-5D6E-409C-BE32-E72D297353CC}">
              <c16:uniqueId val="{00000000-2CA2-4A95-AD4D-84AA6F00F65F}"/>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165</c:v>
                </c:pt>
              </c:strCache>
            </c:strRef>
          </c:tx>
          <c:spPr>
            <a:solidFill>
              <a:schemeClr val="accent1"/>
            </a:solidFill>
          </c:spPr>
          <c:invertIfNegative val="0"/>
          <c:cat>
            <c:numRef>
              <c:f>'Overall Metrics'!$R$2:$R$41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Metrics'!$Q$2:$Q$41</c:f>
              <c:numCache>
                <c:formatCode>General</c:formatCode>
                <c:ptCount val="40"/>
                <c:pt idx="0">
                  <c:v>165</c:v>
                </c:pt>
                <c:pt idx="1">
                  <c:v>17</c:v>
                </c:pt>
                <c:pt idx="2">
                  <c:v>6</c:v>
                </c:pt>
                <c:pt idx="3">
                  <c:v>5</c:v>
                </c:pt>
                <c:pt idx="4">
                  <c:v>0</c:v>
                </c:pt>
                <c:pt idx="5">
                  <c:v>1</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9D53-4065-9076-9989D5A12B5C}"/>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44F-43A8-99C0-F75BD2E55E79}"/>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B622" totalsRowShown="0" headerRowDxfId="212" dataDxfId="155">
  <autoFilter ref="A2:BB622" xr:uid="{00000000-0009-0000-0100-000001000000}"/>
  <tableColumns count="54">
    <tableColumn id="1" xr3:uid="{00000000-0010-0000-0000-000001000000}" name="Vertex 1" dataDxfId="140" dataCellStyle="NodeXL Required"/>
    <tableColumn id="2" xr3:uid="{00000000-0010-0000-0000-000002000000}" name="Vertex 2" dataDxfId="138" dataCellStyle="NodeXL Required"/>
    <tableColumn id="3" xr3:uid="{00000000-0010-0000-0000-000003000000}" name="Color" dataDxfId="139" dataCellStyle="NodeXL Visual Property"/>
    <tableColumn id="4" xr3:uid="{00000000-0010-0000-0000-000004000000}" name="Width" dataDxfId="164" dataCellStyle="NodeXL Visual Property"/>
    <tableColumn id="11" xr3:uid="{00000000-0010-0000-0000-00000B000000}" name="Style" dataDxfId="163" dataCellStyle="NodeXL Visual Property"/>
    <tableColumn id="5" xr3:uid="{00000000-0010-0000-0000-000005000000}" name="Opacity" dataDxfId="162" dataCellStyle="NodeXL Visual Property"/>
    <tableColumn id="6" xr3:uid="{00000000-0010-0000-0000-000006000000}" name="Visibility" dataDxfId="161" dataCellStyle="NodeXL Visual Property"/>
    <tableColumn id="10" xr3:uid="{00000000-0010-0000-0000-00000A000000}" name="Label" dataDxfId="160" dataCellStyle="NodeXL Label"/>
    <tableColumn id="12" xr3:uid="{00000000-0010-0000-0000-00000C000000}" name="Label Text Color" dataDxfId="159" dataCellStyle="NodeXL Label"/>
    <tableColumn id="13" xr3:uid="{00000000-0010-0000-0000-00000D000000}" name="Label Font Size" dataDxfId="158" dataCellStyle="NodeXL Label"/>
    <tableColumn id="14" xr3:uid="{00000000-0010-0000-0000-00000E000000}" name="Reciprocated?" dataDxfId="67" dataCellStyle="NodeXL Graph Metric"/>
    <tableColumn id="7" xr3:uid="{00000000-0010-0000-0000-000007000000}" name="ID" dataDxfId="157" dataCellStyle="NodeXL Do Not Edit"/>
    <tableColumn id="9" xr3:uid="{00000000-0010-0000-0000-000009000000}" name="Dynamic Filter" dataDxfId="156" dataCellStyle="NodeXL Do Not Edit"/>
    <tableColumn id="8" xr3:uid="{00000000-0010-0000-0000-000008000000}" name="Add Your Own Columns Here" dataDxfId="137" dataCellStyle="NodeXL Other Column"/>
    <tableColumn id="15" xr3:uid="{A68BCF67-2C63-4805-9F02-4DB06617E0E5}" name="Relationship" dataDxfId="136" dataCellStyle="Normal"/>
    <tableColumn id="16" xr3:uid="{C06ED95F-3606-4A12-9E77-E7A515B028BD}" name="Relationship Date (UTC)" dataDxfId="135" dataCellStyle="Normal"/>
    <tableColumn id="17" xr3:uid="{5A004FC4-0441-47FC-B601-763F1F3C0573}" name="Tweet" dataDxfId="134" dataCellStyle="Normal"/>
    <tableColumn id="18" xr3:uid="{0C8650A4-F8BD-402F-A3F6-0628A6571B54}" name="URLs in Tweet" dataDxfId="133" dataCellStyle="Normal"/>
    <tableColumn id="19" xr3:uid="{9A156263-EC32-46B7-BB71-969DD4EFABD6}" name="Domains in Tweet" dataDxfId="132" dataCellStyle="Normal"/>
    <tableColumn id="20" xr3:uid="{FD89E7FD-20E7-4B62-8A42-A6865F33B1D1}" name="Hashtags in Tweet" dataDxfId="131" dataCellStyle="Normal"/>
    <tableColumn id="21" xr3:uid="{9A8E2581-D859-41E6-B5B4-42DDB12A83A2}" name="Media in Tweet" dataDxfId="130" dataCellStyle="Normal"/>
    <tableColumn id="22" xr3:uid="{3D6BC82F-BA4A-45D9-8F12-F5911F49EA7E}" name="Tweet Image File" dataDxfId="129" dataCellStyle="Normal"/>
    <tableColumn id="23" xr3:uid="{D1D3C86D-EB06-42C4-ABB3-0751236F6951}" name="Tweet Date (UTC)" dataDxfId="128" dataCellStyle="Normal"/>
    <tableColumn id="24" xr3:uid="{48D797D6-1064-48B0-8522-FB22AD174B9D}" name="Date" dataDxfId="127" dataCellStyle="Normal"/>
    <tableColumn id="25" xr3:uid="{8FF91798-F3C7-45DA-A194-E78B7BB28E37}" name="Time" dataDxfId="126" dataCellStyle="Normal"/>
    <tableColumn id="26" xr3:uid="{A1D16C64-6C64-48A1-852D-ADB21EDDBAEA}" name="Twitter Page for Tweet" dataDxfId="125" dataCellStyle="Normal"/>
    <tableColumn id="27" xr3:uid="{5EC2C400-8F28-4A76-8658-B5FCB0879DBF}" name="Latitude" dataDxfId="124" dataCellStyle="Normal"/>
    <tableColumn id="28" xr3:uid="{20FDAFE8-5329-4CE0-A426-F04C98754514}" name="Longitude" dataDxfId="123" dataCellStyle="Normal"/>
    <tableColumn id="29" xr3:uid="{22685496-DB47-4087-8269-ED1837B2D2BC}" name="Imported ID" dataDxfId="122" dataCellStyle="Normal"/>
    <tableColumn id="30" xr3:uid="{EBFA74CD-ECD8-4308-B310-FA8BDBE6B48A}" name="In-Reply-To Tweet ID" dataDxfId="121" dataCellStyle="Normal"/>
    <tableColumn id="31" xr3:uid="{818027DB-D12D-43A4-8A18-58C188EA09AA}" name="Favorited" dataDxfId="120" dataCellStyle="Normal"/>
    <tableColumn id="32" xr3:uid="{BB65B837-1F3F-44AD-AB32-04EE7EFB53C0}" name="Favorite Count" dataDxfId="119" dataCellStyle="Normal"/>
    <tableColumn id="33" xr3:uid="{4ABF7838-57B3-4AAC-A5A8-55C98EDE08E4}" name="In-Reply-To User ID" dataDxfId="118" dataCellStyle="Normal"/>
    <tableColumn id="34" xr3:uid="{A8265B1C-0BB2-4F78-9AB2-9D821874BBDA}" name="Is Quote Status" dataDxfId="117" dataCellStyle="Normal"/>
    <tableColumn id="35" xr3:uid="{EDF3E6F1-B7A4-48D1-8EB3-F858494D794C}" name="Language" dataDxfId="116" dataCellStyle="Normal"/>
    <tableColumn id="36" xr3:uid="{5C05B736-F8CC-45AD-B09F-ED66DC6A3010}" name="Possibly Sensitive" dataDxfId="115" dataCellStyle="Normal"/>
    <tableColumn id="37" xr3:uid="{C20A8557-9EA2-4DEA-A845-2DF159C44DAD}" name="Quoted Status ID" dataDxfId="114" dataCellStyle="Normal"/>
    <tableColumn id="38" xr3:uid="{CEB943AD-AF56-445B-9746-F4EB55E19D6D}" name="Retweeted" dataDxfId="113" dataCellStyle="Normal"/>
    <tableColumn id="39" xr3:uid="{9F96EBC7-0D22-4527-98B0-6C3CC0724EA8}" name="Retweet Count" dataDxfId="112" dataCellStyle="Normal"/>
    <tableColumn id="40" xr3:uid="{B855F11F-4A14-4394-BE1B-B63ACFECAC3A}" name="Retweet ID" dataDxfId="111" dataCellStyle="Normal"/>
    <tableColumn id="41" xr3:uid="{6CFF2BA6-0BFC-44E1-B138-C7DB1A114D68}" name="Source" dataDxfId="110" dataCellStyle="Normal"/>
    <tableColumn id="42" xr3:uid="{EF0B7B56-F556-4DC7-BD3B-96E0A3280948}" name="Truncated" dataDxfId="109" dataCellStyle="Normal"/>
    <tableColumn id="43" xr3:uid="{025F066F-2E95-4767-A215-A4C369164F33}" name="Unified Twitter ID" dataDxfId="108" dataCellStyle="Normal"/>
    <tableColumn id="44" xr3:uid="{040A8ED0-C310-4633-8374-633AF5A024B0}" name="Imported Tweet Type" dataDxfId="107" dataCellStyle="Normal"/>
    <tableColumn id="45" xr3:uid="{544437D9-36FC-4144-A98C-427B4E8B410A}" name="Added By Extended Analysis" dataDxfId="106" dataCellStyle="Normal"/>
    <tableColumn id="46" xr3:uid="{67C78944-3982-45BF-BECC-CFB7E7CDD353}" name="Corrected By Extended Analysis" dataDxfId="105" dataCellStyle="Normal"/>
    <tableColumn id="47" xr3:uid="{12EEAC55-6D23-4454-A571-94F9875C224D}" name="Place Bounding Box" dataDxfId="104" dataCellStyle="Normal"/>
    <tableColumn id="48" xr3:uid="{2CD35179-C936-4A12-9F93-1CBAB9AD19AB}" name="Place Country" dataDxfId="103" dataCellStyle="Normal"/>
    <tableColumn id="49" xr3:uid="{B09DBABF-86DD-4513-B264-C76F349B5AF5}" name="Place Country Code" dataDxfId="102" dataCellStyle="Normal"/>
    <tableColumn id="50" xr3:uid="{D10A7559-CF0A-4862-B770-9C4D32D2DC69}" name="Place Full Name" dataDxfId="101" dataCellStyle="Normal"/>
    <tableColumn id="51" xr3:uid="{F7330CDA-6729-44A9-AE28-608813E2FA44}" name="Place ID" dataDxfId="100" dataCellStyle="Normal"/>
    <tableColumn id="52" xr3:uid="{D4BDD57D-F009-4DE9-BC2F-686C6F494D3E}" name="Place Name" dataDxfId="99" dataCellStyle="Normal"/>
    <tableColumn id="53" xr3:uid="{81896DE2-D883-45A6-99E7-AF4B7E92B5B4}" name="Place Type" dataDxfId="98" dataCellStyle="Normal"/>
    <tableColumn id="54" xr3:uid="{19676E51-ACA7-47CD-8FA5-2CCE7747C3D6}" name="Place URL" dataDxfId="97"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65">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BC68DAF-EE66-4946-91E7-45B42971A425}" name="TwitterSearchNetworkTopItems_1" displayName="TwitterSearchNetworkTopItems_1" ref="A1:B11" totalsRowShown="0" headerRowDxfId="66" dataDxfId="65" dataCellStyle="Normal">
  <autoFilter ref="A1:B11" xr:uid="{1654BE73-F082-4305-8118-69CF400D6F0A}"/>
  <tableColumns count="2">
    <tableColumn id="1" xr3:uid="{41D4453A-A32D-47BE-AB53-15C82B5D40B8}" name="Top URLs in Tweet in Entire Graph" dataDxfId="64" dataCellStyle="Normal"/>
    <tableColumn id="2" xr3:uid="{FF693975-A063-437B-BEC5-3068D054F4D2}" name="Entire Graph Count" dataDxfId="63"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43C0555-D94D-413C-BBB0-3484AEA4C532}" name="TwitterSearchNetworkTopItems_2" displayName="TwitterSearchNetworkTopItems_2" ref="A14:B24" totalsRowShown="0" headerRowDxfId="61" dataDxfId="60" dataCellStyle="Normal">
  <autoFilter ref="A14:B24" xr:uid="{26874D15-AF4A-4F9F-A298-962F910D748C}"/>
  <tableColumns count="2">
    <tableColumn id="1" xr3:uid="{B0AE75D2-A6D6-4731-A728-94CE2B304882}" name="Top Domains in Tweet in Entire Graph" dataDxfId="59" dataCellStyle="Normal"/>
    <tableColumn id="2" xr3:uid="{BD0EE65B-1B7F-4E28-ABA9-E114684C0567}" name="Entire Graph Count" dataDxfId="58"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4CCE1B-4D98-4C40-9B2F-DC801C43EB78}" name="TwitterSearchNetworkTopItems_3" displayName="TwitterSearchNetworkTopItems_3" ref="A27:B37" totalsRowShown="0" headerRowDxfId="56" dataDxfId="55" dataCellStyle="Normal">
  <autoFilter ref="A27:B37" xr:uid="{D9DF760E-BD35-4A99-A9A0-18568C4FB0B4}"/>
  <tableColumns count="2">
    <tableColumn id="1" xr3:uid="{6C94BC85-A0C1-41D2-8999-E6CAB2D77DA2}" name="Top Hashtags in Tweet in Entire Graph" dataDxfId="54" dataCellStyle="Normal"/>
    <tableColumn id="2" xr3:uid="{5A3D59F5-91D6-4310-BC58-4AF4EE5B164B}" name="Entire Graph Count" dataDxfId="53"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D899C85-D826-4648-9D7B-94421CD4E545}" name="TwitterSearchNetworkTopItems_4" displayName="TwitterSearchNetworkTopItems_4" ref="A40:B50" totalsRowShown="0" headerRowDxfId="51" dataDxfId="50" dataCellStyle="Normal">
  <autoFilter ref="A40:B50" xr:uid="{51C0875F-1E75-49C0-8619-A246AFB647E4}"/>
  <tableColumns count="2">
    <tableColumn id="1" xr3:uid="{A57E14A5-FCC5-4731-A103-40680C60F7BF}" name="Top Words in Tweet in Entire Graph" dataDxfId="49" dataCellStyle="Normal"/>
    <tableColumn id="2" xr3:uid="{3C4B9713-5064-4B0A-AF25-13B3FF33E0A3}" name="Entire Graph Count" dataDxfId="48"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ECE3333-A8F5-402B-82C6-8D25FB16556B}" name="TwitterSearchNetworkTopItems_5" displayName="TwitterSearchNetworkTopItems_5" ref="A53:B63" totalsRowShown="0" headerRowDxfId="46" dataDxfId="45" dataCellStyle="Normal">
  <autoFilter ref="A53:B63" xr:uid="{B60F5CE4-BC32-4612-8C8D-65ED3FD26DB7}"/>
  <tableColumns count="2">
    <tableColumn id="1" xr3:uid="{0C673323-5D3B-49ED-9770-14520FBD9F7E}" name="Top Word Pairs in Tweet in Entire Graph" dataDxfId="44" dataCellStyle="Normal"/>
    <tableColumn id="2" xr3:uid="{459C8F7E-9B87-49FC-8638-C19B90B007E0}" name="Entire Graph Count" dataDxfId="43"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E6D019-B4EB-4925-BC83-84A3AD00E2C4}" name="TwitterSearchNetworkTopItems_6" displayName="TwitterSearchNetworkTopItems_6" ref="A66:B69" totalsRowShown="0" headerRowDxfId="41" dataDxfId="40" dataCellStyle="Normal">
  <autoFilter ref="A66:B69" xr:uid="{A8A91B0B-8C17-42B1-AA5B-3A2F1FD28BE4}"/>
  <tableColumns count="2">
    <tableColumn id="1" xr3:uid="{83F40776-BF50-4B84-AAD8-8450741EB79E}" name="Top Replied-To in Entire Graph" dataDxfId="39" dataCellStyle="Normal"/>
    <tableColumn id="2" xr3:uid="{B8A4E633-C8D2-4EF2-9D66-6B3C01253DB9}" name="Entire Graph Count" dataDxfId="38"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203AA82-5413-4F1B-8D00-B0E1C48B8B01}" name="TwitterSearchNetworkTopItems_7" displayName="TwitterSearchNetworkTopItems_7" ref="A72:B82" totalsRowShown="0" headerRowDxfId="37" dataDxfId="36" dataCellStyle="Normal">
  <autoFilter ref="A72:B82" xr:uid="{384B0B58-F4EE-4456-A79D-553C1D6D2677}"/>
  <tableColumns count="2">
    <tableColumn id="1" xr3:uid="{B3B02A47-5434-4986-ADEF-33836B7E0552}" name="Top Mentioned in Entire Graph" dataDxfId="35" dataCellStyle="Normal"/>
    <tableColumn id="2" xr3:uid="{0A163AEE-9331-43E8-BA0E-29B1A046DDC9}" name="Entire Graph Count" dataDxfId="34"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3346B65-0064-44AF-AEE6-0A0BBCB669D7}" name="TwitterSearchNetworkTopItems_8" displayName="TwitterSearchNetworkTopItems_8" ref="A85:B95" totalsRowShown="0" headerRowDxfId="31" dataDxfId="30" dataCellStyle="Normal">
  <autoFilter ref="A85:B95" xr:uid="{18EEE451-3305-4809-8241-515D02DD902B}"/>
  <tableColumns count="2">
    <tableColumn id="1" xr3:uid="{59CE1B2A-9301-42D4-9315-0B121C5BDC31}" name="Top Tweeters in Entire Graph" dataDxfId="29" dataCellStyle="Normal"/>
    <tableColumn id="2" xr3:uid="{882B1DEF-A8DE-4017-B35C-03EFBA8C7FE9}" name="Entire Graph Count" dataDxfId="28" dataCellStyle="Normal"/>
  </tableColumns>
  <tableStyleInfo name="NodeXL 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33A600E-09CC-4A1B-8804-EA4F7B69B603}" name="ExportOptions" displayName="ExportOptions" ref="A1:B7" totalsRowShown="0" headerRowDxfId="12" dataDxfId="11" dataCellStyle="Normal">
  <autoFilter ref="A1:B7" xr:uid="{53384C00-8967-4CF3-B129-18DF59873561}"/>
  <tableColumns count="2">
    <tableColumn id="1" xr3:uid="{2DA44FD8-2DFC-4068-B4D7-D918923BF1D2}" name="Key" dataDxfId="10" dataCellStyle="Normal"/>
    <tableColumn id="2" xr3:uid="{9B2D21E2-B612-4BA3-9D74-D8094DDC2F66}" name="Value" dataDxfId="9"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J199" totalsRowShown="0" headerRowDxfId="211" dataDxfId="141">
  <autoFilter ref="A2:BJ199" xr:uid="{00000000-0009-0000-0100-000002000000}"/>
  <tableColumns count="62">
    <tableColumn id="1" xr3:uid="{00000000-0010-0000-0100-000001000000}" name="Vertex" dataDxfId="154" dataCellStyle="NodeXL Required"/>
    <tableColumn id="2" xr3:uid="{00000000-0010-0000-0100-000002000000}" name="Color" dataDxfId="153" dataCellStyle="NodeXL Visual Property"/>
    <tableColumn id="5" xr3:uid="{00000000-0010-0000-0100-000005000000}" name="Shape" dataDxfId="152" dataCellStyle="NodeXL Visual Property"/>
    <tableColumn id="6" xr3:uid="{00000000-0010-0000-0100-000006000000}" name="Size" dataDxfId="151" dataCellStyle="NodeXL Visual Property"/>
    <tableColumn id="4" xr3:uid="{00000000-0010-0000-0100-000004000000}" name="Opacity" dataDxfId="76" dataCellStyle="NodeXL Visual Property"/>
    <tableColumn id="7" xr3:uid="{00000000-0010-0000-0100-000007000000}" name="Image File" dataDxfId="74" dataCellStyle="NodeXL Visual Property"/>
    <tableColumn id="3" xr3:uid="{00000000-0010-0000-0100-000003000000}" name="Visibility" dataDxfId="75" dataCellStyle="NodeXL Visual Property"/>
    <tableColumn id="10" xr3:uid="{00000000-0010-0000-0100-00000A000000}" name="Label" dataDxfId="150" dataCellStyle="NodeXL Label"/>
    <tableColumn id="16" xr3:uid="{00000000-0010-0000-0100-000010000000}" name="Label Fill Color" dataDxfId="149" dataCellStyle="NodeXL Label"/>
    <tableColumn id="9" xr3:uid="{00000000-0010-0000-0100-000009000000}" name="Label Position" dataDxfId="70" dataCellStyle="NodeXL Label"/>
    <tableColumn id="8" xr3:uid="{00000000-0010-0000-0100-000008000000}" name="Tooltip" dataDxfId="68" dataCellStyle="NodeXL Label"/>
    <tableColumn id="18" xr3:uid="{00000000-0010-0000-0100-000012000000}" name="Layout Order" dataDxfId="69" dataCellStyle="NodeXL Layout"/>
    <tableColumn id="13" xr3:uid="{00000000-0010-0000-0100-00000D000000}" name="X" dataDxfId="148" dataCellStyle="NodeXL Layout"/>
    <tableColumn id="14" xr3:uid="{00000000-0010-0000-0100-00000E000000}" name="Y" dataDxfId="147" dataCellStyle="NodeXL Layout"/>
    <tableColumn id="12" xr3:uid="{00000000-0010-0000-0100-00000C000000}" name="Locked?" dataDxfId="146" dataCellStyle="NodeXL Layout"/>
    <tableColumn id="19" xr3:uid="{00000000-0010-0000-0100-000013000000}" name="Polar R" dataDxfId="145" dataCellStyle="NodeXL Layout"/>
    <tableColumn id="20" xr3:uid="{00000000-0010-0000-0100-000014000000}" name="Polar Angle" dataDxfId="144" dataCellStyle="NodeXL Layout"/>
    <tableColumn id="21" xr3:uid="{00000000-0010-0000-0100-000015000000}" name="Degree" dataDxfId="6" dataCellStyle="NodeXL Graph Metric"/>
    <tableColumn id="22" xr3:uid="{00000000-0010-0000-0100-000016000000}" name="In-Degree" dataDxfId="5" dataCellStyle="NodeXL Graph Metric"/>
    <tableColumn id="23" xr3:uid="{00000000-0010-0000-0100-000017000000}" name="Out-Degree" dataDxfId="3" dataCellStyle="NodeXL Graph Metric"/>
    <tableColumn id="24" xr3:uid="{00000000-0010-0000-0100-000018000000}" name="Betweenness Centrality" dataDxfId="4" dataCellStyle="NodeXL Graph Metric"/>
    <tableColumn id="25" xr3:uid="{00000000-0010-0000-0100-000019000000}" name="Closeness Centrality" dataDxfId="8" dataCellStyle="NodeXL Graph Metric"/>
    <tableColumn id="26" xr3:uid="{00000000-0010-0000-0100-00001A000000}" name="Eigenvector Centrality" dataDxfId="7" dataCellStyle="NodeXL Graph Metric"/>
    <tableColumn id="15" xr3:uid="{00000000-0010-0000-0100-00000F000000}" name="PageRank" dataDxfId="2" dataCellStyle="NodeXL Graph Metric"/>
    <tableColumn id="27" xr3:uid="{00000000-0010-0000-0100-00001B000000}" name="Clustering Coefficient" dataDxfId="0" dataCellStyle="NodeXL Graph Metric"/>
    <tableColumn id="29" xr3:uid="{00000000-0010-0000-0100-00001D000000}" name="Reciprocated Vertex Pair Ratio" dataDxfId="1" dataCellStyle="NodeXL Graph Metric"/>
    <tableColumn id="11" xr3:uid="{00000000-0010-0000-0100-00000B000000}" name="ID" dataDxfId="143" dataCellStyle="NodeXL Do Not Edit"/>
    <tableColumn id="28" xr3:uid="{00000000-0010-0000-0100-00001C000000}" name="Dynamic Filter" dataDxfId="142" dataCellStyle="NodeXL Do Not Edit"/>
    <tableColumn id="17" xr3:uid="{00000000-0010-0000-0100-000011000000}" name="Add Your Own Columns Here" dataDxfId="96" dataCellStyle="NodeXL Other Column"/>
    <tableColumn id="30" xr3:uid="{73BA7C5E-DB14-45D4-9225-A62346076148}" name="Name" dataDxfId="95" dataCellStyle="Normal"/>
    <tableColumn id="31" xr3:uid="{E862BB0B-5707-4ABE-BC9C-667365BC0EA5}" name="User ID" dataDxfId="94" dataCellStyle="Normal"/>
    <tableColumn id="32" xr3:uid="{2A98A382-0CD0-4F54-BFB1-FC635FB4C73D}" name="Followed" dataDxfId="93" dataCellStyle="Normal"/>
    <tableColumn id="33" xr3:uid="{0132DE70-8149-40BB-8A54-27B033A08A83}" name="Followers" dataDxfId="92" dataCellStyle="Normal"/>
    <tableColumn id="34" xr3:uid="{32C3A6AA-57CA-4ABE-BFC8-F6C4884F30BE}" name="Tweets" dataDxfId="91" dataCellStyle="Normal"/>
    <tableColumn id="35" xr3:uid="{72DCEF50-1058-4FE7-9DFD-C0429EC37C43}" name="Favorites" dataDxfId="90" dataCellStyle="Normal"/>
    <tableColumn id="36" xr3:uid="{3F4B54F7-FA66-4BA3-95F8-39F94D9F1D37}" name="Time Zone UTC Offset (Seconds)" dataDxfId="89" dataCellStyle="Normal"/>
    <tableColumn id="37" xr3:uid="{3E7F740C-32AC-4D0D-B38E-BCD8DF735CAE}" name="Description" dataDxfId="88" dataCellStyle="Normal"/>
    <tableColumn id="38" xr3:uid="{4490F9C9-DB9B-4EDC-9C84-A535B6C7A17D}" name="Location" dataDxfId="87" dataCellStyle="Normal"/>
    <tableColumn id="39" xr3:uid="{DE44F270-715F-4AD1-96DA-67F2CD40FEC1}" name="Web" dataDxfId="86" dataCellStyle="Normal"/>
    <tableColumn id="40" xr3:uid="{8BA22029-055D-46A3-8E0C-3F28A884CA39}" name="Time Zone" dataDxfId="85" dataCellStyle="Normal"/>
    <tableColumn id="41" xr3:uid="{010B7878-4EF3-411B-9AF1-919FB57B48BE}" name="Joined Twitter Date (UTC)" dataDxfId="84" dataCellStyle="Normal"/>
    <tableColumn id="42" xr3:uid="{0E7FF8B7-3DD0-4107-B2B2-4D1FB0148FF2}" name="Profile Banner Url" dataDxfId="83" dataCellStyle="Normal"/>
    <tableColumn id="43" xr3:uid="{631435E1-743A-4D25-AEEA-45919DF71A13}" name="Default Profile" dataDxfId="82" dataCellStyle="Normal"/>
    <tableColumn id="44" xr3:uid="{F8D26FA1-5FC7-4CF1-B234-B56C5299A5A3}" name="Default Profile Image" dataDxfId="81" dataCellStyle="Normal"/>
    <tableColumn id="45" xr3:uid="{792D7F78-3DF1-4331-BC8B-A6AEEC5B3579}" name="Geo Enabled" dataDxfId="80" dataCellStyle="Normal"/>
    <tableColumn id="46" xr3:uid="{E597A2D5-7D1B-4030-AF70-F3B45C73B87B}" name="Language" dataDxfId="79" dataCellStyle="Normal"/>
    <tableColumn id="47" xr3:uid="{087FDE8A-A715-4CB0-9614-076E9148D74A}" name="Listed Count" dataDxfId="78" dataCellStyle="Normal"/>
    <tableColumn id="48" xr3:uid="{F2F6CF25-6192-46EC-BBF8-AF4255EE34AA}" name="Profile Background Image Url" dataDxfId="77" dataCellStyle="Normal"/>
    <tableColumn id="49" xr3:uid="{DBDB3D3E-9C1A-418B-97E9-AB231134A7D2}" name="Verified" dataDxfId="73" dataCellStyle="Normal"/>
    <tableColumn id="50" xr3:uid="{45AA72D7-5118-4B12-AF39-30122AE8F797}" name="Custom Menu Item Text" dataDxfId="72" dataCellStyle="Normal"/>
    <tableColumn id="51" xr3:uid="{96A8B1F6-9EE5-43F3-9DA1-4A66BF935B22}" name="Custom Menu Item Action" dataDxfId="71" dataCellStyle="Normal"/>
    <tableColumn id="52" xr3:uid="{379D46F9-7E6C-473A-B525-890F2E0FCE8C}" name="Tweeted Search Term?" dataDxfId="25" dataCellStyle="Normal"/>
    <tableColumn id="53" xr3:uid="{AF14BE41-1ADD-44B1-ADEA-24288B2B60E6}" name="Top URLs in Tweet by Count" dataDxfId="24" dataCellStyle="NodeXL Graph Metric"/>
    <tableColumn id="54" xr3:uid="{16936B98-3156-4095-8680-A01EFD83B232}" name="Top URLs in Tweet by Salience" dataDxfId="23" dataCellStyle="NodeXL Graph Metric"/>
    <tableColumn id="55" xr3:uid="{408A1697-50CD-4D04-9002-AC9A08648937}" name="Top Domains in Tweet by Count" dataDxfId="22" dataCellStyle="NodeXL Graph Metric"/>
    <tableColumn id="56" xr3:uid="{EE296D7F-0002-42C9-B7B4-10F5F08E5C75}" name="Top Domains in Tweet by Salience" dataDxfId="21" dataCellStyle="NodeXL Graph Metric"/>
    <tableColumn id="57" xr3:uid="{409606D8-9092-4248-9D81-962697174FAA}" name="Top Hashtags in Tweet by Count" dataDxfId="20" dataCellStyle="NodeXL Graph Metric"/>
    <tableColumn id="58" xr3:uid="{E1B3BAE8-9636-4DD2-8F76-4066E346214A}" name="Top Hashtags in Tweet by Salience" dataDxfId="19" dataCellStyle="NodeXL Graph Metric"/>
    <tableColumn id="59" xr3:uid="{605F29E5-D620-4C39-93BD-997A08397225}" name="Top Words in Tweet by Count" dataDxfId="18" dataCellStyle="NodeXL Graph Metric"/>
    <tableColumn id="60" xr3:uid="{06B5EA71-AD84-4905-B22C-4010707F8113}" name="Top Words in Tweet by Salience" dataDxfId="17" dataCellStyle="NodeXL Graph Metric"/>
    <tableColumn id="61" xr3:uid="{7B2695B0-B127-4E27-B78D-90BF8A33C5A2}" name="Top Word Pairs in Tweet by Count" dataDxfId="16" dataCellStyle="NodeXL Graph Metric"/>
    <tableColumn id="62" xr3:uid="{E6B8A16C-93C9-492B-8659-8CD5CA67B86C}" name="Top Word Pairs in Tweet by Salience" dataDxfId="15"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3" insertRow="1" totalsRowShown="0" headerRowDxfId="210">
  <autoFilter ref="A2:AF3" xr:uid="{00000000-0009-0000-0100-000004000000}"/>
  <tableColumns count="32">
    <tableColumn id="1" xr3:uid="{00000000-0010-0000-0200-000001000000}" name="Group" dataDxfId="209" dataCellStyle="NodeXL Required"/>
    <tableColumn id="2" xr3:uid="{00000000-0010-0000-0200-000002000000}" name="Vertex Color" dataDxfId="208" dataCellStyle="NodeXL Visual Property"/>
    <tableColumn id="3" xr3:uid="{00000000-0010-0000-0200-000003000000}" name="Vertex Shape" dataDxfId="207" dataCellStyle="NodeXL Visual Property"/>
    <tableColumn id="22" xr3:uid="{00000000-0010-0000-0200-000016000000}" name="Visibility" dataDxfId="206" dataCellStyle="NodeXL Visual Property"/>
    <tableColumn id="4" xr3:uid="{00000000-0010-0000-0200-000004000000}" name="Collapsed?" dataCellStyle="NodeXL Visual Property"/>
    <tableColumn id="18" xr3:uid="{00000000-0010-0000-0200-000012000000}" name="Label" dataDxfId="205"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204" dataCellStyle="NodeXL Do Not Edit"/>
    <tableColumn id="19" xr3:uid="{00000000-0010-0000-0200-000013000000}" name="Collapsed Properties" dataDxfId="203" dataCellStyle="NodeXL Do Not Edit"/>
    <tableColumn id="5" xr3:uid="{00000000-0010-0000-0200-000005000000}" name="Vertices" dataDxfId="202" dataCellStyle="NodeXL Graph Metric"/>
    <tableColumn id="7" xr3:uid="{00000000-0010-0000-0200-000007000000}" name="Unique Edges" dataDxfId="201" dataCellStyle="NodeXL Graph Metric"/>
    <tableColumn id="8" xr3:uid="{00000000-0010-0000-0200-000008000000}" name="Edges With Duplicates" dataDxfId="200" dataCellStyle="NodeXL Graph Metric"/>
    <tableColumn id="9" xr3:uid="{00000000-0010-0000-0200-000009000000}" name="Total Edges" dataDxfId="199" dataCellStyle="NodeXL Graph Metric"/>
    <tableColumn id="10" xr3:uid="{00000000-0010-0000-0200-00000A000000}" name="Self-Loops" dataDxfId="198" dataCellStyle="NodeXL Graph Metric"/>
    <tableColumn id="24" xr3:uid="{00000000-0010-0000-0200-000018000000}" name="Reciprocated Vertex Pair Ratio" dataDxfId="197" dataCellStyle="NodeXL Graph Metric"/>
    <tableColumn id="25" xr3:uid="{00000000-0010-0000-0200-000019000000}" name="Reciprocated Edge Ratio" dataDxfId="196" dataCellStyle="NodeXL Graph Metric"/>
    <tableColumn id="11" xr3:uid="{00000000-0010-0000-0200-00000B000000}" name="Connected Components" dataDxfId="195" dataCellStyle="NodeXL Graph Metric"/>
    <tableColumn id="12" xr3:uid="{00000000-0010-0000-0200-00000C000000}" name="Single-Vertex Connected Components" dataDxfId="194" dataCellStyle="NodeXL Graph Metric"/>
    <tableColumn id="13" xr3:uid="{00000000-0010-0000-0200-00000D000000}" name="Maximum Vertices in a Connected Component" dataDxfId="193" dataCellStyle="NodeXL Graph Metric"/>
    <tableColumn id="14" xr3:uid="{00000000-0010-0000-0200-00000E000000}" name="Maximum Edges in a Connected Component" dataDxfId="192" dataCellStyle="NodeXL Graph Metric"/>
    <tableColumn id="15" xr3:uid="{00000000-0010-0000-0200-00000F000000}" name="Maximum Geodesic Distance (Diameter)" dataDxfId="191" dataCellStyle="NodeXL Graph Metric"/>
    <tableColumn id="16" xr3:uid="{00000000-0010-0000-0200-000010000000}" name="Average Geodesic Distance" dataDxfId="190" dataCellStyle="NodeXL Graph Metric"/>
    <tableColumn id="17" xr3:uid="{00000000-0010-0000-0200-000011000000}" name="Graph Density" dataDxfId="62" dataCellStyle="NodeXL Graph Metric"/>
    <tableColumn id="23" xr3:uid="{B0BF9502-CD0A-4257-BEB2-8D645DD8769C}" name="Top URLs in Tweet" dataDxfId="57" dataCellStyle="Normal"/>
    <tableColumn id="26" xr3:uid="{DFAD1CCE-9F94-47C6-8208-881E52E54A1C}" name="Top Domains in Tweet" dataDxfId="52" dataCellStyle="Normal"/>
    <tableColumn id="27" xr3:uid="{3CDC6A58-1C6D-459D-BB5C-16D3E7A498FB}" name="Top Hashtags in Tweet" dataDxfId="47" dataCellStyle="Normal"/>
    <tableColumn id="28" xr3:uid="{A11D2349-602E-40FB-A115-8413B3A7D275}" name="Top Words in Tweet" dataDxfId="42" dataCellStyle="Normal"/>
    <tableColumn id="29" xr3:uid="{A5836D26-2CAE-4069-B0B1-3238D2479352}" name="Top Word Pairs in Tweet" dataDxfId="33" dataCellStyle="Normal"/>
    <tableColumn id="30" xr3:uid="{7DA66A1A-A6C0-40C5-92AB-DBD7EE139437}" name="Top Replied-To in Tweet" dataDxfId="32" dataCellStyle="Normal"/>
    <tableColumn id="31" xr3:uid="{EAECB5C0-5F49-40EA-8110-9242C9D19DF2}" name="Top Mentioned in Tweet" dataDxfId="27" dataCellStyle="Normal"/>
    <tableColumn id="32" xr3:uid="{02DACEAD-1B3E-4819-BEAA-4EC0332033EF}" name="Top Tweeters" dataDxfId="26"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89" dataDxfId="188">
  <autoFilter ref="A1:C2" xr:uid="{00000000-0009-0000-0100-000005000000}"/>
  <tableColumns count="3">
    <tableColumn id="1" xr3:uid="{00000000-0010-0000-0300-000001000000}" name="Group" dataDxfId="187"/>
    <tableColumn id="2" xr3:uid="{00000000-0010-0000-0300-000002000000}" name="Vertex" dataDxfId="186"/>
    <tableColumn id="3" xr3:uid="{00000000-0010-0000-0300-000003000000}" name="Vertex ID" dataDxfId="18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14" dataCellStyle="NodeXL Graph Metric"/>
    <tableColumn id="2" xr3:uid="{00000000-0010-0000-0400-000002000000}" name="Value" dataDxfId="1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84"/>
    <tableColumn id="2" xr3:uid="{00000000-0010-0000-0500-000002000000}" name="Degree Frequency" dataDxfId="183">
      <calculatedColumnFormula>COUNTIF(Vertices[Degree], "&gt;= " &amp; D2) - COUNTIF(Vertices[Degree], "&gt;=" &amp; D3)</calculatedColumnFormula>
    </tableColumn>
    <tableColumn id="3" xr3:uid="{00000000-0010-0000-0500-000003000000}" name="In-Degree Bin" dataDxfId="182"/>
    <tableColumn id="4" xr3:uid="{00000000-0010-0000-0500-000004000000}" name="In-Degree Frequency" dataDxfId="181">
      <calculatedColumnFormula>COUNTIF(Vertices[In-Degree], "&gt;= " &amp; F2) - COUNTIF(Vertices[In-Degree], "&gt;=" &amp; F3)</calculatedColumnFormula>
    </tableColumn>
    <tableColumn id="5" xr3:uid="{00000000-0010-0000-0500-000005000000}" name="Out-Degree Bin" dataDxfId="180"/>
    <tableColumn id="6" xr3:uid="{00000000-0010-0000-0500-000006000000}" name="Out-Degree Frequency" dataDxfId="179">
      <calculatedColumnFormula>COUNTIF(Vertices[Out-Degree], "&gt;= " &amp; H2) - COUNTIF(Vertices[Out-Degree], "&gt;=" &amp; H3)</calculatedColumnFormula>
    </tableColumn>
    <tableColumn id="7" xr3:uid="{00000000-0010-0000-0500-000007000000}" name="Betweenness Centrality Bin" dataDxfId="178"/>
    <tableColumn id="8" xr3:uid="{00000000-0010-0000-0500-000008000000}" name="Betweenness Centrality Frequency" dataDxfId="177">
      <calculatedColumnFormula>COUNTIF(Vertices[Betweenness Centrality], "&gt;= " &amp; J2) - COUNTIF(Vertices[Betweenness Centrality], "&gt;=" &amp; J3)</calculatedColumnFormula>
    </tableColumn>
    <tableColumn id="9" xr3:uid="{00000000-0010-0000-0500-000009000000}" name="Closeness Centrality Bin" dataDxfId="176"/>
    <tableColumn id="10" xr3:uid="{00000000-0010-0000-0500-00000A000000}" name="Closeness Centrality Frequency" dataDxfId="175">
      <calculatedColumnFormula>COUNTIF(Vertices[Closeness Centrality], "&gt;= " &amp; L2) - COUNTIF(Vertices[Closeness Centrality], "&gt;=" &amp; L3)</calculatedColumnFormula>
    </tableColumn>
    <tableColumn id="11" xr3:uid="{00000000-0010-0000-0500-00000B000000}" name="Eigenvector Centrality Bin" dataDxfId="174"/>
    <tableColumn id="12" xr3:uid="{00000000-0010-0000-0500-00000C000000}" name="Eigenvector Centrality Frequency" dataDxfId="173">
      <calculatedColumnFormula>COUNTIF(Vertices[Eigenvector Centrality], "&gt;= " &amp; N2) - COUNTIF(Vertices[Eigenvector Centrality], "&gt;=" &amp; N3)</calculatedColumnFormula>
    </tableColumn>
    <tableColumn id="18" xr3:uid="{00000000-0010-0000-0500-000012000000}" name="PageRank Bin" dataDxfId="172"/>
    <tableColumn id="17" xr3:uid="{00000000-0010-0000-0500-000011000000}" name="PageRank Frequency" dataDxfId="171">
      <calculatedColumnFormula>COUNTIF(Vertices[Eigenvector Centrality], "&gt;= " &amp; P2) - COUNTIF(Vertices[Eigenvector Centrality], "&gt;=" &amp; P3)</calculatedColumnFormula>
    </tableColumn>
    <tableColumn id="13" xr3:uid="{00000000-0010-0000-0500-00000D000000}" name="Clustering Coefficient Bin" dataDxfId="170"/>
    <tableColumn id="14" xr3:uid="{00000000-0010-0000-0500-00000E000000}" name="Clustering Coefficient Frequency" dataDxfId="169">
      <calculatedColumnFormula>COUNTIF(Vertices[Clustering Coefficient], "&gt;= " &amp; R2) - COUNTIF(Vertices[Clustering Coefficient], "&gt;=" &amp; R3)</calculatedColumnFormula>
    </tableColumn>
    <tableColumn id="15" xr3:uid="{00000000-0010-0000-0500-00000F000000}" name="Dynamic Filter Bin" dataDxfId="168"/>
    <tableColumn id="16" xr3:uid="{00000000-0010-0000-0500-000010000000}" name="Dynamic Filter Frequency" dataDxfId="16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66">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nursing.buffalo.edu/news-events/latest_news.host.html/content/shared/nursing/articles/academic_articles/gaughan-journal-publication.detail.html?utm_source=twitter&amp;utm_medium=social-organic&amp;utm_term=&amp;utm_content=c5975279-1a92-46da-a80c-ff1d4a2711f5&amp;utm_campaign=son-social" TargetMode="External"/><Relationship Id="rId7" Type="http://schemas.openxmlformats.org/officeDocument/2006/relationships/printerSettings" Target="../printerSettings/printerSettings1.bin"/><Relationship Id="rId2" Type="http://schemas.openxmlformats.org/officeDocument/2006/relationships/hyperlink" Target="https://nursing.buffalo.edu/news-events/latest_news.host.html/content/shared/nursing/articles/academic_articles/gaughan-journal-publication.detail.html?utm_source=twitter&amp;utm_medium=social-organic&amp;utm_term=&amp;utm_content=c5975279-1a92-46da-a80c-ff1d4a2711f5&amp;utm_campaign=son-social" TargetMode="External"/><Relationship Id="rId1" Type="http://schemas.openxmlformats.org/officeDocument/2006/relationships/hyperlink" Target="https://nursing.buffalo.edu/news-events/latest_news.host.html/content/shared/nursing/articles/academic_articles/gaughan-journal-publication.detail.html?utm_source=twitter&amp;utm_medium=social-organic&amp;utm_term=&amp;utm_content=c5975279-1a92-46da-a80c-ff1d4a2711f5&amp;utm_campaign=son-social" TargetMode="External"/><Relationship Id="rId6" Type="http://schemas.openxmlformats.org/officeDocument/2006/relationships/hyperlink" Target="https://www.buffalo.edu/coronavirus/bulletins/announcement-host.host.html/content/shared/www/coronavirus/previous-bulletins/b-3-2-22--Mask-mandate-lifted-as-of-March-5.detail.html?utm_source=TWITTER&amp;utm_medium=social&amp;utm_term=20220302&amp;utm_content=100002946820281&amp;utm_campaign=Together+We+Are...&amp;linkId=100000113235795" TargetMode="External"/><Relationship Id="rId5" Type="http://schemas.openxmlformats.org/officeDocument/2006/relationships/hyperlink" Target="https://www.buffalo.edu/coronavirus/bulletins/announcement-host.host.html/content/shared/www/coronavirus/previous-bulletins/b-3-2-22--Mask-mandate-lifted-as-of-March-5.detail.html?utm_source=TWITTER&amp;utm_medium=social&amp;utm_term=20220302&amp;utm_content=100002946820281&amp;utm_campaign=Together+We+Are...&amp;linkId=100000113235795" TargetMode="External"/><Relationship Id="rId10" Type="http://schemas.openxmlformats.org/officeDocument/2006/relationships/comments" Target="../comments1.xml"/><Relationship Id="rId4" Type="http://schemas.openxmlformats.org/officeDocument/2006/relationships/hyperlink" Target="https://nursing.buffalo.edu/news-events/nurses-report.host.html/content/shared/nursing/articles/nurses-report/posts/phd-student-day.detail.html?utm_source=twitter&amp;utm_medium=social-organic&amp;utm_term=&amp;utm_content=58d31467-cb58-4c2b-92cc-47dba31e0633&amp;utm_campaign=son-social"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twitter.com/UBwomenshoops/status/1502367244831150087"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arts-sciences.buffalo.edu/history/news-events/upcoming-events.html" TargetMode="External"/><Relationship Id="rId7" Type="http://schemas.openxmlformats.org/officeDocument/2006/relationships/hyperlink" Target="https://www.buffalo.edu/ubnow/stories/2022/03/true-blue-club.html?utm_source=TWITTER&amp;utm_medium=social&amp;utm_term=20220311&amp;utm_content=100002967585037&amp;utm_campaign=UB+True+Blue&amp;linkId=100000114683785"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buffalohistory.org/event/to-walk-about-in-freedom-lecture/" TargetMode="External"/><Relationship Id="rId16" Type="http://schemas.openxmlformats.org/officeDocument/2006/relationships/table" Target="../tables/table16.xml"/><Relationship Id="rId1" Type="http://schemas.openxmlformats.org/officeDocument/2006/relationships/hyperlink" Target="https://twitter.com/UBAthletics/status/1502708562472148997" TargetMode="External"/><Relationship Id="rId6" Type="http://schemas.openxmlformats.org/officeDocument/2006/relationships/hyperlink" Target="https://buffalo.zoom.us/meeting/register/tJApdu2upz8uH91uWWEt4_SQWWdLuqt6gkng" TargetMode="External"/><Relationship Id="rId11" Type="http://schemas.openxmlformats.org/officeDocument/2006/relationships/table" Target="../tables/table11.xml"/><Relationship Id="rId5" Type="http://schemas.openxmlformats.org/officeDocument/2006/relationships/hyperlink" Target="https://financialaid.buffalo.edu/did-you-know/?utm_source=TWITTER&amp;utm_medium=social&amp;utm_term=20220307&amp;utm_content=100002956838777&amp;utm_campaign=General+Content&amp;linkId=100000113938382" TargetMode="External"/><Relationship Id="rId15" Type="http://schemas.openxmlformats.org/officeDocument/2006/relationships/table" Target="../tables/table15.xml"/><Relationship Id="rId10" Type="http://schemas.openxmlformats.org/officeDocument/2006/relationships/hyperlink" Target="http://www.buffalo.edu/commencement/student-checklists/capsandgowns.html" TargetMode="External"/><Relationship Id="rId4" Type="http://schemas.openxmlformats.org/officeDocument/2006/relationships/hyperlink" Target="https://ubbulls.com/sports/2022/2/24/mac-basketball-2022.aspx?linkId=100000113931700" TargetMode="External"/><Relationship Id="rId9" Type="http://schemas.openxmlformats.org/officeDocument/2006/relationships/hyperlink" Target="https://library.buffalo.edu/ub-sports/mens-sports/football/1899-buffalo-football/"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22"/>
  <sheetViews>
    <sheetView workbookViewId="0">
      <pane xSplit="2" ySplit="2" topLeftCell="C3" activePane="bottomRight" state="frozen"/>
      <selection pane="topRight" activeCell="C1" sqref="C1"/>
      <selection pane="bottomLeft" activeCell="A3" sqref="A3"/>
      <selection pane="bottomRight" activeCell="F18" sqref="F18"/>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1" bestFit="1" customWidth="1"/>
    <col min="22" max="22" width="14.7109375" bestFit="1" customWidth="1"/>
    <col min="23" max="23" width="13.42578125" bestFit="1" customWidth="1"/>
    <col min="24" max="24" width="7.42578125" bestFit="1" customWidth="1"/>
    <col min="25" max="25" width="7.7109375" bestFit="1" customWidth="1"/>
    <col min="26" max="26" width="14.42578125" bestFit="1" customWidth="1"/>
    <col min="27" max="27" width="10.5703125" bestFit="1" customWidth="1"/>
    <col min="28" max="28" width="12.140625" bestFit="1" customWidth="1"/>
    <col min="29" max="29" width="11.5703125" bestFit="1" customWidth="1"/>
    <col min="30" max="30" width="13.5703125" bestFit="1" customWidth="1"/>
    <col min="31" max="31" width="11.7109375" bestFit="1" customWidth="1"/>
    <col min="32" max="32" width="10.5703125" bestFit="1" customWidth="1"/>
    <col min="33" max="33" width="13.5703125" bestFit="1" customWidth="1"/>
    <col min="34" max="34" width="10.7109375" bestFit="1" customWidth="1"/>
    <col min="35" max="35" width="11.5703125" bestFit="1" customWidth="1"/>
    <col min="36" max="36" width="11.42578125" bestFit="1" customWidth="1"/>
    <col min="37" max="37" width="11" bestFit="1" customWidth="1"/>
    <col min="38" max="38" width="13.140625" bestFit="1" customWidth="1"/>
    <col min="39" max="39" width="10.85546875" bestFit="1" customWidth="1"/>
    <col min="40" max="40" width="13.140625" bestFit="1" customWidth="1"/>
    <col min="41" max="41" width="9.28515625" bestFit="1" customWidth="1"/>
    <col min="42" max="42" width="12.140625" bestFit="1" customWidth="1"/>
    <col min="43" max="43" width="12" bestFit="1" customWidth="1"/>
    <col min="44" max="44" width="13.5703125" bestFit="1" customWidth="1"/>
    <col min="45" max="45" width="20.85546875" bestFit="1" customWidth="1"/>
    <col min="46" max="46" width="19.7109375" bestFit="1" customWidth="1"/>
    <col min="47" max="47" width="17" bestFit="1" customWidth="1"/>
    <col min="48" max="48" width="10.28515625" bestFit="1" customWidth="1"/>
    <col min="49" max="49" width="15.5703125" bestFit="1" customWidth="1"/>
    <col min="50" max="50" width="11.7109375" bestFit="1" customWidth="1"/>
    <col min="51" max="51" width="10.28515625" bestFit="1" customWidth="1"/>
    <col min="52" max="52" width="8.5703125" bestFit="1" customWidth="1"/>
    <col min="53" max="54" width="8" bestFit="1" customWidth="1"/>
  </cols>
  <sheetData>
    <row r="1" spans="1:54" x14ac:dyDescent="0.25">
      <c r="C1" s="18" t="s">
        <v>39</v>
      </c>
      <c r="D1" s="19"/>
      <c r="E1" s="19"/>
      <c r="F1" s="19"/>
      <c r="G1" s="18"/>
      <c r="H1" s="16" t="s">
        <v>43</v>
      </c>
      <c r="I1" s="53"/>
      <c r="J1" s="53"/>
      <c r="K1" s="35" t="s">
        <v>42</v>
      </c>
      <c r="L1" s="20" t="s">
        <v>40</v>
      </c>
      <c r="M1" s="20"/>
      <c r="N1" s="17" t="s">
        <v>41</v>
      </c>
    </row>
    <row r="2" spans="1:54"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3" t="s">
        <v>215</v>
      </c>
      <c r="BB2" s="13" t="s">
        <v>216</v>
      </c>
    </row>
    <row r="3" spans="1:54" ht="15" customHeight="1" x14ac:dyDescent="0.25">
      <c r="A3" s="65" t="s">
        <v>217</v>
      </c>
      <c r="B3" s="65" t="s">
        <v>382</v>
      </c>
      <c r="C3" s="66"/>
      <c r="D3" s="67"/>
      <c r="E3" s="68"/>
      <c r="F3" s="69"/>
      <c r="G3" s="66"/>
      <c r="H3" s="70"/>
      <c r="I3" s="71"/>
      <c r="J3" s="71"/>
      <c r="K3" s="36" t="s">
        <v>65</v>
      </c>
      <c r="L3" s="72">
        <v>3</v>
      </c>
      <c r="M3" s="72"/>
      <c r="N3" s="73"/>
      <c r="O3" s="79" t="s">
        <v>414</v>
      </c>
      <c r="P3" s="81">
        <v>44626.552037037036</v>
      </c>
      <c r="Q3" s="79" t="s">
        <v>418</v>
      </c>
      <c r="R3" s="79"/>
      <c r="S3" s="79"/>
      <c r="T3" s="84" t="s">
        <v>661</v>
      </c>
      <c r="U3" s="86" t="str">
        <f>HYPERLINK("https://pbs.twimg.com/media/FNJGG2EUYAARlam.jpg")</f>
        <v>https://pbs.twimg.com/media/FNJGG2EUYAARlam.jpg</v>
      </c>
      <c r="V3" s="86" t="str">
        <f>HYPERLINK("https://pbs.twimg.com/media/FNJGG2EUYAARlam.jpg")</f>
        <v>https://pbs.twimg.com/media/FNJGG2EUYAARlam.jpg</v>
      </c>
      <c r="W3" s="81">
        <v>44626.552037037036</v>
      </c>
      <c r="X3" s="87">
        <v>44626</v>
      </c>
      <c r="Y3" s="84" t="s">
        <v>728</v>
      </c>
      <c r="Z3" s="86" t="str">
        <f>HYPERLINK("https://twitter.com/nata_ipep/status/1500459919513849859")</f>
        <v>https://twitter.com/nata_ipep/status/1500459919513849859</v>
      </c>
      <c r="AA3" s="79"/>
      <c r="AB3" s="79"/>
      <c r="AC3" s="84" t="s">
        <v>1176</v>
      </c>
      <c r="AD3" s="79"/>
      <c r="AE3" s="79" t="b">
        <v>0</v>
      </c>
      <c r="AF3" s="79">
        <v>0</v>
      </c>
      <c r="AG3" s="84" t="s">
        <v>1635</v>
      </c>
      <c r="AH3" s="79" t="b">
        <v>0</v>
      </c>
      <c r="AI3" s="79" t="s">
        <v>1642</v>
      </c>
      <c r="AJ3" s="79"/>
      <c r="AK3" s="84" t="s">
        <v>1635</v>
      </c>
      <c r="AL3" s="79" t="b">
        <v>0</v>
      </c>
      <c r="AM3" s="79">
        <v>3</v>
      </c>
      <c r="AN3" s="84" t="s">
        <v>1282</v>
      </c>
      <c r="AO3" s="84" t="s">
        <v>1671</v>
      </c>
      <c r="AP3" s="79" t="b">
        <v>0</v>
      </c>
      <c r="AQ3" s="84" t="s">
        <v>1282</v>
      </c>
      <c r="AR3" s="79" t="s">
        <v>179</v>
      </c>
      <c r="AS3" s="79">
        <v>0</v>
      </c>
      <c r="AT3" s="79">
        <v>0</v>
      </c>
      <c r="AU3" s="79"/>
      <c r="AV3" s="79"/>
      <c r="AW3" s="79"/>
      <c r="AX3" s="79"/>
      <c r="AY3" s="79"/>
      <c r="AZ3" s="79"/>
      <c r="BA3" s="79"/>
      <c r="BB3" s="79"/>
    </row>
    <row r="4" spans="1:54" ht="15" customHeight="1" x14ac:dyDescent="0.25">
      <c r="A4" s="65" t="s">
        <v>217</v>
      </c>
      <c r="B4" s="65" t="s">
        <v>380</v>
      </c>
      <c r="C4" s="66"/>
      <c r="D4" s="67"/>
      <c r="E4" s="68"/>
      <c r="F4" s="69"/>
      <c r="G4" s="66"/>
      <c r="H4" s="70"/>
      <c r="I4" s="71"/>
      <c r="J4" s="71"/>
      <c r="K4" s="36" t="s">
        <v>65</v>
      </c>
      <c r="L4" s="78">
        <v>4</v>
      </c>
      <c r="M4" s="78"/>
      <c r="N4" s="73"/>
      <c r="O4" s="80" t="s">
        <v>414</v>
      </c>
      <c r="P4" s="82">
        <v>44626.552037037036</v>
      </c>
      <c r="Q4" s="80" t="s">
        <v>418</v>
      </c>
      <c r="R4" s="80"/>
      <c r="S4" s="80"/>
      <c r="T4" s="85" t="s">
        <v>661</v>
      </c>
      <c r="U4" s="83" t="str">
        <f>HYPERLINK("https://pbs.twimg.com/media/FNJGG2EUYAARlam.jpg")</f>
        <v>https://pbs.twimg.com/media/FNJGG2EUYAARlam.jpg</v>
      </c>
      <c r="V4" s="83" t="str">
        <f>HYPERLINK("https://pbs.twimg.com/media/FNJGG2EUYAARlam.jpg")</f>
        <v>https://pbs.twimg.com/media/FNJGG2EUYAARlam.jpg</v>
      </c>
      <c r="W4" s="82">
        <v>44626.552037037036</v>
      </c>
      <c r="X4" s="88">
        <v>44626</v>
      </c>
      <c r="Y4" s="85" t="s">
        <v>728</v>
      </c>
      <c r="Z4" s="83" t="str">
        <f>HYPERLINK("https://twitter.com/nata_ipep/status/1500459919513849859")</f>
        <v>https://twitter.com/nata_ipep/status/1500459919513849859</v>
      </c>
      <c r="AA4" s="80"/>
      <c r="AB4" s="80"/>
      <c r="AC4" s="85" t="s">
        <v>1176</v>
      </c>
      <c r="AD4" s="80"/>
      <c r="AE4" s="80" t="b">
        <v>0</v>
      </c>
      <c r="AF4" s="80">
        <v>0</v>
      </c>
      <c r="AG4" s="85" t="s">
        <v>1635</v>
      </c>
      <c r="AH4" s="80" t="b">
        <v>0</v>
      </c>
      <c r="AI4" s="80" t="s">
        <v>1642</v>
      </c>
      <c r="AJ4" s="80"/>
      <c r="AK4" s="85" t="s">
        <v>1635</v>
      </c>
      <c r="AL4" s="80" t="b">
        <v>0</v>
      </c>
      <c r="AM4" s="80">
        <v>3</v>
      </c>
      <c r="AN4" s="85" t="s">
        <v>1282</v>
      </c>
      <c r="AO4" s="85" t="s">
        <v>1671</v>
      </c>
      <c r="AP4" s="80" t="b">
        <v>0</v>
      </c>
      <c r="AQ4" s="85" t="s">
        <v>1282</v>
      </c>
      <c r="AR4" s="80" t="s">
        <v>179</v>
      </c>
      <c r="AS4" s="80">
        <v>0</v>
      </c>
      <c r="AT4" s="80">
        <v>0</v>
      </c>
      <c r="AU4" s="80"/>
      <c r="AV4" s="80"/>
      <c r="AW4" s="80"/>
      <c r="AX4" s="80"/>
      <c r="AY4" s="80"/>
      <c r="AZ4" s="80"/>
      <c r="BA4" s="80"/>
      <c r="BB4" s="80"/>
    </row>
    <row r="5" spans="1:54" x14ac:dyDescent="0.25">
      <c r="A5" s="65" t="s">
        <v>217</v>
      </c>
      <c r="B5" s="65" t="s">
        <v>294</v>
      </c>
      <c r="C5" s="66"/>
      <c r="D5" s="67"/>
      <c r="E5" s="68"/>
      <c r="F5" s="69"/>
      <c r="G5" s="66"/>
      <c r="H5" s="70"/>
      <c r="I5" s="71"/>
      <c r="J5" s="71"/>
      <c r="K5" s="36" t="s">
        <v>65</v>
      </c>
      <c r="L5" s="78">
        <v>5</v>
      </c>
      <c r="M5" s="78"/>
      <c r="N5" s="73"/>
      <c r="O5" s="80" t="s">
        <v>415</v>
      </c>
      <c r="P5" s="82">
        <v>44626.552037037036</v>
      </c>
      <c r="Q5" s="80" t="s">
        <v>418</v>
      </c>
      <c r="R5" s="80"/>
      <c r="S5" s="80"/>
      <c r="T5" s="85" t="s">
        <v>661</v>
      </c>
      <c r="U5" s="83" t="str">
        <f>HYPERLINK("https://pbs.twimg.com/media/FNJGG2EUYAARlam.jpg")</f>
        <v>https://pbs.twimg.com/media/FNJGG2EUYAARlam.jpg</v>
      </c>
      <c r="V5" s="83" t="str">
        <f>HYPERLINK("https://pbs.twimg.com/media/FNJGG2EUYAARlam.jpg")</f>
        <v>https://pbs.twimg.com/media/FNJGG2EUYAARlam.jpg</v>
      </c>
      <c r="W5" s="82">
        <v>44626.552037037036</v>
      </c>
      <c r="X5" s="88">
        <v>44626</v>
      </c>
      <c r="Y5" s="85" t="s">
        <v>728</v>
      </c>
      <c r="Z5" s="83" t="str">
        <f>HYPERLINK("https://twitter.com/nata_ipep/status/1500459919513849859")</f>
        <v>https://twitter.com/nata_ipep/status/1500459919513849859</v>
      </c>
      <c r="AA5" s="80"/>
      <c r="AB5" s="80"/>
      <c r="AC5" s="85" t="s">
        <v>1176</v>
      </c>
      <c r="AD5" s="80"/>
      <c r="AE5" s="80" t="b">
        <v>0</v>
      </c>
      <c r="AF5" s="80">
        <v>0</v>
      </c>
      <c r="AG5" s="85" t="s">
        <v>1635</v>
      </c>
      <c r="AH5" s="80" t="b">
        <v>0</v>
      </c>
      <c r="AI5" s="80" t="s">
        <v>1642</v>
      </c>
      <c r="AJ5" s="80"/>
      <c r="AK5" s="85" t="s">
        <v>1635</v>
      </c>
      <c r="AL5" s="80" t="b">
        <v>0</v>
      </c>
      <c r="AM5" s="80">
        <v>3</v>
      </c>
      <c r="AN5" s="85" t="s">
        <v>1282</v>
      </c>
      <c r="AO5" s="85" t="s">
        <v>1671</v>
      </c>
      <c r="AP5" s="80" t="b">
        <v>0</v>
      </c>
      <c r="AQ5" s="85" t="s">
        <v>1282</v>
      </c>
      <c r="AR5" s="80" t="s">
        <v>179</v>
      </c>
      <c r="AS5" s="80">
        <v>0</v>
      </c>
      <c r="AT5" s="80">
        <v>0</v>
      </c>
      <c r="AU5" s="80"/>
      <c r="AV5" s="80"/>
      <c r="AW5" s="80"/>
      <c r="AX5" s="80"/>
      <c r="AY5" s="80"/>
      <c r="AZ5" s="80"/>
      <c r="BA5" s="80"/>
      <c r="BB5" s="80"/>
    </row>
    <row r="6" spans="1:54" x14ac:dyDescent="0.25">
      <c r="A6" s="65" t="s">
        <v>218</v>
      </c>
      <c r="B6" s="65" t="s">
        <v>381</v>
      </c>
      <c r="C6" s="66"/>
      <c r="D6" s="67"/>
      <c r="E6" s="68"/>
      <c r="F6" s="69"/>
      <c r="G6" s="66"/>
      <c r="H6" s="70"/>
      <c r="I6" s="71"/>
      <c r="J6" s="71"/>
      <c r="K6" s="36" t="s">
        <v>65</v>
      </c>
      <c r="L6" s="78">
        <v>6</v>
      </c>
      <c r="M6" s="78"/>
      <c r="N6" s="73"/>
      <c r="O6" s="80" t="s">
        <v>414</v>
      </c>
      <c r="P6" s="82">
        <v>44626.572638888887</v>
      </c>
      <c r="Q6" s="80" t="s">
        <v>419</v>
      </c>
      <c r="R6" s="83" t="s">
        <v>623</v>
      </c>
      <c r="S6" s="80" t="s">
        <v>632</v>
      </c>
      <c r="T6" s="85" t="s">
        <v>357</v>
      </c>
      <c r="U6" s="80"/>
      <c r="V6" s="83" t="str">
        <f>HYPERLINK("https://pbs.twimg.com/profile_images/2818541873/d6cdd618bbf61fa404bb8a74d51d5248_normal.jpeg")</f>
        <v>https://pbs.twimg.com/profile_images/2818541873/d6cdd618bbf61fa404bb8a74d51d5248_normal.jpeg</v>
      </c>
      <c r="W6" s="82">
        <v>44626.572638888887</v>
      </c>
      <c r="X6" s="88">
        <v>44626</v>
      </c>
      <c r="Y6" s="85" t="s">
        <v>729</v>
      </c>
      <c r="Z6" s="83" t="str">
        <f>HYPERLINK("https://twitter.com/bectrobe/status/1500467383340871680")</f>
        <v>https://twitter.com/bectrobe/status/1500467383340871680</v>
      </c>
      <c r="AA6" s="80"/>
      <c r="AB6" s="80"/>
      <c r="AC6" s="85" t="s">
        <v>1177</v>
      </c>
      <c r="AD6" s="80"/>
      <c r="AE6" s="80" t="b">
        <v>0</v>
      </c>
      <c r="AF6" s="80">
        <v>0</v>
      </c>
      <c r="AG6" s="85" t="s">
        <v>1635</v>
      </c>
      <c r="AH6" s="80" t="b">
        <v>0</v>
      </c>
      <c r="AI6" s="80" t="s">
        <v>1642</v>
      </c>
      <c r="AJ6" s="80"/>
      <c r="AK6" s="85" t="s">
        <v>1635</v>
      </c>
      <c r="AL6" s="80" t="b">
        <v>0</v>
      </c>
      <c r="AM6" s="80">
        <v>1</v>
      </c>
      <c r="AN6" s="85" t="s">
        <v>1429</v>
      </c>
      <c r="AO6" s="85" t="s">
        <v>1672</v>
      </c>
      <c r="AP6" s="80" t="b">
        <v>0</v>
      </c>
      <c r="AQ6" s="85" t="s">
        <v>1429</v>
      </c>
      <c r="AR6" s="80" t="s">
        <v>179</v>
      </c>
      <c r="AS6" s="80">
        <v>0</v>
      </c>
      <c r="AT6" s="80">
        <v>0</v>
      </c>
      <c r="AU6" s="80"/>
      <c r="AV6" s="80"/>
      <c r="AW6" s="80"/>
      <c r="AX6" s="80"/>
      <c r="AY6" s="80"/>
      <c r="AZ6" s="80"/>
      <c r="BA6" s="80"/>
      <c r="BB6" s="80"/>
    </row>
    <row r="7" spans="1:54" x14ac:dyDescent="0.25">
      <c r="A7" s="65" t="s">
        <v>218</v>
      </c>
      <c r="B7" s="65" t="s">
        <v>356</v>
      </c>
      <c r="C7" s="66"/>
      <c r="D7" s="67"/>
      <c r="E7" s="68"/>
      <c r="F7" s="69"/>
      <c r="G7" s="66"/>
      <c r="H7" s="70"/>
      <c r="I7" s="71"/>
      <c r="J7" s="71"/>
      <c r="K7" s="36" t="s">
        <v>65</v>
      </c>
      <c r="L7" s="78">
        <v>7</v>
      </c>
      <c r="M7" s="78"/>
      <c r="N7" s="73"/>
      <c r="O7" s="80" t="s">
        <v>415</v>
      </c>
      <c r="P7" s="82">
        <v>44626.572638888887</v>
      </c>
      <c r="Q7" s="80" t="s">
        <v>419</v>
      </c>
      <c r="R7" s="83" t="s">
        <v>623</v>
      </c>
      <c r="S7" s="80" t="s">
        <v>632</v>
      </c>
      <c r="T7" s="85" t="s">
        <v>357</v>
      </c>
      <c r="U7" s="80"/>
      <c r="V7" s="83" t="str">
        <f>HYPERLINK("https://pbs.twimg.com/profile_images/2818541873/d6cdd618bbf61fa404bb8a74d51d5248_normal.jpeg")</f>
        <v>https://pbs.twimg.com/profile_images/2818541873/d6cdd618bbf61fa404bb8a74d51d5248_normal.jpeg</v>
      </c>
      <c r="W7" s="82">
        <v>44626.572638888887</v>
      </c>
      <c r="X7" s="88">
        <v>44626</v>
      </c>
      <c r="Y7" s="85" t="s">
        <v>729</v>
      </c>
      <c r="Z7" s="83" t="str">
        <f>HYPERLINK("https://twitter.com/bectrobe/status/1500467383340871680")</f>
        <v>https://twitter.com/bectrobe/status/1500467383340871680</v>
      </c>
      <c r="AA7" s="80"/>
      <c r="AB7" s="80"/>
      <c r="AC7" s="85" t="s">
        <v>1177</v>
      </c>
      <c r="AD7" s="80"/>
      <c r="AE7" s="80" t="b">
        <v>0</v>
      </c>
      <c r="AF7" s="80">
        <v>0</v>
      </c>
      <c r="AG7" s="85" t="s">
        <v>1635</v>
      </c>
      <c r="AH7" s="80" t="b">
        <v>0</v>
      </c>
      <c r="AI7" s="80" t="s">
        <v>1642</v>
      </c>
      <c r="AJ7" s="80"/>
      <c r="AK7" s="85" t="s">
        <v>1635</v>
      </c>
      <c r="AL7" s="80" t="b">
        <v>0</v>
      </c>
      <c r="AM7" s="80">
        <v>1</v>
      </c>
      <c r="AN7" s="85" t="s">
        <v>1429</v>
      </c>
      <c r="AO7" s="85" t="s">
        <v>1672</v>
      </c>
      <c r="AP7" s="80" t="b">
        <v>0</v>
      </c>
      <c r="AQ7" s="85" t="s">
        <v>1429</v>
      </c>
      <c r="AR7" s="80" t="s">
        <v>179</v>
      </c>
      <c r="AS7" s="80">
        <v>0</v>
      </c>
      <c r="AT7" s="80">
        <v>0</v>
      </c>
      <c r="AU7" s="80"/>
      <c r="AV7" s="80"/>
      <c r="AW7" s="80"/>
      <c r="AX7" s="80"/>
      <c r="AY7" s="80"/>
      <c r="AZ7" s="80"/>
      <c r="BA7" s="80"/>
      <c r="BB7" s="80"/>
    </row>
    <row r="8" spans="1:54" x14ac:dyDescent="0.25">
      <c r="A8" s="65" t="s">
        <v>219</v>
      </c>
      <c r="B8" s="65" t="s">
        <v>382</v>
      </c>
      <c r="C8" s="66"/>
      <c r="D8" s="67"/>
      <c r="E8" s="68"/>
      <c r="F8" s="69"/>
      <c r="G8" s="66"/>
      <c r="H8" s="70"/>
      <c r="I8" s="71"/>
      <c r="J8" s="71"/>
      <c r="K8" s="36" t="s">
        <v>65</v>
      </c>
      <c r="L8" s="78">
        <v>8</v>
      </c>
      <c r="M8" s="78"/>
      <c r="N8" s="73"/>
      <c r="O8" s="80" t="s">
        <v>414</v>
      </c>
      <c r="P8" s="82">
        <v>44626.625486111108</v>
      </c>
      <c r="Q8" s="80" t="s">
        <v>418</v>
      </c>
      <c r="R8" s="80"/>
      <c r="S8" s="80"/>
      <c r="T8" s="85" t="s">
        <v>661</v>
      </c>
      <c r="U8" s="83" t="str">
        <f>HYPERLINK("https://pbs.twimg.com/media/FNJGG2EUYAARlam.jpg")</f>
        <v>https://pbs.twimg.com/media/FNJGG2EUYAARlam.jpg</v>
      </c>
      <c r="V8" s="83" t="str">
        <f>HYPERLINK("https://pbs.twimg.com/media/FNJGG2EUYAARlam.jpg")</f>
        <v>https://pbs.twimg.com/media/FNJGG2EUYAARlam.jpg</v>
      </c>
      <c r="W8" s="82">
        <v>44626.625486111108</v>
      </c>
      <c r="X8" s="88">
        <v>44626</v>
      </c>
      <c r="Y8" s="85" t="s">
        <v>730</v>
      </c>
      <c r="Z8" s="83" t="str">
        <f>HYPERLINK("https://twitter.com/heartlandipe/status/1500486535602450445")</f>
        <v>https://twitter.com/heartlandipe/status/1500486535602450445</v>
      </c>
      <c r="AA8" s="80"/>
      <c r="AB8" s="80"/>
      <c r="AC8" s="85" t="s">
        <v>1178</v>
      </c>
      <c r="AD8" s="80"/>
      <c r="AE8" s="80" t="b">
        <v>0</v>
      </c>
      <c r="AF8" s="80">
        <v>0</v>
      </c>
      <c r="AG8" s="85" t="s">
        <v>1635</v>
      </c>
      <c r="AH8" s="80" t="b">
        <v>0</v>
      </c>
      <c r="AI8" s="80" t="s">
        <v>1642</v>
      </c>
      <c r="AJ8" s="80"/>
      <c r="AK8" s="85" t="s">
        <v>1635</v>
      </c>
      <c r="AL8" s="80" t="b">
        <v>0</v>
      </c>
      <c r="AM8" s="80">
        <v>3</v>
      </c>
      <c r="AN8" s="85" t="s">
        <v>1282</v>
      </c>
      <c r="AO8" s="85" t="s">
        <v>1673</v>
      </c>
      <c r="AP8" s="80" t="b">
        <v>0</v>
      </c>
      <c r="AQ8" s="85" t="s">
        <v>1282</v>
      </c>
      <c r="AR8" s="80" t="s">
        <v>179</v>
      </c>
      <c r="AS8" s="80">
        <v>0</v>
      </c>
      <c r="AT8" s="80">
        <v>0</v>
      </c>
      <c r="AU8" s="80"/>
      <c r="AV8" s="80"/>
      <c r="AW8" s="80"/>
      <c r="AX8" s="80"/>
      <c r="AY8" s="80"/>
      <c r="AZ8" s="80"/>
      <c r="BA8" s="80"/>
      <c r="BB8" s="80"/>
    </row>
    <row r="9" spans="1:54" x14ac:dyDescent="0.25">
      <c r="A9" s="65" t="s">
        <v>219</v>
      </c>
      <c r="B9" s="65" t="s">
        <v>380</v>
      </c>
      <c r="C9" s="66"/>
      <c r="D9" s="67"/>
      <c r="E9" s="68"/>
      <c r="F9" s="69"/>
      <c r="G9" s="66"/>
      <c r="H9" s="70"/>
      <c r="I9" s="71"/>
      <c r="J9" s="71"/>
      <c r="K9" s="36" t="s">
        <v>65</v>
      </c>
      <c r="L9" s="78">
        <v>9</v>
      </c>
      <c r="M9" s="78"/>
      <c r="N9" s="73"/>
      <c r="O9" s="80" t="s">
        <v>414</v>
      </c>
      <c r="P9" s="82">
        <v>44626.625486111108</v>
      </c>
      <c r="Q9" s="80" t="s">
        <v>418</v>
      </c>
      <c r="R9" s="80"/>
      <c r="S9" s="80"/>
      <c r="T9" s="85" t="s">
        <v>661</v>
      </c>
      <c r="U9" s="83" t="str">
        <f>HYPERLINK("https://pbs.twimg.com/media/FNJGG2EUYAARlam.jpg")</f>
        <v>https://pbs.twimg.com/media/FNJGG2EUYAARlam.jpg</v>
      </c>
      <c r="V9" s="83" t="str">
        <f>HYPERLINK("https://pbs.twimg.com/media/FNJGG2EUYAARlam.jpg")</f>
        <v>https://pbs.twimg.com/media/FNJGG2EUYAARlam.jpg</v>
      </c>
      <c r="W9" s="82">
        <v>44626.625486111108</v>
      </c>
      <c r="X9" s="88">
        <v>44626</v>
      </c>
      <c r="Y9" s="85" t="s">
        <v>730</v>
      </c>
      <c r="Z9" s="83" t="str">
        <f>HYPERLINK("https://twitter.com/heartlandipe/status/1500486535602450445")</f>
        <v>https://twitter.com/heartlandipe/status/1500486535602450445</v>
      </c>
      <c r="AA9" s="80"/>
      <c r="AB9" s="80"/>
      <c r="AC9" s="85" t="s">
        <v>1178</v>
      </c>
      <c r="AD9" s="80"/>
      <c r="AE9" s="80" t="b">
        <v>0</v>
      </c>
      <c r="AF9" s="80">
        <v>0</v>
      </c>
      <c r="AG9" s="85" t="s">
        <v>1635</v>
      </c>
      <c r="AH9" s="80" t="b">
        <v>0</v>
      </c>
      <c r="AI9" s="80" t="s">
        <v>1642</v>
      </c>
      <c r="AJ9" s="80"/>
      <c r="AK9" s="85" t="s">
        <v>1635</v>
      </c>
      <c r="AL9" s="80" t="b">
        <v>0</v>
      </c>
      <c r="AM9" s="80">
        <v>3</v>
      </c>
      <c r="AN9" s="85" t="s">
        <v>1282</v>
      </c>
      <c r="AO9" s="85" t="s">
        <v>1673</v>
      </c>
      <c r="AP9" s="80" t="b">
        <v>0</v>
      </c>
      <c r="AQ9" s="85" t="s">
        <v>1282</v>
      </c>
      <c r="AR9" s="80" t="s">
        <v>179</v>
      </c>
      <c r="AS9" s="80">
        <v>0</v>
      </c>
      <c r="AT9" s="80">
        <v>0</v>
      </c>
      <c r="AU9" s="80"/>
      <c r="AV9" s="80"/>
      <c r="AW9" s="80"/>
      <c r="AX9" s="80"/>
      <c r="AY9" s="80"/>
      <c r="AZ9" s="80"/>
      <c r="BA9" s="80"/>
      <c r="BB9" s="80"/>
    </row>
    <row r="10" spans="1:54" x14ac:dyDescent="0.25">
      <c r="A10" s="65" t="s">
        <v>219</v>
      </c>
      <c r="B10" s="65" t="s">
        <v>294</v>
      </c>
      <c r="C10" s="66"/>
      <c r="D10" s="67"/>
      <c r="E10" s="68"/>
      <c r="F10" s="69"/>
      <c r="G10" s="66"/>
      <c r="H10" s="70"/>
      <c r="I10" s="71"/>
      <c r="J10" s="71"/>
      <c r="K10" s="36" t="s">
        <v>65</v>
      </c>
      <c r="L10" s="78">
        <v>10</v>
      </c>
      <c r="M10" s="78"/>
      <c r="N10" s="73"/>
      <c r="O10" s="80" t="s">
        <v>415</v>
      </c>
      <c r="P10" s="82">
        <v>44626.625486111108</v>
      </c>
      <c r="Q10" s="80" t="s">
        <v>418</v>
      </c>
      <c r="R10" s="80"/>
      <c r="S10" s="80"/>
      <c r="T10" s="85" t="s">
        <v>661</v>
      </c>
      <c r="U10" s="83" t="str">
        <f>HYPERLINK("https://pbs.twimg.com/media/FNJGG2EUYAARlam.jpg")</f>
        <v>https://pbs.twimg.com/media/FNJGG2EUYAARlam.jpg</v>
      </c>
      <c r="V10" s="83" t="str">
        <f>HYPERLINK("https://pbs.twimg.com/media/FNJGG2EUYAARlam.jpg")</f>
        <v>https://pbs.twimg.com/media/FNJGG2EUYAARlam.jpg</v>
      </c>
      <c r="W10" s="82">
        <v>44626.625486111108</v>
      </c>
      <c r="X10" s="88">
        <v>44626</v>
      </c>
      <c r="Y10" s="85" t="s">
        <v>730</v>
      </c>
      <c r="Z10" s="83" t="str">
        <f>HYPERLINK("https://twitter.com/heartlandipe/status/1500486535602450445")</f>
        <v>https://twitter.com/heartlandipe/status/1500486535602450445</v>
      </c>
      <c r="AA10" s="80"/>
      <c r="AB10" s="80"/>
      <c r="AC10" s="85" t="s">
        <v>1178</v>
      </c>
      <c r="AD10" s="80"/>
      <c r="AE10" s="80" t="b">
        <v>0</v>
      </c>
      <c r="AF10" s="80">
        <v>0</v>
      </c>
      <c r="AG10" s="85" t="s">
        <v>1635</v>
      </c>
      <c r="AH10" s="80" t="b">
        <v>0</v>
      </c>
      <c r="AI10" s="80" t="s">
        <v>1642</v>
      </c>
      <c r="AJ10" s="80"/>
      <c r="AK10" s="85" t="s">
        <v>1635</v>
      </c>
      <c r="AL10" s="80" t="b">
        <v>0</v>
      </c>
      <c r="AM10" s="80">
        <v>3</v>
      </c>
      <c r="AN10" s="85" t="s">
        <v>1282</v>
      </c>
      <c r="AO10" s="85" t="s">
        <v>1673</v>
      </c>
      <c r="AP10" s="80" t="b">
        <v>0</v>
      </c>
      <c r="AQ10" s="85" t="s">
        <v>1282</v>
      </c>
      <c r="AR10" s="80" t="s">
        <v>179</v>
      </c>
      <c r="AS10" s="80">
        <v>0</v>
      </c>
      <c r="AT10" s="80">
        <v>0</v>
      </c>
      <c r="AU10" s="80"/>
      <c r="AV10" s="80"/>
      <c r="AW10" s="80"/>
      <c r="AX10" s="80"/>
      <c r="AY10" s="80"/>
      <c r="AZ10" s="80"/>
      <c r="BA10" s="80"/>
      <c r="BB10" s="80"/>
    </row>
    <row r="11" spans="1:54" x14ac:dyDescent="0.25">
      <c r="A11" s="65" t="s">
        <v>220</v>
      </c>
      <c r="B11" s="65" t="s">
        <v>382</v>
      </c>
      <c r="C11" s="66"/>
      <c r="D11" s="67"/>
      <c r="E11" s="68"/>
      <c r="F11" s="69"/>
      <c r="G11" s="66"/>
      <c r="H11" s="70"/>
      <c r="I11" s="71"/>
      <c r="J11" s="71"/>
      <c r="K11" s="36" t="s">
        <v>65</v>
      </c>
      <c r="L11" s="78">
        <v>11</v>
      </c>
      <c r="M11" s="78"/>
      <c r="N11" s="73"/>
      <c r="O11" s="80" t="s">
        <v>414</v>
      </c>
      <c r="P11" s="82">
        <v>44627.079212962963</v>
      </c>
      <c r="Q11" s="80" t="s">
        <v>418</v>
      </c>
      <c r="R11" s="80"/>
      <c r="S11" s="80"/>
      <c r="T11" s="85" t="s">
        <v>661</v>
      </c>
      <c r="U11" s="83" t="str">
        <f>HYPERLINK("https://pbs.twimg.com/media/FNJGG2EUYAARlam.jpg")</f>
        <v>https://pbs.twimg.com/media/FNJGG2EUYAARlam.jpg</v>
      </c>
      <c r="V11" s="83" t="str">
        <f>HYPERLINK("https://pbs.twimg.com/media/FNJGG2EUYAARlam.jpg")</f>
        <v>https://pbs.twimg.com/media/FNJGG2EUYAARlam.jpg</v>
      </c>
      <c r="W11" s="82">
        <v>44627.079212962963</v>
      </c>
      <c r="X11" s="88">
        <v>44627</v>
      </c>
      <c r="Y11" s="85" t="s">
        <v>731</v>
      </c>
      <c r="Z11" s="83" t="str">
        <f>HYPERLINK("https://twitter.com/bostonuat1st/status/1500650960611381249")</f>
        <v>https://twitter.com/bostonuat1st/status/1500650960611381249</v>
      </c>
      <c r="AA11" s="80"/>
      <c r="AB11" s="80"/>
      <c r="AC11" s="85" t="s">
        <v>1179</v>
      </c>
      <c r="AD11" s="80"/>
      <c r="AE11" s="80" t="b">
        <v>0</v>
      </c>
      <c r="AF11" s="80">
        <v>0</v>
      </c>
      <c r="AG11" s="85" t="s">
        <v>1635</v>
      </c>
      <c r="AH11" s="80" t="b">
        <v>0</v>
      </c>
      <c r="AI11" s="80" t="s">
        <v>1642</v>
      </c>
      <c r="AJ11" s="80"/>
      <c r="AK11" s="85" t="s">
        <v>1635</v>
      </c>
      <c r="AL11" s="80" t="b">
        <v>0</v>
      </c>
      <c r="AM11" s="80">
        <v>3</v>
      </c>
      <c r="AN11" s="85" t="s">
        <v>1282</v>
      </c>
      <c r="AO11" s="85" t="s">
        <v>1671</v>
      </c>
      <c r="AP11" s="80" t="b">
        <v>0</v>
      </c>
      <c r="AQ11" s="85" t="s">
        <v>1282</v>
      </c>
      <c r="AR11" s="80" t="s">
        <v>179</v>
      </c>
      <c r="AS11" s="80">
        <v>0</v>
      </c>
      <c r="AT11" s="80">
        <v>0</v>
      </c>
      <c r="AU11" s="80"/>
      <c r="AV11" s="80"/>
      <c r="AW11" s="80"/>
      <c r="AX11" s="80"/>
      <c r="AY11" s="80"/>
      <c r="AZ11" s="80"/>
      <c r="BA11" s="80"/>
      <c r="BB11" s="80"/>
    </row>
    <row r="12" spans="1:54" x14ac:dyDescent="0.25">
      <c r="A12" s="65" t="s">
        <v>220</v>
      </c>
      <c r="B12" s="65" t="s">
        <v>380</v>
      </c>
      <c r="C12" s="66"/>
      <c r="D12" s="67"/>
      <c r="E12" s="68"/>
      <c r="F12" s="69"/>
      <c r="G12" s="66"/>
      <c r="H12" s="70"/>
      <c r="I12" s="71"/>
      <c r="J12" s="71"/>
      <c r="K12" s="36" t="s">
        <v>65</v>
      </c>
      <c r="L12" s="78">
        <v>12</v>
      </c>
      <c r="M12" s="78"/>
      <c r="N12" s="73"/>
      <c r="O12" s="80" t="s">
        <v>414</v>
      </c>
      <c r="P12" s="82">
        <v>44627.079212962963</v>
      </c>
      <c r="Q12" s="80" t="s">
        <v>418</v>
      </c>
      <c r="R12" s="80"/>
      <c r="S12" s="80"/>
      <c r="T12" s="85" t="s">
        <v>661</v>
      </c>
      <c r="U12" s="83" t="str">
        <f>HYPERLINK("https://pbs.twimg.com/media/FNJGG2EUYAARlam.jpg")</f>
        <v>https://pbs.twimg.com/media/FNJGG2EUYAARlam.jpg</v>
      </c>
      <c r="V12" s="83" t="str">
        <f>HYPERLINK("https://pbs.twimg.com/media/FNJGG2EUYAARlam.jpg")</f>
        <v>https://pbs.twimg.com/media/FNJGG2EUYAARlam.jpg</v>
      </c>
      <c r="W12" s="82">
        <v>44627.079212962963</v>
      </c>
      <c r="X12" s="88">
        <v>44627</v>
      </c>
      <c r="Y12" s="85" t="s">
        <v>731</v>
      </c>
      <c r="Z12" s="83" t="str">
        <f>HYPERLINK("https://twitter.com/bostonuat1st/status/1500650960611381249")</f>
        <v>https://twitter.com/bostonuat1st/status/1500650960611381249</v>
      </c>
      <c r="AA12" s="80"/>
      <c r="AB12" s="80"/>
      <c r="AC12" s="85" t="s">
        <v>1179</v>
      </c>
      <c r="AD12" s="80"/>
      <c r="AE12" s="80" t="b">
        <v>0</v>
      </c>
      <c r="AF12" s="80">
        <v>0</v>
      </c>
      <c r="AG12" s="85" t="s">
        <v>1635</v>
      </c>
      <c r="AH12" s="80" t="b">
        <v>0</v>
      </c>
      <c r="AI12" s="80" t="s">
        <v>1642</v>
      </c>
      <c r="AJ12" s="80"/>
      <c r="AK12" s="85" t="s">
        <v>1635</v>
      </c>
      <c r="AL12" s="80" t="b">
        <v>0</v>
      </c>
      <c r="AM12" s="80">
        <v>3</v>
      </c>
      <c r="AN12" s="85" t="s">
        <v>1282</v>
      </c>
      <c r="AO12" s="85" t="s">
        <v>1671</v>
      </c>
      <c r="AP12" s="80" t="b">
        <v>0</v>
      </c>
      <c r="AQ12" s="85" t="s">
        <v>1282</v>
      </c>
      <c r="AR12" s="80" t="s">
        <v>179</v>
      </c>
      <c r="AS12" s="80">
        <v>0</v>
      </c>
      <c r="AT12" s="80">
        <v>0</v>
      </c>
      <c r="AU12" s="80"/>
      <c r="AV12" s="80"/>
      <c r="AW12" s="80"/>
      <c r="AX12" s="80"/>
      <c r="AY12" s="80"/>
      <c r="AZ12" s="80"/>
      <c r="BA12" s="80"/>
      <c r="BB12" s="80"/>
    </row>
    <row r="13" spans="1:54" x14ac:dyDescent="0.25">
      <c r="A13" s="65" t="s">
        <v>220</v>
      </c>
      <c r="B13" s="65" t="s">
        <v>294</v>
      </c>
      <c r="C13" s="66"/>
      <c r="D13" s="67"/>
      <c r="E13" s="68"/>
      <c r="F13" s="69"/>
      <c r="G13" s="66"/>
      <c r="H13" s="70"/>
      <c r="I13" s="71"/>
      <c r="J13" s="71"/>
      <c r="K13" s="36" t="s">
        <v>65</v>
      </c>
      <c r="L13" s="78">
        <v>13</v>
      </c>
      <c r="M13" s="78"/>
      <c r="N13" s="73"/>
      <c r="O13" s="80" t="s">
        <v>415</v>
      </c>
      <c r="P13" s="82">
        <v>44627.079212962963</v>
      </c>
      <c r="Q13" s="80" t="s">
        <v>418</v>
      </c>
      <c r="R13" s="80"/>
      <c r="S13" s="80"/>
      <c r="T13" s="85" t="s">
        <v>661</v>
      </c>
      <c r="U13" s="83" t="str">
        <f>HYPERLINK("https://pbs.twimg.com/media/FNJGG2EUYAARlam.jpg")</f>
        <v>https://pbs.twimg.com/media/FNJGG2EUYAARlam.jpg</v>
      </c>
      <c r="V13" s="83" t="str">
        <f>HYPERLINK("https://pbs.twimg.com/media/FNJGG2EUYAARlam.jpg")</f>
        <v>https://pbs.twimg.com/media/FNJGG2EUYAARlam.jpg</v>
      </c>
      <c r="W13" s="82">
        <v>44627.079212962963</v>
      </c>
      <c r="X13" s="88">
        <v>44627</v>
      </c>
      <c r="Y13" s="85" t="s">
        <v>731</v>
      </c>
      <c r="Z13" s="83" t="str">
        <f>HYPERLINK("https://twitter.com/bostonuat1st/status/1500650960611381249")</f>
        <v>https://twitter.com/bostonuat1st/status/1500650960611381249</v>
      </c>
      <c r="AA13" s="80"/>
      <c r="AB13" s="80"/>
      <c r="AC13" s="85" t="s">
        <v>1179</v>
      </c>
      <c r="AD13" s="80"/>
      <c r="AE13" s="80" t="b">
        <v>0</v>
      </c>
      <c r="AF13" s="80">
        <v>0</v>
      </c>
      <c r="AG13" s="85" t="s">
        <v>1635</v>
      </c>
      <c r="AH13" s="80" t="b">
        <v>0</v>
      </c>
      <c r="AI13" s="80" t="s">
        <v>1642</v>
      </c>
      <c r="AJ13" s="80"/>
      <c r="AK13" s="85" t="s">
        <v>1635</v>
      </c>
      <c r="AL13" s="80" t="b">
        <v>0</v>
      </c>
      <c r="AM13" s="80">
        <v>3</v>
      </c>
      <c r="AN13" s="85" t="s">
        <v>1282</v>
      </c>
      <c r="AO13" s="85" t="s">
        <v>1671</v>
      </c>
      <c r="AP13" s="80" t="b">
        <v>0</v>
      </c>
      <c r="AQ13" s="85" t="s">
        <v>1282</v>
      </c>
      <c r="AR13" s="80" t="s">
        <v>179</v>
      </c>
      <c r="AS13" s="80">
        <v>0</v>
      </c>
      <c r="AT13" s="80">
        <v>0</v>
      </c>
      <c r="AU13" s="80"/>
      <c r="AV13" s="80"/>
      <c r="AW13" s="80"/>
      <c r="AX13" s="80"/>
      <c r="AY13" s="80"/>
      <c r="AZ13" s="80"/>
      <c r="BA13" s="80"/>
      <c r="BB13" s="80"/>
    </row>
    <row r="14" spans="1:54" x14ac:dyDescent="0.25">
      <c r="A14" s="65" t="s">
        <v>221</v>
      </c>
      <c r="B14" s="65" t="s">
        <v>351</v>
      </c>
      <c r="C14" s="66"/>
      <c r="D14" s="67"/>
      <c r="E14" s="68"/>
      <c r="F14" s="69"/>
      <c r="G14" s="66"/>
      <c r="H14" s="70"/>
      <c r="I14" s="71"/>
      <c r="J14" s="71"/>
      <c r="K14" s="36" t="s">
        <v>65</v>
      </c>
      <c r="L14" s="78">
        <v>14</v>
      </c>
      <c r="M14" s="78"/>
      <c r="N14" s="73"/>
      <c r="O14" s="80" t="s">
        <v>415</v>
      </c>
      <c r="P14" s="82">
        <v>44627.199664351851</v>
      </c>
      <c r="Q14" s="80" t="s">
        <v>420</v>
      </c>
      <c r="R14" s="83" t="str">
        <f>HYPERLINK("https://twitter.com/ubalumni/status/1500271443057295360")</f>
        <v>https://twitter.com/ubalumni/status/1500271443057295360</v>
      </c>
      <c r="S14" s="80" t="s">
        <v>633</v>
      </c>
      <c r="T14" s="85" t="s">
        <v>662</v>
      </c>
      <c r="U14" s="80"/>
      <c r="V14" s="83" t="str">
        <f>HYPERLINK("https://pbs.twimg.com/profile_images/1389954675072389121/5ISwnCRb_normal.jpg")</f>
        <v>https://pbs.twimg.com/profile_images/1389954675072389121/5ISwnCRb_normal.jpg</v>
      </c>
      <c r="W14" s="82">
        <v>44627.199664351851</v>
      </c>
      <c r="X14" s="88">
        <v>44627</v>
      </c>
      <c r="Y14" s="85" t="s">
        <v>732</v>
      </c>
      <c r="Z14" s="83" t="str">
        <f>HYPERLINK("https://twitter.com/b0tsci/status/1500694613073571840")</f>
        <v>https://twitter.com/b0tsci/status/1500694613073571840</v>
      </c>
      <c r="AA14" s="80"/>
      <c r="AB14" s="80"/>
      <c r="AC14" s="85" t="s">
        <v>1180</v>
      </c>
      <c r="AD14" s="80"/>
      <c r="AE14" s="80" t="b">
        <v>0</v>
      </c>
      <c r="AF14" s="80">
        <v>0</v>
      </c>
      <c r="AG14" s="85" t="s">
        <v>1635</v>
      </c>
      <c r="AH14" s="80" t="b">
        <v>1</v>
      </c>
      <c r="AI14" s="80" t="s">
        <v>1642</v>
      </c>
      <c r="AJ14" s="80"/>
      <c r="AK14" s="85" t="s">
        <v>1481</v>
      </c>
      <c r="AL14" s="80" t="b">
        <v>0</v>
      </c>
      <c r="AM14" s="80">
        <v>4</v>
      </c>
      <c r="AN14" s="85" t="s">
        <v>1410</v>
      </c>
      <c r="AO14" s="85" t="s">
        <v>1674</v>
      </c>
      <c r="AP14" s="80" t="b">
        <v>0</v>
      </c>
      <c r="AQ14" s="85" t="s">
        <v>1410</v>
      </c>
      <c r="AR14" s="80" t="s">
        <v>179</v>
      </c>
      <c r="AS14" s="80">
        <v>0</v>
      </c>
      <c r="AT14" s="80">
        <v>0</v>
      </c>
      <c r="AU14" s="80"/>
      <c r="AV14" s="80"/>
      <c r="AW14" s="80"/>
      <c r="AX14" s="80"/>
      <c r="AY14" s="80"/>
      <c r="AZ14" s="80"/>
      <c r="BA14" s="80"/>
      <c r="BB14" s="80"/>
    </row>
    <row r="15" spans="1:54" x14ac:dyDescent="0.25">
      <c r="A15" s="65" t="s">
        <v>222</v>
      </c>
      <c r="B15" s="65" t="s">
        <v>351</v>
      </c>
      <c r="C15" s="66"/>
      <c r="D15" s="67"/>
      <c r="E15" s="68"/>
      <c r="F15" s="69"/>
      <c r="G15" s="66"/>
      <c r="H15" s="70"/>
      <c r="I15" s="71"/>
      <c r="J15" s="71"/>
      <c r="K15" s="36" t="s">
        <v>65</v>
      </c>
      <c r="L15" s="78">
        <v>15</v>
      </c>
      <c r="M15" s="78"/>
      <c r="N15" s="73"/>
      <c r="O15" s="80" t="s">
        <v>415</v>
      </c>
      <c r="P15" s="82">
        <v>44627.208321759259</v>
      </c>
      <c r="Q15" s="80" t="s">
        <v>420</v>
      </c>
      <c r="R15" s="83" t="str">
        <f>HYPERLINK("https://twitter.com/ubalumni/status/1500271443057295360")</f>
        <v>https://twitter.com/ubalumni/status/1500271443057295360</v>
      </c>
      <c r="S15" s="80" t="s">
        <v>633</v>
      </c>
      <c r="T15" s="85" t="s">
        <v>662</v>
      </c>
      <c r="U15" s="80"/>
      <c r="V15" s="83" t="str">
        <f>HYPERLINK("https://pbs.twimg.com/profile_images/1453829206459158528/oQLV7P-C_normal.jpg")</f>
        <v>https://pbs.twimg.com/profile_images/1453829206459158528/oQLV7P-C_normal.jpg</v>
      </c>
      <c r="W15" s="82">
        <v>44627.208321759259</v>
      </c>
      <c r="X15" s="88">
        <v>44627</v>
      </c>
      <c r="Y15" s="85" t="s">
        <v>733</v>
      </c>
      <c r="Z15" s="83" t="str">
        <f>HYPERLINK("https://twitter.com/steminist_bot/status/1500697747648917505")</f>
        <v>https://twitter.com/steminist_bot/status/1500697747648917505</v>
      </c>
      <c r="AA15" s="80"/>
      <c r="AB15" s="80"/>
      <c r="AC15" s="85" t="s">
        <v>1181</v>
      </c>
      <c r="AD15" s="80"/>
      <c r="AE15" s="80" t="b">
        <v>0</v>
      </c>
      <c r="AF15" s="80">
        <v>0</v>
      </c>
      <c r="AG15" s="85" t="s">
        <v>1635</v>
      </c>
      <c r="AH15" s="80" t="b">
        <v>1</v>
      </c>
      <c r="AI15" s="80" t="s">
        <v>1642</v>
      </c>
      <c r="AJ15" s="80"/>
      <c r="AK15" s="85" t="s">
        <v>1481</v>
      </c>
      <c r="AL15" s="80" t="b">
        <v>0</v>
      </c>
      <c r="AM15" s="80">
        <v>4</v>
      </c>
      <c r="AN15" s="85" t="s">
        <v>1410</v>
      </c>
      <c r="AO15" s="85" t="s">
        <v>1675</v>
      </c>
      <c r="AP15" s="80" t="b">
        <v>0</v>
      </c>
      <c r="AQ15" s="85" t="s">
        <v>1410</v>
      </c>
      <c r="AR15" s="80" t="s">
        <v>179</v>
      </c>
      <c r="AS15" s="80">
        <v>0</v>
      </c>
      <c r="AT15" s="80">
        <v>0</v>
      </c>
      <c r="AU15" s="80"/>
      <c r="AV15" s="80"/>
      <c r="AW15" s="80"/>
      <c r="AX15" s="80"/>
      <c r="AY15" s="80"/>
      <c r="AZ15" s="80"/>
      <c r="BA15" s="80"/>
      <c r="BB15" s="80"/>
    </row>
    <row r="16" spans="1:54" x14ac:dyDescent="0.25">
      <c r="A16" s="65" t="s">
        <v>223</v>
      </c>
      <c r="B16" s="65" t="s">
        <v>351</v>
      </c>
      <c r="C16" s="66"/>
      <c r="D16" s="67"/>
      <c r="E16" s="68"/>
      <c r="F16" s="69"/>
      <c r="G16" s="66"/>
      <c r="H16" s="70"/>
      <c r="I16" s="71"/>
      <c r="J16" s="71"/>
      <c r="K16" s="36" t="s">
        <v>65</v>
      </c>
      <c r="L16" s="78">
        <v>16</v>
      </c>
      <c r="M16" s="78"/>
      <c r="N16" s="73"/>
      <c r="O16" s="80" t="s">
        <v>415</v>
      </c>
      <c r="P16" s="82">
        <v>44627.212071759262</v>
      </c>
      <c r="Q16" s="80" t="s">
        <v>420</v>
      </c>
      <c r="R16" s="83" t="str">
        <f>HYPERLINK("https://twitter.com/ubalumni/status/1500271443057295360")</f>
        <v>https://twitter.com/ubalumni/status/1500271443057295360</v>
      </c>
      <c r="S16" s="80" t="s">
        <v>633</v>
      </c>
      <c r="T16" s="85" t="s">
        <v>662</v>
      </c>
      <c r="U16" s="80"/>
      <c r="V16" s="83" t="str">
        <f>HYPERLINK("https://pbs.twimg.com/profile_images/1490792916377391120/ZfzytRaT_normal.jpg")</f>
        <v>https://pbs.twimg.com/profile_images/1490792916377391120/ZfzytRaT_normal.jpg</v>
      </c>
      <c r="W16" s="82">
        <v>44627.212071759262</v>
      </c>
      <c r="X16" s="88">
        <v>44627</v>
      </c>
      <c r="Y16" s="85" t="s">
        <v>734</v>
      </c>
      <c r="Z16" s="83" t="str">
        <f>HYPERLINK("https://twitter.com/womenhealthbot/status/1500699108071333888")</f>
        <v>https://twitter.com/womenhealthbot/status/1500699108071333888</v>
      </c>
      <c r="AA16" s="80"/>
      <c r="AB16" s="80"/>
      <c r="AC16" s="85" t="s">
        <v>1182</v>
      </c>
      <c r="AD16" s="80"/>
      <c r="AE16" s="80" t="b">
        <v>0</v>
      </c>
      <c r="AF16" s="80">
        <v>0</v>
      </c>
      <c r="AG16" s="85" t="s">
        <v>1635</v>
      </c>
      <c r="AH16" s="80" t="b">
        <v>1</v>
      </c>
      <c r="AI16" s="80" t="s">
        <v>1642</v>
      </c>
      <c r="AJ16" s="80"/>
      <c r="AK16" s="85" t="s">
        <v>1481</v>
      </c>
      <c r="AL16" s="80" t="b">
        <v>0</v>
      </c>
      <c r="AM16" s="80">
        <v>4</v>
      </c>
      <c r="AN16" s="85" t="s">
        <v>1410</v>
      </c>
      <c r="AO16" s="85" t="s">
        <v>1676</v>
      </c>
      <c r="AP16" s="80" t="b">
        <v>0</v>
      </c>
      <c r="AQ16" s="85" t="s">
        <v>1410</v>
      </c>
      <c r="AR16" s="80" t="s">
        <v>179</v>
      </c>
      <c r="AS16" s="80">
        <v>0</v>
      </c>
      <c r="AT16" s="80">
        <v>0</v>
      </c>
      <c r="AU16" s="80"/>
      <c r="AV16" s="80"/>
      <c r="AW16" s="80"/>
      <c r="AX16" s="80"/>
      <c r="AY16" s="80"/>
      <c r="AZ16" s="80"/>
      <c r="BA16" s="80"/>
      <c r="BB16" s="80"/>
    </row>
    <row r="17" spans="1:54" x14ac:dyDescent="0.25">
      <c r="A17" s="65" t="s">
        <v>224</v>
      </c>
      <c r="B17" s="65" t="s">
        <v>353</v>
      </c>
      <c r="C17" s="66"/>
      <c r="D17" s="67"/>
      <c r="E17" s="68"/>
      <c r="F17" s="69"/>
      <c r="G17" s="66"/>
      <c r="H17" s="70"/>
      <c r="I17" s="71"/>
      <c r="J17" s="71"/>
      <c r="K17" s="36" t="s">
        <v>65</v>
      </c>
      <c r="L17" s="78">
        <v>17</v>
      </c>
      <c r="M17" s="78"/>
      <c r="N17" s="73"/>
      <c r="O17" s="80" t="s">
        <v>415</v>
      </c>
      <c r="P17" s="82">
        <v>44627.483113425929</v>
      </c>
      <c r="Q17" s="80" t="s">
        <v>421</v>
      </c>
      <c r="R17" s="83" t="str">
        <f>HYPERLINK("https://www.youtube.com/watch?v=tTU9qOZlGks&amp;linkId=100000113767931")</f>
        <v>https://www.youtube.com/watch?v=tTU9qOZlGks&amp;linkId=100000113767931</v>
      </c>
      <c r="S17" s="80" t="s">
        <v>634</v>
      </c>
      <c r="T17" s="85" t="s">
        <v>357</v>
      </c>
      <c r="U17" s="80"/>
      <c r="V17" s="83" t="str">
        <f>HYPERLINK("https://pbs.twimg.com/profile_images/1503335104755687431/VubVAjgL_normal.jpg")</f>
        <v>https://pbs.twimg.com/profile_images/1503335104755687431/VubVAjgL_normal.jpg</v>
      </c>
      <c r="W17" s="82">
        <v>44627.483113425929</v>
      </c>
      <c r="X17" s="88">
        <v>44627</v>
      </c>
      <c r="Y17" s="85" t="s">
        <v>735</v>
      </c>
      <c r="Z17" s="83" t="str">
        <f>HYPERLINK("https://twitter.com/geniusinhd/status/1500797329905008643")</f>
        <v>https://twitter.com/geniusinhd/status/1500797329905008643</v>
      </c>
      <c r="AA17" s="80"/>
      <c r="AB17" s="80"/>
      <c r="AC17" s="85" t="s">
        <v>1183</v>
      </c>
      <c r="AD17" s="80"/>
      <c r="AE17" s="80" t="b">
        <v>0</v>
      </c>
      <c r="AF17" s="80">
        <v>0</v>
      </c>
      <c r="AG17" s="85" t="s">
        <v>1635</v>
      </c>
      <c r="AH17" s="80" t="b">
        <v>0</v>
      </c>
      <c r="AI17" s="80" t="s">
        <v>1642</v>
      </c>
      <c r="AJ17" s="80"/>
      <c r="AK17" s="85" t="s">
        <v>1635</v>
      </c>
      <c r="AL17" s="80" t="b">
        <v>0</v>
      </c>
      <c r="AM17" s="80">
        <v>4</v>
      </c>
      <c r="AN17" s="85" t="s">
        <v>1481</v>
      </c>
      <c r="AO17" s="85" t="s">
        <v>1671</v>
      </c>
      <c r="AP17" s="80" t="b">
        <v>0</v>
      </c>
      <c r="AQ17" s="85" t="s">
        <v>1481</v>
      </c>
      <c r="AR17" s="80" t="s">
        <v>179</v>
      </c>
      <c r="AS17" s="80">
        <v>0</v>
      </c>
      <c r="AT17" s="80">
        <v>0</v>
      </c>
      <c r="AU17" s="80"/>
      <c r="AV17" s="80"/>
      <c r="AW17" s="80"/>
      <c r="AX17" s="80"/>
      <c r="AY17" s="80"/>
      <c r="AZ17" s="80"/>
      <c r="BA17" s="80"/>
      <c r="BB17" s="80"/>
    </row>
    <row r="18" spans="1:54" x14ac:dyDescent="0.25">
      <c r="A18" s="65" t="s">
        <v>225</v>
      </c>
      <c r="B18" s="65" t="s">
        <v>286</v>
      </c>
      <c r="C18" s="66"/>
      <c r="D18" s="67"/>
      <c r="E18" s="68"/>
      <c r="F18" s="69"/>
      <c r="G18" s="66"/>
      <c r="H18" s="70"/>
      <c r="I18" s="71"/>
      <c r="J18" s="71"/>
      <c r="K18" s="36" t="s">
        <v>65</v>
      </c>
      <c r="L18" s="78">
        <v>18</v>
      </c>
      <c r="M18" s="78"/>
      <c r="N18" s="73"/>
      <c r="O18" s="80" t="s">
        <v>415</v>
      </c>
      <c r="P18" s="82">
        <v>44627.564953703702</v>
      </c>
      <c r="Q18" s="80" t="s">
        <v>422</v>
      </c>
      <c r="R18" s="83" t="str">
        <f>HYPERLINK("https://veerbooks.com/filter/veer-books/Steve-McCaffery-Carnival")</f>
        <v>https://veerbooks.com/filter/veer-books/Steve-McCaffery-Carnival</v>
      </c>
      <c r="S18" s="80" t="s">
        <v>635</v>
      </c>
      <c r="T18" s="85" t="s">
        <v>357</v>
      </c>
      <c r="U18" s="83" t="str">
        <f>HYPERLINK("https://pbs.twimg.com/media/FM8C-zOXEAwknm_.jpg")</f>
        <v>https://pbs.twimg.com/media/FM8C-zOXEAwknm_.jpg</v>
      </c>
      <c r="V18" s="83" t="str">
        <f>HYPERLINK("https://pbs.twimg.com/media/FM8C-zOXEAwknm_.jpg")</f>
        <v>https://pbs.twimg.com/media/FM8C-zOXEAwknm_.jpg</v>
      </c>
      <c r="W18" s="82">
        <v>44627.564953703702</v>
      </c>
      <c r="X18" s="88">
        <v>44627</v>
      </c>
      <c r="Y18" s="85" t="s">
        <v>736</v>
      </c>
      <c r="Z18" s="83" t="str">
        <f>HYPERLINK("https://twitter.com/sugaronthegash/status/1500826987027484674")</f>
        <v>https://twitter.com/sugaronthegash/status/1500826987027484674</v>
      </c>
      <c r="AA18" s="80"/>
      <c r="AB18" s="80"/>
      <c r="AC18" s="85" t="s">
        <v>1184</v>
      </c>
      <c r="AD18" s="80"/>
      <c r="AE18" s="80" t="b">
        <v>0</v>
      </c>
      <c r="AF18" s="80">
        <v>0</v>
      </c>
      <c r="AG18" s="85" t="s">
        <v>1635</v>
      </c>
      <c r="AH18" s="80" t="b">
        <v>0</v>
      </c>
      <c r="AI18" s="80" t="s">
        <v>1642</v>
      </c>
      <c r="AJ18" s="80"/>
      <c r="AK18" s="85" t="s">
        <v>1635</v>
      </c>
      <c r="AL18" s="80" t="b">
        <v>0</v>
      </c>
      <c r="AM18" s="80">
        <v>1</v>
      </c>
      <c r="AN18" s="85" t="s">
        <v>1269</v>
      </c>
      <c r="AO18" s="85" t="s">
        <v>1672</v>
      </c>
      <c r="AP18" s="80" t="b">
        <v>0</v>
      </c>
      <c r="AQ18" s="85" t="s">
        <v>1269</v>
      </c>
      <c r="AR18" s="80" t="s">
        <v>179</v>
      </c>
      <c r="AS18" s="80">
        <v>0</v>
      </c>
      <c r="AT18" s="80">
        <v>0</v>
      </c>
      <c r="AU18" s="80"/>
      <c r="AV18" s="80"/>
      <c r="AW18" s="80"/>
      <c r="AX18" s="80"/>
      <c r="AY18" s="80"/>
      <c r="AZ18" s="80"/>
      <c r="BA18" s="80"/>
      <c r="BB18" s="80"/>
    </row>
    <row r="19" spans="1:54" x14ac:dyDescent="0.25">
      <c r="A19" s="65" t="s">
        <v>226</v>
      </c>
      <c r="B19" s="65" t="s">
        <v>226</v>
      </c>
      <c r="C19" s="66"/>
      <c r="D19" s="67"/>
      <c r="E19" s="68"/>
      <c r="F19" s="69"/>
      <c r="G19" s="66"/>
      <c r="H19" s="70"/>
      <c r="I19" s="71"/>
      <c r="J19" s="71"/>
      <c r="K19" s="36" t="s">
        <v>65</v>
      </c>
      <c r="L19" s="78">
        <v>19</v>
      </c>
      <c r="M19" s="78"/>
      <c r="N19" s="73"/>
      <c r="O19" s="80" t="s">
        <v>179</v>
      </c>
      <c r="P19" s="82">
        <v>44627.585462962961</v>
      </c>
      <c r="Q19" s="80" t="s">
        <v>423</v>
      </c>
      <c r="R19" s="83" t="str">
        <f>HYPERLINK("https://nyslibrary.libcal.com/event/8499502")</f>
        <v>https://nyslibrary.libcal.com/event/8499502</v>
      </c>
      <c r="S19" s="80" t="s">
        <v>636</v>
      </c>
      <c r="T19" s="85" t="s">
        <v>663</v>
      </c>
      <c r="U19" s="83" t="str">
        <f>HYPERLINK("https://pbs.twimg.com/media/FNQI8rcWUAMO7Sk.jpg")</f>
        <v>https://pbs.twimg.com/media/FNQI8rcWUAMO7Sk.jpg</v>
      </c>
      <c r="V19" s="83" t="str">
        <f>HYPERLINK("https://pbs.twimg.com/media/FNQI8rcWUAMO7Sk.jpg")</f>
        <v>https://pbs.twimg.com/media/FNQI8rcWUAMO7Sk.jpg</v>
      </c>
      <c r="W19" s="82">
        <v>44627.585462962961</v>
      </c>
      <c r="X19" s="88">
        <v>44627</v>
      </c>
      <c r="Y19" s="85" t="s">
        <v>737</v>
      </c>
      <c r="Z19" s="83" t="str">
        <f>HYPERLINK("https://twitter.com/nyslibrary/status/1500834417887129608")</f>
        <v>https://twitter.com/nyslibrary/status/1500834417887129608</v>
      </c>
      <c r="AA19" s="80"/>
      <c r="AB19" s="80"/>
      <c r="AC19" s="85" t="s">
        <v>1185</v>
      </c>
      <c r="AD19" s="80"/>
      <c r="AE19" s="80" t="b">
        <v>0</v>
      </c>
      <c r="AF19" s="80">
        <v>1</v>
      </c>
      <c r="AG19" s="85" t="s">
        <v>1635</v>
      </c>
      <c r="AH19" s="80" t="b">
        <v>0</v>
      </c>
      <c r="AI19" s="80" t="s">
        <v>1642</v>
      </c>
      <c r="AJ19" s="80"/>
      <c r="AK19" s="85" t="s">
        <v>1635</v>
      </c>
      <c r="AL19" s="80" t="b">
        <v>0</v>
      </c>
      <c r="AM19" s="80">
        <v>0</v>
      </c>
      <c r="AN19" s="85" t="s">
        <v>1635</v>
      </c>
      <c r="AO19" s="85" t="s">
        <v>1677</v>
      </c>
      <c r="AP19" s="80" t="b">
        <v>0</v>
      </c>
      <c r="AQ19" s="85" t="s">
        <v>1185</v>
      </c>
      <c r="AR19" s="80" t="s">
        <v>179</v>
      </c>
      <c r="AS19" s="80">
        <v>0</v>
      </c>
      <c r="AT19" s="80">
        <v>0</v>
      </c>
      <c r="AU19" s="80"/>
      <c r="AV19" s="80"/>
      <c r="AW19" s="80"/>
      <c r="AX19" s="80"/>
      <c r="AY19" s="80"/>
      <c r="AZ19" s="80"/>
      <c r="BA19" s="80"/>
      <c r="BB19" s="80"/>
    </row>
    <row r="20" spans="1:54" x14ac:dyDescent="0.25">
      <c r="A20" s="65" t="s">
        <v>227</v>
      </c>
      <c r="B20" s="65" t="s">
        <v>227</v>
      </c>
      <c r="C20" s="66"/>
      <c r="D20" s="67"/>
      <c r="E20" s="68"/>
      <c r="F20" s="69"/>
      <c r="G20" s="66"/>
      <c r="H20" s="70"/>
      <c r="I20" s="71"/>
      <c r="J20" s="71"/>
      <c r="K20" s="36" t="s">
        <v>65</v>
      </c>
      <c r="L20" s="78">
        <v>20</v>
      </c>
      <c r="M20" s="78"/>
      <c r="N20" s="73"/>
      <c r="O20" s="80" t="s">
        <v>179</v>
      </c>
      <c r="P20" s="82">
        <v>44627.704236111109</v>
      </c>
      <c r="Q20" s="80" t="s">
        <v>424</v>
      </c>
      <c r="R20" s="80"/>
      <c r="S20" s="80"/>
      <c r="T20" s="85" t="s">
        <v>664</v>
      </c>
      <c r="U20" s="83" t="str">
        <f>HYPERLINK("https://pbs.twimg.com/media/FNQwGD7XwAYRkqX.jpg")</f>
        <v>https://pbs.twimg.com/media/FNQwGD7XwAYRkqX.jpg</v>
      </c>
      <c r="V20" s="83" t="str">
        <f>HYPERLINK("https://pbs.twimg.com/media/FNQwGD7XwAYRkqX.jpg")</f>
        <v>https://pbs.twimg.com/media/FNQwGD7XwAYRkqX.jpg</v>
      </c>
      <c r="W20" s="82">
        <v>44627.704236111109</v>
      </c>
      <c r="X20" s="88">
        <v>44627</v>
      </c>
      <c r="Y20" s="85" t="s">
        <v>738</v>
      </c>
      <c r="Z20" s="83" t="str">
        <f>HYPERLINK("https://twitter.com/ub_marketing/status/1500877460732358659")</f>
        <v>https://twitter.com/ub_marketing/status/1500877460732358659</v>
      </c>
      <c r="AA20" s="80"/>
      <c r="AB20" s="80"/>
      <c r="AC20" s="85" t="s">
        <v>1186</v>
      </c>
      <c r="AD20" s="80"/>
      <c r="AE20" s="80" t="b">
        <v>0</v>
      </c>
      <c r="AF20" s="80">
        <v>1</v>
      </c>
      <c r="AG20" s="85" t="s">
        <v>1635</v>
      </c>
      <c r="AH20" s="80" t="b">
        <v>0</v>
      </c>
      <c r="AI20" s="80" t="s">
        <v>1642</v>
      </c>
      <c r="AJ20" s="80"/>
      <c r="AK20" s="85" t="s">
        <v>1635</v>
      </c>
      <c r="AL20" s="80" t="b">
        <v>0</v>
      </c>
      <c r="AM20" s="80">
        <v>0</v>
      </c>
      <c r="AN20" s="85" t="s">
        <v>1635</v>
      </c>
      <c r="AO20" s="85" t="s">
        <v>1678</v>
      </c>
      <c r="AP20" s="80" t="b">
        <v>0</v>
      </c>
      <c r="AQ20" s="85" t="s">
        <v>1186</v>
      </c>
      <c r="AR20" s="80" t="s">
        <v>179</v>
      </c>
      <c r="AS20" s="80">
        <v>0</v>
      </c>
      <c r="AT20" s="80">
        <v>0</v>
      </c>
      <c r="AU20" s="80" t="s">
        <v>1687</v>
      </c>
      <c r="AV20" s="80" t="s">
        <v>1691</v>
      </c>
      <c r="AW20" s="80" t="s">
        <v>1692</v>
      </c>
      <c r="AX20" s="80" t="s">
        <v>1693</v>
      </c>
      <c r="AY20" s="80" t="s">
        <v>1697</v>
      </c>
      <c r="AZ20" s="80" t="s">
        <v>1701</v>
      </c>
      <c r="BA20" s="80" t="s">
        <v>1705</v>
      </c>
      <c r="BB20" s="83" t="str">
        <f>HYPERLINK("https://api.twitter.com/1.1/geo/id/7dabbf75534f6cee.json")</f>
        <v>https://api.twitter.com/1.1/geo/id/7dabbf75534f6cee.json</v>
      </c>
    </row>
    <row r="21" spans="1:54" x14ac:dyDescent="0.25">
      <c r="A21" s="65" t="s">
        <v>228</v>
      </c>
      <c r="B21" s="65" t="s">
        <v>383</v>
      </c>
      <c r="C21" s="66"/>
      <c r="D21" s="67"/>
      <c r="E21" s="68"/>
      <c r="F21" s="69"/>
      <c r="G21" s="66"/>
      <c r="H21" s="70"/>
      <c r="I21" s="71"/>
      <c r="J21" s="71"/>
      <c r="K21" s="36" t="s">
        <v>65</v>
      </c>
      <c r="L21" s="78">
        <v>21</v>
      </c>
      <c r="M21" s="78"/>
      <c r="N21" s="73"/>
      <c r="O21" s="80" t="s">
        <v>414</v>
      </c>
      <c r="P21" s="82">
        <v>44627.707453703704</v>
      </c>
      <c r="Q21" s="80" t="s">
        <v>425</v>
      </c>
      <c r="R21" s="83" t="str">
        <f>HYPERLINK("https://buffalo.zoom.us/meeting/register/tJApdu2upz8uH91uWWEt4_SQWWdLuqt6gkng")</f>
        <v>https://buffalo.zoom.us/meeting/register/tJApdu2upz8uH91uWWEt4_SQWWdLuqt6gkng</v>
      </c>
      <c r="S21" s="80" t="s">
        <v>637</v>
      </c>
      <c r="T21" s="85" t="s">
        <v>357</v>
      </c>
      <c r="U21" s="80"/>
      <c r="V21" s="83" t="str">
        <f>HYPERLINK("https://pbs.twimg.com/profile_images/945856091220475909/JO7aG1Ln_normal.jpg")</f>
        <v>https://pbs.twimg.com/profile_images/945856091220475909/JO7aG1Ln_normal.jpg</v>
      </c>
      <c r="W21" s="82">
        <v>44627.707453703704</v>
      </c>
      <c r="X21" s="88">
        <v>44627</v>
      </c>
      <c r="Y21" s="85" t="s">
        <v>739</v>
      </c>
      <c r="Z21" s="83" t="str">
        <f>HYPERLINK("https://twitter.com/cbramen/status/1500878629533802499")</f>
        <v>https://twitter.com/cbramen/status/1500878629533802499</v>
      </c>
      <c r="AA21" s="80"/>
      <c r="AB21" s="80"/>
      <c r="AC21" s="85" t="s">
        <v>1187</v>
      </c>
      <c r="AD21" s="80"/>
      <c r="AE21" s="80" t="b">
        <v>0</v>
      </c>
      <c r="AF21" s="80">
        <v>0</v>
      </c>
      <c r="AG21" s="85" t="s">
        <v>1635</v>
      </c>
      <c r="AH21" s="80" t="b">
        <v>0</v>
      </c>
      <c r="AI21" s="80" t="s">
        <v>1642</v>
      </c>
      <c r="AJ21" s="80"/>
      <c r="AK21" s="85" t="s">
        <v>1635</v>
      </c>
      <c r="AL21" s="80" t="b">
        <v>0</v>
      </c>
      <c r="AM21" s="80">
        <v>2</v>
      </c>
      <c r="AN21" s="85" t="s">
        <v>1542</v>
      </c>
      <c r="AO21" s="85" t="s">
        <v>1672</v>
      </c>
      <c r="AP21" s="80" t="b">
        <v>0</v>
      </c>
      <c r="AQ21" s="85" t="s">
        <v>1542</v>
      </c>
      <c r="AR21" s="80" t="s">
        <v>179</v>
      </c>
      <c r="AS21" s="80">
        <v>0</v>
      </c>
      <c r="AT21" s="80">
        <v>0</v>
      </c>
      <c r="AU21" s="80"/>
      <c r="AV21" s="80"/>
      <c r="AW21" s="80"/>
      <c r="AX21" s="80"/>
      <c r="AY21" s="80"/>
      <c r="AZ21" s="80"/>
      <c r="BA21" s="80"/>
      <c r="BB21" s="80"/>
    </row>
    <row r="22" spans="1:54" x14ac:dyDescent="0.25">
      <c r="A22" s="65" t="s">
        <v>228</v>
      </c>
      <c r="B22" s="65" t="s">
        <v>375</v>
      </c>
      <c r="C22" s="66"/>
      <c r="D22" s="67"/>
      <c r="E22" s="68"/>
      <c r="F22" s="69"/>
      <c r="G22" s="66"/>
      <c r="H22" s="70"/>
      <c r="I22" s="71"/>
      <c r="J22" s="71"/>
      <c r="K22" s="36" t="s">
        <v>65</v>
      </c>
      <c r="L22" s="78">
        <v>22</v>
      </c>
      <c r="M22" s="78"/>
      <c r="N22" s="73"/>
      <c r="O22" s="80" t="s">
        <v>414</v>
      </c>
      <c r="P22" s="82">
        <v>44627.707453703704</v>
      </c>
      <c r="Q22" s="80" t="s">
        <v>425</v>
      </c>
      <c r="R22" s="83" t="str">
        <f>HYPERLINK("https://buffalo.zoom.us/meeting/register/tJApdu2upz8uH91uWWEt4_SQWWdLuqt6gkng")</f>
        <v>https://buffalo.zoom.us/meeting/register/tJApdu2upz8uH91uWWEt4_SQWWdLuqt6gkng</v>
      </c>
      <c r="S22" s="80" t="s">
        <v>637</v>
      </c>
      <c r="T22" s="85" t="s">
        <v>357</v>
      </c>
      <c r="U22" s="80"/>
      <c r="V22" s="83" t="str">
        <f>HYPERLINK("https://pbs.twimg.com/profile_images/945856091220475909/JO7aG1Ln_normal.jpg")</f>
        <v>https://pbs.twimg.com/profile_images/945856091220475909/JO7aG1Ln_normal.jpg</v>
      </c>
      <c r="W22" s="82">
        <v>44627.707453703704</v>
      </c>
      <c r="X22" s="88">
        <v>44627</v>
      </c>
      <c r="Y22" s="85" t="s">
        <v>739</v>
      </c>
      <c r="Z22" s="83" t="str">
        <f>HYPERLINK("https://twitter.com/cbramen/status/1500878629533802499")</f>
        <v>https://twitter.com/cbramen/status/1500878629533802499</v>
      </c>
      <c r="AA22" s="80"/>
      <c r="AB22" s="80"/>
      <c r="AC22" s="85" t="s">
        <v>1187</v>
      </c>
      <c r="AD22" s="80"/>
      <c r="AE22" s="80" t="b">
        <v>0</v>
      </c>
      <c r="AF22" s="80">
        <v>0</v>
      </c>
      <c r="AG22" s="85" t="s">
        <v>1635</v>
      </c>
      <c r="AH22" s="80" t="b">
        <v>0</v>
      </c>
      <c r="AI22" s="80" t="s">
        <v>1642</v>
      </c>
      <c r="AJ22" s="80"/>
      <c r="AK22" s="85" t="s">
        <v>1635</v>
      </c>
      <c r="AL22" s="80" t="b">
        <v>0</v>
      </c>
      <c r="AM22" s="80">
        <v>2</v>
      </c>
      <c r="AN22" s="85" t="s">
        <v>1542</v>
      </c>
      <c r="AO22" s="85" t="s">
        <v>1672</v>
      </c>
      <c r="AP22" s="80" t="b">
        <v>0</v>
      </c>
      <c r="AQ22" s="85" t="s">
        <v>1542</v>
      </c>
      <c r="AR22" s="80" t="s">
        <v>179</v>
      </c>
      <c r="AS22" s="80">
        <v>0</v>
      </c>
      <c r="AT22" s="80">
        <v>0</v>
      </c>
      <c r="AU22" s="80"/>
      <c r="AV22" s="80"/>
      <c r="AW22" s="80"/>
      <c r="AX22" s="80"/>
      <c r="AY22" s="80"/>
      <c r="AZ22" s="80"/>
      <c r="BA22" s="80"/>
      <c r="BB22" s="80"/>
    </row>
    <row r="23" spans="1:54" x14ac:dyDescent="0.25">
      <c r="A23" s="65" t="s">
        <v>228</v>
      </c>
      <c r="B23" s="65" t="s">
        <v>384</v>
      </c>
      <c r="C23" s="66"/>
      <c r="D23" s="67"/>
      <c r="E23" s="68"/>
      <c r="F23" s="69"/>
      <c r="G23" s="66"/>
      <c r="H23" s="70"/>
      <c r="I23" s="71"/>
      <c r="J23" s="71"/>
      <c r="K23" s="36" t="s">
        <v>65</v>
      </c>
      <c r="L23" s="78">
        <v>23</v>
      </c>
      <c r="M23" s="78"/>
      <c r="N23" s="73"/>
      <c r="O23" s="80" t="s">
        <v>414</v>
      </c>
      <c r="P23" s="82">
        <v>44627.707453703704</v>
      </c>
      <c r="Q23" s="80" t="s">
        <v>425</v>
      </c>
      <c r="R23" s="83" t="str">
        <f>HYPERLINK("https://buffalo.zoom.us/meeting/register/tJApdu2upz8uH91uWWEt4_SQWWdLuqt6gkng")</f>
        <v>https://buffalo.zoom.us/meeting/register/tJApdu2upz8uH91uWWEt4_SQWWdLuqt6gkng</v>
      </c>
      <c r="S23" s="80" t="s">
        <v>637</v>
      </c>
      <c r="T23" s="85" t="s">
        <v>357</v>
      </c>
      <c r="U23" s="80"/>
      <c r="V23" s="83" t="str">
        <f>HYPERLINK("https://pbs.twimg.com/profile_images/945856091220475909/JO7aG1Ln_normal.jpg")</f>
        <v>https://pbs.twimg.com/profile_images/945856091220475909/JO7aG1Ln_normal.jpg</v>
      </c>
      <c r="W23" s="82">
        <v>44627.707453703704</v>
      </c>
      <c r="X23" s="88">
        <v>44627</v>
      </c>
      <c r="Y23" s="85" t="s">
        <v>739</v>
      </c>
      <c r="Z23" s="83" t="str">
        <f>HYPERLINK("https://twitter.com/cbramen/status/1500878629533802499")</f>
        <v>https://twitter.com/cbramen/status/1500878629533802499</v>
      </c>
      <c r="AA23" s="80"/>
      <c r="AB23" s="80"/>
      <c r="AC23" s="85" t="s">
        <v>1187</v>
      </c>
      <c r="AD23" s="80"/>
      <c r="AE23" s="80" t="b">
        <v>0</v>
      </c>
      <c r="AF23" s="80">
        <v>0</v>
      </c>
      <c r="AG23" s="85" t="s">
        <v>1635</v>
      </c>
      <c r="AH23" s="80" t="b">
        <v>0</v>
      </c>
      <c r="AI23" s="80" t="s">
        <v>1642</v>
      </c>
      <c r="AJ23" s="80"/>
      <c r="AK23" s="85" t="s">
        <v>1635</v>
      </c>
      <c r="AL23" s="80" t="b">
        <v>0</v>
      </c>
      <c r="AM23" s="80">
        <v>2</v>
      </c>
      <c r="AN23" s="85" t="s">
        <v>1542</v>
      </c>
      <c r="AO23" s="85" t="s">
        <v>1672</v>
      </c>
      <c r="AP23" s="80" t="b">
        <v>0</v>
      </c>
      <c r="AQ23" s="85" t="s">
        <v>1542</v>
      </c>
      <c r="AR23" s="80" t="s">
        <v>179</v>
      </c>
      <c r="AS23" s="80">
        <v>0</v>
      </c>
      <c r="AT23" s="80">
        <v>0</v>
      </c>
      <c r="AU23" s="80"/>
      <c r="AV23" s="80"/>
      <c r="AW23" s="80"/>
      <c r="AX23" s="80"/>
      <c r="AY23" s="80"/>
      <c r="AZ23" s="80"/>
      <c r="BA23" s="80"/>
      <c r="BB23" s="80"/>
    </row>
    <row r="24" spans="1:54" x14ac:dyDescent="0.25">
      <c r="A24" s="65" t="s">
        <v>228</v>
      </c>
      <c r="B24" s="65" t="s">
        <v>374</v>
      </c>
      <c r="C24" s="66"/>
      <c r="D24" s="67"/>
      <c r="E24" s="68"/>
      <c r="F24" s="69"/>
      <c r="G24" s="66"/>
      <c r="H24" s="70"/>
      <c r="I24" s="71"/>
      <c r="J24" s="71"/>
      <c r="K24" s="36" t="s">
        <v>65</v>
      </c>
      <c r="L24" s="78">
        <v>24</v>
      </c>
      <c r="M24" s="78"/>
      <c r="N24" s="73"/>
      <c r="O24" s="80" t="s">
        <v>415</v>
      </c>
      <c r="P24" s="82">
        <v>44627.707453703704</v>
      </c>
      <c r="Q24" s="80" t="s">
        <v>425</v>
      </c>
      <c r="R24" s="83" t="str">
        <f>HYPERLINK("https://buffalo.zoom.us/meeting/register/tJApdu2upz8uH91uWWEt4_SQWWdLuqt6gkng")</f>
        <v>https://buffalo.zoom.us/meeting/register/tJApdu2upz8uH91uWWEt4_SQWWdLuqt6gkng</v>
      </c>
      <c r="S24" s="80" t="s">
        <v>637</v>
      </c>
      <c r="T24" s="85" t="s">
        <v>357</v>
      </c>
      <c r="U24" s="80"/>
      <c r="V24" s="83" t="str">
        <f>HYPERLINK("https://pbs.twimg.com/profile_images/945856091220475909/JO7aG1Ln_normal.jpg")</f>
        <v>https://pbs.twimg.com/profile_images/945856091220475909/JO7aG1Ln_normal.jpg</v>
      </c>
      <c r="W24" s="82">
        <v>44627.707453703704</v>
      </c>
      <c r="X24" s="88">
        <v>44627</v>
      </c>
      <c r="Y24" s="85" t="s">
        <v>739</v>
      </c>
      <c r="Z24" s="83" t="str">
        <f>HYPERLINK("https://twitter.com/cbramen/status/1500878629533802499")</f>
        <v>https://twitter.com/cbramen/status/1500878629533802499</v>
      </c>
      <c r="AA24" s="80"/>
      <c r="AB24" s="80"/>
      <c r="AC24" s="85" t="s">
        <v>1187</v>
      </c>
      <c r="AD24" s="80"/>
      <c r="AE24" s="80" t="b">
        <v>0</v>
      </c>
      <c r="AF24" s="80">
        <v>0</v>
      </c>
      <c r="AG24" s="85" t="s">
        <v>1635</v>
      </c>
      <c r="AH24" s="80" t="b">
        <v>0</v>
      </c>
      <c r="AI24" s="80" t="s">
        <v>1642</v>
      </c>
      <c r="AJ24" s="80"/>
      <c r="AK24" s="85" t="s">
        <v>1635</v>
      </c>
      <c r="AL24" s="80" t="b">
        <v>0</v>
      </c>
      <c r="AM24" s="80">
        <v>2</v>
      </c>
      <c r="AN24" s="85" t="s">
        <v>1542</v>
      </c>
      <c r="AO24" s="85" t="s">
        <v>1672</v>
      </c>
      <c r="AP24" s="80" t="b">
        <v>0</v>
      </c>
      <c r="AQ24" s="85" t="s">
        <v>1542</v>
      </c>
      <c r="AR24" s="80" t="s">
        <v>179</v>
      </c>
      <c r="AS24" s="80">
        <v>0</v>
      </c>
      <c r="AT24" s="80">
        <v>0</v>
      </c>
      <c r="AU24" s="80"/>
      <c r="AV24" s="80"/>
      <c r="AW24" s="80"/>
      <c r="AX24" s="80"/>
      <c r="AY24" s="80"/>
      <c r="AZ24" s="80"/>
      <c r="BA24" s="80"/>
      <c r="BB24" s="80"/>
    </row>
    <row r="25" spans="1:54" x14ac:dyDescent="0.25">
      <c r="A25" s="65" t="s">
        <v>229</v>
      </c>
      <c r="B25" s="65" t="s">
        <v>353</v>
      </c>
      <c r="C25" s="66"/>
      <c r="D25" s="67"/>
      <c r="E25" s="68"/>
      <c r="F25" s="69"/>
      <c r="G25" s="66"/>
      <c r="H25" s="70"/>
      <c r="I25" s="71"/>
      <c r="J25" s="71"/>
      <c r="K25" s="36" t="s">
        <v>65</v>
      </c>
      <c r="L25" s="78">
        <v>25</v>
      </c>
      <c r="M25" s="78"/>
      <c r="N25" s="73"/>
      <c r="O25" s="80" t="s">
        <v>415</v>
      </c>
      <c r="P25" s="82">
        <v>44626.706736111111</v>
      </c>
      <c r="Q25" s="80" t="s">
        <v>421</v>
      </c>
      <c r="R25" s="83" t="str">
        <f>HYPERLINK("https://www.youtube.com/watch?v=tTU9qOZlGks&amp;linkId=100000113767931")</f>
        <v>https://www.youtube.com/watch?v=tTU9qOZlGks&amp;linkId=100000113767931</v>
      </c>
      <c r="S25" s="80" t="s">
        <v>634</v>
      </c>
      <c r="T25" s="85" t="s">
        <v>357</v>
      </c>
      <c r="U25" s="80"/>
      <c r="V25" s="83" t="str">
        <f>HYPERLINK("https://pbs.twimg.com/profile_images/1491499670601936897/W-_2sLCt_normal.jpg")</f>
        <v>https://pbs.twimg.com/profile_images/1491499670601936897/W-_2sLCt_normal.jpg</v>
      </c>
      <c r="W25" s="82">
        <v>44626.706736111111</v>
      </c>
      <c r="X25" s="88">
        <v>44626</v>
      </c>
      <c r="Y25" s="85" t="s">
        <v>740</v>
      </c>
      <c r="Z25" s="83" t="str">
        <f>HYPERLINK("https://twitter.com/acannonzelasko/status/1500515979578724354")</f>
        <v>https://twitter.com/acannonzelasko/status/1500515979578724354</v>
      </c>
      <c r="AA25" s="80"/>
      <c r="AB25" s="80"/>
      <c r="AC25" s="85" t="s">
        <v>1188</v>
      </c>
      <c r="AD25" s="80"/>
      <c r="AE25" s="80" t="b">
        <v>0</v>
      </c>
      <c r="AF25" s="80">
        <v>0</v>
      </c>
      <c r="AG25" s="85" t="s">
        <v>1635</v>
      </c>
      <c r="AH25" s="80" t="b">
        <v>0</v>
      </c>
      <c r="AI25" s="80" t="s">
        <v>1642</v>
      </c>
      <c r="AJ25" s="80"/>
      <c r="AK25" s="85" t="s">
        <v>1635</v>
      </c>
      <c r="AL25" s="80" t="b">
        <v>0</v>
      </c>
      <c r="AM25" s="80">
        <v>4</v>
      </c>
      <c r="AN25" s="85" t="s">
        <v>1481</v>
      </c>
      <c r="AO25" s="85" t="s">
        <v>1673</v>
      </c>
      <c r="AP25" s="80" t="b">
        <v>0</v>
      </c>
      <c r="AQ25" s="85" t="s">
        <v>1481</v>
      </c>
      <c r="AR25" s="80" t="s">
        <v>179</v>
      </c>
      <c r="AS25" s="80">
        <v>0</v>
      </c>
      <c r="AT25" s="80">
        <v>0</v>
      </c>
      <c r="AU25" s="80"/>
      <c r="AV25" s="80"/>
      <c r="AW25" s="80"/>
      <c r="AX25" s="80"/>
      <c r="AY25" s="80"/>
      <c r="AZ25" s="80"/>
      <c r="BA25" s="80"/>
      <c r="BB25" s="80"/>
    </row>
    <row r="26" spans="1:54" x14ac:dyDescent="0.25">
      <c r="A26" s="65" t="s">
        <v>229</v>
      </c>
      <c r="B26" s="65" t="s">
        <v>385</v>
      </c>
      <c r="C26" s="66"/>
      <c r="D26" s="67"/>
      <c r="E26" s="68"/>
      <c r="F26" s="69"/>
      <c r="G26" s="66"/>
      <c r="H26" s="70"/>
      <c r="I26" s="71"/>
      <c r="J26" s="71"/>
      <c r="K26" s="36" t="s">
        <v>65</v>
      </c>
      <c r="L26" s="78">
        <v>26</v>
      </c>
      <c r="M26" s="78"/>
      <c r="N26" s="73"/>
      <c r="O26" s="80" t="s">
        <v>414</v>
      </c>
      <c r="P26" s="82">
        <v>44627.732314814813</v>
      </c>
      <c r="Q26" s="80" t="s">
        <v>426</v>
      </c>
      <c r="R26" s="83" t="str">
        <f>HYPERLINK("https://ubbulls.com/sports/2022/2/24/mac-basketball-2022.aspx?linkId=100000113931700")</f>
        <v>https://ubbulls.com/sports/2022/2/24/mac-basketball-2022.aspx?linkId=100000113931700</v>
      </c>
      <c r="S26" s="80" t="s">
        <v>638</v>
      </c>
      <c r="T26" s="85" t="s">
        <v>665</v>
      </c>
      <c r="U26" s="83" t="str">
        <f>HYPERLINK("https://pbs.twimg.com/media/FNQuP6DXsAUvTIT.jpg")</f>
        <v>https://pbs.twimg.com/media/FNQuP6DXsAUvTIT.jpg</v>
      </c>
      <c r="V26" s="83" t="str">
        <f>HYPERLINK("https://pbs.twimg.com/media/FNQuP6DXsAUvTIT.jpg")</f>
        <v>https://pbs.twimg.com/media/FNQuP6DXsAUvTIT.jpg</v>
      </c>
      <c r="W26" s="82">
        <v>44627.732314814813</v>
      </c>
      <c r="X26" s="88">
        <v>44627</v>
      </c>
      <c r="Y26" s="85" t="s">
        <v>741</v>
      </c>
      <c r="Z26" s="83" t="str">
        <f>HYPERLINK("https://twitter.com/acannonzelasko/status/1500887637086908419")</f>
        <v>https://twitter.com/acannonzelasko/status/1500887637086908419</v>
      </c>
      <c r="AA26" s="80"/>
      <c r="AB26" s="80"/>
      <c r="AC26" s="85" t="s">
        <v>1189</v>
      </c>
      <c r="AD26" s="80"/>
      <c r="AE26" s="80" t="b">
        <v>0</v>
      </c>
      <c r="AF26" s="80">
        <v>0</v>
      </c>
      <c r="AG26" s="85" t="s">
        <v>1635</v>
      </c>
      <c r="AH26" s="80" t="b">
        <v>0</v>
      </c>
      <c r="AI26" s="80" t="s">
        <v>1642</v>
      </c>
      <c r="AJ26" s="80"/>
      <c r="AK26" s="85" t="s">
        <v>1635</v>
      </c>
      <c r="AL26" s="80" t="b">
        <v>0</v>
      </c>
      <c r="AM26" s="80">
        <v>5</v>
      </c>
      <c r="AN26" s="85" t="s">
        <v>1423</v>
      </c>
      <c r="AO26" s="85" t="s">
        <v>1673</v>
      </c>
      <c r="AP26" s="80" t="b">
        <v>0</v>
      </c>
      <c r="AQ26" s="85" t="s">
        <v>1423</v>
      </c>
      <c r="AR26" s="80" t="s">
        <v>179</v>
      </c>
      <c r="AS26" s="80">
        <v>0</v>
      </c>
      <c r="AT26" s="80">
        <v>0</v>
      </c>
      <c r="AU26" s="80"/>
      <c r="AV26" s="80"/>
      <c r="AW26" s="80"/>
      <c r="AX26" s="80"/>
      <c r="AY26" s="80"/>
      <c r="AZ26" s="80"/>
      <c r="BA26" s="80"/>
      <c r="BB26" s="80"/>
    </row>
    <row r="27" spans="1:54" x14ac:dyDescent="0.25">
      <c r="A27" s="65" t="s">
        <v>229</v>
      </c>
      <c r="B27" s="65" t="s">
        <v>386</v>
      </c>
      <c r="C27" s="66"/>
      <c r="D27" s="67"/>
      <c r="E27" s="68"/>
      <c r="F27" s="69"/>
      <c r="G27" s="66"/>
      <c r="H27" s="70"/>
      <c r="I27" s="71"/>
      <c r="J27" s="71"/>
      <c r="K27" s="36" t="s">
        <v>65</v>
      </c>
      <c r="L27" s="78">
        <v>27</v>
      </c>
      <c r="M27" s="78"/>
      <c r="N27" s="73"/>
      <c r="O27" s="80" t="s">
        <v>414</v>
      </c>
      <c r="P27" s="82">
        <v>44627.732314814813</v>
      </c>
      <c r="Q27" s="80" t="s">
        <v>426</v>
      </c>
      <c r="R27" s="83" t="str">
        <f>HYPERLINK("https://ubbulls.com/sports/2022/2/24/mac-basketball-2022.aspx?linkId=100000113931700")</f>
        <v>https://ubbulls.com/sports/2022/2/24/mac-basketball-2022.aspx?linkId=100000113931700</v>
      </c>
      <c r="S27" s="80" t="s">
        <v>638</v>
      </c>
      <c r="T27" s="85" t="s">
        <v>665</v>
      </c>
      <c r="U27" s="83" t="str">
        <f>HYPERLINK("https://pbs.twimg.com/media/FNQuP6DXsAUvTIT.jpg")</f>
        <v>https://pbs.twimg.com/media/FNQuP6DXsAUvTIT.jpg</v>
      </c>
      <c r="V27" s="83" t="str">
        <f>HYPERLINK("https://pbs.twimg.com/media/FNQuP6DXsAUvTIT.jpg")</f>
        <v>https://pbs.twimg.com/media/FNQuP6DXsAUvTIT.jpg</v>
      </c>
      <c r="W27" s="82">
        <v>44627.732314814813</v>
      </c>
      <c r="X27" s="88">
        <v>44627</v>
      </c>
      <c r="Y27" s="85" t="s">
        <v>741</v>
      </c>
      <c r="Z27" s="83" t="str">
        <f>HYPERLINK("https://twitter.com/acannonzelasko/status/1500887637086908419")</f>
        <v>https://twitter.com/acannonzelasko/status/1500887637086908419</v>
      </c>
      <c r="AA27" s="80"/>
      <c r="AB27" s="80"/>
      <c r="AC27" s="85" t="s">
        <v>1189</v>
      </c>
      <c r="AD27" s="80"/>
      <c r="AE27" s="80" t="b">
        <v>0</v>
      </c>
      <c r="AF27" s="80">
        <v>0</v>
      </c>
      <c r="AG27" s="85" t="s">
        <v>1635</v>
      </c>
      <c r="AH27" s="80" t="b">
        <v>0</v>
      </c>
      <c r="AI27" s="80" t="s">
        <v>1642</v>
      </c>
      <c r="AJ27" s="80"/>
      <c r="AK27" s="85" t="s">
        <v>1635</v>
      </c>
      <c r="AL27" s="80" t="b">
        <v>0</v>
      </c>
      <c r="AM27" s="80">
        <v>5</v>
      </c>
      <c r="AN27" s="85" t="s">
        <v>1423</v>
      </c>
      <c r="AO27" s="85" t="s">
        <v>1673</v>
      </c>
      <c r="AP27" s="80" t="b">
        <v>0</v>
      </c>
      <c r="AQ27" s="85" t="s">
        <v>1423</v>
      </c>
      <c r="AR27" s="80" t="s">
        <v>179</v>
      </c>
      <c r="AS27" s="80">
        <v>0</v>
      </c>
      <c r="AT27" s="80">
        <v>0</v>
      </c>
      <c r="AU27" s="80"/>
      <c r="AV27" s="80"/>
      <c r="AW27" s="80"/>
      <c r="AX27" s="80"/>
      <c r="AY27" s="80"/>
      <c r="AZ27" s="80"/>
      <c r="BA27" s="80"/>
      <c r="BB27" s="80"/>
    </row>
    <row r="28" spans="1:54" x14ac:dyDescent="0.25">
      <c r="A28" s="65" t="s">
        <v>229</v>
      </c>
      <c r="B28" s="65" t="s">
        <v>353</v>
      </c>
      <c r="C28" s="66"/>
      <c r="D28" s="67"/>
      <c r="E28" s="68"/>
      <c r="F28" s="69"/>
      <c r="G28" s="66"/>
      <c r="H28" s="70"/>
      <c r="I28" s="71"/>
      <c r="J28" s="71"/>
      <c r="K28" s="36" t="s">
        <v>65</v>
      </c>
      <c r="L28" s="78">
        <v>28</v>
      </c>
      <c r="M28" s="78"/>
      <c r="N28" s="73"/>
      <c r="O28" s="80" t="s">
        <v>415</v>
      </c>
      <c r="P28" s="82">
        <v>44627.732314814813</v>
      </c>
      <c r="Q28" s="80" t="s">
        <v>426</v>
      </c>
      <c r="R28" s="83" t="str">
        <f>HYPERLINK("https://ubbulls.com/sports/2022/2/24/mac-basketball-2022.aspx?linkId=100000113931700")</f>
        <v>https://ubbulls.com/sports/2022/2/24/mac-basketball-2022.aspx?linkId=100000113931700</v>
      </c>
      <c r="S28" s="80" t="s">
        <v>638</v>
      </c>
      <c r="T28" s="85" t="s">
        <v>665</v>
      </c>
      <c r="U28" s="83" t="str">
        <f>HYPERLINK("https://pbs.twimg.com/media/FNQuP6DXsAUvTIT.jpg")</f>
        <v>https://pbs.twimg.com/media/FNQuP6DXsAUvTIT.jpg</v>
      </c>
      <c r="V28" s="83" t="str">
        <f>HYPERLINK("https://pbs.twimg.com/media/FNQuP6DXsAUvTIT.jpg")</f>
        <v>https://pbs.twimg.com/media/FNQuP6DXsAUvTIT.jpg</v>
      </c>
      <c r="W28" s="82">
        <v>44627.732314814813</v>
      </c>
      <c r="X28" s="88">
        <v>44627</v>
      </c>
      <c r="Y28" s="85" t="s">
        <v>741</v>
      </c>
      <c r="Z28" s="83" t="str">
        <f>HYPERLINK("https://twitter.com/acannonzelasko/status/1500887637086908419")</f>
        <v>https://twitter.com/acannonzelasko/status/1500887637086908419</v>
      </c>
      <c r="AA28" s="80"/>
      <c r="AB28" s="80"/>
      <c r="AC28" s="85" t="s">
        <v>1189</v>
      </c>
      <c r="AD28" s="80"/>
      <c r="AE28" s="80" t="b">
        <v>0</v>
      </c>
      <c r="AF28" s="80">
        <v>0</v>
      </c>
      <c r="AG28" s="85" t="s">
        <v>1635</v>
      </c>
      <c r="AH28" s="80" t="b">
        <v>0</v>
      </c>
      <c r="AI28" s="80" t="s">
        <v>1642</v>
      </c>
      <c r="AJ28" s="80"/>
      <c r="AK28" s="85" t="s">
        <v>1635</v>
      </c>
      <c r="AL28" s="80" t="b">
        <v>0</v>
      </c>
      <c r="AM28" s="80">
        <v>5</v>
      </c>
      <c r="AN28" s="85" t="s">
        <v>1423</v>
      </c>
      <c r="AO28" s="85" t="s">
        <v>1673</v>
      </c>
      <c r="AP28" s="80" t="b">
        <v>0</v>
      </c>
      <c r="AQ28" s="85" t="s">
        <v>1423</v>
      </c>
      <c r="AR28" s="80" t="s">
        <v>179</v>
      </c>
      <c r="AS28" s="80">
        <v>0</v>
      </c>
      <c r="AT28" s="80">
        <v>0</v>
      </c>
      <c r="AU28" s="80"/>
      <c r="AV28" s="80"/>
      <c r="AW28" s="80"/>
      <c r="AX28" s="80"/>
      <c r="AY28" s="80"/>
      <c r="AZ28" s="80"/>
      <c r="BA28" s="80"/>
      <c r="BB28" s="80"/>
    </row>
    <row r="29" spans="1:54" x14ac:dyDescent="0.25">
      <c r="A29" s="65" t="s">
        <v>230</v>
      </c>
      <c r="B29" s="65" t="s">
        <v>353</v>
      </c>
      <c r="C29" s="66"/>
      <c r="D29" s="67"/>
      <c r="E29" s="68"/>
      <c r="F29" s="69"/>
      <c r="G29" s="66"/>
      <c r="H29" s="70"/>
      <c r="I29" s="71"/>
      <c r="J29" s="71"/>
      <c r="K29" s="36" t="s">
        <v>65</v>
      </c>
      <c r="L29" s="78">
        <v>29</v>
      </c>
      <c r="M29" s="78"/>
      <c r="N29" s="73"/>
      <c r="O29" s="80" t="s">
        <v>415</v>
      </c>
      <c r="P29" s="82">
        <v>44626.703842592593</v>
      </c>
      <c r="Q29" s="80" t="s">
        <v>427</v>
      </c>
      <c r="R29" s="83" t="str">
        <f>HYPERLINK("http://www.buffalo.edu/alumni/get-involved/fast46.html?utm_source=TWITTER&amp;utm_medium=social&amp;utm_term=20220306&amp;utm_content=100002954388711&amp;utm_campaign=General+Content&amp;linkId=100000113770589")</f>
        <v>http://www.buffalo.edu/alumni/get-involved/fast46.html?utm_source=TWITTER&amp;utm_medium=social&amp;utm_term=20220306&amp;utm_content=100002954388711&amp;utm_campaign=General+Content&amp;linkId=100000113770589</v>
      </c>
      <c r="S29" s="80" t="s">
        <v>632</v>
      </c>
      <c r="T29" s="85" t="s">
        <v>357</v>
      </c>
      <c r="U29" s="80"/>
      <c r="V29" s="83" t="str">
        <f>HYPERLINK("https://pbs.twimg.com/profile_images/1326685920796569600/7Th_-lsF_normal.jpg")</f>
        <v>https://pbs.twimg.com/profile_images/1326685920796569600/7Th_-lsF_normal.jpg</v>
      </c>
      <c r="W29" s="82">
        <v>44626.703842592593</v>
      </c>
      <c r="X29" s="88">
        <v>44626</v>
      </c>
      <c r="Y29" s="85" t="s">
        <v>742</v>
      </c>
      <c r="Z29" s="83" t="str">
        <f>HYPERLINK("https://twitter.com/lovinonbuffalo/status/1500514931908689927")</f>
        <v>https://twitter.com/lovinonbuffalo/status/1500514931908689927</v>
      </c>
      <c r="AA29" s="80"/>
      <c r="AB29" s="80"/>
      <c r="AC29" s="85" t="s">
        <v>1190</v>
      </c>
      <c r="AD29" s="80"/>
      <c r="AE29" s="80" t="b">
        <v>0</v>
      </c>
      <c r="AF29" s="80">
        <v>0</v>
      </c>
      <c r="AG29" s="85" t="s">
        <v>1635</v>
      </c>
      <c r="AH29" s="80" t="b">
        <v>0</v>
      </c>
      <c r="AI29" s="80" t="s">
        <v>1642</v>
      </c>
      <c r="AJ29" s="80"/>
      <c r="AK29" s="85" t="s">
        <v>1635</v>
      </c>
      <c r="AL29" s="80" t="b">
        <v>0</v>
      </c>
      <c r="AM29" s="80">
        <v>3</v>
      </c>
      <c r="AN29" s="85" t="s">
        <v>1483</v>
      </c>
      <c r="AO29" s="85" t="s">
        <v>1673</v>
      </c>
      <c r="AP29" s="80" t="b">
        <v>0</v>
      </c>
      <c r="AQ29" s="85" t="s">
        <v>1483</v>
      </c>
      <c r="AR29" s="80" t="s">
        <v>179</v>
      </c>
      <c r="AS29" s="80">
        <v>0</v>
      </c>
      <c r="AT29" s="80">
        <v>0</v>
      </c>
      <c r="AU29" s="80"/>
      <c r="AV29" s="80"/>
      <c r="AW29" s="80"/>
      <c r="AX29" s="80"/>
      <c r="AY29" s="80"/>
      <c r="AZ29" s="80"/>
      <c r="BA29" s="80"/>
      <c r="BB29" s="80"/>
    </row>
    <row r="30" spans="1:54" x14ac:dyDescent="0.25">
      <c r="A30" s="65" t="s">
        <v>230</v>
      </c>
      <c r="B30" s="65" t="s">
        <v>385</v>
      </c>
      <c r="C30" s="66"/>
      <c r="D30" s="67"/>
      <c r="E30" s="68"/>
      <c r="F30" s="69"/>
      <c r="G30" s="66"/>
      <c r="H30" s="70"/>
      <c r="I30" s="71"/>
      <c r="J30" s="71"/>
      <c r="K30" s="36" t="s">
        <v>65</v>
      </c>
      <c r="L30" s="78">
        <v>30</v>
      </c>
      <c r="M30" s="78"/>
      <c r="N30" s="73"/>
      <c r="O30" s="80" t="s">
        <v>414</v>
      </c>
      <c r="P30" s="82">
        <v>44627.739398148151</v>
      </c>
      <c r="Q30" s="80" t="s">
        <v>426</v>
      </c>
      <c r="R30" s="83" t="str">
        <f>HYPERLINK("https://ubbulls.com/sports/2022/2/24/mac-basketball-2022.aspx?linkId=100000113931700")</f>
        <v>https://ubbulls.com/sports/2022/2/24/mac-basketball-2022.aspx?linkId=100000113931700</v>
      </c>
      <c r="S30" s="80" t="s">
        <v>638</v>
      </c>
      <c r="T30" s="85" t="s">
        <v>665</v>
      </c>
      <c r="U30" s="83" t="str">
        <f>HYPERLINK("https://pbs.twimg.com/media/FNQuP6DXsAUvTIT.jpg")</f>
        <v>https://pbs.twimg.com/media/FNQuP6DXsAUvTIT.jpg</v>
      </c>
      <c r="V30" s="83" t="str">
        <f>HYPERLINK("https://pbs.twimg.com/media/FNQuP6DXsAUvTIT.jpg")</f>
        <v>https://pbs.twimg.com/media/FNQuP6DXsAUvTIT.jpg</v>
      </c>
      <c r="W30" s="82">
        <v>44627.739398148151</v>
      </c>
      <c r="X30" s="88">
        <v>44627</v>
      </c>
      <c r="Y30" s="85" t="s">
        <v>743</v>
      </c>
      <c r="Z30" s="83" t="str">
        <f>HYPERLINK("https://twitter.com/lovinonbuffalo/status/1500890203157843972")</f>
        <v>https://twitter.com/lovinonbuffalo/status/1500890203157843972</v>
      </c>
      <c r="AA30" s="80"/>
      <c r="AB30" s="80"/>
      <c r="AC30" s="85" t="s">
        <v>1191</v>
      </c>
      <c r="AD30" s="80"/>
      <c r="AE30" s="80" t="b">
        <v>0</v>
      </c>
      <c r="AF30" s="80">
        <v>0</v>
      </c>
      <c r="AG30" s="85" t="s">
        <v>1635</v>
      </c>
      <c r="AH30" s="80" t="b">
        <v>0</v>
      </c>
      <c r="AI30" s="80" t="s">
        <v>1642</v>
      </c>
      <c r="AJ30" s="80"/>
      <c r="AK30" s="85" t="s">
        <v>1635</v>
      </c>
      <c r="AL30" s="80" t="b">
        <v>0</v>
      </c>
      <c r="AM30" s="80">
        <v>5</v>
      </c>
      <c r="AN30" s="85" t="s">
        <v>1423</v>
      </c>
      <c r="AO30" s="85" t="s">
        <v>1673</v>
      </c>
      <c r="AP30" s="80" t="b">
        <v>0</v>
      </c>
      <c r="AQ30" s="85" t="s">
        <v>1423</v>
      </c>
      <c r="AR30" s="80" t="s">
        <v>179</v>
      </c>
      <c r="AS30" s="80">
        <v>0</v>
      </c>
      <c r="AT30" s="80">
        <v>0</v>
      </c>
      <c r="AU30" s="80"/>
      <c r="AV30" s="80"/>
      <c r="AW30" s="80"/>
      <c r="AX30" s="80"/>
      <c r="AY30" s="80"/>
      <c r="AZ30" s="80"/>
      <c r="BA30" s="80"/>
      <c r="BB30" s="80"/>
    </row>
    <row r="31" spans="1:54" x14ac:dyDescent="0.25">
      <c r="A31" s="65" t="s">
        <v>230</v>
      </c>
      <c r="B31" s="65" t="s">
        <v>386</v>
      </c>
      <c r="C31" s="66"/>
      <c r="D31" s="67"/>
      <c r="E31" s="68"/>
      <c r="F31" s="69"/>
      <c r="G31" s="66"/>
      <c r="H31" s="70"/>
      <c r="I31" s="71"/>
      <c r="J31" s="71"/>
      <c r="K31" s="36" t="s">
        <v>65</v>
      </c>
      <c r="L31" s="78">
        <v>31</v>
      </c>
      <c r="M31" s="78"/>
      <c r="N31" s="73"/>
      <c r="O31" s="80" t="s">
        <v>414</v>
      </c>
      <c r="P31" s="82">
        <v>44627.739398148151</v>
      </c>
      <c r="Q31" s="80" t="s">
        <v>426</v>
      </c>
      <c r="R31" s="83" t="str">
        <f>HYPERLINK("https://ubbulls.com/sports/2022/2/24/mac-basketball-2022.aspx?linkId=100000113931700")</f>
        <v>https://ubbulls.com/sports/2022/2/24/mac-basketball-2022.aspx?linkId=100000113931700</v>
      </c>
      <c r="S31" s="80" t="s">
        <v>638</v>
      </c>
      <c r="T31" s="85" t="s">
        <v>665</v>
      </c>
      <c r="U31" s="83" t="str">
        <f>HYPERLINK("https://pbs.twimg.com/media/FNQuP6DXsAUvTIT.jpg")</f>
        <v>https://pbs.twimg.com/media/FNQuP6DXsAUvTIT.jpg</v>
      </c>
      <c r="V31" s="83" t="str">
        <f>HYPERLINK("https://pbs.twimg.com/media/FNQuP6DXsAUvTIT.jpg")</f>
        <v>https://pbs.twimg.com/media/FNQuP6DXsAUvTIT.jpg</v>
      </c>
      <c r="W31" s="82">
        <v>44627.739398148151</v>
      </c>
      <c r="X31" s="88">
        <v>44627</v>
      </c>
      <c r="Y31" s="85" t="s">
        <v>743</v>
      </c>
      <c r="Z31" s="83" t="str">
        <f>HYPERLINK("https://twitter.com/lovinonbuffalo/status/1500890203157843972")</f>
        <v>https://twitter.com/lovinonbuffalo/status/1500890203157843972</v>
      </c>
      <c r="AA31" s="80"/>
      <c r="AB31" s="80"/>
      <c r="AC31" s="85" t="s">
        <v>1191</v>
      </c>
      <c r="AD31" s="80"/>
      <c r="AE31" s="80" t="b">
        <v>0</v>
      </c>
      <c r="AF31" s="80">
        <v>0</v>
      </c>
      <c r="AG31" s="85" t="s">
        <v>1635</v>
      </c>
      <c r="AH31" s="80" t="b">
        <v>0</v>
      </c>
      <c r="AI31" s="80" t="s">
        <v>1642</v>
      </c>
      <c r="AJ31" s="80"/>
      <c r="AK31" s="85" t="s">
        <v>1635</v>
      </c>
      <c r="AL31" s="80" t="b">
        <v>0</v>
      </c>
      <c r="AM31" s="80">
        <v>5</v>
      </c>
      <c r="AN31" s="85" t="s">
        <v>1423</v>
      </c>
      <c r="AO31" s="85" t="s">
        <v>1673</v>
      </c>
      <c r="AP31" s="80" t="b">
        <v>0</v>
      </c>
      <c r="AQ31" s="85" t="s">
        <v>1423</v>
      </c>
      <c r="AR31" s="80" t="s">
        <v>179</v>
      </c>
      <c r="AS31" s="80">
        <v>0</v>
      </c>
      <c r="AT31" s="80">
        <v>0</v>
      </c>
      <c r="AU31" s="80"/>
      <c r="AV31" s="80"/>
      <c r="AW31" s="80"/>
      <c r="AX31" s="80"/>
      <c r="AY31" s="80"/>
      <c r="AZ31" s="80"/>
      <c r="BA31" s="80"/>
      <c r="BB31" s="80"/>
    </row>
    <row r="32" spans="1:54" x14ac:dyDescent="0.25">
      <c r="A32" s="65" t="s">
        <v>230</v>
      </c>
      <c r="B32" s="65" t="s">
        <v>353</v>
      </c>
      <c r="C32" s="66"/>
      <c r="D32" s="67"/>
      <c r="E32" s="68"/>
      <c r="F32" s="69"/>
      <c r="G32" s="66"/>
      <c r="H32" s="70"/>
      <c r="I32" s="71"/>
      <c r="J32" s="71"/>
      <c r="K32" s="36" t="s">
        <v>65</v>
      </c>
      <c r="L32" s="78">
        <v>32</v>
      </c>
      <c r="M32" s="78"/>
      <c r="N32" s="73"/>
      <c r="O32" s="80" t="s">
        <v>415</v>
      </c>
      <c r="P32" s="82">
        <v>44627.739398148151</v>
      </c>
      <c r="Q32" s="80" t="s">
        <v>426</v>
      </c>
      <c r="R32" s="83" t="str">
        <f>HYPERLINK("https://ubbulls.com/sports/2022/2/24/mac-basketball-2022.aspx?linkId=100000113931700")</f>
        <v>https://ubbulls.com/sports/2022/2/24/mac-basketball-2022.aspx?linkId=100000113931700</v>
      </c>
      <c r="S32" s="80" t="s">
        <v>638</v>
      </c>
      <c r="T32" s="85" t="s">
        <v>665</v>
      </c>
      <c r="U32" s="83" t="str">
        <f>HYPERLINK("https://pbs.twimg.com/media/FNQuP6DXsAUvTIT.jpg")</f>
        <v>https://pbs.twimg.com/media/FNQuP6DXsAUvTIT.jpg</v>
      </c>
      <c r="V32" s="83" t="str">
        <f>HYPERLINK("https://pbs.twimg.com/media/FNQuP6DXsAUvTIT.jpg")</f>
        <v>https://pbs.twimg.com/media/FNQuP6DXsAUvTIT.jpg</v>
      </c>
      <c r="W32" s="82">
        <v>44627.739398148151</v>
      </c>
      <c r="X32" s="88">
        <v>44627</v>
      </c>
      <c r="Y32" s="85" t="s">
        <v>743</v>
      </c>
      <c r="Z32" s="83" t="str">
        <f>HYPERLINK("https://twitter.com/lovinonbuffalo/status/1500890203157843972")</f>
        <v>https://twitter.com/lovinonbuffalo/status/1500890203157843972</v>
      </c>
      <c r="AA32" s="80"/>
      <c r="AB32" s="80"/>
      <c r="AC32" s="85" t="s">
        <v>1191</v>
      </c>
      <c r="AD32" s="80"/>
      <c r="AE32" s="80" t="b">
        <v>0</v>
      </c>
      <c r="AF32" s="80">
        <v>0</v>
      </c>
      <c r="AG32" s="85" t="s">
        <v>1635</v>
      </c>
      <c r="AH32" s="80" t="b">
        <v>0</v>
      </c>
      <c r="AI32" s="80" t="s">
        <v>1642</v>
      </c>
      <c r="AJ32" s="80"/>
      <c r="AK32" s="85" t="s">
        <v>1635</v>
      </c>
      <c r="AL32" s="80" t="b">
        <v>0</v>
      </c>
      <c r="AM32" s="80">
        <v>5</v>
      </c>
      <c r="AN32" s="85" t="s">
        <v>1423</v>
      </c>
      <c r="AO32" s="85" t="s">
        <v>1673</v>
      </c>
      <c r="AP32" s="80" t="b">
        <v>0</v>
      </c>
      <c r="AQ32" s="85" t="s">
        <v>1423</v>
      </c>
      <c r="AR32" s="80" t="s">
        <v>179</v>
      </c>
      <c r="AS32" s="80">
        <v>0</v>
      </c>
      <c r="AT32" s="80">
        <v>0</v>
      </c>
      <c r="AU32" s="80"/>
      <c r="AV32" s="80"/>
      <c r="AW32" s="80"/>
      <c r="AX32" s="80"/>
      <c r="AY32" s="80"/>
      <c r="AZ32" s="80"/>
      <c r="BA32" s="80"/>
      <c r="BB32" s="80"/>
    </row>
    <row r="33" spans="1:54" x14ac:dyDescent="0.25">
      <c r="A33" s="65" t="s">
        <v>231</v>
      </c>
      <c r="B33" s="65" t="s">
        <v>357</v>
      </c>
      <c r="C33" s="66"/>
      <c r="D33" s="67"/>
      <c r="E33" s="68"/>
      <c r="F33" s="69"/>
      <c r="G33" s="66"/>
      <c r="H33" s="70"/>
      <c r="I33" s="71"/>
      <c r="J33" s="71"/>
      <c r="K33" s="36" t="s">
        <v>65</v>
      </c>
      <c r="L33" s="78">
        <v>33</v>
      </c>
      <c r="M33" s="78"/>
      <c r="N33" s="73"/>
      <c r="O33" s="80" t="s">
        <v>416</v>
      </c>
      <c r="P33" s="82">
        <v>44627.772245370368</v>
      </c>
      <c r="Q33" s="80" t="s">
        <v>428</v>
      </c>
      <c r="R33" s="80"/>
      <c r="S33" s="80"/>
      <c r="T33" s="85" t="s">
        <v>357</v>
      </c>
      <c r="U33" s="80"/>
      <c r="V33" s="83" t="str">
        <f>HYPERLINK("https://pbs.twimg.com/profile_images/1499143249080033282/8EdmN1ML_normal.jpg")</f>
        <v>https://pbs.twimg.com/profile_images/1499143249080033282/8EdmN1ML_normal.jpg</v>
      </c>
      <c r="W33" s="82">
        <v>44627.772245370368</v>
      </c>
      <c r="X33" s="88">
        <v>44627</v>
      </c>
      <c r="Y33" s="85" t="s">
        <v>744</v>
      </c>
      <c r="Z33" s="83" t="str">
        <f>HYPERLINK("https://twitter.com/rymcpherson/status/1500902105573429248")</f>
        <v>https://twitter.com/rymcpherson/status/1500902105573429248</v>
      </c>
      <c r="AA33" s="80"/>
      <c r="AB33" s="80"/>
      <c r="AC33" s="85" t="s">
        <v>1192</v>
      </c>
      <c r="AD33" s="80"/>
      <c r="AE33" s="80" t="b">
        <v>0</v>
      </c>
      <c r="AF33" s="80">
        <v>16</v>
      </c>
      <c r="AG33" s="85" t="s">
        <v>1635</v>
      </c>
      <c r="AH33" s="80" t="b">
        <v>0</v>
      </c>
      <c r="AI33" s="80" t="s">
        <v>1642</v>
      </c>
      <c r="AJ33" s="80"/>
      <c r="AK33" s="85" t="s">
        <v>1635</v>
      </c>
      <c r="AL33" s="80" t="b">
        <v>0</v>
      </c>
      <c r="AM33" s="80">
        <v>0</v>
      </c>
      <c r="AN33" s="85" t="s">
        <v>1635</v>
      </c>
      <c r="AO33" s="85" t="s">
        <v>1672</v>
      </c>
      <c r="AP33" s="80" t="b">
        <v>0</v>
      </c>
      <c r="AQ33" s="85" t="s">
        <v>1192</v>
      </c>
      <c r="AR33" s="80" t="s">
        <v>179</v>
      </c>
      <c r="AS33" s="80">
        <v>0</v>
      </c>
      <c r="AT33" s="80">
        <v>0</v>
      </c>
      <c r="AU33" s="80"/>
      <c r="AV33" s="80"/>
      <c r="AW33" s="80"/>
      <c r="AX33" s="80"/>
      <c r="AY33" s="80"/>
      <c r="AZ33" s="80"/>
      <c r="BA33" s="80"/>
      <c r="BB33" s="80"/>
    </row>
    <row r="34" spans="1:54" x14ac:dyDescent="0.25">
      <c r="A34" s="65" t="s">
        <v>232</v>
      </c>
      <c r="B34" s="65" t="s">
        <v>383</v>
      </c>
      <c r="C34" s="66"/>
      <c r="D34" s="67"/>
      <c r="E34" s="68"/>
      <c r="F34" s="69"/>
      <c r="G34" s="66"/>
      <c r="H34" s="70"/>
      <c r="I34" s="71"/>
      <c r="J34" s="71"/>
      <c r="K34" s="36" t="s">
        <v>65</v>
      </c>
      <c r="L34" s="78">
        <v>34</v>
      </c>
      <c r="M34" s="78"/>
      <c r="N34" s="73"/>
      <c r="O34" s="80" t="s">
        <v>414</v>
      </c>
      <c r="P34" s="82">
        <v>44627.859305555554</v>
      </c>
      <c r="Q34" s="80" t="s">
        <v>425</v>
      </c>
      <c r="R34" s="83" t="str">
        <f>HYPERLINK("https://buffalo.zoom.us/meeting/register/tJApdu2upz8uH91uWWEt4_SQWWdLuqt6gkng")</f>
        <v>https://buffalo.zoom.us/meeting/register/tJApdu2upz8uH91uWWEt4_SQWWdLuqt6gkng</v>
      </c>
      <c r="S34" s="80" t="s">
        <v>637</v>
      </c>
      <c r="T34" s="85" t="s">
        <v>357</v>
      </c>
      <c r="U34" s="80"/>
      <c r="V34" s="83" t="str">
        <f>HYPERLINK("https://pbs.twimg.com/profile_images/1468231446359912463/OZa0TiIF_normal.jpg")</f>
        <v>https://pbs.twimg.com/profile_images/1468231446359912463/OZa0TiIF_normal.jpg</v>
      </c>
      <c r="W34" s="82">
        <v>44627.859305555554</v>
      </c>
      <c r="X34" s="88">
        <v>44627</v>
      </c>
      <c r="Y34" s="85" t="s">
        <v>745</v>
      </c>
      <c r="Z34" s="83" t="str">
        <f>HYPERLINK("https://twitter.com/walterdgreason/status/1500933655979601922")</f>
        <v>https://twitter.com/walterdgreason/status/1500933655979601922</v>
      </c>
      <c r="AA34" s="80"/>
      <c r="AB34" s="80"/>
      <c r="AC34" s="85" t="s">
        <v>1193</v>
      </c>
      <c r="AD34" s="80"/>
      <c r="AE34" s="80" t="b">
        <v>0</v>
      </c>
      <c r="AF34" s="80">
        <v>0</v>
      </c>
      <c r="AG34" s="85" t="s">
        <v>1635</v>
      </c>
      <c r="AH34" s="80" t="b">
        <v>0</v>
      </c>
      <c r="AI34" s="80" t="s">
        <v>1642</v>
      </c>
      <c r="AJ34" s="80"/>
      <c r="AK34" s="85" t="s">
        <v>1635</v>
      </c>
      <c r="AL34" s="80" t="b">
        <v>0</v>
      </c>
      <c r="AM34" s="80">
        <v>2</v>
      </c>
      <c r="AN34" s="85" t="s">
        <v>1542</v>
      </c>
      <c r="AO34" s="85" t="s">
        <v>1673</v>
      </c>
      <c r="AP34" s="80" t="b">
        <v>0</v>
      </c>
      <c r="AQ34" s="85" t="s">
        <v>1542</v>
      </c>
      <c r="AR34" s="80" t="s">
        <v>179</v>
      </c>
      <c r="AS34" s="80">
        <v>0</v>
      </c>
      <c r="AT34" s="80">
        <v>0</v>
      </c>
      <c r="AU34" s="80"/>
      <c r="AV34" s="80"/>
      <c r="AW34" s="80"/>
      <c r="AX34" s="80"/>
      <c r="AY34" s="80"/>
      <c r="AZ34" s="80"/>
      <c r="BA34" s="80"/>
      <c r="BB34" s="80"/>
    </row>
    <row r="35" spans="1:54" x14ac:dyDescent="0.25">
      <c r="A35" s="65" t="s">
        <v>232</v>
      </c>
      <c r="B35" s="65" t="s">
        <v>375</v>
      </c>
      <c r="C35" s="66"/>
      <c r="D35" s="67"/>
      <c r="E35" s="68"/>
      <c r="F35" s="69"/>
      <c r="G35" s="66"/>
      <c r="H35" s="70"/>
      <c r="I35" s="71"/>
      <c r="J35" s="71"/>
      <c r="K35" s="36" t="s">
        <v>65</v>
      </c>
      <c r="L35" s="78">
        <v>35</v>
      </c>
      <c r="M35" s="78"/>
      <c r="N35" s="73"/>
      <c r="O35" s="80" t="s">
        <v>414</v>
      </c>
      <c r="P35" s="82">
        <v>44627.859305555554</v>
      </c>
      <c r="Q35" s="80" t="s">
        <v>425</v>
      </c>
      <c r="R35" s="83" t="str">
        <f>HYPERLINK("https://buffalo.zoom.us/meeting/register/tJApdu2upz8uH91uWWEt4_SQWWdLuqt6gkng")</f>
        <v>https://buffalo.zoom.us/meeting/register/tJApdu2upz8uH91uWWEt4_SQWWdLuqt6gkng</v>
      </c>
      <c r="S35" s="80" t="s">
        <v>637</v>
      </c>
      <c r="T35" s="85" t="s">
        <v>357</v>
      </c>
      <c r="U35" s="80"/>
      <c r="V35" s="83" t="str">
        <f>HYPERLINK("https://pbs.twimg.com/profile_images/1468231446359912463/OZa0TiIF_normal.jpg")</f>
        <v>https://pbs.twimg.com/profile_images/1468231446359912463/OZa0TiIF_normal.jpg</v>
      </c>
      <c r="W35" s="82">
        <v>44627.859305555554</v>
      </c>
      <c r="X35" s="88">
        <v>44627</v>
      </c>
      <c r="Y35" s="85" t="s">
        <v>745</v>
      </c>
      <c r="Z35" s="83" t="str">
        <f>HYPERLINK("https://twitter.com/walterdgreason/status/1500933655979601922")</f>
        <v>https://twitter.com/walterdgreason/status/1500933655979601922</v>
      </c>
      <c r="AA35" s="80"/>
      <c r="AB35" s="80"/>
      <c r="AC35" s="85" t="s">
        <v>1193</v>
      </c>
      <c r="AD35" s="80"/>
      <c r="AE35" s="80" t="b">
        <v>0</v>
      </c>
      <c r="AF35" s="80">
        <v>0</v>
      </c>
      <c r="AG35" s="85" t="s">
        <v>1635</v>
      </c>
      <c r="AH35" s="80" t="b">
        <v>0</v>
      </c>
      <c r="AI35" s="80" t="s">
        <v>1642</v>
      </c>
      <c r="AJ35" s="80"/>
      <c r="AK35" s="85" t="s">
        <v>1635</v>
      </c>
      <c r="AL35" s="80" t="b">
        <v>0</v>
      </c>
      <c r="AM35" s="80">
        <v>2</v>
      </c>
      <c r="AN35" s="85" t="s">
        <v>1542</v>
      </c>
      <c r="AO35" s="85" t="s">
        <v>1673</v>
      </c>
      <c r="AP35" s="80" t="b">
        <v>0</v>
      </c>
      <c r="AQ35" s="85" t="s">
        <v>1542</v>
      </c>
      <c r="AR35" s="80" t="s">
        <v>179</v>
      </c>
      <c r="AS35" s="80">
        <v>0</v>
      </c>
      <c r="AT35" s="80">
        <v>0</v>
      </c>
      <c r="AU35" s="80"/>
      <c r="AV35" s="80"/>
      <c r="AW35" s="80"/>
      <c r="AX35" s="80"/>
      <c r="AY35" s="80"/>
      <c r="AZ35" s="80"/>
      <c r="BA35" s="80"/>
      <c r="BB35" s="80"/>
    </row>
    <row r="36" spans="1:54" x14ac:dyDescent="0.25">
      <c r="A36" s="65" t="s">
        <v>232</v>
      </c>
      <c r="B36" s="65" t="s">
        <v>384</v>
      </c>
      <c r="C36" s="66"/>
      <c r="D36" s="67"/>
      <c r="E36" s="68"/>
      <c r="F36" s="69"/>
      <c r="G36" s="66"/>
      <c r="H36" s="70"/>
      <c r="I36" s="71"/>
      <c r="J36" s="71"/>
      <c r="K36" s="36" t="s">
        <v>65</v>
      </c>
      <c r="L36" s="78">
        <v>36</v>
      </c>
      <c r="M36" s="78"/>
      <c r="N36" s="73"/>
      <c r="O36" s="80" t="s">
        <v>414</v>
      </c>
      <c r="P36" s="82">
        <v>44627.859305555554</v>
      </c>
      <c r="Q36" s="80" t="s">
        <v>425</v>
      </c>
      <c r="R36" s="83" t="str">
        <f>HYPERLINK("https://buffalo.zoom.us/meeting/register/tJApdu2upz8uH91uWWEt4_SQWWdLuqt6gkng")</f>
        <v>https://buffalo.zoom.us/meeting/register/tJApdu2upz8uH91uWWEt4_SQWWdLuqt6gkng</v>
      </c>
      <c r="S36" s="80" t="s">
        <v>637</v>
      </c>
      <c r="T36" s="85" t="s">
        <v>357</v>
      </c>
      <c r="U36" s="80"/>
      <c r="V36" s="83" t="str">
        <f>HYPERLINK("https://pbs.twimg.com/profile_images/1468231446359912463/OZa0TiIF_normal.jpg")</f>
        <v>https://pbs.twimg.com/profile_images/1468231446359912463/OZa0TiIF_normal.jpg</v>
      </c>
      <c r="W36" s="82">
        <v>44627.859305555554</v>
      </c>
      <c r="X36" s="88">
        <v>44627</v>
      </c>
      <c r="Y36" s="85" t="s">
        <v>745</v>
      </c>
      <c r="Z36" s="83" t="str">
        <f>HYPERLINK("https://twitter.com/walterdgreason/status/1500933655979601922")</f>
        <v>https://twitter.com/walterdgreason/status/1500933655979601922</v>
      </c>
      <c r="AA36" s="80"/>
      <c r="AB36" s="80"/>
      <c r="AC36" s="85" t="s">
        <v>1193</v>
      </c>
      <c r="AD36" s="80"/>
      <c r="AE36" s="80" t="b">
        <v>0</v>
      </c>
      <c r="AF36" s="80">
        <v>0</v>
      </c>
      <c r="AG36" s="85" t="s">
        <v>1635</v>
      </c>
      <c r="AH36" s="80" t="b">
        <v>0</v>
      </c>
      <c r="AI36" s="80" t="s">
        <v>1642</v>
      </c>
      <c r="AJ36" s="80"/>
      <c r="AK36" s="85" t="s">
        <v>1635</v>
      </c>
      <c r="AL36" s="80" t="b">
        <v>0</v>
      </c>
      <c r="AM36" s="80">
        <v>2</v>
      </c>
      <c r="AN36" s="85" t="s">
        <v>1542</v>
      </c>
      <c r="AO36" s="85" t="s">
        <v>1673</v>
      </c>
      <c r="AP36" s="80" t="b">
        <v>0</v>
      </c>
      <c r="AQ36" s="85" t="s">
        <v>1542</v>
      </c>
      <c r="AR36" s="80" t="s">
        <v>179</v>
      </c>
      <c r="AS36" s="80">
        <v>0</v>
      </c>
      <c r="AT36" s="80">
        <v>0</v>
      </c>
      <c r="AU36" s="80"/>
      <c r="AV36" s="80"/>
      <c r="AW36" s="80"/>
      <c r="AX36" s="80"/>
      <c r="AY36" s="80"/>
      <c r="AZ36" s="80"/>
      <c r="BA36" s="80"/>
      <c r="BB36" s="80"/>
    </row>
    <row r="37" spans="1:54" x14ac:dyDescent="0.25">
      <c r="A37" s="65" t="s">
        <v>232</v>
      </c>
      <c r="B37" s="65" t="s">
        <v>374</v>
      </c>
      <c r="C37" s="66"/>
      <c r="D37" s="67"/>
      <c r="E37" s="68"/>
      <c r="F37" s="69"/>
      <c r="G37" s="66"/>
      <c r="H37" s="70"/>
      <c r="I37" s="71"/>
      <c r="J37" s="71"/>
      <c r="K37" s="36" t="s">
        <v>65</v>
      </c>
      <c r="L37" s="78">
        <v>37</v>
      </c>
      <c r="M37" s="78"/>
      <c r="N37" s="73"/>
      <c r="O37" s="80" t="s">
        <v>415</v>
      </c>
      <c r="P37" s="82">
        <v>44627.859305555554</v>
      </c>
      <c r="Q37" s="80" t="s">
        <v>425</v>
      </c>
      <c r="R37" s="83" t="str">
        <f>HYPERLINK("https://buffalo.zoom.us/meeting/register/tJApdu2upz8uH91uWWEt4_SQWWdLuqt6gkng")</f>
        <v>https://buffalo.zoom.us/meeting/register/tJApdu2upz8uH91uWWEt4_SQWWdLuqt6gkng</v>
      </c>
      <c r="S37" s="80" t="s">
        <v>637</v>
      </c>
      <c r="T37" s="85" t="s">
        <v>357</v>
      </c>
      <c r="U37" s="80"/>
      <c r="V37" s="83" t="str">
        <f>HYPERLINK("https://pbs.twimg.com/profile_images/1468231446359912463/OZa0TiIF_normal.jpg")</f>
        <v>https://pbs.twimg.com/profile_images/1468231446359912463/OZa0TiIF_normal.jpg</v>
      </c>
      <c r="W37" s="82">
        <v>44627.859305555554</v>
      </c>
      <c r="X37" s="88">
        <v>44627</v>
      </c>
      <c r="Y37" s="85" t="s">
        <v>745</v>
      </c>
      <c r="Z37" s="83" t="str">
        <f>HYPERLINK("https://twitter.com/walterdgreason/status/1500933655979601922")</f>
        <v>https://twitter.com/walterdgreason/status/1500933655979601922</v>
      </c>
      <c r="AA37" s="80"/>
      <c r="AB37" s="80"/>
      <c r="AC37" s="85" t="s">
        <v>1193</v>
      </c>
      <c r="AD37" s="80"/>
      <c r="AE37" s="80" t="b">
        <v>0</v>
      </c>
      <c r="AF37" s="80">
        <v>0</v>
      </c>
      <c r="AG37" s="85" t="s">
        <v>1635</v>
      </c>
      <c r="AH37" s="80" t="b">
        <v>0</v>
      </c>
      <c r="AI37" s="80" t="s">
        <v>1642</v>
      </c>
      <c r="AJ37" s="80"/>
      <c r="AK37" s="85" t="s">
        <v>1635</v>
      </c>
      <c r="AL37" s="80" t="b">
        <v>0</v>
      </c>
      <c r="AM37" s="80">
        <v>2</v>
      </c>
      <c r="AN37" s="85" t="s">
        <v>1542</v>
      </c>
      <c r="AO37" s="85" t="s">
        <v>1673</v>
      </c>
      <c r="AP37" s="80" t="b">
        <v>0</v>
      </c>
      <c r="AQ37" s="85" t="s">
        <v>1542</v>
      </c>
      <c r="AR37" s="80" t="s">
        <v>179</v>
      </c>
      <c r="AS37" s="80">
        <v>0</v>
      </c>
      <c r="AT37" s="80">
        <v>0</v>
      </c>
      <c r="AU37" s="80"/>
      <c r="AV37" s="80"/>
      <c r="AW37" s="80"/>
      <c r="AX37" s="80"/>
      <c r="AY37" s="80"/>
      <c r="AZ37" s="80"/>
      <c r="BA37" s="80"/>
      <c r="BB37" s="80"/>
    </row>
    <row r="38" spans="1:54" x14ac:dyDescent="0.25">
      <c r="A38" s="65" t="s">
        <v>233</v>
      </c>
      <c r="B38" s="65" t="s">
        <v>385</v>
      </c>
      <c r="C38" s="66"/>
      <c r="D38" s="67"/>
      <c r="E38" s="68"/>
      <c r="F38" s="69"/>
      <c r="G38" s="66"/>
      <c r="H38" s="70"/>
      <c r="I38" s="71"/>
      <c r="J38" s="71"/>
      <c r="K38" s="36" t="s">
        <v>65</v>
      </c>
      <c r="L38" s="78">
        <v>38</v>
      </c>
      <c r="M38" s="78"/>
      <c r="N38" s="73"/>
      <c r="O38" s="80" t="s">
        <v>414</v>
      </c>
      <c r="P38" s="82">
        <v>44628.098865740743</v>
      </c>
      <c r="Q38" s="80" t="s">
        <v>426</v>
      </c>
      <c r="R38" s="83" t="str">
        <f>HYPERLINK("https://ubbulls.com/sports/2022/2/24/mac-basketball-2022.aspx?linkId=100000113931700")</f>
        <v>https://ubbulls.com/sports/2022/2/24/mac-basketball-2022.aspx?linkId=100000113931700</v>
      </c>
      <c r="S38" s="80" t="s">
        <v>638</v>
      </c>
      <c r="T38" s="85" t="s">
        <v>665</v>
      </c>
      <c r="U38" s="83" t="str">
        <f>HYPERLINK("https://pbs.twimg.com/media/FNQuP6DXsAUvTIT.jpg")</f>
        <v>https://pbs.twimg.com/media/FNQuP6DXsAUvTIT.jpg</v>
      </c>
      <c r="V38" s="83" t="str">
        <f>HYPERLINK("https://pbs.twimg.com/media/FNQuP6DXsAUvTIT.jpg")</f>
        <v>https://pbs.twimg.com/media/FNQuP6DXsAUvTIT.jpg</v>
      </c>
      <c r="W38" s="82">
        <v>44628.098865740743</v>
      </c>
      <c r="X38" s="88">
        <v>44628</v>
      </c>
      <c r="Y38" s="85" t="s">
        <v>746</v>
      </c>
      <c r="Z38" s="83" t="str">
        <f>HYPERLINK("https://twitter.com/dyaishafair/status/1501020472649175042")</f>
        <v>https://twitter.com/dyaishafair/status/1501020472649175042</v>
      </c>
      <c r="AA38" s="80"/>
      <c r="AB38" s="80"/>
      <c r="AC38" s="85" t="s">
        <v>1194</v>
      </c>
      <c r="AD38" s="80"/>
      <c r="AE38" s="80" t="b">
        <v>0</v>
      </c>
      <c r="AF38" s="80">
        <v>0</v>
      </c>
      <c r="AG38" s="85" t="s">
        <v>1635</v>
      </c>
      <c r="AH38" s="80" t="b">
        <v>0</v>
      </c>
      <c r="AI38" s="80" t="s">
        <v>1642</v>
      </c>
      <c r="AJ38" s="80"/>
      <c r="AK38" s="85" t="s">
        <v>1635</v>
      </c>
      <c r="AL38" s="80" t="b">
        <v>0</v>
      </c>
      <c r="AM38" s="80">
        <v>5</v>
      </c>
      <c r="AN38" s="85" t="s">
        <v>1423</v>
      </c>
      <c r="AO38" s="85" t="s">
        <v>1671</v>
      </c>
      <c r="AP38" s="80" t="b">
        <v>0</v>
      </c>
      <c r="AQ38" s="85" t="s">
        <v>1423</v>
      </c>
      <c r="AR38" s="80" t="s">
        <v>179</v>
      </c>
      <c r="AS38" s="80">
        <v>0</v>
      </c>
      <c r="AT38" s="80">
        <v>0</v>
      </c>
      <c r="AU38" s="80"/>
      <c r="AV38" s="80"/>
      <c r="AW38" s="80"/>
      <c r="AX38" s="80"/>
      <c r="AY38" s="80"/>
      <c r="AZ38" s="80"/>
      <c r="BA38" s="80"/>
      <c r="BB38" s="80"/>
    </row>
    <row r="39" spans="1:54" x14ac:dyDescent="0.25">
      <c r="A39" s="65" t="s">
        <v>233</v>
      </c>
      <c r="B39" s="65" t="s">
        <v>386</v>
      </c>
      <c r="C39" s="66"/>
      <c r="D39" s="67"/>
      <c r="E39" s="68"/>
      <c r="F39" s="69"/>
      <c r="G39" s="66"/>
      <c r="H39" s="70"/>
      <c r="I39" s="71"/>
      <c r="J39" s="71"/>
      <c r="K39" s="36" t="s">
        <v>65</v>
      </c>
      <c r="L39" s="78">
        <v>39</v>
      </c>
      <c r="M39" s="78"/>
      <c r="N39" s="73"/>
      <c r="O39" s="80" t="s">
        <v>414</v>
      </c>
      <c r="P39" s="82">
        <v>44628.098865740743</v>
      </c>
      <c r="Q39" s="80" t="s">
        <v>426</v>
      </c>
      <c r="R39" s="83" t="str">
        <f>HYPERLINK("https://ubbulls.com/sports/2022/2/24/mac-basketball-2022.aspx?linkId=100000113931700")</f>
        <v>https://ubbulls.com/sports/2022/2/24/mac-basketball-2022.aspx?linkId=100000113931700</v>
      </c>
      <c r="S39" s="80" t="s">
        <v>638</v>
      </c>
      <c r="T39" s="85" t="s">
        <v>665</v>
      </c>
      <c r="U39" s="83" t="str">
        <f>HYPERLINK("https://pbs.twimg.com/media/FNQuP6DXsAUvTIT.jpg")</f>
        <v>https://pbs.twimg.com/media/FNQuP6DXsAUvTIT.jpg</v>
      </c>
      <c r="V39" s="83" t="str">
        <f>HYPERLINK("https://pbs.twimg.com/media/FNQuP6DXsAUvTIT.jpg")</f>
        <v>https://pbs.twimg.com/media/FNQuP6DXsAUvTIT.jpg</v>
      </c>
      <c r="W39" s="82">
        <v>44628.098865740743</v>
      </c>
      <c r="X39" s="88">
        <v>44628</v>
      </c>
      <c r="Y39" s="85" t="s">
        <v>746</v>
      </c>
      <c r="Z39" s="83" t="str">
        <f>HYPERLINK("https://twitter.com/dyaishafair/status/1501020472649175042")</f>
        <v>https://twitter.com/dyaishafair/status/1501020472649175042</v>
      </c>
      <c r="AA39" s="80"/>
      <c r="AB39" s="80"/>
      <c r="AC39" s="85" t="s">
        <v>1194</v>
      </c>
      <c r="AD39" s="80"/>
      <c r="AE39" s="80" t="b">
        <v>0</v>
      </c>
      <c r="AF39" s="80">
        <v>0</v>
      </c>
      <c r="AG39" s="85" t="s">
        <v>1635</v>
      </c>
      <c r="AH39" s="80" t="b">
        <v>0</v>
      </c>
      <c r="AI39" s="80" t="s">
        <v>1642</v>
      </c>
      <c r="AJ39" s="80"/>
      <c r="AK39" s="85" t="s">
        <v>1635</v>
      </c>
      <c r="AL39" s="80" t="b">
        <v>0</v>
      </c>
      <c r="AM39" s="80">
        <v>5</v>
      </c>
      <c r="AN39" s="85" t="s">
        <v>1423</v>
      </c>
      <c r="AO39" s="85" t="s">
        <v>1671</v>
      </c>
      <c r="AP39" s="80" t="b">
        <v>0</v>
      </c>
      <c r="AQ39" s="85" t="s">
        <v>1423</v>
      </c>
      <c r="AR39" s="80" t="s">
        <v>179</v>
      </c>
      <c r="AS39" s="80">
        <v>0</v>
      </c>
      <c r="AT39" s="80">
        <v>0</v>
      </c>
      <c r="AU39" s="80"/>
      <c r="AV39" s="80"/>
      <c r="AW39" s="80"/>
      <c r="AX39" s="80"/>
      <c r="AY39" s="80"/>
      <c r="AZ39" s="80"/>
      <c r="BA39" s="80"/>
      <c r="BB39" s="80"/>
    </row>
    <row r="40" spans="1:54" x14ac:dyDescent="0.25">
      <c r="A40" s="65" t="s">
        <v>233</v>
      </c>
      <c r="B40" s="65" t="s">
        <v>353</v>
      </c>
      <c r="C40" s="66"/>
      <c r="D40" s="67"/>
      <c r="E40" s="68"/>
      <c r="F40" s="69"/>
      <c r="G40" s="66"/>
      <c r="H40" s="70"/>
      <c r="I40" s="71"/>
      <c r="J40" s="71"/>
      <c r="K40" s="36" t="s">
        <v>65</v>
      </c>
      <c r="L40" s="78">
        <v>40</v>
      </c>
      <c r="M40" s="78"/>
      <c r="N40" s="73"/>
      <c r="O40" s="80" t="s">
        <v>415</v>
      </c>
      <c r="P40" s="82">
        <v>44628.098865740743</v>
      </c>
      <c r="Q40" s="80" t="s">
        <v>426</v>
      </c>
      <c r="R40" s="83" t="str">
        <f>HYPERLINK("https://ubbulls.com/sports/2022/2/24/mac-basketball-2022.aspx?linkId=100000113931700")</f>
        <v>https://ubbulls.com/sports/2022/2/24/mac-basketball-2022.aspx?linkId=100000113931700</v>
      </c>
      <c r="S40" s="80" t="s">
        <v>638</v>
      </c>
      <c r="T40" s="85" t="s">
        <v>665</v>
      </c>
      <c r="U40" s="83" t="str">
        <f>HYPERLINK("https://pbs.twimg.com/media/FNQuP6DXsAUvTIT.jpg")</f>
        <v>https://pbs.twimg.com/media/FNQuP6DXsAUvTIT.jpg</v>
      </c>
      <c r="V40" s="83" t="str">
        <f>HYPERLINK("https://pbs.twimg.com/media/FNQuP6DXsAUvTIT.jpg")</f>
        <v>https://pbs.twimg.com/media/FNQuP6DXsAUvTIT.jpg</v>
      </c>
      <c r="W40" s="82">
        <v>44628.098865740743</v>
      </c>
      <c r="X40" s="88">
        <v>44628</v>
      </c>
      <c r="Y40" s="85" t="s">
        <v>746</v>
      </c>
      <c r="Z40" s="83" t="str">
        <f>HYPERLINK("https://twitter.com/dyaishafair/status/1501020472649175042")</f>
        <v>https://twitter.com/dyaishafair/status/1501020472649175042</v>
      </c>
      <c r="AA40" s="80"/>
      <c r="AB40" s="80"/>
      <c r="AC40" s="85" t="s">
        <v>1194</v>
      </c>
      <c r="AD40" s="80"/>
      <c r="AE40" s="80" t="b">
        <v>0</v>
      </c>
      <c r="AF40" s="80">
        <v>0</v>
      </c>
      <c r="AG40" s="85" t="s">
        <v>1635</v>
      </c>
      <c r="AH40" s="80" t="b">
        <v>0</v>
      </c>
      <c r="AI40" s="80" t="s">
        <v>1642</v>
      </c>
      <c r="AJ40" s="80"/>
      <c r="AK40" s="85" t="s">
        <v>1635</v>
      </c>
      <c r="AL40" s="80" t="b">
        <v>0</v>
      </c>
      <c r="AM40" s="80">
        <v>5</v>
      </c>
      <c r="AN40" s="85" t="s">
        <v>1423</v>
      </c>
      <c r="AO40" s="85" t="s">
        <v>1671</v>
      </c>
      <c r="AP40" s="80" t="b">
        <v>0</v>
      </c>
      <c r="AQ40" s="85" t="s">
        <v>1423</v>
      </c>
      <c r="AR40" s="80" t="s">
        <v>179</v>
      </c>
      <c r="AS40" s="80">
        <v>0</v>
      </c>
      <c r="AT40" s="80">
        <v>0</v>
      </c>
      <c r="AU40" s="80"/>
      <c r="AV40" s="80"/>
      <c r="AW40" s="80"/>
      <c r="AX40" s="80"/>
      <c r="AY40" s="80"/>
      <c r="AZ40" s="80"/>
      <c r="BA40" s="80"/>
      <c r="BB40" s="80"/>
    </row>
    <row r="41" spans="1:54" x14ac:dyDescent="0.25">
      <c r="A41" s="65" t="s">
        <v>234</v>
      </c>
      <c r="B41" s="65" t="s">
        <v>383</v>
      </c>
      <c r="C41" s="66"/>
      <c r="D41" s="67"/>
      <c r="E41" s="68"/>
      <c r="F41" s="69"/>
      <c r="G41" s="66"/>
      <c r="H41" s="70"/>
      <c r="I41" s="71"/>
      <c r="J41" s="71"/>
      <c r="K41" s="36" t="s">
        <v>65</v>
      </c>
      <c r="L41" s="78">
        <v>41</v>
      </c>
      <c r="M41" s="78"/>
      <c r="N41" s="73"/>
      <c r="O41" s="80" t="s">
        <v>414</v>
      </c>
      <c r="P41" s="82">
        <v>44628.538090277776</v>
      </c>
      <c r="Q41" s="80" t="s">
        <v>429</v>
      </c>
      <c r="R41" s="83" t="str">
        <f>HYPERLINK("https://buffalo.zoom.us/meeting/register/tJApdu2upz8uH91uWWEt4_SQWWdLuqt6gkng")</f>
        <v>https://buffalo.zoom.us/meeting/register/tJApdu2upz8uH91uWWEt4_SQWWdLuqt6gkng</v>
      </c>
      <c r="S41" s="80" t="s">
        <v>637</v>
      </c>
      <c r="T41" s="85" t="s">
        <v>357</v>
      </c>
      <c r="U41" s="80"/>
      <c r="V41" s="83" t="str">
        <f>HYPERLINK("https://pbs.twimg.com/profile_images/1496909543422447629/YYPkidys_normal.jpg")</f>
        <v>https://pbs.twimg.com/profile_images/1496909543422447629/YYPkidys_normal.jpg</v>
      </c>
      <c r="W41" s="82">
        <v>44628.538090277776</v>
      </c>
      <c r="X41" s="88">
        <v>44628</v>
      </c>
      <c r="Y41" s="85" t="s">
        <v>747</v>
      </c>
      <c r="Z41" s="83" t="str">
        <f>HYPERLINK("https://twitter.com/sarahbelle721/status/1501179641939345414")</f>
        <v>https://twitter.com/sarahbelle721/status/1501179641939345414</v>
      </c>
      <c r="AA41" s="80"/>
      <c r="AB41" s="80"/>
      <c r="AC41" s="85" t="s">
        <v>1195</v>
      </c>
      <c r="AD41" s="80"/>
      <c r="AE41" s="80" t="b">
        <v>0</v>
      </c>
      <c r="AF41" s="80">
        <v>0</v>
      </c>
      <c r="AG41" s="85" t="s">
        <v>1635</v>
      </c>
      <c r="AH41" s="80" t="b">
        <v>0</v>
      </c>
      <c r="AI41" s="80" t="s">
        <v>1642</v>
      </c>
      <c r="AJ41" s="80"/>
      <c r="AK41" s="85" t="s">
        <v>1635</v>
      </c>
      <c r="AL41" s="80" t="b">
        <v>0</v>
      </c>
      <c r="AM41" s="80">
        <v>2</v>
      </c>
      <c r="AN41" s="85" t="s">
        <v>1543</v>
      </c>
      <c r="AO41" s="85" t="s">
        <v>1671</v>
      </c>
      <c r="AP41" s="80" t="b">
        <v>0</v>
      </c>
      <c r="AQ41" s="85" t="s">
        <v>1543</v>
      </c>
      <c r="AR41" s="80" t="s">
        <v>179</v>
      </c>
      <c r="AS41" s="80">
        <v>0</v>
      </c>
      <c r="AT41" s="80">
        <v>0</v>
      </c>
      <c r="AU41" s="80"/>
      <c r="AV41" s="80"/>
      <c r="AW41" s="80"/>
      <c r="AX41" s="80"/>
      <c r="AY41" s="80"/>
      <c r="AZ41" s="80"/>
      <c r="BA41" s="80"/>
      <c r="BB41" s="80"/>
    </row>
    <row r="42" spans="1:54" x14ac:dyDescent="0.25">
      <c r="A42" s="65" t="s">
        <v>234</v>
      </c>
      <c r="B42" s="65" t="s">
        <v>375</v>
      </c>
      <c r="C42" s="66"/>
      <c r="D42" s="67"/>
      <c r="E42" s="68"/>
      <c r="F42" s="69"/>
      <c r="G42" s="66"/>
      <c r="H42" s="70"/>
      <c r="I42" s="71"/>
      <c r="J42" s="71"/>
      <c r="K42" s="36" t="s">
        <v>65</v>
      </c>
      <c r="L42" s="78">
        <v>42</v>
      </c>
      <c r="M42" s="78"/>
      <c r="N42" s="73"/>
      <c r="O42" s="80" t="s">
        <v>414</v>
      </c>
      <c r="P42" s="82">
        <v>44628.538090277776</v>
      </c>
      <c r="Q42" s="80" t="s">
        <v>429</v>
      </c>
      <c r="R42" s="83" t="str">
        <f>HYPERLINK("https://buffalo.zoom.us/meeting/register/tJApdu2upz8uH91uWWEt4_SQWWdLuqt6gkng")</f>
        <v>https://buffalo.zoom.us/meeting/register/tJApdu2upz8uH91uWWEt4_SQWWdLuqt6gkng</v>
      </c>
      <c r="S42" s="80" t="s">
        <v>637</v>
      </c>
      <c r="T42" s="85" t="s">
        <v>357</v>
      </c>
      <c r="U42" s="80"/>
      <c r="V42" s="83" t="str">
        <f>HYPERLINK("https://pbs.twimg.com/profile_images/1496909543422447629/YYPkidys_normal.jpg")</f>
        <v>https://pbs.twimg.com/profile_images/1496909543422447629/YYPkidys_normal.jpg</v>
      </c>
      <c r="W42" s="82">
        <v>44628.538090277776</v>
      </c>
      <c r="X42" s="88">
        <v>44628</v>
      </c>
      <c r="Y42" s="85" t="s">
        <v>747</v>
      </c>
      <c r="Z42" s="83" t="str">
        <f>HYPERLINK("https://twitter.com/sarahbelle721/status/1501179641939345414")</f>
        <v>https://twitter.com/sarahbelle721/status/1501179641939345414</v>
      </c>
      <c r="AA42" s="80"/>
      <c r="AB42" s="80"/>
      <c r="AC42" s="85" t="s">
        <v>1195</v>
      </c>
      <c r="AD42" s="80"/>
      <c r="AE42" s="80" t="b">
        <v>0</v>
      </c>
      <c r="AF42" s="80">
        <v>0</v>
      </c>
      <c r="AG42" s="85" t="s">
        <v>1635</v>
      </c>
      <c r="AH42" s="80" t="b">
        <v>0</v>
      </c>
      <c r="AI42" s="80" t="s">
        <v>1642</v>
      </c>
      <c r="AJ42" s="80"/>
      <c r="AK42" s="85" t="s">
        <v>1635</v>
      </c>
      <c r="AL42" s="80" t="b">
        <v>0</v>
      </c>
      <c r="AM42" s="80">
        <v>2</v>
      </c>
      <c r="AN42" s="85" t="s">
        <v>1543</v>
      </c>
      <c r="AO42" s="85" t="s">
        <v>1671</v>
      </c>
      <c r="AP42" s="80" t="b">
        <v>0</v>
      </c>
      <c r="AQ42" s="85" t="s">
        <v>1543</v>
      </c>
      <c r="AR42" s="80" t="s">
        <v>179</v>
      </c>
      <c r="AS42" s="80">
        <v>0</v>
      </c>
      <c r="AT42" s="80">
        <v>0</v>
      </c>
      <c r="AU42" s="80"/>
      <c r="AV42" s="80"/>
      <c r="AW42" s="80"/>
      <c r="AX42" s="80"/>
      <c r="AY42" s="80"/>
      <c r="AZ42" s="80"/>
      <c r="BA42" s="80"/>
      <c r="BB42" s="80"/>
    </row>
    <row r="43" spans="1:54" x14ac:dyDescent="0.25">
      <c r="A43" s="65" t="s">
        <v>234</v>
      </c>
      <c r="B43" s="65" t="s">
        <v>384</v>
      </c>
      <c r="C43" s="66"/>
      <c r="D43" s="67"/>
      <c r="E43" s="68"/>
      <c r="F43" s="69"/>
      <c r="G43" s="66"/>
      <c r="H43" s="70"/>
      <c r="I43" s="71"/>
      <c r="J43" s="71"/>
      <c r="K43" s="36" t="s">
        <v>65</v>
      </c>
      <c r="L43" s="78">
        <v>43</v>
      </c>
      <c r="M43" s="78"/>
      <c r="N43" s="73"/>
      <c r="O43" s="80" t="s">
        <v>414</v>
      </c>
      <c r="P43" s="82">
        <v>44628.538090277776</v>
      </c>
      <c r="Q43" s="80" t="s">
        <v>429</v>
      </c>
      <c r="R43" s="83" t="str">
        <f>HYPERLINK("https://buffalo.zoom.us/meeting/register/tJApdu2upz8uH91uWWEt4_SQWWdLuqt6gkng")</f>
        <v>https://buffalo.zoom.us/meeting/register/tJApdu2upz8uH91uWWEt4_SQWWdLuqt6gkng</v>
      </c>
      <c r="S43" s="80" t="s">
        <v>637</v>
      </c>
      <c r="T43" s="85" t="s">
        <v>357</v>
      </c>
      <c r="U43" s="80"/>
      <c r="V43" s="83" t="str">
        <f>HYPERLINK("https://pbs.twimg.com/profile_images/1496909543422447629/YYPkidys_normal.jpg")</f>
        <v>https://pbs.twimg.com/profile_images/1496909543422447629/YYPkidys_normal.jpg</v>
      </c>
      <c r="W43" s="82">
        <v>44628.538090277776</v>
      </c>
      <c r="X43" s="88">
        <v>44628</v>
      </c>
      <c r="Y43" s="85" t="s">
        <v>747</v>
      </c>
      <c r="Z43" s="83" t="str">
        <f>HYPERLINK("https://twitter.com/sarahbelle721/status/1501179641939345414")</f>
        <v>https://twitter.com/sarahbelle721/status/1501179641939345414</v>
      </c>
      <c r="AA43" s="80"/>
      <c r="AB43" s="80"/>
      <c r="AC43" s="85" t="s">
        <v>1195</v>
      </c>
      <c r="AD43" s="80"/>
      <c r="AE43" s="80" t="b">
        <v>0</v>
      </c>
      <c r="AF43" s="80">
        <v>0</v>
      </c>
      <c r="AG43" s="85" t="s">
        <v>1635</v>
      </c>
      <c r="AH43" s="80" t="b">
        <v>0</v>
      </c>
      <c r="AI43" s="80" t="s">
        <v>1642</v>
      </c>
      <c r="AJ43" s="80"/>
      <c r="AK43" s="85" t="s">
        <v>1635</v>
      </c>
      <c r="AL43" s="80" t="b">
        <v>0</v>
      </c>
      <c r="AM43" s="80">
        <v>2</v>
      </c>
      <c r="AN43" s="85" t="s">
        <v>1543</v>
      </c>
      <c r="AO43" s="85" t="s">
        <v>1671</v>
      </c>
      <c r="AP43" s="80" t="b">
        <v>0</v>
      </c>
      <c r="AQ43" s="85" t="s">
        <v>1543</v>
      </c>
      <c r="AR43" s="80" t="s">
        <v>179</v>
      </c>
      <c r="AS43" s="80">
        <v>0</v>
      </c>
      <c r="AT43" s="80">
        <v>0</v>
      </c>
      <c r="AU43" s="80"/>
      <c r="AV43" s="80"/>
      <c r="AW43" s="80"/>
      <c r="AX43" s="80"/>
      <c r="AY43" s="80"/>
      <c r="AZ43" s="80"/>
      <c r="BA43" s="80"/>
      <c r="BB43" s="80"/>
    </row>
    <row r="44" spans="1:54" x14ac:dyDescent="0.25">
      <c r="A44" s="65" t="s">
        <v>234</v>
      </c>
      <c r="B44" s="65" t="s">
        <v>374</v>
      </c>
      <c r="C44" s="66"/>
      <c r="D44" s="67"/>
      <c r="E44" s="68"/>
      <c r="F44" s="69"/>
      <c r="G44" s="66"/>
      <c r="H44" s="70"/>
      <c r="I44" s="71"/>
      <c r="J44" s="71"/>
      <c r="K44" s="36" t="s">
        <v>65</v>
      </c>
      <c r="L44" s="78">
        <v>44</v>
      </c>
      <c r="M44" s="78"/>
      <c r="N44" s="73"/>
      <c r="O44" s="80" t="s">
        <v>415</v>
      </c>
      <c r="P44" s="82">
        <v>44628.538090277776</v>
      </c>
      <c r="Q44" s="80" t="s">
        <v>429</v>
      </c>
      <c r="R44" s="83" t="str">
        <f>HYPERLINK("https://buffalo.zoom.us/meeting/register/tJApdu2upz8uH91uWWEt4_SQWWdLuqt6gkng")</f>
        <v>https://buffalo.zoom.us/meeting/register/tJApdu2upz8uH91uWWEt4_SQWWdLuqt6gkng</v>
      </c>
      <c r="S44" s="80" t="s">
        <v>637</v>
      </c>
      <c r="T44" s="85" t="s">
        <v>357</v>
      </c>
      <c r="U44" s="80"/>
      <c r="V44" s="83" t="str">
        <f>HYPERLINK("https://pbs.twimg.com/profile_images/1496909543422447629/YYPkidys_normal.jpg")</f>
        <v>https://pbs.twimg.com/profile_images/1496909543422447629/YYPkidys_normal.jpg</v>
      </c>
      <c r="W44" s="82">
        <v>44628.538090277776</v>
      </c>
      <c r="X44" s="88">
        <v>44628</v>
      </c>
      <c r="Y44" s="85" t="s">
        <v>747</v>
      </c>
      <c r="Z44" s="83" t="str">
        <f>HYPERLINK("https://twitter.com/sarahbelle721/status/1501179641939345414")</f>
        <v>https://twitter.com/sarahbelle721/status/1501179641939345414</v>
      </c>
      <c r="AA44" s="80"/>
      <c r="AB44" s="80"/>
      <c r="AC44" s="85" t="s">
        <v>1195</v>
      </c>
      <c r="AD44" s="80"/>
      <c r="AE44" s="80" t="b">
        <v>0</v>
      </c>
      <c r="AF44" s="80">
        <v>0</v>
      </c>
      <c r="AG44" s="85" t="s">
        <v>1635</v>
      </c>
      <c r="AH44" s="80" t="b">
        <v>0</v>
      </c>
      <c r="AI44" s="80" t="s">
        <v>1642</v>
      </c>
      <c r="AJ44" s="80"/>
      <c r="AK44" s="85" t="s">
        <v>1635</v>
      </c>
      <c r="AL44" s="80" t="b">
        <v>0</v>
      </c>
      <c r="AM44" s="80">
        <v>2</v>
      </c>
      <c r="AN44" s="85" t="s">
        <v>1543</v>
      </c>
      <c r="AO44" s="85" t="s">
        <v>1671</v>
      </c>
      <c r="AP44" s="80" t="b">
        <v>0</v>
      </c>
      <c r="AQ44" s="85" t="s">
        <v>1543</v>
      </c>
      <c r="AR44" s="80" t="s">
        <v>179</v>
      </c>
      <c r="AS44" s="80">
        <v>0</v>
      </c>
      <c r="AT44" s="80">
        <v>0</v>
      </c>
      <c r="AU44" s="80"/>
      <c r="AV44" s="80"/>
      <c r="AW44" s="80"/>
      <c r="AX44" s="80"/>
      <c r="AY44" s="80"/>
      <c r="AZ44" s="80"/>
      <c r="BA44" s="80"/>
      <c r="BB44" s="80"/>
    </row>
    <row r="45" spans="1:54" x14ac:dyDescent="0.25">
      <c r="A45" s="65" t="s">
        <v>235</v>
      </c>
      <c r="B45" s="65" t="s">
        <v>235</v>
      </c>
      <c r="C45" s="66"/>
      <c r="D45" s="67"/>
      <c r="E45" s="68"/>
      <c r="F45" s="69"/>
      <c r="G45" s="66"/>
      <c r="H45" s="70"/>
      <c r="I45" s="71"/>
      <c r="J45" s="71"/>
      <c r="K45" s="36" t="s">
        <v>65</v>
      </c>
      <c r="L45" s="78">
        <v>45</v>
      </c>
      <c r="M45" s="78"/>
      <c r="N45" s="73"/>
      <c r="O45" s="80" t="s">
        <v>179</v>
      </c>
      <c r="P45" s="82">
        <v>44628.541689814818</v>
      </c>
      <c r="Q45" s="80" t="s">
        <v>430</v>
      </c>
      <c r="R45" s="83" t="str">
        <f>HYPERLINK("https://management.buffalo.edu/degree-programs/master-of-business-mba/community/women.html?utm_source=TWITTER&amp;utm_medium=social&amp;utm_term=20220308&amp;utm_content=100002701885769&amp;utm_campaign=General+Content&amp;linkId=100000087216582")</f>
        <v>https://management.buffalo.edu/degree-programs/master-of-business-mba/community/women.html?utm_source=TWITTER&amp;utm_medium=social&amp;utm_term=20220308&amp;utm_content=100002701885769&amp;utm_campaign=General+Content&amp;linkId=100000087216582</v>
      </c>
      <c r="S45" s="80" t="s">
        <v>632</v>
      </c>
      <c r="T45" s="85" t="s">
        <v>666</v>
      </c>
      <c r="U45" s="83" t="str">
        <f>HYPERLINK("https://pbs.twimg.com/media/FNVEHF5XEAADXZE.jpg")</f>
        <v>https://pbs.twimg.com/media/FNVEHF5XEAADXZE.jpg</v>
      </c>
      <c r="V45" s="83" t="str">
        <f>HYPERLINK("https://pbs.twimg.com/media/FNVEHF5XEAADXZE.jpg")</f>
        <v>https://pbs.twimg.com/media/FNVEHF5XEAADXZE.jpg</v>
      </c>
      <c r="W45" s="82">
        <v>44628.541689814818</v>
      </c>
      <c r="X45" s="88">
        <v>44628</v>
      </c>
      <c r="Y45" s="85" t="s">
        <v>748</v>
      </c>
      <c r="Z45" s="83" t="str">
        <f>HYPERLINK("https://twitter.com/ubmbaandms/status/1501180944635596800")</f>
        <v>https://twitter.com/ubmbaandms/status/1501180944635596800</v>
      </c>
      <c r="AA45" s="80"/>
      <c r="AB45" s="80"/>
      <c r="AC45" s="85" t="s">
        <v>1196</v>
      </c>
      <c r="AD45" s="80"/>
      <c r="AE45" s="80" t="b">
        <v>0</v>
      </c>
      <c r="AF45" s="80">
        <v>2</v>
      </c>
      <c r="AG45" s="85" t="s">
        <v>1635</v>
      </c>
      <c r="AH45" s="80" t="b">
        <v>0</v>
      </c>
      <c r="AI45" s="80" t="s">
        <v>1642</v>
      </c>
      <c r="AJ45" s="80"/>
      <c r="AK45" s="85" t="s">
        <v>1635</v>
      </c>
      <c r="AL45" s="80" t="b">
        <v>0</v>
      </c>
      <c r="AM45" s="80">
        <v>0</v>
      </c>
      <c r="AN45" s="85" t="s">
        <v>1635</v>
      </c>
      <c r="AO45" s="85" t="s">
        <v>1679</v>
      </c>
      <c r="AP45" s="80" t="b">
        <v>0</v>
      </c>
      <c r="AQ45" s="85" t="s">
        <v>1196</v>
      </c>
      <c r="AR45" s="80" t="s">
        <v>179</v>
      </c>
      <c r="AS45" s="80">
        <v>0</v>
      </c>
      <c r="AT45" s="80">
        <v>0</v>
      </c>
      <c r="AU45" s="80"/>
      <c r="AV45" s="80"/>
      <c r="AW45" s="80"/>
      <c r="AX45" s="80"/>
      <c r="AY45" s="80"/>
      <c r="AZ45" s="80"/>
      <c r="BA45" s="80"/>
      <c r="BB45" s="80"/>
    </row>
    <row r="46" spans="1:54" x14ac:dyDescent="0.25">
      <c r="A46" s="65" t="s">
        <v>236</v>
      </c>
      <c r="B46" s="65" t="s">
        <v>236</v>
      </c>
      <c r="C46" s="66"/>
      <c r="D46" s="67"/>
      <c r="E46" s="68"/>
      <c r="F46" s="69"/>
      <c r="G46" s="66"/>
      <c r="H46" s="70"/>
      <c r="I46" s="71"/>
      <c r="J46" s="71"/>
      <c r="K46" s="36" t="s">
        <v>65</v>
      </c>
      <c r="L46" s="78">
        <v>46</v>
      </c>
      <c r="M46" s="78"/>
      <c r="N46" s="73"/>
      <c r="O46" s="80" t="s">
        <v>179</v>
      </c>
      <c r="P46" s="82">
        <v>44628.050879629627</v>
      </c>
      <c r="Q46" s="80" t="s">
        <v>431</v>
      </c>
      <c r="R46" s="83" t="str">
        <f>HYPERLINK("https://ubmgtconnect.buffalo.edu/portal/pmba-ambassadors?utm_source=TWITTER&amp;utm_medium=social&amp;utm_term=20220308&amp;utm_content=100002908405593&amp;utm_campaign=General+Content&amp;linkId=100000109350919")</f>
        <v>https://ubmgtconnect.buffalo.edu/portal/pmba-ambassadors?utm_source=TWITTER&amp;utm_medium=social&amp;utm_term=20220308&amp;utm_content=100002908405593&amp;utm_campaign=General+Content&amp;linkId=100000109350919</v>
      </c>
      <c r="S46" s="80" t="s">
        <v>632</v>
      </c>
      <c r="T46" s="85" t="s">
        <v>667</v>
      </c>
      <c r="U46" s="83" t="str">
        <f>HYPERLINK("https://pbs.twimg.com/media/FNSiWBqXwAISCdA.jpg")</f>
        <v>https://pbs.twimg.com/media/FNSiWBqXwAISCdA.jpg</v>
      </c>
      <c r="V46" s="83" t="str">
        <f>HYPERLINK("https://pbs.twimg.com/media/FNSiWBqXwAISCdA.jpg")</f>
        <v>https://pbs.twimg.com/media/FNSiWBqXwAISCdA.jpg</v>
      </c>
      <c r="W46" s="82">
        <v>44628.050879629627</v>
      </c>
      <c r="X46" s="88">
        <v>44628</v>
      </c>
      <c r="Y46" s="85" t="s">
        <v>749</v>
      </c>
      <c r="Z46" s="83" t="str">
        <f>HYPERLINK("https://twitter.com/ubpmba/status/1501003079726080014")</f>
        <v>https://twitter.com/ubpmba/status/1501003079726080014</v>
      </c>
      <c r="AA46" s="80"/>
      <c r="AB46" s="80"/>
      <c r="AC46" s="85" t="s">
        <v>1197</v>
      </c>
      <c r="AD46" s="80"/>
      <c r="AE46" s="80" t="b">
        <v>0</v>
      </c>
      <c r="AF46" s="80">
        <v>1</v>
      </c>
      <c r="AG46" s="85" t="s">
        <v>1635</v>
      </c>
      <c r="AH46" s="80" t="b">
        <v>0</v>
      </c>
      <c r="AI46" s="80" t="s">
        <v>1642</v>
      </c>
      <c r="AJ46" s="80"/>
      <c r="AK46" s="85" t="s">
        <v>1635</v>
      </c>
      <c r="AL46" s="80" t="b">
        <v>0</v>
      </c>
      <c r="AM46" s="80">
        <v>0</v>
      </c>
      <c r="AN46" s="85" t="s">
        <v>1635</v>
      </c>
      <c r="AO46" s="85" t="s">
        <v>1679</v>
      </c>
      <c r="AP46" s="80" t="b">
        <v>0</v>
      </c>
      <c r="AQ46" s="85" t="s">
        <v>1197</v>
      </c>
      <c r="AR46" s="80" t="s">
        <v>179</v>
      </c>
      <c r="AS46" s="80">
        <v>0</v>
      </c>
      <c r="AT46" s="80">
        <v>0</v>
      </c>
      <c r="AU46" s="80"/>
      <c r="AV46" s="80"/>
      <c r="AW46" s="80"/>
      <c r="AX46" s="80"/>
      <c r="AY46" s="80"/>
      <c r="AZ46" s="80"/>
      <c r="BA46" s="80"/>
      <c r="BB46" s="80"/>
    </row>
    <row r="47" spans="1:54" x14ac:dyDescent="0.25">
      <c r="A47" s="65" t="s">
        <v>236</v>
      </c>
      <c r="B47" s="65" t="s">
        <v>236</v>
      </c>
      <c r="C47" s="66"/>
      <c r="D47" s="67"/>
      <c r="E47" s="68"/>
      <c r="F47" s="69"/>
      <c r="G47" s="66"/>
      <c r="H47" s="70"/>
      <c r="I47" s="71"/>
      <c r="J47" s="71"/>
      <c r="K47" s="36" t="s">
        <v>65</v>
      </c>
      <c r="L47" s="78">
        <v>47</v>
      </c>
      <c r="M47" s="78"/>
      <c r="N47" s="73"/>
      <c r="O47" s="80" t="s">
        <v>179</v>
      </c>
      <c r="P47" s="82">
        <v>44628.541689814818</v>
      </c>
      <c r="Q47" s="80" t="s">
        <v>432</v>
      </c>
      <c r="R47" s="83" t="str">
        <f>HYPERLINK("https://management.buffalo.edu/degree-programs/master-of-business-mba/community/women.html?utm_source=TWITTER&amp;utm_medium=social&amp;utm_term=20220308&amp;utm_content=100002701885768&amp;utm_campaign=General+Content&amp;linkId=100000087216583")</f>
        <v>https://management.buffalo.edu/degree-programs/master-of-business-mba/community/women.html?utm_source=TWITTER&amp;utm_medium=social&amp;utm_term=20220308&amp;utm_content=100002701885768&amp;utm_campaign=General+Content&amp;linkId=100000087216583</v>
      </c>
      <c r="S47" s="80" t="s">
        <v>632</v>
      </c>
      <c r="T47" s="85" t="s">
        <v>666</v>
      </c>
      <c r="U47" s="83" t="str">
        <f>HYPERLINK("https://pbs.twimg.com/media/FNVEHFwXEAInLN5.jpg")</f>
        <v>https://pbs.twimg.com/media/FNVEHFwXEAInLN5.jpg</v>
      </c>
      <c r="V47" s="83" t="str">
        <f>HYPERLINK("https://pbs.twimg.com/media/FNVEHFwXEAInLN5.jpg")</f>
        <v>https://pbs.twimg.com/media/FNVEHFwXEAInLN5.jpg</v>
      </c>
      <c r="W47" s="82">
        <v>44628.541689814818</v>
      </c>
      <c r="X47" s="88">
        <v>44628</v>
      </c>
      <c r="Y47" s="85" t="s">
        <v>748</v>
      </c>
      <c r="Z47" s="83" t="str">
        <f>HYPERLINK("https://twitter.com/ubpmba/status/1501180944660766721")</f>
        <v>https://twitter.com/ubpmba/status/1501180944660766721</v>
      </c>
      <c r="AA47" s="80"/>
      <c r="AB47" s="80"/>
      <c r="AC47" s="85" t="s">
        <v>1198</v>
      </c>
      <c r="AD47" s="80"/>
      <c r="AE47" s="80" t="b">
        <v>0</v>
      </c>
      <c r="AF47" s="80">
        <v>1</v>
      </c>
      <c r="AG47" s="85" t="s">
        <v>1635</v>
      </c>
      <c r="AH47" s="80" t="b">
        <v>0</v>
      </c>
      <c r="AI47" s="80" t="s">
        <v>1642</v>
      </c>
      <c r="AJ47" s="80"/>
      <c r="AK47" s="85" t="s">
        <v>1635</v>
      </c>
      <c r="AL47" s="80" t="b">
        <v>0</v>
      </c>
      <c r="AM47" s="80">
        <v>0</v>
      </c>
      <c r="AN47" s="85" t="s">
        <v>1635</v>
      </c>
      <c r="AO47" s="85" t="s">
        <v>1679</v>
      </c>
      <c r="AP47" s="80" t="b">
        <v>0</v>
      </c>
      <c r="AQ47" s="85" t="s">
        <v>1198</v>
      </c>
      <c r="AR47" s="80" t="s">
        <v>179</v>
      </c>
      <c r="AS47" s="80">
        <v>0</v>
      </c>
      <c r="AT47" s="80">
        <v>0</v>
      </c>
      <c r="AU47" s="80"/>
      <c r="AV47" s="80"/>
      <c r="AW47" s="80"/>
      <c r="AX47" s="80"/>
      <c r="AY47" s="80"/>
      <c r="AZ47" s="80"/>
      <c r="BA47" s="80"/>
      <c r="BB47" s="80"/>
    </row>
    <row r="48" spans="1:54" x14ac:dyDescent="0.25">
      <c r="A48" s="65" t="s">
        <v>237</v>
      </c>
      <c r="B48" s="65" t="s">
        <v>357</v>
      </c>
      <c r="C48" s="66"/>
      <c r="D48" s="67"/>
      <c r="E48" s="68"/>
      <c r="F48" s="69"/>
      <c r="G48" s="66"/>
      <c r="H48" s="70"/>
      <c r="I48" s="71"/>
      <c r="J48" s="71"/>
      <c r="K48" s="36" t="s">
        <v>65</v>
      </c>
      <c r="L48" s="78">
        <v>48</v>
      </c>
      <c r="M48" s="78"/>
      <c r="N48" s="73"/>
      <c r="O48" s="80" t="s">
        <v>415</v>
      </c>
      <c r="P48" s="82">
        <v>44628.579236111109</v>
      </c>
      <c r="Q48" s="80" t="s">
        <v>433</v>
      </c>
      <c r="R48" s="80"/>
      <c r="S48" s="80"/>
      <c r="T48" s="85" t="s">
        <v>668</v>
      </c>
      <c r="U48" s="83" t="str">
        <f>HYPERLINK("https://pbs.twimg.com/amplify_video_thumb/1501188997695127554/img/suC8e3aV3xiZEsCE.jpg")</f>
        <v>https://pbs.twimg.com/amplify_video_thumb/1501188997695127554/img/suC8e3aV3xiZEsCE.jpg</v>
      </c>
      <c r="V48" s="83" t="str">
        <f>HYPERLINK("https://pbs.twimg.com/amplify_video_thumb/1501188997695127554/img/suC8e3aV3xiZEsCE.jpg")</f>
        <v>https://pbs.twimg.com/amplify_video_thumb/1501188997695127554/img/suC8e3aV3xiZEsCE.jpg</v>
      </c>
      <c r="W48" s="82">
        <v>44628.579236111109</v>
      </c>
      <c r="X48" s="88">
        <v>44628</v>
      </c>
      <c r="Y48" s="85" t="s">
        <v>750</v>
      </c>
      <c r="Z48" s="83" t="str">
        <f>HYPERLINK("https://twitter.com/coach_bato/status/1501194552757080071")</f>
        <v>https://twitter.com/coach_bato/status/1501194552757080071</v>
      </c>
      <c r="AA48" s="80"/>
      <c r="AB48" s="80"/>
      <c r="AC48" s="85" t="s">
        <v>1199</v>
      </c>
      <c r="AD48" s="80"/>
      <c r="AE48" s="80" t="b">
        <v>0</v>
      </c>
      <c r="AF48" s="80">
        <v>0</v>
      </c>
      <c r="AG48" s="85" t="s">
        <v>1635</v>
      </c>
      <c r="AH48" s="80" t="b">
        <v>0</v>
      </c>
      <c r="AI48" s="80" t="s">
        <v>1642</v>
      </c>
      <c r="AJ48" s="80"/>
      <c r="AK48" s="85" t="s">
        <v>1635</v>
      </c>
      <c r="AL48" s="80" t="b">
        <v>0</v>
      </c>
      <c r="AM48" s="80">
        <v>10</v>
      </c>
      <c r="AN48" s="85" t="s">
        <v>1616</v>
      </c>
      <c r="AO48" s="85" t="s">
        <v>1671</v>
      </c>
      <c r="AP48" s="80" t="b">
        <v>0</v>
      </c>
      <c r="AQ48" s="85" t="s">
        <v>1616</v>
      </c>
      <c r="AR48" s="80" t="s">
        <v>179</v>
      </c>
      <c r="AS48" s="80">
        <v>0</v>
      </c>
      <c r="AT48" s="80">
        <v>0</v>
      </c>
      <c r="AU48" s="80"/>
      <c r="AV48" s="80"/>
      <c r="AW48" s="80"/>
      <c r="AX48" s="80"/>
      <c r="AY48" s="80"/>
      <c r="AZ48" s="80"/>
      <c r="BA48" s="80"/>
      <c r="BB48" s="80"/>
    </row>
    <row r="49" spans="1:54" x14ac:dyDescent="0.25">
      <c r="A49" s="65" t="s">
        <v>238</v>
      </c>
      <c r="B49" s="65" t="s">
        <v>307</v>
      </c>
      <c r="C49" s="66"/>
      <c r="D49" s="67"/>
      <c r="E49" s="68"/>
      <c r="F49" s="69"/>
      <c r="G49" s="66"/>
      <c r="H49" s="70"/>
      <c r="I49" s="71"/>
      <c r="J49" s="71"/>
      <c r="K49" s="36" t="s">
        <v>65</v>
      </c>
      <c r="L49" s="78">
        <v>49</v>
      </c>
      <c r="M49" s="78"/>
      <c r="N49" s="73"/>
      <c r="O49" s="80" t="s">
        <v>416</v>
      </c>
      <c r="P49" s="82">
        <v>44628.585416666669</v>
      </c>
      <c r="Q49" s="80" t="s">
        <v>434</v>
      </c>
      <c r="R49" s="80"/>
      <c r="S49" s="80"/>
      <c r="T49" s="85" t="s">
        <v>669</v>
      </c>
      <c r="U49" s="83" t="str">
        <f>HYPERLINK("https://pbs.twimg.com/media/FNVShqtX0AEugPR.jpg")</f>
        <v>https://pbs.twimg.com/media/FNVShqtX0AEugPR.jpg</v>
      </c>
      <c r="V49" s="83" t="str">
        <f>HYPERLINK("https://pbs.twimg.com/media/FNVShqtX0AEugPR.jpg")</f>
        <v>https://pbs.twimg.com/media/FNVShqtX0AEugPR.jpg</v>
      </c>
      <c r="W49" s="82">
        <v>44628.585416666669</v>
      </c>
      <c r="X49" s="88">
        <v>44628</v>
      </c>
      <c r="Y49" s="85" t="s">
        <v>751</v>
      </c>
      <c r="Z49" s="83" t="str">
        <f>HYPERLINK("https://twitter.com/aspet/status/1501196790988738567")</f>
        <v>https://twitter.com/aspet/status/1501196790988738567</v>
      </c>
      <c r="AA49" s="80"/>
      <c r="AB49" s="80"/>
      <c r="AC49" s="85" t="s">
        <v>1200</v>
      </c>
      <c r="AD49" s="80"/>
      <c r="AE49" s="80" t="b">
        <v>0</v>
      </c>
      <c r="AF49" s="80">
        <v>8</v>
      </c>
      <c r="AG49" s="85" t="s">
        <v>1635</v>
      </c>
      <c r="AH49" s="80" t="b">
        <v>0</v>
      </c>
      <c r="AI49" s="80" t="s">
        <v>1642</v>
      </c>
      <c r="AJ49" s="80"/>
      <c r="AK49" s="85" t="s">
        <v>1635</v>
      </c>
      <c r="AL49" s="80" t="b">
        <v>0</v>
      </c>
      <c r="AM49" s="80">
        <v>0</v>
      </c>
      <c r="AN49" s="85" t="s">
        <v>1635</v>
      </c>
      <c r="AO49" s="85" t="s">
        <v>1680</v>
      </c>
      <c r="AP49" s="80" t="b">
        <v>0</v>
      </c>
      <c r="AQ49" s="85" t="s">
        <v>1200</v>
      </c>
      <c r="AR49" s="80" t="s">
        <v>179</v>
      </c>
      <c r="AS49" s="80">
        <v>0</v>
      </c>
      <c r="AT49" s="80">
        <v>0</v>
      </c>
      <c r="AU49" s="80"/>
      <c r="AV49" s="80"/>
      <c r="AW49" s="80"/>
      <c r="AX49" s="80"/>
      <c r="AY49" s="80"/>
      <c r="AZ49" s="80"/>
      <c r="BA49" s="80"/>
      <c r="BB49" s="80"/>
    </row>
    <row r="50" spans="1:54" x14ac:dyDescent="0.25">
      <c r="A50" s="65" t="s">
        <v>239</v>
      </c>
      <c r="B50" s="65" t="s">
        <v>284</v>
      </c>
      <c r="C50" s="66"/>
      <c r="D50" s="67"/>
      <c r="E50" s="68"/>
      <c r="F50" s="69"/>
      <c r="G50" s="66"/>
      <c r="H50" s="70"/>
      <c r="I50" s="71"/>
      <c r="J50" s="71"/>
      <c r="K50" s="36" t="s">
        <v>65</v>
      </c>
      <c r="L50" s="78">
        <v>50</v>
      </c>
      <c r="M50" s="78"/>
      <c r="N50" s="73"/>
      <c r="O50" s="80" t="s">
        <v>415</v>
      </c>
      <c r="P50" s="82">
        <v>44628.626875000002</v>
      </c>
      <c r="Q50" s="80" t="s">
        <v>435</v>
      </c>
      <c r="R50" s="80"/>
      <c r="S50" s="80"/>
      <c r="T50" s="85" t="s">
        <v>670</v>
      </c>
      <c r="U50" s="83" t="str">
        <f>HYPERLINK("https://pbs.twimg.com/media/FNVYG3UXMAAm7aZ.jpg")</f>
        <v>https://pbs.twimg.com/media/FNVYG3UXMAAm7aZ.jpg</v>
      </c>
      <c r="V50" s="83" t="str">
        <f>HYPERLINK("https://pbs.twimg.com/media/FNVYG3UXMAAm7aZ.jpg")</f>
        <v>https://pbs.twimg.com/media/FNVYG3UXMAAm7aZ.jpg</v>
      </c>
      <c r="W50" s="82">
        <v>44628.626875000002</v>
      </c>
      <c r="X50" s="88">
        <v>44628</v>
      </c>
      <c r="Y50" s="85" t="s">
        <v>752</v>
      </c>
      <c r="Z50" s="83" t="str">
        <f>HYPERLINK("https://twitter.com/matthew_biddle/status/1501211813307944967")</f>
        <v>https://twitter.com/matthew_biddle/status/1501211813307944967</v>
      </c>
      <c r="AA50" s="80"/>
      <c r="AB50" s="80"/>
      <c r="AC50" s="85" t="s">
        <v>1201</v>
      </c>
      <c r="AD50" s="80"/>
      <c r="AE50" s="80" t="b">
        <v>0</v>
      </c>
      <c r="AF50" s="80">
        <v>0</v>
      </c>
      <c r="AG50" s="85" t="s">
        <v>1635</v>
      </c>
      <c r="AH50" s="80" t="b">
        <v>0</v>
      </c>
      <c r="AI50" s="80" t="s">
        <v>1642</v>
      </c>
      <c r="AJ50" s="80"/>
      <c r="AK50" s="85" t="s">
        <v>1635</v>
      </c>
      <c r="AL50" s="80" t="b">
        <v>0</v>
      </c>
      <c r="AM50" s="80">
        <v>2</v>
      </c>
      <c r="AN50" s="85" t="s">
        <v>1445</v>
      </c>
      <c r="AO50" s="85" t="s">
        <v>1672</v>
      </c>
      <c r="AP50" s="80" t="b">
        <v>0</v>
      </c>
      <c r="AQ50" s="85" t="s">
        <v>1445</v>
      </c>
      <c r="AR50" s="80" t="s">
        <v>179</v>
      </c>
      <c r="AS50" s="80">
        <v>0</v>
      </c>
      <c r="AT50" s="80">
        <v>0</v>
      </c>
      <c r="AU50" s="80"/>
      <c r="AV50" s="80"/>
      <c r="AW50" s="80"/>
      <c r="AX50" s="80"/>
      <c r="AY50" s="80"/>
      <c r="AZ50" s="80"/>
      <c r="BA50" s="80"/>
      <c r="BB50" s="80"/>
    </row>
    <row r="51" spans="1:54" x14ac:dyDescent="0.25">
      <c r="A51" s="65" t="s">
        <v>240</v>
      </c>
      <c r="B51" s="65" t="s">
        <v>377</v>
      </c>
      <c r="C51" s="66"/>
      <c r="D51" s="67"/>
      <c r="E51" s="68"/>
      <c r="F51" s="69"/>
      <c r="G51" s="66"/>
      <c r="H51" s="70"/>
      <c r="I51" s="71"/>
      <c r="J51" s="71"/>
      <c r="K51" s="36" t="s">
        <v>65</v>
      </c>
      <c r="L51" s="78">
        <v>51</v>
      </c>
      <c r="M51" s="78"/>
      <c r="N51" s="73"/>
      <c r="O51" s="80" t="s">
        <v>415</v>
      </c>
      <c r="P51" s="82">
        <v>44628.630486111113</v>
      </c>
      <c r="Q51" s="80" t="s">
        <v>436</v>
      </c>
      <c r="R51" s="83" t="str">
        <f>HYPERLINK("https://www.buffalo.edu/studentlife/life-on-campus/health/wellness-events-calendar.html")</f>
        <v>https://www.buffalo.edu/studentlife/life-on-campus/health/wellness-events-calendar.html</v>
      </c>
      <c r="S51" s="80" t="s">
        <v>632</v>
      </c>
      <c r="T51" s="85" t="s">
        <v>357</v>
      </c>
      <c r="U51" s="83" t="str">
        <f>HYPERLINK("https://pbs.twimg.com/media/FNVgU5IXoAYXKcQ.jpg")</f>
        <v>https://pbs.twimg.com/media/FNVgU5IXoAYXKcQ.jpg</v>
      </c>
      <c r="V51" s="83" t="str">
        <f>HYPERLINK("https://pbs.twimg.com/media/FNVgU5IXoAYXKcQ.jpg")</f>
        <v>https://pbs.twimg.com/media/FNVgU5IXoAYXKcQ.jpg</v>
      </c>
      <c r="W51" s="82">
        <v>44628.630486111113</v>
      </c>
      <c r="X51" s="88">
        <v>44628</v>
      </c>
      <c r="Y51" s="85" t="s">
        <v>753</v>
      </c>
      <c r="Z51" s="83" t="str">
        <f>HYPERLINK("https://twitter.com/lynnbernas1/status/1501213122320814094")</f>
        <v>https://twitter.com/lynnbernas1/status/1501213122320814094</v>
      </c>
      <c r="AA51" s="80"/>
      <c r="AB51" s="80"/>
      <c r="AC51" s="85" t="s">
        <v>1202</v>
      </c>
      <c r="AD51" s="80"/>
      <c r="AE51" s="80" t="b">
        <v>0</v>
      </c>
      <c r="AF51" s="80">
        <v>0</v>
      </c>
      <c r="AG51" s="85" t="s">
        <v>1635</v>
      </c>
      <c r="AH51" s="80" t="b">
        <v>0</v>
      </c>
      <c r="AI51" s="80" t="s">
        <v>1642</v>
      </c>
      <c r="AJ51" s="80"/>
      <c r="AK51" s="85" t="s">
        <v>1635</v>
      </c>
      <c r="AL51" s="80" t="b">
        <v>0</v>
      </c>
      <c r="AM51" s="80">
        <v>1</v>
      </c>
      <c r="AN51" s="85" t="s">
        <v>1593</v>
      </c>
      <c r="AO51" s="85" t="s">
        <v>1678</v>
      </c>
      <c r="AP51" s="80" t="b">
        <v>0</v>
      </c>
      <c r="AQ51" s="85" t="s">
        <v>1593</v>
      </c>
      <c r="AR51" s="80" t="s">
        <v>179</v>
      </c>
      <c r="AS51" s="80">
        <v>0</v>
      </c>
      <c r="AT51" s="80">
        <v>0</v>
      </c>
      <c r="AU51" s="80"/>
      <c r="AV51" s="80"/>
      <c r="AW51" s="80"/>
      <c r="AX51" s="80"/>
      <c r="AY51" s="80"/>
      <c r="AZ51" s="80"/>
      <c r="BA51" s="80"/>
      <c r="BB51" s="80"/>
    </row>
    <row r="52" spans="1:54" x14ac:dyDescent="0.25">
      <c r="A52" s="65" t="s">
        <v>241</v>
      </c>
      <c r="B52" s="65" t="s">
        <v>360</v>
      </c>
      <c r="C52" s="66"/>
      <c r="D52" s="67"/>
      <c r="E52" s="68"/>
      <c r="F52" s="69"/>
      <c r="G52" s="66"/>
      <c r="H52" s="70"/>
      <c r="I52" s="71"/>
      <c r="J52" s="71"/>
      <c r="K52" s="36" t="s">
        <v>65</v>
      </c>
      <c r="L52" s="78">
        <v>52</v>
      </c>
      <c r="M52" s="78"/>
      <c r="N52" s="73"/>
      <c r="O52" s="80" t="s">
        <v>415</v>
      </c>
      <c r="P52" s="82">
        <v>44628.637719907405</v>
      </c>
      <c r="Q52" s="80" t="s">
        <v>437</v>
      </c>
      <c r="R52" s="80"/>
      <c r="S52" s="80"/>
      <c r="T52" s="85" t="s">
        <v>671</v>
      </c>
      <c r="U52" s="83" t="str">
        <f>HYPERLINK("https://pbs.twimg.com/media/FNTfFtyX0AEWqWF.jpg")</f>
        <v>https://pbs.twimg.com/media/FNTfFtyX0AEWqWF.jpg</v>
      </c>
      <c r="V52" s="83" t="str">
        <f>HYPERLINK("https://pbs.twimg.com/media/FNTfFtyX0AEWqWF.jpg")</f>
        <v>https://pbs.twimg.com/media/FNTfFtyX0AEWqWF.jpg</v>
      </c>
      <c r="W52" s="82">
        <v>44628.637719907405</v>
      </c>
      <c r="X52" s="88">
        <v>44628</v>
      </c>
      <c r="Y52" s="85" t="s">
        <v>754</v>
      </c>
      <c r="Z52" s="83" t="str">
        <f>HYPERLINK("https://twitter.com/wnywrestling/status/1501215744327098373")</f>
        <v>https://twitter.com/wnywrestling/status/1501215744327098373</v>
      </c>
      <c r="AA52" s="80"/>
      <c r="AB52" s="80"/>
      <c r="AC52" s="85" t="s">
        <v>1203</v>
      </c>
      <c r="AD52" s="80"/>
      <c r="AE52" s="80" t="b">
        <v>0</v>
      </c>
      <c r="AF52" s="80">
        <v>0</v>
      </c>
      <c r="AG52" s="85" t="s">
        <v>1635</v>
      </c>
      <c r="AH52" s="80" t="b">
        <v>0</v>
      </c>
      <c r="AI52" s="80" t="s">
        <v>1642</v>
      </c>
      <c r="AJ52" s="80"/>
      <c r="AK52" s="85" t="s">
        <v>1635</v>
      </c>
      <c r="AL52" s="80" t="b">
        <v>0</v>
      </c>
      <c r="AM52" s="80">
        <v>4</v>
      </c>
      <c r="AN52" s="85" t="s">
        <v>1470</v>
      </c>
      <c r="AO52" s="85" t="s">
        <v>1673</v>
      </c>
      <c r="AP52" s="80" t="b">
        <v>0</v>
      </c>
      <c r="AQ52" s="85" t="s">
        <v>1470</v>
      </c>
      <c r="AR52" s="80" t="s">
        <v>179</v>
      </c>
      <c r="AS52" s="80">
        <v>0</v>
      </c>
      <c r="AT52" s="80">
        <v>0</v>
      </c>
      <c r="AU52" s="80"/>
      <c r="AV52" s="80"/>
      <c r="AW52" s="80"/>
      <c r="AX52" s="80"/>
      <c r="AY52" s="80"/>
      <c r="AZ52" s="80"/>
      <c r="BA52" s="80"/>
      <c r="BB52" s="80"/>
    </row>
    <row r="53" spans="1:54" x14ac:dyDescent="0.25">
      <c r="A53" s="65" t="s">
        <v>242</v>
      </c>
      <c r="B53" s="65" t="s">
        <v>357</v>
      </c>
      <c r="C53" s="66"/>
      <c r="D53" s="67"/>
      <c r="E53" s="68"/>
      <c r="F53" s="69"/>
      <c r="G53" s="66"/>
      <c r="H53" s="70"/>
      <c r="I53" s="71"/>
      <c r="J53" s="71"/>
      <c r="K53" s="36" t="s">
        <v>65</v>
      </c>
      <c r="L53" s="78">
        <v>53</v>
      </c>
      <c r="M53" s="78"/>
      <c r="N53" s="73"/>
      <c r="O53" s="80" t="s">
        <v>415</v>
      </c>
      <c r="P53" s="82">
        <v>44628.674432870372</v>
      </c>
      <c r="Q53" s="80" t="s">
        <v>433</v>
      </c>
      <c r="R53" s="80"/>
      <c r="S53" s="80"/>
      <c r="T53" s="85" t="s">
        <v>668</v>
      </c>
      <c r="U53" s="83" t="str">
        <f>HYPERLINK("https://pbs.twimg.com/amplify_video_thumb/1501188997695127554/img/suC8e3aV3xiZEsCE.jpg")</f>
        <v>https://pbs.twimg.com/amplify_video_thumb/1501188997695127554/img/suC8e3aV3xiZEsCE.jpg</v>
      </c>
      <c r="V53" s="83" t="str">
        <f>HYPERLINK("https://pbs.twimg.com/amplify_video_thumb/1501188997695127554/img/suC8e3aV3xiZEsCE.jpg")</f>
        <v>https://pbs.twimg.com/amplify_video_thumb/1501188997695127554/img/suC8e3aV3xiZEsCE.jpg</v>
      </c>
      <c r="W53" s="82">
        <v>44628.674432870372</v>
      </c>
      <c r="X53" s="88">
        <v>44628</v>
      </c>
      <c r="Y53" s="85" t="s">
        <v>755</v>
      </c>
      <c r="Z53" s="83" t="str">
        <f>HYPERLINK("https://twitter.com/advisormellymel/status/1501229048155885571")</f>
        <v>https://twitter.com/advisormellymel/status/1501229048155885571</v>
      </c>
      <c r="AA53" s="80"/>
      <c r="AB53" s="80"/>
      <c r="AC53" s="85" t="s">
        <v>1204</v>
      </c>
      <c r="AD53" s="80"/>
      <c r="AE53" s="80" t="b">
        <v>0</v>
      </c>
      <c r="AF53" s="80">
        <v>0</v>
      </c>
      <c r="AG53" s="85" t="s">
        <v>1635</v>
      </c>
      <c r="AH53" s="80" t="b">
        <v>0</v>
      </c>
      <c r="AI53" s="80" t="s">
        <v>1642</v>
      </c>
      <c r="AJ53" s="80"/>
      <c r="AK53" s="85" t="s">
        <v>1635</v>
      </c>
      <c r="AL53" s="80" t="b">
        <v>0</v>
      </c>
      <c r="AM53" s="80">
        <v>10</v>
      </c>
      <c r="AN53" s="85" t="s">
        <v>1616</v>
      </c>
      <c r="AO53" s="85" t="s">
        <v>1671</v>
      </c>
      <c r="AP53" s="80" t="b">
        <v>0</v>
      </c>
      <c r="AQ53" s="85" t="s">
        <v>1616</v>
      </c>
      <c r="AR53" s="80" t="s">
        <v>179</v>
      </c>
      <c r="AS53" s="80">
        <v>0</v>
      </c>
      <c r="AT53" s="80">
        <v>0</v>
      </c>
      <c r="AU53" s="80"/>
      <c r="AV53" s="80"/>
      <c r="AW53" s="80"/>
      <c r="AX53" s="80"/>
      <c r="AY53" s="80"/>
      <c r="AZ53" s="80"/>
      <c r="BA53" s="80"/>
      <c r="BB53" s="80"/>
    </row>
    <row r="54" spans="1:54" x14ac:dyDescent="0.25">
      <c r="A54" s="65" t="s">
        <v>243</v>
      </c>
      <c r="B54" s="65" t="s">
        <v>270</v>
      </c>
      <c r="C54" s="66"/>
      <c r="D54" s="67"/>
      <c r="E54" s="68"/>
      <c r="F54" s="69"/>
      <c r="G54" s="66"/>
      <c r="H54" s="70"/>
      <c r="I54" s="71"/>
      <c r="J54" s="71"/>
      <c r="K54" s="36" t="s">
        <v>65</v>
      </c>
      <c r="L54" s="78">
        <v>54</v>
      </c>
      <c r="M54" s="78"/>
      <c r="N54" s="73"/>
      <c r="O54" s="80" t="s">
        <v>415</v>
      </c>
      <c r="P54" s="82">
        <v>44628.675011574072</v>
      </c>
      <c r="Q54" s="80" t="s">
        <v>438</v>
      </c>
      <c r="R54" s="80" t="s">
        <v>626</v>
      </c>
      <c r="S54" s="80" t="s">
        <v>639</v>
      </c>
      <c r="T54" s="85" t="s">
        <v>672</v>
      </c>
      <c r="U54" s="83" t="str">
        <f>HYPERLINK("https://pbs.twimg.com/media/FNVr3NoWYAEbxsv.png")</f>
        <v>https://pbs.twimg.com/media/FNVr3NoWYAEbxsv.png</v>
      </c>
      <c r="V54" s="83" t="str">
        <f>HYPERLINK("https://pbs.twimg.com/media/FNVr3NoWYAEbxsv.png")</f>
        <v>https://pbs.twimg.com/media/FNVr3NoWYAEbxsv.png</v>
      </c>
      <c r="W54" s="82">
        <v>44628.675011574072</v>
      </c>
      <c r="X54" s="88">
        <v>44628</v>
      </c>
      <c r="Y54" s="85" t="s">
        <v>756</v>
      </c>
      <c r="Z54" s="83" t="str">
        <f>HYPERLINK("https://twitter.com/tiapalermo/status/1501229258244444163")</f>
        <v>https://twitter.com/tiapalermo/status/1501229258244444163</v>
      </c>
      <c r="AA54" s="80"/>
      <c r="AB54" s="80"/>
      <c r="AC54" s="85" t="s">
        <v>1205</v>
      </c>
      <c r="AD54" s="80"/>
      <c r="AE54" s="80" t="b">
        <v>0</v>
      </c>
      <c r="AF54" s="80">
        <v>0</v>
      </c>
      <c r="AG54" s="85" t="s">
        <v>1635</v>
      </c>
      <c r="AH54" s="80" t="b">
        <v>0</v>
      </c>
      <c r="AI54" s="80" t="s">
        <v>1642</v>
      </c>
      <c r="AJ54" s="80"/>
      <c r="AK54" s="85" t="s">
        <v>1635</v>
      </c>
      <c r="AL54" s="80" t="b">
        <v>0</v>
      </c>
      <c r="AM54" s="80">
        <v>2</v>
      </c>
      <c r="AN54" s="85" t="s">
        <v>1240</v>
      </c>
      <c r="AO54" s="85" t="s">
        <v>1672</v>
      </c>
      <c r="AP54" s="80" t="b">
        <v>0</v>
      </c>
      <c r="AQ54" s="85" t="s">
        <v>1240</v>
      </c>
      <c r="AR54" s="80" t="s">
        <v>179</v>
      </c>
      <c r="AS54" s="80">
        <v>0</v>
      </c>
      <c r="AT54" s="80">
        <v>0</v>
      </c>
      <c r="AU54" s="80"/>
      <c r="AV54" s="80"/>
      <c r="AW54" s="80"/>
      <c r="AX54" s="80"/>
      <c r="AY54" s="80"/>
      <c r="AZ54" s="80"/>
      <c r="BA54" s="80"/>
      <c r="BB54" s="80"/>
    </row>
    <row r="55" spans="1:54" x14ac:dyDescent="0.25">
      <c r="A55" s="65" t="s">
        <v>244</v>
      </c>
      <c r="B55" s="65" t="s">
        <v>354</v>
      </c>
      <c r="C55" s="66"/>
      <c r="D55" s="67"/>
      <c r="E55" s="68"/>
      <c r="F55" s="69"/>
      <c r="G55" s="66"/>
      <c r="H55" s="70"/>
      <c r="I55" s="71"/>
      <c r="J55" s="71"/>
      <c r="K55" s="36" t="s">
        <v>65</v>
      </c>
      <c r="L55" s="78">
        <v>55</v>
      </c>
      <c r="M55" s="78"/>
      <c r="N55" s="73"/>
      <c r="O55" s="80" t="s">
        <v>414</v>
      </c>
      <c r="P55" s="82">
        <v>44627.657488425924</v>
      </c>
      <c r="Q55" s="80" t="s">
        <v>439</v>
      </c>
      <c r="R55" s="83" t="str">
        <f>HYPERLINK("https://buffalohealthcast.buzzsprout.com/1645006/9566172")</f>
        <v>https://buffalohealthcast.buzzsprout.com/1645006/9566172</v>
      </c>
      <c r="S55" s="80" t="s">
        <v>640</v>
      </c>
      <c r="T55" s="85" t="s">
        <v>673</v>
      </c>
      <c r="U55" s="83" t="str">
        <f>HYPERLINK("https://pbs.twimg.com/media/FNBQlByWUAQXotQ.jpg")</f>
        <v>https://pbs.twimg.com/media/FNBQlByWUAQXotQ.jpg</v>
      </c>
      <c r="V55" s="83" t="str">
        <f>HYPERLINK("https://pbs.twimg.com/media/FNBQlByWUAQXotQ.jpg")</f>
        <v>https://pbs.twimg.com/media/FNBQlByWUAQXotQ.jpg</v>
      </c>
      <c r="W55" s="82">
        <v>44627.657488425924</v>
      </c>
      <c r="X55" s="88">
        <v>44627</v>
      </c>
      <c r="Y55" s="85" t="s">
        <v>757</v>
      </c>
      <c r="Z55" s="83" t="str">
        <f>HYPERLINK("https://twitter.com/ubsphhp/status/1500860519170859008")</f>
        <v>https://twitter.com/ubsphhp/status/1500860519170859008</v>
      </c>
      <c r="AA55" s="80"/>
      <c r="AB55" s="80"/>
      <c r="AC55" s="85" t="s">
        <v>1206</v>
      </c>
      <c r="AD55" s="80"/>
      <c r="AE55" s="80" t="b">
        <v>0</v>
      </c>
      <c r="AF55" s="80">
        <v>0</v>
      </c>
      <c r="AG55" s="85" t="s">
        <v>1635</v>
      </c>
      <c r="AH55" s="80" t="b">
        <v>0</v>
      </c>
      <c r="AI55" s="80" t="s">
        <v>1642</v>
      </c>
      <c r="AJ55" s="80"/>
      <c r="AK55" s="85" t="s">
        <v>1635</v>
      </c>
      <c r="AL55" s="80" t="b">
        <v>0</v>
      </c>
      <c r="AM55" s="80">
        <v>2</v>
      </c>
      <c r="AN55" s="85" t="s">
        <v>1239</v>
      </c>
      <c r="AO55" s="85" t="s">
        <v>1672</v>
      </c>
      <c r="AP55" s="80" t="b">
        <v>0</v>
      </c>
      <c r="AQ55" s="85" t="s">
        <v>1239</v>
      </c>
      <c r="AR55" s="80" t="s">
        <v>179</v>
      </c>
      <c r="AS55" s="80">
        <v>0</v>
      </c>
      <c r="AT55" s="80">
        <v>0</v>
      </c>
      <c r="AU55" s="80"/>
      <c r="AV55" s="80"/>
      <c r="AW55" s="80"/>
      <c r="AX55" s="80"/>
      <c r="AY55" s="80"/>
      <c r="AZ55" s="80"/>
      <c r="BA55" s="80"/>
      <c r="BB55" s="80"/>
    </row>
    <row r="56" spans="1:54" x14ac:dyDescent="0.25">
      <c r="A56" s="65" t="s">
        <v>244</v>
      </c>
      <c r="B56" s="65" t="s">
        <v>387</v>
      </c>
      <c r="C56" s="66"/>
      <c r="D56" s="67"/>
      <c r="E56" s="68"/>
      <c r="F56" s="69"/>
      <c r="G56" s="66"/>
      <c r="H56" s="70"/>
      <c r="I56" s="71"/>
      <c r="J56" s="71"/>
      <c r="K56" s="36" t="s">
        <v>65</v>
      </c>
      <c r="L56" s="78">
        <v>56</v>
      </c>
      <c r="M56" s="78"/>
      <c r="N56" s="73"/>
      <c r="O56" s="80" t="s">
        <v>414</v>
      </c>
      <c r="P56" s="82">
        <v>44627.657488425924</v>
      </c>
      <c r="Q56" s="80" t="s">
        <v>439</v>
      </c>
      <c r="R56" s="83" t="str">
        <f>HYPERLINK("https://buffalohealthcast.buzzsprout.com/1645006/9566172")</f>
        <v>https://buffalohealthcast.buzzsprout.com/1645006/9566172</v>
      </c>
      <c r="S56" s="80" t="s">
        <v>640</v>
      </c>
      <c r="T56" s="85" t="s">
        <v>673</v>
      </c>
      <c r="U56" s="83" t="str">
        <f>HYPERLINK("https://pbs.twimg.com/media/FNBQlByWUAQXotQ.jpg")</f>
        <v>https://pbs.twimg.com/media/FNBQlByWUAQXotQ.jpg</v>
      </c>
      <c r="V56" s="83" t="str">
        <f>HYPERLINK("https://pbs.twimg.com/media/FNBQlByWUAQXotQ.jpg")</f>
        <v>https://pbs.twimg.com/media/FNBQlByWUAQXotQ.jpg</v>
      </c>
      <c r="W56" s="82">
        <v>44627.657488425924</v>
      </c>
      <c r="X56" s="88">
        <v>44627</v>
      </c>
      <c r="Y56" s="85" t="s">
        <v>757</v>
      </c>
      <c r="Z56" s="83" t="str">
        <f>HYPERLINK("https://twitter.com/ubsphhp/status/1500860519170859008")</f>
        <v>https://twitter.com/ubsphhp/status/1500860519170859008</v>
      </c>
      <c r="AA56" s="80"/>
      <c r="AB56" s="80"/>
      <c r="AC56" s="85" t="s">
        <v>1206</v>
      </c>
      <c r="AD56" s="80"/>
      <c r="AE56" s="80" t="b">
        <v>0</v>
      </c>
      <c r="AF56" s="80">
        <v>0</v>
      </c>
      <c r="AG56" s="85" t="s">
        <v>1635</v>
      </c>
      <c r="AH56" s="80" t="b">
        <v>0</v>
      </c>
      <c r="AI56" s="80" t="s">
        <v>1642</v>
      </c>
      <c r="AJ56" s="80"/>
      <c r="AK56" s="85" t="s">
        <v>1635</v>
      </c>
      <c r="AL56" s="80" t="b">
        <v>0</v>
      </c>
      <c r="AM56" s="80">
        <v>2</v>
      </c>
      <c r="AN56" s="85" t="s">
        <v>1239</v>
      </c>
      <c r="AO56" s="85" t="s">
        <v>1672</v>
      </c>
      <c r="AP56" s="80" t="b">
        <v>0</v>
      </c>
      <c r="AQ56" s="85" t="s">
        <v>1239</v>
      </c>
      <c r="AR56" s="80" t="s">
        <v>179</v>
      </c>
      <c r="AS56" s="80">
        <v>0</v>
      </c>
      <c r="AT56" s="80">
        <v>0</v>
      </c>
      <c r="AU56" s="80"/>
      <c r="AV56" s="80"/>
      <c r="AW56" s="80"/>
      <c r="AX56" s="80"/>
      <c r="AY56" s="80"/>
      <c r="AZ56" s="80"/>
      <c r="BA56" s="80"/>
      <c r="BB56" s="80"/>
    </row>
    <row r="57" spans="1:54" x14ac:dyDescent="0.25">
      <c r="A57" s="65" t="s">
        <v>244</v>
      </c>
      <c r="B57" s="65" t="s">
        <v>270</v>
      </c>
      <c r="C57" s="66"/>
      <c r="D57" s="67"/>
      <c r="E57" s="68"/>
      <c r="F57" s="69"/>
      <c r="G57" s="66"/>
      <c r="H57" s="70"/>
      <c r="I57" s="71"/>
      <c r="J57" s="71"/>
      <c r="K57" s="36" t="s">
        <v>65</v>
      </c>
      <c r="L57" s="78">
        <v>57</v>
      </c>
      <c r="M57" s="78"/>
      <c r="N57" s="73"/>
      <c r="O57" s="80" t="s">
        <v>415</v>
      </c>
      <c r="P57" s="82">
        <v>44627.657488425924</v>
      </c>
      <c r="Q57" s="80" t="s">
        <v>439</v>
      </c>
      <c r="R57" s="83" t="str">
        <f>HYPERLINK("https://buffalohealthcast.buzzsprout.com/1645006/9566172")</f>
        <v>https://buffalohealthcast.buzzsprout.com/1645006/9566172</v>
      </c>
      <c r="S57" s="80" t="s">
        <v>640</v>
      </c>
      <c r="T57" s="85" t="s">
        <v>673</v>
      </c>
      <c r="U57" s="83" t="str">
        <f>HYPERLINK("https://pbs.twimg.com/media/FNBQlByWUAQXotQ.jpg")</f>
        <v>https://pbs.twimg.com/media/FNBQlByWUAQXotQ.jpg</v>
      </c>
      <c r="V57" s="83" t="str">
        <f>HYPERLINK("https://pbs.twimg.com/media/FNBQlByWUAQXotQ.jpg")</f>
        <v>https://pbs.twimg.com/media/FNBQlByWUAQXotQ.jpg</v>
      </c>
      <c r="W57" s="82">
        <v>44627.657488425924</v>
      </c>
      <c r="X57" s="88">
        <v>44627</v>
      </c>
      <c r="Y57" s="85" t="s">
        <v>757</v>
      </c>
      <c r="Z57" s="83" t="str">
        <f>HYPERLINK("https://twitter.com/ubsphhp/status/1500860519170859008")</f>
        <v>https://twitter.com/ubsphhp/status/1500860519170859008</v>
      </c>
      <c r="AA57" s="80"/>
      <c r="AB57" s="80"/>
      <c r="AC57" s="85" t="s">
        <v>1206</v>
      </c>
      <c r="AD57" s="80"/>
      <c r="AE57" s="80" t="b">
        <v>0</v>
      </c>
      <c r="AF57" s="80">
        <v>0</v>
      </c>
      <c r="AG57" s="85" t="s">
        <v>1635</v>
      </c>
      <c r="AH57" s="80" t="b">
        <v>0</v>
      </c>
      <c r="AI57" s="80" t="s">
        <v>1642</v>
      </c>
      <c r="AJ57" s="80"/>
      <c r="AK57" s="85" t="s">
        <v>1635</v>
      </c>
      <c r="AL57" s="80" t="b">
        <v>0</v>
      </c>
      <c r="AM57" s="80">
        <v>2</v>
      </c>
      <c r="AN57" s="85" t="s">
        <v>1239</v>
      </c>
      <c r="AO57" s="85" t="s">
        <v>1672</v>
      </c>
      <c r="AP57" s="80" t="b">
        <v>0</v>
      </c>
      <c r="AQ57" s="85" t="s">
        <v>1239</v>
      </c>
      <c r="AR57" s="80" t="s">
        <v>179</v>
      </c>
      <c r="AS57" s="80">
        <v>0</v>
      </c>
      <c r="AT57" s="80">
        <v>0</v>
      </c>
      <c r="AU57" s="80"/>
      <c r="AV57" s="80"/>
      <c r="AW57" s="80"/>
      <c r="AX57" s="80"/>
      <c r="AY57" s="80"/>
      <c r="AZ57" s="80"/>
      <c r="BA57" s="80"/>
      <c r="BB57" s="80"/>
    </row>
    <row r="58" spans="1:54" x14ac:dyDescent="0.25">
      <c r="A58" s="65" t="s">
        <v>244</v>
      </c>
      <c r="B58" s="65" t="s">
        <v>270</v>
      </c>
      <c r="C58" s="66"/>
      <c r="D58" s="67"/>
      <c r="E58" s="68"/>
      <c r="F58" s="69"/>
      <c r="G58" s="66"/>
      <c r="H58" s="70"/>
      <c r="I58" s="71"/>
      <c r="J58" s="71"/>
      <c r="K58" s="36" t="s">
        <v>65</v>
      </c>
      <c r="L58" s="78">
        <v>58</v>
      </c>
      <c r="M58" s="78"/>
      <c r="N58" s="73"/>
      <c r="O58" s="80" t="s">
        <v>415</v>
      </c>
      <c r="P58" s="82">
        <v>44628.682013888887</v>
      </c>
      <c r="Q58" s="80" t="s">
        <v>438</v>
      </c>
      <c r="R58" s="80" t="s">
        <v>626</v>
      </c>
      <c r="S58" s="80" t="s">
        <v>639</v>
      </c>
      <c r="T58" s="85" t="s">
        <v>672</v>
      </c>
      <c r="U58" s="83" t="str">
        <f>HYPERLINK("https://pbs.twimg.com/media/FNVr3NoWYAEbxsv.png")</f>
        <v>https://pbs.twimg.com/media/FNVr3NoWYAEbxsv.png</v>
      </c>
      <c r="V58" s="83" t="str">
        <f>HYPERLINK("https://pbs.twimg.com/media/FNVr3NoWYAEbxsv.png")</f>
        <v>https://pbs.twimg.com/media/FNVr3NoWYAEbxsv.png</v>
      </c>
      <c r="W58" s="82">
        <v>44628.682013888887</v>
      </c>
      <c r="X58" s="88">
        <v>44628</v>
      </c>
      <c r="Y58" s="85" t="s">
        <v>758</v>
      </c>
      <c r="Z58" s="83" t="str">
        <f>HYPERLINK("https://twitter.com/ubsphhp/status/1501231797601927173")</f>
        <v>https://twitter.com/ubsphhp/status/1501231797601927173</v>
      </c>
      <c r="AA58" s="80"/>
      <c r="AB58" s="80"/>
      <c r="AC58" s="85" t="s">
        <v>1207</v>
      </c>
      <c r="AD58" s="80"/>
      <c r="AE58" s="80" t="b">
        <v>0</v>
      </c>
      <c r="AF58" s="80">
        <v>0</v>
      </c>
      <c r="AG58" s="85" t="s">
        <v>1635</v>
      </c>
      <c r="AH58" s="80" t="b">
        <v>0</v>
      </c>
      <c r="AI58" s="80" t="s">
        <v>1642</v>
      </c>
      <c r="AJ58" s="80"/>
      <c r="AK58" s="85" t="s">
        <v>1635</v>
      </c>
      <c r="AL58" s="80" t="b">
        <v>0</v>
      </c>
      <c r="AM58" s="80">
        <v>2</v>
      </c>
      <c r="AN58" s="85" t="s">
        <v>1240</v>
      </c>
      <c r="AO58" s="85" t="s">
        <v>1672</v>
      </c>
      <c r="AP58" s="80" t="b">
        <v>0</v>
      </c>
      <c r="AQ58" s="85" t="s">
        <v>1240</v>
      </c>
      <c r="AR58" s="80" t="s">
        <v>179</v>
      </c>
      <c r="AS58" s="80">
        <v>0</v>
      </c>
      <c r="AT58" s="80">
        <v>0</v>
      </c>
      <c r="AU58" s="80"/>
      <c r="AV58" s="80"/>
      <c r="AW58" s="80"/>
      <c r="AX58" s="80"/>
      <c r="AY58" s="80"/>
      <c r="AZ58" s="80"/>
      <c r="BA58" s="80"/>
      <c r="BB58" s="80"/>
    </row>
    <row r="59" spans="1:54" x14ac:dyDescent="0.25">
      <c r="A59" s="65" t="s">
        <v>245</v>
      </c>
      <c r="B59" s="65" t="s">
        <v>357</v>
      </c>
      <c r="C59" s="66"/>
      <c r="D59" s="67"/>
      <c r="E59" s="68"/>
      <c r="F59" s="69"/>
      <c r="G59" s="66"/>
      <c r="H59" s="70"/>
      <c r="I59" s="71"/>
      <c r="J59" s="71"/>
      <c r="K59" s="36" t="s">
        <v>65</v>
      </c>
      <c r="L59" s="78">
        <v>59</v>
      </c>
      <c r="M59" s="78"/>
      <c r="N59" s="73"/>
      <c r="O59" s="80" t="s">
        <v>415</v>
      </c>
      <c r="P59" s="82">
        <v>44628.725266203706</v>
      </c>
      <c r="Q59" s="80" t="s">
        <v>433</v>
      </c>
      <c r="R59" s="80"/>
      <c r="S59" s="80"/>
      <c r="T59" s="85" t="s">
        <v>668</v>
      </c>
      <c r="U59" s="83" t="str">
        <f>HYPERLINK("https://pbs.twimg.com/amplify_video_thumb/1501188997695127554/img/suC8e3aV3xiZEsCE.jpg")</f>
        <v>https://pbs.twimg.com/amplify_video_thumb/1501188997695127554/img/suC8e3aV3xiZEsCE.jpg</v>
      </c>
      <c r="V59" s="83" t="str">
        <f>HYPERLINK("https://pbs.twimg.com/amplify_video_thumb/1501188997695127554/img/suC8e3aV3xiZEsCE.jpg")</f>
        <v>https://pbs.twimg.com/amplify_video_thumb/1501188997695127554/img/suC8e3aV3xiZEsCE.jpg</v>
      </c>
      <c r="W59" s="82">
        <v>44628.725266203706</v>
      </c>
      <c r="X59" s="88">
        <v>44628</v>
      </c>
      <c r="Y59" s="85" t="s">
        <v>759</v>
      </c>
      <c r="Z59" s="83" t="str">
        <f>HYPERLINK("https://twitter.com/chamm1015/status/1501247469199532042")</f>
        <v>https://twitter.com/chamm1015/status/1501247469199532042</v>
      </c>
      <c r="AA59" s="80"/>
      <c r="AB59" s="80"/>
      <c r="AC59" s="85" t="s">
        <v>1208</v>
      </c>
      <c r="AD59" s="80"/>
      <c r="AE59" s="80" t="b">
        <v>0</v>
      </c>
      <c r="AF59" s="80">
        <v>0</v>
      </c>
      <c r="AG59" s="85" t="s">
        <v>1635</v>
      </c>
      <c r="AH59" s="80" t="b">
        <v>0</v>
      </c>
      <c r="AI59" s="80" t="s">
        <v>1642</v>
      </c>
      <c r="AJ59" s="80"/>
      <c r="AK59" s="85" t="s">
        <v>1635</v>
      </c>
      <c r="AL59" s="80" t="b">
        <v>0</v>
      </c>
      <c r="AM59" s="80">
        <v>10</v>
      </c>
      <c r="AN59" s="85" t="s">
        <v>1616</v>
      </c>
      <c r="AO59" s="85" t="s">
        <v>1671</v>
      </c>
      <c r="AP59" s="80" t="b">
        <v>0</v>
      </c>
      <c r="AQ59" s="85" t="s">
        <v>1616</v>
      </c>
      <c r="AR59" s="80" t="s">
        <v>179</v>
      </c>
      <c r="AS59" s="80">
        <v>0</v>
      </c>
      <c r="AT59" s="80">
        <v>0</v>
      </c>
      <c r="AU59" s="80"/>
      <c r="AV59" s="80"/>
      <c r="AW59" s="80"/>
      <c r="AX59" s="80"/>
      <c r="AY59" s="80"/>
      <c r="AZ59" s="80"/>
      <c r="BA59" s="80"/>
      <c r="BB59" s="80"/>
    </row>
    <row r="60" spans="1:54" x14ac:dyDescent="0.25">
      <c r="A60" s="65" t="s">
        <v>246</v>
      </c>
      <c r="B60" s="65" t="s">
        <v>369</v>
      </c>
      <c r="C60" s="66"/>
      <c r="D60" s="67"/>
      <c r="E60" s="68"/>
      <c r="F60" s="69"/>
      <c r="G60" s="66"/>
      <c r="H60" s="70"/>
      <c r="I60" s="71"/>
      <c r="J60" s="71"/>
      <c r="K60" s="36" t="s">
        <v>65</v>
      </c>
      <c r="L60" s="78">
        <v>60</v>
      </c>
      <c r="M60" s="78"/>
      <c r="N60" s="73"/>
      <c r="O60" s="80" t="s">
        <v>416</v>
      </c>
      <c r="P60" s="82">
        <v>44622.630185185182</v>
      </c>
      <c r="Q60" s="80" t="s">
        <v>440</v>
      </c>
      <c r="R60" s="83" t="str">
        <f>HYPERLINK("https://twitter.com/gloriaanglon/status/1498906622613065728")</f>
        <v>https://twitter.com/gloriaanglon/status/1498906622613065728</v>
      </c>
      <c r="S60" s="80" t="s">
        <v>633</v>
      </c>
      <c r="T60" s="85" t="s">
        <v>674</v>
      </c>
      <c r="U60" s="80"/>
      <c r="V60" s="83" t="str">
        <f>HYPERLINK("https://pbs.twimg.com/profile_images/1421189371085086725/2SBxZQHQ_normal.jpg")</f>
        <v>https://pbs.twimg.com/profile_images/1421189371085086725/2SBxZQHQ_normal.jpg</v>
      </c>
      <c r="W60" s="82">
        <v>44622.630185185182</v>
      </c>
      <c r="X60" s="88">
        <v>44622</v>
      </c>
      <c r="Y60" s="85" t="s">
        <v>760</v>
      </c>
      <c r="Z60" s="83" t="str">
        <f>HYPERLINK("https://twitter.com/elizcolucci/status/1499038688004694023")</f>
        <v>https://twitter.com/elizcolucci/status/1499038688004694023</v>
      </c>
      <c r="AA60" s="80"/>
      <c r="AB60" s="80"/>
      <c r="AC60" s="85" t="s">
        <v>1209</v>
      </c>
      <c r="AD60" s="80"/>
      <c r="AE60" s="80" t="b">
        <v>0</v>
      </c>
      <c r="AF60" s="80">
        <v>3</v>
      </c>
      <c r="AG60" s="85" t="s">
        <v>1635</v>
      </c>
      <c r="AH60" s="80" t="b">
        <v>1</v>
      </c>
      <c r="AI60" s="80" t="s">
        <v>1642</v>
      </c>
      <c r="AJ60" s="80"/>
      <c r="AK60" s="85" t="s">
        <v>1644</v>
      </c>
      <c r="AL60" s="80" t="b">
        <v>0</v>
      </c>
      <c r="AM60" s="80">
        <v>3</v>
      </c>
      <c r="AN60" s="85" t="s">
        <v>1635</v>
      </c>
      <c r="AO60" s="85" t="s">
        <v>1672</v>
      </c>
      <c r="AP60" s="80" t="b">
        <v>0</v>
      </c>
      <c r="AQ60" s="85" t="s">
        <v>1209</v>
      </c>
      <c r="AR60" s="80" t="s">
        <v>415</v>
      </c>
      <c r="AS60" s="80">
        <v>0</v>
      </c>
      <c r="AT60" s="80">
        <v>0</v>
      </c>
      <c r="AU60" s="80"/>
      <c r="AV60" s="80"/>
      <c r="AW60" s="80"/>
      <c r="AX60" s="80"/>
      <c r="AY60" s="80"/>
      <c r="AZ60" s="80"/>
      <c r="BA60" s="80"/>
      <c r="BB60" s="80"/>
    </row>
    <row r="61" spans="1:54" x14ac:dyDescent="0.25">
      <c r="A61" s="65" t="s">
        <v>246</v>
      </c>
      <c r="B61" s="65" t="s">
        <v>366</v>
      </c>
      <c r="C61" s="66"/>
      <c r="D61" s="67"/>
      <c r="E61" s="68"/>
      <c r="F61" s="69"/>
      <c r="G61" s="66"/>
      <c r="H61" s="70"/>
      <c r="I61" s="71"/>
      <c r="J61" s="71"/>
      <c r="K61" s="36" t="s">
        <v>65</v>
      </c>
      <c r="L61" s="78">
        <v>61</v>
      </c>
      <c r="M61" s="78"/>
      <c r="N61" s="73"/>
      <c r="O61" s="80" t="s">
        <v>416</v>
      </c>
      <c r="P61" s="82">
        <v>44622.630185185182</v>
      </c>
      <c r="Q61" s="80" t="s">
        <v>440</v>
      </c>
      <c r="R61" s="83" t="str">
        <f>HYPERLINK("https://twitter.com/gloriaanglon/status/1498906622613065728")</f>
        <v>https://twitter.com/gloriaanglon/status/1498906622613065728</v>
      </c>
      <c r="S61" s="80" t="s">
        <v>633</v>
      </c>
      <c r="T61" s="85" t="s">
        <v>674</v>
      </c>
      <c r="U61" s="80"/>
      <c r="V61" s="83" t="str">
        <f>HYPERLINK("https://pbs.twimg.com/profile_images/1421189371085086725/2SBxZQHQ_normal.jpg")</f>
        <v>https://pbs.twimg.com/profile_images/1421189371085086725/2SBxZQHQ_normal.jpg</v>
      </c>
      <c r="W61" s="82">
        <v>44622.630185185182</v>
      </c>
      <c r="X61" s="88">
        <v>44622</v>
      </c>
      <c r="Y61" s="85" t="s">
        <v>760</v>
      </c>
      <c r="Z61" s="83" t="str">
        <f>HYPERLINK("https://twitter.com/elizcolucci/status/1499038688004694023")</f>
        <v>https://twitter.com/elizcolucci/status/1499038688004694023</v>
      </c>
      <c r="AA61" s="80"/>
      <c r="AB61" s="80"/>
      <c r="AC61" s="85" t="s">
        <v>1209</v>
      </c>
      <c r="AD61" s="80"/>
      <c r="AE61" s="80" t="b">
        <v>0</v>
      </c>
      <c r="AF61" s="80">
        <v>3</v>
      </c>
      <c r="AG61" s="85" t="s">
        <v>1635</v>
      </c>
      <c r="AH61" s="80" t="b">
        <v>1</v>
      </c>
      <c r="AI61" s="80" t="s">
        <v>1642</v>
      </c>
      <c r="AJ61" s="80"/>
      <c r="AK61" s="85" t="s">
        <v>1644</v>
      </c>
      <c r="AL61" s="80" t="b">
        <v>0</v>
      </c>
      <c r="AM61" s="80">
        <v>3</v>
      </c>
      <c r="AN61" s="85" t="s">
        <v>1635</v>
      </c>
      <c r="AO61" s="85" t="s">
        <v>1672</v>
      </c>
      <c r="AP61" s="80" t="b">
        <v>0</v>
      </c>
      <c r="AQ61" s="85" t="s">
        <v>1209</v>
      </c>
      <c r="AR61" s="80" t="s">
        <v>415</v>
      </c>
      <c r="AS61" s="80">
        <v>0</v>
      </c>
      <c r="AT61" s="80">
        <v>0</v>
      </c>
      <c r="AU61" s="80"/>
      <c r="AV61" s="80"/>
      <c r="AW61" s="80"/>
      <c r="AX61" s="80"/>
      <c r="AY61" s="80"/>
      <c r="AZ61" s="80"/>
      <c r="BA61" s="80"/>
      <c r="BB61" s="80"/>
    </row>
    <row r="62" spans="1:54" x14ac:dyDescent="0.25">
      <c r="A62" s="65" t="s">
        <v>246</v>
      </c>
      <c r="B62" s="65" t="s">
        <v>357</v>
      </c>
      <c r="C62" s="66"/>
      <c r="D62" s="67"/>
      <c r="E62" s="68"/>
      <c r="F62" s="69"/>
      <c r="G62" s="66"/>
      <c r="H62" s="70"/>
      <c r="I62" s="71"/>
      <c r="J62" s="71"/>
      <c r="K62" s="36" t="s">
        <v>65</v>
      </c>
      <c r="L62" s="78">
        <v>62</v>
      </c>
      <c r="M62" s="78"/>
      <c r="N62" s="73"/>
      <c r="O62" s="80" t="s">
        <v>415</v>
      </c>
      <c r="P62" s="82">
        <v>44627.695069444446</v>
      </c>
      <c r="Q62" s="80" t="s">
        <v>441</v>
      </c>
      <c r="R62" s="83" t="str">
        <f>HYPERLINK("https://financialaid.buffalo.edu/did-you-know/?utm_source=TWITTER&amp;utm_medium=social&amp;utm_term=20220307&amp;utm_content=100002956838777&amp;utm_campaign=General+Content&amp;linkId=100000113938382")</f>
        <v>https://financialaid.buffalo.edu/did-you-know/?utm_source=TWITTER&amp;utm_medium=social&amp;utm_term=20220307&amp;utm_content=100002956838777&amp;utm_campaign=General+Content&amp;linkId=100000113938382</v>
      </c>
      <c r="S62" s="80" t="s">
        <v>632</v>
      </c>
      <c r="T62" s="85" t="s">
        <v>357</v>
      </c>
      <c r="U62" s="83" t="str">
        <f>HYPERLINK("https://pbs.twimg.com/media/FNQs34JWYAEwXVa.jpg")</f>
        <v>https://pbs.twimg.com/media/FNQs34JWYAEwXVa.jpg</v>
      </c>
      <c r="V62" s="83" t="str">
        <f>HYPERLINK("https://pbs.twimg.com/media/FNQs34JWYAEwXVa.jpg")</f>
        <v>https://pbs.twimg.com/media/FNQs34JWYAEwXVa.jpg</v>
      </c>
      <c r="W62" s="82">
        <v>44627.695069444446</v>
      </c>
      <c r="X62" s="88">
        <v>44627</v>
      </c>
      <c r="Y62" s="85" t="s">
        <v>761</v>
      </c>
      <c r="Z62" s="83" t="str">
        <f>HYPERLINK("https://twitter.com/elizcolucci/status/1500874141477621763")</f>
        <v>https://twitter.com/elizcolucci/status/1500874141477621763</v>
      </c>
      <c r="AA62" s="80"/>
      <c r="AB62" s="80"/>
      <c r="AC62" s="85" t="s">
        <v>1210</v>
      </c>
      <c r="AD62" s="80"/>
      <c r="AE62" s="80" t="b">
        <v>0</v>
      </c>
      <c r="AF62" s="80">
        <v>0</v>
      </c>
      <c r="AG62" s="85" t="s">
        <v>1635</v>
      </c>
      <c r="AH62" s="80" t="b">
        <v>0</v>
      </c>
      <c r="AI62" s="80" t="s">
        <v>1642</v>
      </c>
      <c r="AJ62" s="80"/>
      <c r="AK62" s="85" t="s">
        <v>1635</v>
      </c>
      <c r="AL62" s="80" t="b">
        <v>0</v>
      </c>
      <c r="AM62" s="80">
        <v>6</v>
      </c>
      <c r="AN62" s="85" t="s">
        <v>1615</v>
      </c>
      <c r="AO62" s="85" t="s">
        <v>1672</v>
      </c>
      <c r="AP62" s="80" t="b">
        <v>0</v>
      </c>
      <c r="AQ62" s="85" t="s">
        <v>1615</v>
      </c>
      <c r="AR62" s="80" t="s">
        <v>179</v>
      </c>
      <c r="AS62" s="80">
        <v>0</v>
      </c>
      <c r="AT62" s="80">
        <v>0</v>
      </c>
      <c r="AU62" s="80"/>
      <c r="AV62" s="80"/>
      <c r="AW62" s="80"/>
      <c r="AX62" s="80"/>
      <c r="AY62" s="80"/>
      <c r="AZ62" s="80"/>
      <c r="BA62" s="80"/>
      <c r="BB62" s="80"/>
    </row>
    <row r="63" spans="1:54" x14ac:dyDescent="0.25">
      <c r="A63" s="65" t="s">
        <v>247</v>
      </c>
      <c r="B63" s="65" t="s">
        <v>246</v>
      </c>
      <c r="C63" s="66"/>
      <c r="D63" s="67"/>
      <c r="E63" s="68"/>
      <c r="F63" s="69"/>
      <c r="G63" s="66"/>
      <c r="H63" s="70"/>
      <c r="I63" s="71"/>
      <c r="J63" s="71"/>
      <c r="K63" s="36" t="s">
        <v>65</v>
      </c>
      <c r="L63" s="78">
        <v>63</v>
      </c>
      <c r="M63" s="78"/>
      <c r="N63" s="73"/>
      <c r="O63" s="80" t="s">
        <v>415</v>
      </c>
      <c r="P63" s="82">
        <v>44627.848344907405</v>
      </c>
      <c r="Q63" s="80" t="s">
        <v>440</v>
      </c>
      <c r="R63" s="83" t="str">
        <f>HYPERLINK("https://twitter.com/gloriaanglon/status/1498906622613065728")</f>
        <v>https://twitter.com/gloriaanglon/status/1498906622613065728</v>
      </c>
      <c r="S63" s="80" t="s">
        <v>633</v>
      </c>
      <c r="T63" s="85" t="s">
        <v>674</v>
      </c>
      <c r="U63" s="80"/>
      <c r="V63" s="83" t="str">
        <f>HYPERLINK("https://pbs.twimg.com/profile_images/1423376912362115072/Z1n3x0HI_normal.jpg")</f>
        <v>https://pbs.twimg.com/profile_images/1423376912362115072/Z1n3x0HI_normal.jpg</v>
      </c>
      <c r="W63" s="82">
        <v>44627.848344907405</v>
      </c>
      <c r="X63" s="88">
        <v>44627</v>
      </c>
      <c r="Y63" s="85" t="s">
        <v>762</v>
      </c>
      <c r="Z63" s="83" t="str">
        <f>HYPERLINK("https://twitter.com/ub_bullyprevctr/status/1500929684313411587")</f>
        <v>https://twitter.com/ub_bullyprevctr/status/1500929684313411587</v>
      </c>
      <c r="AA63" s="80"/>
      <c r="AB63" s="80"/>
      <c r="AC63" s="85" t="s">
        <v>1211</v>
      </c>
      <c r="AD63" s="80"/>
      <c r="AE63" s="80" t="b">
        <v>0</v>
      </c>
      <c r="AF63" s="80">
        <v>0</v>
      </c>
      <c r="AG63" s="85" t="s">
        <v>1635</v>
      </c>
      <c r="AH63" s="80" t="b">
        <v>1</v>
      </c>
      <c r="AI63" s="80" t="s">
        <v>1642</v>
      </c>
      <c r="AJ63" s="80"/>
      <c r="AK63" s="85" t="s">
        <v>1644</v>
      </c>
      <c r="AL63" s="80" t="b">
        <v>0</v>
      </c>
      <c r="AM63" s="80">
        <v>3</v>
      </c>
      <c r="AN63" s="85" t="s">
        <v>1209</v>
      </c>
      <c r="AO63" s="85" t="s">
        <v>1672</v>
      </c>
      <c r="AP63" s="80" t="b">
        <v>0</v>
      </c>
      <c r="AQ63" s="85" t="s">
        <v>1209</v>
      </c>
      <c r="AR63" s="80" t="s">
        <v>179</v>
      </c>
      <c r="AS63" s="80">
        <v>0</v>
      </c>
      <c r="AT63" s="80">
        <v>0</v>
      </c>
      <c r="AU63" s="80"/>
      <c r="AV63" s="80"/>
      <c r="AW63" s="80"/>
      <c r="AX63" s="80"/>
      <c r="AY63" s="80"/>
      <c r="AZ63" s="80"/>
      <c r="BA63" s="80"/>
      <c r="BB63" s="80"/>
    </row>
    <row r="64" spans="1:54" x14ac:dyDescent="0.25">
      <c r="A64" s="65" t="s">
        <v>248</v>
      </c>
      <c r="B64" s="65" t="s">
        <v>371</v>
      </c>
      <c r="C64" s="66"/>
      <c r="D64" s="67"/>
      <c r="E64" s="68"/>
      <c r="F64" s="69"/>
      <c r="G64" s="66"/>
      <c r="H64" s="70"/>
      <c r="I64" s="71"/>
      <c r="J64" s="71"/>
      <c r="K64" s="36" t="s">
        <v>65</v>
      </c>
      <c r="L64" s="78">
        <v>64</v>
      </c>
      <c r="M64" s="78"/>
      <c r="N64" s="73"/>
      <c r="O64" s="80" t="s">
        <v>416</v>
      </c>
      <c r="P64" s="82">
        <v>44628.917500000003</v>
      </c>
      <c r="Q64" s="80" t="s">
        <v>442</v>
      </c>
      <c r="R64" s="83" t="str">
        <f>HYPERLINK("https://ed.buffalo.edu/black-history-ed")</f>
        <v>https://ed.buffalo.edu/black-history-ed</v>
      </c>
      <c r="S64" s="80" t="s">
        <v>632</v>
      </c>
      <c r="T64" s="85" t="s">
        <v>675</v>
      </c>
      <c r="U64" s="83" t="str">
        <f>HYPERLINK("https://pbs.twimg.com/media/FNW_-b1VcAM2Jvk.jpg")</f>
        <v>https://pbs.twimg.com/media/FNW_-b1VcAM2Jvk.jpg</v>
      </c>
      <c r="V64" s="83" t="str">
        <f>HYPERLINK("https://pbs.twimg.com/media/FNW_-b1VcAM2Jvk.jpg")</f>
        <v>https://pbs.twimg.com/media/FNW_-b1VcAM2Jvk.jpg</v>
      </c>
      <c r="W64" s="82">
        <v>44628.917500000003</v>
      </c>
      <c r="X64" s="88">
        <v>44628</v>
      </c>
      <c r="Y64" s="85" t="s">
        <v>763</v>
      </c>
      <c r="Z64" s="83" t="str">
        <f>HYPERLINK("https://twitter.com/ubglobaled/status/1501317132403060740")</f>
        <v>https://twitter.com/ubglobaled/status/1501317132403060740</v>
      </c>
      <c r="AA64" s="80"/>
      <c r="AB64" s="80"/>
      <c r="AC64" s="85" t="s">
        <v>1212</v>
      </c>
      <c r="AD64" s="80"/>
      <c r="AE64" s="80" t="b">
        <v>0</v>
      </c>
      <c r="AF64" s="80">
        <v>1</v>
      </c>
      <c r="AG64" s="85" t="s">
        <v>1635</v>
      </c>
      <c r="AH64" s="80" t="b">
        <v>0</v>
      </c>
      <c r="AI64" s="80" t="s">
        <v>1642</v>
      </c>
      <c r="AJ64" s="80"/>
      <c r="AK64" s="85" t="s">
        <v>1635</v>
      </c>
      <c r="AL64" s="80" t="b">
        <v>0</v>
      </c>
      <c r="AM64" s="80">
        <v>0</v>
      </c>
      <c r="AN64" s="85" t="s">
        <v>1635</v>
      </c>
      <c r="AO64" s="85" t="s">
        <v>1680</v>
      </c>
      <c r="AP64" s="80" t="b">
        <v>0</v>
      </c>
      <c r="AQ64" s="85" t="s">
        <v>1212</v>
      </c>
      <c r="AR64" s="80" t="s">
        <v>179</v>
      </c>
      <c r="AS64" s="80">
        <v>0</v>
      </c>
      <c r="AT64" s="80">
        <v>0</v>
      </c>
      <c r="AU64" s="80"/>
      <c r="AV64" s="80"/>
      <c r="AW64" s="80"/>
      <c r="AX64" s="80"/>
      <c r="AY64" s="80"/>
      <c r="AZ64" s="80"/>
      <c r="BA64" s="80"/>
      <c r="BB64" s="80"/>
    </row>
    <row r="65" spans="1:54" x14ac:dyDescent="0.25">
      <c r="A65" s="65" t="s">
        <v>249</v>
      </c>
      <c r="B65" s="65" t="s">
        <v>357</v>
      </c>
      <c r="C65" s="66"/>
      <c r="D65" s="67"/>
      <c r="E65" s="68"/>
      <c r="F65" s="69"/>
      <c r="G65" s="66"/>
      <c r="H65" s="70"/>
      <c r="I65" s="71"/>
      <c r="J65" s="71"/>
      <c r="K65" s="36" t="s">
        <v>65</v>
      </c>
      <c r="L65" s="78">
        <v>65</v>
      </c>
      <c r="M65" s="78"/>
      <c r="N65" s="73"/>
      <c r="O65" s="80" t="s">
        <v>415</v>
      </c>
      <c r="P65" s="82">
        <v>44629.184629629628</v>
      </c>
      <c r="Q65" s="80" t="s">
        <v>433</v>
      </c>
      <c r="R65" s="80"/>
      <c r="S65" s="80"/>
      <c r="T65" s="85" t="s">
        <v>668</v>
      </c>
      <c r="U65" s="83" t="str">
        <f>HYPERLINK("https://pbs.twimg.com/amplify_video_thumb/1501188997695127554/img/suC8e3aV3xiZEsCE.jpg")</f>
        <v>https://pbs.twimg.com/amplify_video_thumb/1501188997695127554/img/suC8e3aV3xiZEsCE.jpg</v>
      </c>
      <c r="V65" s="83" t="str">
        <f>HYPERLINK("https://pbs.twimg.com/amplify_video_thumb/1501188997695127554/img/suC8e3aV3xiZEsCE.jpg")</f>
        <v>https://pbs.twimg.com/amplify_video_thumb/1501188997695127554/img/suC8e3aV3xiZEsCE.jpg</v>
      </c>
      <c r="W65" s="82">
        <v>44629.184629629628</v>
      </c>
      <c r="X65" s="88">
        <v>44629</v>
      </c>
      <c r="Y65" s="85" t="s">
        <v>764</v>
      </c>
      <c r="Z65" s="83" t="str">
        <f>HYPERLINK("https://twitter.com/miranda_fae/status/1501413940340867072")</f>
        <v>https://twitter.com/miranda_fae/status/1501413940340867072</v>
      </c>
      <c r="AA65" s="80"/>
      <c r="AB65" s="80"/>
      <c r="AC65" s="85" t="s">
        <v>1213</v>
      </c>
      <c r="AD65" s="80"/>
      <c r="AE65" s="80" t="b">
        <v>0</v>
      </c>
      <c r="AF65" s="80">
        <v>0</v>
      </c>
      <c r="AG65" s="85" t="s">
        <v>1635</v>
      </c>
      <c r="AH65" s="80" t="b">
        <v>0</v>
      </c>
      <c r="AI65" s="80" t="s">
        <v>1642</v>
      </c>
      <c r="AJ65" s="80"/>
      <c r="AK65" s="85" t="s">
        <v>1635</v>
      </c>
      <c r="AL65" s="80" t="b">
        <v>0</v>
      </c>
      <c r="AM65" s="80">
        <v>10</v>
      </c>
      <c r="AN65" s="85" t="s">
        <v>1616</v>
      </c>
      <c r="AO65" s="85" t="s">
        <v>1671</v>
      </c>
      <c r="AP65" s="80" t="b">
        <v>0</v>
      </c>
      <c r="AQ65" s="85" t="s">
        <v>1616</v>
      </c>
      <c r="AR65" s="80" t="s">
        <v>179</v>
      </c>
      <c r="AS65" s="80">
        <v>0</v>
      </c>
      <c r="AT65" s="80">
        <v>0</v>
      </c>
      <c r="AU65" s="80"/>
      <c r="AV65" s="80"/>
      <c r="AW65" s="80"/>
      <c r="AX65" s="80"/>
      <c r="AY65" s="80"/>
      <c r="AZ65" s="80"/>
      <c r="BA65" s="80"/>
      <c r="BB65" s="80"/>
    </row>
    <row r="66" spans="1:54" x14ac:dyDescent="0.25">
      <c r="A66" s="65" t="s">
        <v>250</v>
      </c>
      <c r="B66" s="65" t="s">
        <v>247</v>
      </c>
      <c r="C66" s="66"/>
      <c r="D66" s="67"/>
      <c r="E66" s="68"/>
      <c r="F66" s="69"/>
      <c r="G66" s="66"/>
      <c r="H66" s="70"/>
      <c r="I66" s="71"/>
      <c r="J66" s="71"/>
      <c r="K66" s="36" t="s">
        <v>65</v>
      </c>
      <c r="L66" s="78">
        <v>66</v>
      </c>
      <c r="M66" s="78"/>
      <c r="N66" s="73"/>
      <c r="O66" s="80" t="s">
        <v>414</v>
      </c>
      <c r="P66" s="82">
        <v>44629.566481481481</v>
      </c>
      <c r="Q66" s="80" t="s">
        <v>443</v>
      </c>
      <c r="R66" s="83" t="str">
        <f>HYPERLINK("https://ed.buffalo.edu/news-brief")</f>
        <v>https://ed.buffalo.edu/news-brief</v>
      </c>
      <c r="S66" s="80" t="s">
        <v>632</v>
      </c>
      <c r="T66" s="85" t="s">
        <v>676</v>
      </c>
      <c r="U66" s="80"/>
      <c r="V66" s="83" t="str">
        <f>HYPERLINK("https://pbs.twimg.com/profile_images/1153686398320414720/iTCkattl_normal.jpg")</f>
        <v>https://pbs.twimg.com/profile_images/1153686398320414720/iTCkattl_normal.jpg</v>
      </c>
      <c r="W66" s="82">
        <v>44629.566481481481</v>
      </c>
      <c r="X66" s="88">
        <v>44629</v>
      </c>
      <c r="Y66" s="85" t="s">
        <v>765</v>
      </c>
      <c r="Z66" s="83" t="str">
        <f>HYPERLINK("https://twitter.com/stephsfredrick/status/1501552317698613250")</f>
        <v>https://twitter.com/stephsfredrick/status/1501552317698613250</v>
      </c>
      <c r="AA66" s="80"/>
      <c r="AB66" s="80"/>
      <c r="AC66" s="85" t="s">
        <v>1214</v>
      </c>
      <c r="AD66" s="80"/>
      <c r="AE66" s="80" t="b">
        <v>0</v>
      </c>
      <c r="AF66" s="80">
        <v>0</v>
      </c>
      <c r="AG66" s="85" t="s">
        <v>1635</v>
      </c>
      <c r="AH66" s="80" t="b">
        <v>0</v>
      </c>
      <c r="AI66" s="80" t="s">
        <v>1642</v>
      </c>
      <c r="AJ66" s="80"/>
      <c r="AK66" s="85" t="s">
        <v>1635</v>
      </c>
      <c r="AL66" s="80" t="b">
        <v>0</v>
      </c>
      <c r="AM66" s="80">
        <v>2</v>
      </c>
      <c r="AN66" s="85" t="s">
        <v>1522</v>
      </c>
      <c r="AO66" s="85" t="s">
        <v>1671</v>
      </c>
      <c r="AP66" s="80" t="b">
        <v>0</v>
      </c>
      <c r="AQ66" s="85" t="s">
        <v>1522</v>
      </c>
      <c r="AR66" s="80" t="s">
        <v>179</v>
      </c>
      <c r="AS66" s="80">
        <v>0</v>
      </c>
      <c r="AT66" s="80">
        <v>0</v>
      </c>
      <c r="AU66" s="80"/>
      <c r="AV66" s="80"/>
      <c r="AW66" s="80"/>
      <c r="AX66" s="80"/>
      <c r="AY66" s="80"/>
      <c r="AZ66" s="80"/>
      <c r="BA66" s="80"/>
      <c r="BB66" s="80"/>
    </row>
    <row r="67" spans="1:54" x14ac:dyDescent="0.25">
      <c r="A67" s="65" t="s">
        <v>250</v>
      </c>
      <c r="B67" s="65" t="s">
        <v>369</v>
      </c>
      <c r="C67" s="66"/>
      <c r="D67" s="67"/>
      <c r="E67" s="68"/>
      <c r="F67" s="69"/>
      <c r="G67" s="66"/>
      <c r="H67" s="70"/>
      <c r="I67" s="71"/>
      <c r="J67" s="71"/>
      <c r="K67" s="36" t="s">
        <v>65</v>
      </c>
      <c r="L67" s="78">
        <v>67</v>
      </c>
      <c r="M67" s="78"/>
      <c r="N67" s="73"/>
      <c r="O67" s="80" t="s">
        <v>415</v>
      </c>
      <c r="P67" s="82">
        <v>44629.566481481481</v>
      </c>
      <c r="Q67" s="80" t="s">
        <v>443</v>
      </c>
      <c r="R67" s="83" t="str">
        <f>HYPERLINK("https://ed.buffalo.edu/news-brief")</f>
        <v>https://ed.buffalo.edu/news-brief</v>
      </c>
      <c r="S67" s="80" t="s">
        <v>632</v>
      </c>
      <c r="T67" s="85" t="s">
        <v>676</v>
      </c>
      <c r="U67" s="80"/>
      <c r="V67" s="83" t="str">
        <f>HYPERLINK("https://pbs.twimg.com/profile_images/1153686398320414720/iTCkattl_normal.jpg")</f>
        <v>https://pbs.twimg.com/profile_images/1153686398320414720/iTCkattl_normal.jpg</v>
      </c>
      <c r="W67" s="82">
        <v>44629.566481481481</v>
      </c>
      <c r="X67" s="88">
        <v>44629</v>
      </c>
      <c r="Y67" s="85" t="s">
        <v>765</v>
      </c>
      <c r="Z67" s="83" t="str">
        <f>HYPERLINK("https://twitter.com/stephsfredrick/status/1501552317698613250")</f>
        <v>https://twitter.com/stephsfredrick/status/1501552317698613250</v>
      </c>
      <c r="AA67" s="80"/>
      <c r="AB67" s="80"/>
      <c r="AC67" s="85" t="s">
        <v>1214</v>
      </c>
      <c r="AD67" s="80"/>
      <c r="AE67" s="80" t="b">
        <v>0</v>
      </c>
      <c r="AF67" s="80">
        <v>0</v>
      </c>
      <c r="AG67" s="85" t="s">
        <v>1635</v>
      </c>
      <c r="AH67" s="80" t="b">
        <v>0</v>
      </c>
      <c r="AI67" s="80" t="s">
        <v>1642</v>
      </c>
      <c r="AJ67" s="80"/>
      <c r="AK67" s="85" t="s">
        <v>1635</v>
      </c>
      <c r="AL67" s="80" t="b">
        <v>0</v>
      </c>
      <c r="AM67" s="80">
        <v>2</v>
      </c>
      <c r="AN67" s="85" t="s">
        <v>1522</v>
      </c>
      <c r="AO67" s="85" t="s">
        <v>1671</v>
      </c>
      <c r="AP67" s="80" t="b">
        <v>0</v>
      </c>
      <c r="AQ67" s="85" t="s">
        <v>1522</v>
      </c>
      <c r="AR67" s="80" t="s">
        <v>179</v>
      </c>
      <c r="AS67" s="80">
        <v>0</v>
      </c>
      <c r="AT67" s="80">
        <v>0</v>
      </c>
      <c r="AU67" s="80"/>
      <c r="AV67" s="80"/>
      <c r="AW67" s="80"/>
      <c r="AX67" s="80"/>
      <c r="AY67" s="80"/>
      <c r="AZ67" s="80"/>
      <c r="BA67" s="80"/>
      <c r="BB67" s="80"/>
    </row>
    <row r="68" spans="1:54" x14ac:dyDescent="0.25">
      <c r="A68" s="65" t="s">
        <v>251</v>
      </c>
      <c r="B68" s="65" t="s">
        <v>251</v>
      </c>
      <c r="C68" s="66"/>
      <c r="D68" s="67"/>
      <c r="E68" s="68"/>
      <c r="F68" s="69"/>
      <c r="G68" s="66"/>
      <c r="H68" s="70"/>
      <c r="I68" s="71"/>
      <c r="J68" s="71"/>
      <c r="K68" s="36" t="s">
        <v>65</v>
      </c>
      <c r="L68" s="78">
        <v>68</v>
      </c>
      <c r="M68" s="78"/>
      <c r="N68" s="73"/>
      <c r="O68" s="80" t="s">
        <v>179</v>
      </c>
      <c r="P68" s="82">
        <v>44629.612175925926</v>
      </c>
      <c r="Q68" s="80" t="s">
        <v>444</v>
      </c>
      <c r="R68" s="80"/>
      <c r="S68" s="80"/>
      <c r="T68" s="85" t="s">
        <v>677</v>
      </c>
      <c r="U68" s="83" t="str">
        <f>HYPERLINK("https://pbs.twimg.com/media/FNaimFeWQAIfmx0.jpg")</f>
        <v>https://pbs.twimg.com/media/FNaimFeWQAIfmx0.jpg</v>
      </c>
      <c r="V68" s="83" t="str">
        <f>HYPERLINK("https://pbs.twimg.com/media/FNaimFeWQAIfmx0.jpg")</f>
        <v>https://pbs.twimg.com/media/FNaimFeWQAIfmx0.jpg</v>
      </c>
      <c r="W68" s="82">
        <v>44629.612175925926</v>
      </c>
      <c r="X68" s="88">
        <v>44629</v>
      </c>
      <c r="Y68" s="85" t="s">
        <v>766</v>
      </c>
      <c r="Z68" s="83" t="str">
        <f>HYPERLINK("https://twitter.com/wiseatub/status/1501568873941934082")</f>
        <v>https://twitter.com/wiseatub/status/1501568873941934082</v>
      </c>
      <c r="AA68" s="80"/>
      <c r="AB68" s="80"/>
      <c r="AC68" s="85" t="s">
        <v>1215</v>
      </c>
      <c r="AD68" s="80"/>
      <c r="AE68" s="80" t="b">
        <v>0</v>
      </c>
      <c r="AF68" s="80">
        <v>4</v>
      </c>
      <c r="AG68" s="85" t="s">
        <v>1635</v>
      </c>
      <c r="AH68" s="80" t="b">
        <v>0</v>
      </c>
      <c r="AI68" s="80" t="s">
        <v>1642</v>
      </c>
      <c r="AJ68" s="80"/>
      <c r="AK68" s="85" t="s">
        <v>1635</v>
      </c>
      <c r="AL68" s="80" t="b">
        <v>0</v>
      </c>
      <c r="AM68" s="80">
        <v>0</v>
      </c>
      <c r="AN68" s="85" t="s">
        <v>1635</v>
      </c>
      <c r="AO68" s="85" t="s">
        <v>1672</v>
      </c>
      <c r="AP68" s="80" t="b">
        <v>0</v>
      </c>
      <c r="AQ68" s="85" t="s">
        <v>1215</v>
      </c>
      <c r="AR68" s="80" t="s">
        <v>179</v>
      </c>
      <c r="AS68" s="80">
        <v>0</v>
      </c>
      <c r="AT68" s="80">
        <v>0</v>
      </c>
      <c r="AU68" s="80"/>
      <c r="AV68" s="80"/>
      <c r="AW68" s="80"/>
      <c r="AX68" s="80"/>
      <c r="AY68" s="80"/>
      <c r="AZ68" s="80"/>
      <c r="BA68" s="80"/>
      <c r="BB68" s="80"/>
    </row>
    <row r="69" spans="1:54" x14ac:dyDescent="0.25">
      <c r="A69" s="65" t="s">
        <v>252</v>
      </c>
      <c r="B69" s="65" t="s">
        <v>357</v>
      </c>
      <c r="C69" s="66"/>
      <c r="D69" s="67"/>
      <c r="E69" s="68"/>
      <c r="F69" s="69"/>
      <c r="G69" s="66"/>
      <c r="H69" s="70"/>
      <c r="I69" s="71"/>
      <c r="J69" s="71"/>
      <c r="K69" s="36" t="s">
        <v>65</v>
      </c>
      <c r="L69" s="78">
        <v>69</v>
      </c>
      <c r="M69" s="78"/>
      <c r="N69" s="73"/>
      <c r="O69" s="80" t="s">
        <v>415</v>
      </c>
      <c r="P69" s="82">
        <v>44627.698773148149</v>
      </c>
      <c r="Q69" s="80" t="s">
        <v>441</v>
      </c>
      <c r="R69" s="83" t="str">
        <f>HYPERLINK("https://financialaid.buffalo.edu/did-you-know/?utm_source=TWITTER&amp;utm_medium=social&amp;utm_term=20220307&amp;utm_content=100002956838777&amp;utm_campaign=General+Content&amp;linkId=100000113938382")</f>
        <v>https://financialaid.buffalo.edu/did-you-know/?utm_source=TWITTER&amp;utm_medium=social&amp;utm_term=20220307&amp;utm_content=100002956838777&amp;utm_campaign=General+Content&amp;linkId=100000113938382</v>
      </c>
      <c r="S69" s="80" t="s">
        <v>632</v>
      </c>
      <c r="T69" s="85" t="s">
        <v>357</v>
      </c>
      <c r="U69" s="83" t="str">
        <f>HYPERLINK("https://pbs.twimg.com/media/FNQs34JWYAEwXVa.jpg")</f>
        <v>https://pbs.twimg.com/media/FNQs34JWYAEwXVa.jpg</v>
      </c>
      <c r="V69" s="83" t="str">
        <f>HYPERLINK("https://pbs.twimg.com/media/FNQs34JWYAEwXVa.jpg")</f>
        <v>https://pbs.twimg.com/media/FNQs34JWYAEwXVa.jpg</v>
      </c>
      <c r="W69" s="82">
        <v>44627.698773148149</v>
      </c>
      <c r="X69" s="88">
        <v>44627</v>
      </c>
      <c r="Y69" s="85" t="s">
        <v>767</v>
      </c>
      <c r="Z69" s="83" t="str">
        <f>HYPERLINK("https://twitter.com/ubhonors/status/1500875484133011461")</f>
        <v>https://twitter.com/ubhonors/status/1500875484133011461</v>
      </c>
      <c r="AA69" s="80"/>
      <c r="AB69" s="80"/>
      <c r="AC69" s="85" t="s">
        <v>1216</v>
      </c>
      <c r="AD69" s="80"/>
      <c r="AE69" s="80" t="b">
        <v>0</v>
      </c>
      <c r="AF69" s="80">
        <v>0</v>
      </c>
      <c r="AG69" s="85" t="s">
        <v>1635</v>
      </c>
      <c r="AH69" s="80" t="b">
        <v>0</v>
      </c>
      <c r="AI69" s="80" t="s">
        <v>1642</v>
      </c>
      <c r="AJ69" s="80"/>
      <c r="AK69" s="85" t="s">
        <v>1635</v>
      </c>
      <c r="AL69" s="80" t="b">
        <v>0</v>
      </c>
      <c r="AM69" s="80">
        <v>6</v>
      </c>
      <c r="AN69" s="85" t="s">
        <v>1615</v>
      </c>
      <c r="AO69" s="85" t="s">
        <v>1672</v>
      </c>
      <c r="AP69" s="80" t="b">
        <v>0</v>
      </c>
      <c r="AQ69" s="85" t="s">
        <v>1615</v>
      </c>
      <c r="AR69" s="80" t="s">
        <v>179</v>
      </c>
      <c r="AS69" s="80">
        <v>0</v>
      </c>
      <c r="AT69" s="80">
        <v>0</v>
      </c>
      <c r="AU69" s="80"/>
      <c r="AV69" s="80"/>
      <c r="AW69" s="80"/>
      <c r="AX69" s="80"/>
      <c r="AY69" s="80"/>
      <c r="AZ69" s="80"/>
      <c r="BA69" s="80"/>
      <c r="BB69" s="80"/>
    </row>
    <row r="70" spans="1:54" x14ac:dyDescent="0.25">
      <c r="A70" s="65" t="s">
        <v>252</v>
      </c>
      <c r="B70" s="65" t="s">
        <v>280</v>
      </c>
      <c r="C70" s="66"/>
      <c r="D70" s="67"/>
      <c r="E70" s="68"/>
      <c r="F70" s="69"/>
      <c r="G70" s="66"/>
      <c r="H70" s="70"/>
      <c r="I70" s="71"/>
      <c r="J70" s="71"/>
      <c r="K70" s="36" t="s">
        <v>65</v>
      </c>
      <c r="L70" s="78">
        <v>70</v>
      </c>
      <c r="M70" s="78"/>
      <c r="N70" s="73"/>
      <c r="O70" s="80" t="s">
        <v>415</v>
      </c>
      <c r="P70" s="82">
        <v>44628.605416666665</v>
      </c>
      <c r="Q70" s="80" t="s">
        <v>445</v>
      </c>
      <c r="R70" s="80"/>
      <c r="S70" s="80"/>
      <c r="T70" s="85" t="s">
        <v>357</v>
      </c>
      <c r="U70" s="80"/>
      <c r="V70" s="83" t="str">
        <f>HYPERLINK("https://pbs.twimg.com/profile_images/1227965589253218304/Um3Gwb0N_normal.jpg")</f>
        <v>https://pbs.twimg.com/profile_images/1227965589253218304/Um3Gwb0N_normal.jpg</v>
      </c>
      <c r="W70" s="82">
        <v>44628.605416666665</v>
      </c>
      <c r="X70" s="88">
        <v>44628</v>
      </c>
      <c r="Y70" s="85" t="s">
        <v>768</v>
      </c>
      <c r="Z70" s="83" t="str">
        <f>HYPERLINK("https://twitter.com/ubhonors/status/1501204039723274242")</f>
        <v>https://twitter.com/ubhonors/status/1501204039723274242</v>
      </c>
      <c r="AA70" s="80"/>
      <c r="AB70" s="80"/>
      <c r="AC70" s="85" t="s">
        <v>1217</v>
      </c>
      <c r="AD70" s="80"/>
      <c r="AE70" s="80" t="b">
        <v>0</v>
      </c>
      <c r="AF70" s="80">
        <v>0</v>
      </c>
      <c r="AG70" s="85" t="s">
        <v>1635</v>
      </c>
      <c r="AH70" s="80" t="b">
        <v>0</v>
      </c>
      <c r="AI70" s="80" t="s">
        <v>1642</v>
      </c>
      <c r="AJ70" s="80"/>
      <c r="AK70" s="85" t="s">
        <v>1635</v>
      </c>
      <c r="AL70" s="80" t="b">
        <v>0</v>
      </c>
      <c r="AM70" s="80">
        <v>2</v>
      </c>
      <c r="AN70" s="85" t="s">
        <v>1567</v>
      </c>
      <c r="AO70" s="85" t="s">
        <v>1672</v>
      </c>
      <c r="AP70" s="80" t="b">
        <v>0</v>
      </c>
      <c r="AQ70" s="85" t="s">
        <v>1567</v>
      </c>
      <c r="AR70" s="80" t="s">
        <v>179</v>
      </c>
      <c r="AS70" s="80">
        <v>0</v>
      </c>
      <c r="AT70" s="80">
        <v>0</v>
      </c>
      <c r="AU70" s="80"/>
      <c r="AV70" s="80"/>
      <c r="AW70" s="80"/>
      <c r="AX70" s="80"/>
      <c r="AY70" s="80"/>
      <c r="AZ70" s="80"/>
      <c r="BA70" s="80"/>
      <c r="BB70" s="80"/>
    </row>
    <row r="71" spans="1:54" x14ac:dyDescent="0.25">
      <c r="A71" s="65" t="s">
        <v>252</v>
      </c>
      <c r="B71" s="65" t="s">
        <v>280</v>
      </c>
      <c r="C71" s="66"/>
      <c r="D71" s="67"/>
      <c r="E71" s="68"/>
      <c r="F71" s="69"/>
      <c r="G71" s="66"/>
      <c r="H71" s="70"/>
      <c r="I71" s="71"/>
      <c r="J71" s="71"/>
      <c r="K71" s="36" t="s">
        <v>65</v>
      </c>
      <c r="L71" s="78">
        <v>71</v>
      </c>
      <c r="M71" s="78"/>
      <c r="N71" s="73"/>
      <c r="O71" s="80" t="s">
        <v>415</v>
      </c>
      <c r="P71" s="82">
        <v>44628.798819444448</v>
      </c>
      <c r="Q71" s="80" t="s">
        <v>446</v>
      </c>
      <c r="R71" s="83" t="str">
        <f>HYPERLINK("https://www.buffalo.edu/parking/announcements.host.html/content/shared/www/parking/need-to-know/2021-22/seats-available-spring-break-express-bus.detail.html")</f>
        <v>https://www.buffalo.edu/parking/announcements.host.html/content/shared/www/parking/need-to-know/2021-22/seats-available-spring-break-express-bus.detail.html</v>
      </c>
      <c r="S71" s="80" t="s">
        <v>632</v>
      </c>
      <c r="T71" s="85" t="s">
        <v>357</v>
      </c>
      <c r="U71" s="80"/>
      <c r="V71" s="83" t="str">
        <f>HYPERLINK("https://pbs.twimg.com/profile_images/1227965589253218304/Um3Gwb0N_normal.jpg")</f>
        <v>https://pbs.twimg.com/profile_images/1227965589253218304/Um3Gwb0N_normal.jpg</v>
      </c>
      <c r="W71" s="82">
        <v>44628.798819444448</v>
      </c>
      <c r="X71" s="88">
        <v>44628</v>
      </c>
      <c r="Y71" s="85" t="s">
        <v>769</v>
      </c>
      <c r="Z71" s="83" t="str">
        <f>HYPERLINK("https://twitter.com/ubhonors/status/1501274124269854725")</f>
        <v>https://twitter.com/ubhonors/status/1501274124269854725</v>
      </c>
      <c r="AA71" s="80"/>
      <c r="AB71" s="80"/>
      <c r="AC71" s="85" t="s">
        <v>1218</v>
      </c>
      <c r="AD71" s="80"/>
      <c r="AE71" s="80" t="b">
        <v>0</v>
      </c>
      <c r="AF71" s="80">
        <v>0</v>
      </c>
      <c r="AG71" s="85" t="s">
        <v>1635</v>
      </c>
      <c r="AH71" s="80" t="b">
        <v>0</v>
      </c>
      <c r="AI71" s="80" t="s">
        <v>1642</v>
      </c>
      <c r="AJ71" s="80"/>
      <c r="AK71" s="85" t="s">
        <v>1635</v>
      </c>
      <c r="AL71" s="80" t="b">
        <v>0</v>
      </c>
      <c r="AM71" s="80">
        <v>2</v>
      </c>
      <c r="AN71" s="85" t="s">
        <v>1568</v>
      </c>
      <c r="AO71" s="85" t="s">
        <v>1672</v>
      </c>
      <c r="AP71" s="80" t="b">
        <v>0</v>
      </c>
      <c r="AQ71" s="85" t="s">
        <v>1568</v>
      </c>
      <c r="AR71" s="80" t="s">
        <v>179</v>
      </c>
      <c r="AS71" s="80">
        <v>0</v>
      </c>
      <c r="AT71" s="80">
        <v>0</v>
      </c>
      <c r="AU71" s="80"/>
      <c r="AV71" s="80"/>
      <c r="AW71" s="80"/>
      <c r="AX71" s="80"/>
      <c r="AY71" s="80"/>
      <c r="AZ71" s="80"/>
      <c r="BA71" s="80"/>
      <c r="BB71" s="80"/>
    </row>
    <row r="72" spans="1:54" x14ac:dyDescent="0.25">
      <c r="A72" s="65" t="s">
        <v>252</v>
      </c>
      <c r="B72" s="65" t="s">
        <v>377</v>
      </c>
      <c r="C72" s="66"/>
      <c r="D72" s="67"/>
      <c r="E72" s="68"/>
      <c r="F72" s="69"/>
      <c r="G72" s="66"/>
      <c r="H72" s="70"/>
      <c r="I72" s="71"/>
      <c r="J72" s="71"/>
      <c r="K72" s="36" t="s">
        <v>65</v>
      </c>
      <c r="L72" s="78">
        <v>72</v>
      </c>
      <c r="M72" s="78"/>
      <c r="N72" s="73"/>
      <c r="O72" s="80" t="s">
        <v>415</v>
      </c>
      <c r="P72" s="82">
        <v>44629.617164351854</v>
      </c>
      <c r="Q72" s="80" t="s">
        <v>447</v>
      </c>
      <c r="R72" s="83" t="str">
        <f>HYPERLINK("http://www.buffalo.edu/commencement/student-checklists/capsandgowns.html")</f>
        <v>http://www.buffalo.edu/commencement/student-checklists/capsandgowns.html</v>
      </c>
      <c r="S72" s="80" t="s">
        <v>632</v>
      </c>
      <c r="T72" s="85" t="s">
        <v>678</v>
      </c>
      <c r="U72" s="83" t="str">
        <f>HYPERLINK("https://pbs.twimg.com/media/FNWyqOWVcAEf12Z.jpg")</f>
        <v>https://pbs.twimg.com/media/FNWyqOWVcAEf12Z.jpg</v>
      </c>
      <c r="V72" s="83" t="str">
        <f>HYPERLINK("https://pbs.twimg.com/media/FNWyqOWVcAEf12Z.jpg")</f>
        <v>https://pbs.twimg.com/media/FNWyqOWVcAEf12Z.jpg</v>
      </c>
      <c r="W72" s="82">
        <v>44629.617164351854</v>
      </c>
      <c r="X72" s="88">
        <v>44629</v>
      </c>
      <c r="Y72" s="85" t="s">
        <v>770</v>
      </c>
      <c r="Z72" s="83" t="str">
        <f>HYPERLINK("https://twitter.com/ubhonors/status/1501570684337672193")</f>
        <v>https://twitter.com/ubhonors/status/1501570684337672193</v>
      </c>
      <c r="AA72" s="80"/>
      <c r="AB72" s="80"/>
      <c r="AC72" s="85" t="s">
        <v>1219</v>
      </c>
      <c r="AD72" s="80"/>
      <c r="AE72" s="80" t="b">
        <v>0</v>
      </c>
      <c r="AF72" s="80">
        <v>0</v>
      </c>
      <c r="AG72" s="85" t="s">
        <v>1635</v>
      </c>
      <c r="AH72" s="80" t="b">
        <v>0</v>
      </c>
      <c r="AI72" s="80" t="s">
        <v>1642</v>
      </c>
      <c r="AJ72" s="80"/>
      <c r="AK72" s="85" t="s">
        <v>1635</v>
      </c>
      <c r="AL72" s="80" t="b">
        <v>0</v>
      </c>
      <c r="AM72" s="80">
        <v>4</v>
      </c>
      <c r="AN72" s="85" t="s">
        <v>1595</v>
      </c>
      <c r="AO72" s="85" t="s">
        <v>1672</v>
      </c>
      <c r="AP72" s="80" t="b">
        <v>0</v>
      </c>
      <c r="AQ72" s="85" t="s">
        <v>1595</v>
      </c>
      <c r="AR72" s="80" t="s">
        <v>179</v>
      </c>
      <c r="AS72" s="80">
        <v>0</v>
      </c>
      <c r="AT72" s="80">
        <v>0</v>
      </c>
      <c r="AU72" s="80"/>
      <c r="AV72" s="80"/>
      <c r="AW72" s="80"/>
      <c r="AX72" s="80"/>
      <c r="AY72" s="80"/>
      <c r="AZ72" s="80"/>
      <c r="BA72" s="80"/>
      <c r="BB72" s="80"/>
    </row>
    <row r="73" spans="1:54" x14ac:dyDescent="0.25">
      <c r="A73" s="65" t="s">
        <v>253</v>
      </c>
      <c r="B73" s="65" t="s">
        <v>253</v>
      </c>
      <c r="C73" s="66"/>
      <c r="D73" s="67"/>
      <c r="E73" s="68"/>
      <c r="F73" s="69"/>
      <c r="G73" s="66"/>
      <c r="H73" s="70"/>
      <c r="I73" s="71"/>
      <c r="J73" s="71"/>
      <c r="K73" s="36" t="s">
        <v>65</v>
      </c>
      <c r="L73" s="78">
        <v>73</v>
      </c>
      <c r="M73" s="78"/>
      <c r="N73" s="73"/>
      <c r="O73" s="80" t="s">
        <v>179</v>
      </c>
      <c r="P73" s="82">
        <v>44629.653425925928</v>
      </c>
      <c r="Q73" s="80" t="s">
        <v>448</v>
      </c>
      <c r="R73" s="83" t="str">
        <f>HYPERLINK("https://emergency.buffalo.edu")</f>
        <v>https://emergency.buffalo.edu</v>
      </c>
      <c r="S73" s="80" t="s">
        <v>632</v>
      </c>
      <c r="T73" s="85" t="s">
        <v>679</v>
      </c>
      <c r="U73" s="80"/>
      <c r="V73" s="83" t="str">
        <f>HYPERLINK("https://pbs.twimg.com/profile_images/1422643877832544257/HrNypkXi_normal.jpg")</f>
        <v>https://pbs.twimg.com/profile_images/1422643877832544257/HrNypkXi_normal.jpg</v>
      </c>
      <c r="W73" s="82">
        <v>44629.653425925928</v>
      </c>
      <c r="X73" s="88">
        <v>44629</v>
      </c>
      <c r="Y73" s="85" t="s">
        <v>771</v>
      </c>
      <c r="Z73" s="83" t="str">
        <f>HYPERLINK("https://twitter.com/ub_alert/status/1501583823590461442")</f>
        <v>https://twitter.com/ub_alert/status/1501583823590461442</v>
      </c>
      <c r="AA73" s="80"/>
      <c r="AB73" s="80"/>
      <c r="AC73" s="85" t="s">
        <v>1220</v>
      </c>
      <c r="AD73" s="80"/>
      <c r="AE73" s="80" t="b">
        <v>0</v>
      </c>
      <c r="AF73" s="80">
        <v>0</v>
      </c>
      <c r="AG73" s="85" t="s">
        <v>1635</v>
      </c>
      <c r="AH73" s="80" t="b">
        <v>0</v>
      </c>
      <c r="AI73" s="80" t="s">
        <v>1642</v>
      </c>
      <c r="AJ73" s="80"/>
      <c r="AK73" s="85" t="s">
        <v>1635</v>
      </c>
      <c r="AL73" s="80" t="b">
        <v>0</v>
      </c>
      <c r="AM73" s="80">
        <v>0</v>
      </c>
      <c r="AN73" s="85" t="s">
        <v>1635</v>
      </c>
      <c r="AO73" s="85" t="s">
        <v>1681</v>
      </c>
      <c r="AP73" s="80" t="b">
        <v>0</v>
      </c>
      <c r="AQ73" s="85" t="s">
        <v>1220</v>
      </c>
      <c r="AR73" s="80" t="s">
        <v>179</v>
      </c>
      <c r="AS73" s="80">
        <v>0</v>
      </c>
      <c r="AT73" s="80">
        <v>0</v>
      </c>
      <c r="AU73" s="80"/>
      <c r="AV73" s="80"/>
      <c r="AW73" s="80"/>
      <c r="AX73" s="80"/>
      <c r="AY73" s="80"/>
      <c r="AZ73" s="80"/>
      <c r="BA73" s="80"/>
      <c r="BB73" s="80"/>
    </row>
    <row r="74" spans="1:54" x14ac:dyDescent="0.25">
      <c r="A74" s="65" t="s">
        <v>254</v>
      </c>
      <c r="B74" s="65" t="s">
        <v>254</v>
      </c>
      <c r="C74" s="66"/>
      <c r="D74" s="67"/>
      <c r="E74" s="68"/>
      <c r="F74" s="69"/>
      <c r="G74" s="66"/>
      <c r="H74" s="70"/>
      <c r="I74" s="71"/>
      <c r="J74" s="71"/>
      <c r="K74" s="36" t="s">
        <v>65</v>
      </c>
      <c r="L74" s="78">
        <v>74</v>
      </c>
      <c r="M74" s="78"/>
      <c r="N74" s="73"/>
      <c r="O74" s="80" t="s">
        <v>179</v>
      </c>
      <c r="P74" s="82">
        <v>44629.750335648147</v>
      </c>
      <c r="Q74" s="80" t="s">
        <v>449</v>
      </c>
      <c r="R74" s="83" t="str">
        <f>HYPERLINK("https://www.buffalo.edu/ubnow/stories/2022/03/vet-photo-exhibit.html")</f>
        <v>https://www.buffalo.edu/ubnow/stories/2022/03/vet-photo-exhibit.html</v>
      </c>
      <c r="S74" s="80" t="s">
        <v>632</v>
      </c>
      <c r="T74" s="85" t="s">
        <v>680</v>
      </c>
      <c r="U74" s="80"/>
      <c r="V74" s="83" t="str">
        <f>HYPERLINK("https://pbs.twimg.com/profile_images/1369724314849796101/lOJSWPTZ_normal.jpg")</f>
        <v>https://pbs.twimg.com/profile_images/1369724314849796101/lOJSWPTZ_normal.jpg</v>
      </c>
      <c r="W74" s="82">
        <v>44629.750335648147</v>
      </c>
      <c r="X74" s="88">
        <v>44629</v>
      </c>
      <c r="Y74" s="85" t="s">
        <v>772</v>
      </c>
      <c r="Z74" s="83" t="str">
        <f>HYPERLINK("https://twitter.com/ubssw/status/1501618943852752900")</f>
        <v>https://twitter.com/ubssw/status/1501618943852752900</v>
      </c>
      <c r="AA74" s="80"/>
      <c r="AB74" s="80"/>
      <c r="AC74" s="85" t="s">
        <v>1221</v>
      </c>
      <c r="AD74" s="80"/>
      <c r="AE74" s="80" t="b">
        <v>0</v>
      </c>
      <c r="AF74" s="80">
        <v>0</v>
      </c>
      <c r="AG74" s="85" t="s">
        <v>1635</v>
      </c>
      <c r="AH74" s="80" t="b">
        <v>0</v>
      </c>
      <c r="AI74" s="80" t="s">
        <v>1642</v>
      </c>
      <c r="AJ74" s="80"/>
      <c r="AK74" s="85" t="s">
        <v>1635</v>
      </c>
      <c r="AL74" s="80" t="b">
        <v>0</v>
      </c>
      <c r="AM74" s="80">
        <v>0</v>
      </c>
      <c r="AN74" s="85" t="s">
        <v>1635</v>
      </c>
      <c r="AO74" s="85" t="s">
        <v>1680</v>
      </c>
      <c r="AP74" s="80" t="b">
        <v>0</v>
      </c>
      <c r="AQ74" s="85" t="s">
        <v>1221</v>
      </c>
      <c r="AR74" s="80" t="s">
        <v>179</v>
      </c>
      <c r="AS74" s="80">
        <v>0</v>
      </c>
      <c r="AT74" s="80">
        <v>0</v>
      </c>
      <c r="AU74" s="80"/>
      <c r="AV74" s="80"/>
      <c r="AW74" s="80"/>
      <c r="AX74" s="80"/>
      <c r="AY74" s="80"/>
      <c r="AZ74" s="80"/>
      <c r="BA74" s="80"/>
      <c r="BB74" s="80"/>
    </row>
    <row r="75" spans="1:54" x14ac:dyDescent="0.25">
      <c r="A75" s="65" t="s">
        <v>255</v>
      </c>
      <c r="B75" s="65" t="s">
        <v>368</v>
      </c>
      <c r="C75" s="66"/>
      <c r="D75" s="67"/>
      <c r="E75" s="68"/>
      <c r="F75" s="69"/>
      <c r="G75" s="66"/>
      <c r="H75" s="70"/>
      <c r="I75" s="71"/>
      <c r="J75" s="71"/>
      <c r="K75" s="36" t="s">
        <v>65</v>
      </c>
      <c r="L75" s="78">
        <v>75</v>
      </c>
      <c r="M75" s="78"/>
      <c r="N75" s="73"/>
      <c r="O75" s="80" t="s">
        <v>415</v>
      </c>
      <c r="P75" s="82">
        <v>44629.778310185182</v>
      </c>
      <c r="Q75" s="80" t="s">
        <v>450</v>
      </c>
      <c r="R75" s="80"/>
      <c r="S75" s="80"/>
      <c r="T75" s="85" t="s">
        <v>357</v>
      </c>
      <c r="U75" s="83" t="str">
        <f>HYPERLINK("https://pbs.twimg.com/ext_tw_video_thumb/1501561093814165506/pu/img/zcMRFGF0HHs8KwPm.jpg")</f>
        <v>https://pbs.twimg.com/ext_tw_video_thumb/1501561093814165506/pu/img/zcMRFGF0HHs8KwPm.jpg</v>
      </c>
      <c r="V75" s="83" t="str">
        <f>HYPERLINK("https://pbs.twimg.com/ext_tw_video_thumb/1501561093814165506/pu/img/zcMRFGF0HHs8KwPm.jpg")</f>
        <v>https://pbs.twimg.com/ext_tw_video_thumb/1501561093814165506/pu/img/zcMRFGF0HHs8KwPm.jpg</v>
      </c>
      <c r="W75" s="82">
        <v>44629.778310185182</v>
      </c>
      <c r="X75" s="88">
        <v>44629</v>
      </c>
      <c r="Y75" s="85" t="s">
        <v>773</v>
      </c>
      <c r="Z75" s="83" t="str">
        <f>HYPERLINK("https://twitter.com/lindsayhahn_/status/1501629081884020745")</f>
        <v>https://twitter.com/lindsayhahn_/status/1501629081884020745</v>
      </c>
      <c r="AA75" s="80"/>
      <c r="AB75" s="80"/>
      <c r="AC75" s="85" t="s">
        <v>1222</v>
      </c>
      <c r="AD75" s="80"/>
      <c r="AE75" s="80" t="b">
        <v>0</v>
      </c>
      <c r="AF75" s="80">
        <v>0</v>
      </c>
      <c r="AG75" s="85" t="s">
        <v>1635</v>
      </c>
      <c r="AH75" s="80" t="b">
        <v>0</v>
      </c>
      <c r="AI75" s="80" t="s">
        <v>1642</v>
      </c>
      <c r="AJ75" s="80"/>
      <c r="AK75" s="85" t="s">
        <v>1635</v>
      </c>
      <c r="AL75" s="80" t="b">
        <v>0</v>
      </c>
      <c r="AM75" s="80">
        <v>5</v>
      </c>
      <c r="AN75" s="85" t="s">
        <v>1560</v>
      </c>
      <c r="AO75" s="85" t="s">
        <v>1672</v>
      </c>
      <c r="AP75" s="80" t="b">
        <v>0</v>
      </c>
      <c r="AQ75" s="85" t="s">
        <v>1560</v>
      </c>
      <c r="AR75" s="80" t="s">
        <v>179</v>
      </c>
      <c r="AS75" s="80">
        <v>0</v>
      </c>
      <c r="AT75" s="80">
        <v>0</v>
      </c>
      <c r="AU75" s="80"/>
      <c r="AV75" s="80"/>
      <c r="AW75" s="80"/>
      <c r="AX75" s="80"/>
      <c r="AY75" s="80"/>
      <c r="AZ75" s="80"/>
      <c r="BA75" s="80"/>
      <c r="BB75" s="80"/>
    </row>
    <row r="76" spans="1:54" x14ac:dyDescent="0.25">
      <c r="A76" s="65" t="s">
        <v>256</v>
      </c>
      <c r="B76" s="65" t="s">
        <v>362</v>
      </c>
      <c r="C76" s="66"/>
      <c r="D76" s="67"/>
      <c r="E76" s="68"/>
      <c r="F76" s="69"/>
      <c r="G76" s="66"/>
      <c r="H76" s="70"/>
      <c r="I76" s="71"/>
      <c r="J76" s="71"/>
      <c r="K76" s="36" t="s">
        <v>65</v>
      </c>
      <c r="L76" s="78">
        <v>76</v>
      </c>
      <c r="M76" s="78"/>
      <c r="N76" s="73"/>
      <c r="O76" s="80" t="s">
        <v>415</v>
      </c>
      <c r="P76" s="82">
        <v>44629.870532407411</v>
      </c>
      <c r="Q76" s="80" t="s">
        <v>451</v>
      </c>
      <c r="R76" s="80"/>
      <c r="S76" s="80"/>
      <c r="T76" s="85" t="s">
        <v>681</v>
      </c>
      <c r="U76" s="83" t="str">
        <f>HYPERLINK("https://pbs.twimg.com/media/FNb4EF6WUAMSZ9H.jpg")</f>
        <v>https://pbs.twimg.com/media/FNb4EF6WUAMSZ9H.jpg</v>
      </c>
      <c r="V76" s="83" t="str">
        <f>HYPERLINK("https://pbs.twimg.com/media/FNb4EF6WUAMSZ9H.jpg")</f>
        <v>https://pbs.twimg.com/media/FNb4EF6WUAMSZ9H.jpg</v>
      </c>
      <c r="W76" s="82">
        <v>44629.870532407411</v>
      </c>
      <c r="X76" s="88">
        <v>44629</v>
      </c>
      <c r="Y76" s="85" t="s">
        <v>774</v>
      </c>
      <c r="Z76" s="83" t="str">
        <f>HYPERLINK("https://twitter.com/kaitlyn_prater6/status/1501662500944855051")</f>
        <v>https://twitter.com/kaitlyn_prater6/status/1501662500944855051</v>
      </c>
      <c r="AA76" s="80"/>
      <c r="AB76" s="80"/>
      <c r="AC76" s="85" t="s">
        <v>1223</v>
      </c>
      <c r="AD76" s="80"/>
      <c r="AE76" s="80" t="b">
        <v>0</v>
      </c>
      <c r="AF76" s="80">
        <v>0</v>
      </c>
      <c r="AG76" s="85" t="s">
        <v>1635</v>
      </c>
      <c r="AH76" s="80" t="b">
        <v>0</v>
      </c>
      <c r="AI76" s="80" t="s">
        <v>1642</v>
      </c>
      <c r="AJ76" s="80"/>
      <c r="AK76" s="85" t="s">
        <v>1635</v>
      </c>
      <c r="AL76" s="80" t="b">
        <v>0</v>
      </c>
      <c r="AM76" s="80">
        <v>3</v>
      </c>
      <c r="AN76" s="85" t="s">
        <v>1494</v>
      </c>
      <c r="AO76" s="85" t="s">
        <v>1671</v>
      </c>
      <c r="AP76" s="80" t="b">
        <v>0</v>
      </c>
      <c r="AQ76" s="85" t="s">
        <v>1494</v>
      </c>
      <c r="AR76" s="80" t="s">
        <v>179</v>
      </c>
      <c r="AS76" s="80">
        <v>0</v>
      </c>
      <c r="AT76" s="80">
        <v>0</v>
      </c>
      <c r="AU76" s="80"/>
      <c r="AV76" s="80"/>
      <c r="AW76" s="80"/>
      <c r="AX76" s="80"/>
      <c r="AY76" s="80"/>
      <c r="AZ76" s="80"/>
      <c r="BA76" s="80"/>
      <c r="BB76" s="80"/>
    </row>
    <row r="77" spans="1:54" x14ac:dyDescent="0.25">
      <c r="A77" s="65" t="s">
        <v>257</v>
      </c>
      <c r="B77" s="65" t="s">
        <v>353</v>
      </c>
      <c r="C77" s="66"/>
      <c r="D77" s="67"/>
      <c r="E77" s="68"/>
      <c r="F77" s="69"/>
      <c r="G77" s="66"/>
      <c r="H77" s="70"/>
      <c r="I77" s="71"/>
      <c r="J77" s="71"/>
      <c r="K77" s="36" t="s">
        <v>65</v>
      </c>
      <c r="L77" s="78">
        <v>77</v>
      </c>
      <c r="M77" s="78"/>
      <c r="N77" s="73"/>
      <c r="O77" s="80" t="s">
        <v>415</v>
      </c>
      <c r="P77" s="82">
        <v>44629.910601851851</v>
      </c>
      <c r="Q77" s="80" t="s">
        <v>452</v>
      </c>
      <c r="R77" s="83" t="str">
        <f>HYPERLINK("http://www.buffalo.edu/alumni/get-involved/fast46.html?utm_source=TWITTER&amp;utm_medium=social&amp;utm_term=20220309&amp;utm_content=100002931127566&amp;utm_campaign=General+Content&amp;linkId=100000111934986")</f>
        <v>http://www.buffalo.edu/alumni/get-involved/fast46.html?utm_source=TWITTER&amp;utm_medium=social&amp;utm_term=20220309&amp;utm_content=100002931127566&amp;utm_campaign=General+Content&amp;linkId=100000111934986</v>
      </c>
      <c r="S77" s="80" t="s">
        <v>632</v>
      </c>
      <c r="T77" s="85" t="s">
        <v>357</v>
      </c>
      <c r="U77" s="83" t="str">
        <f>HYPERLINK("https://pbs.twimg.com/media/FNcGF5aXMAYGdDO.jpg")</f>
        <v>https://pbs.twimg.com/media/FNcGF5aXMAYGdDO.jpg</v>
      </c>
      <c r="V77" s="83" t="str">
        <f>HYPERLINK("https://pbs.twimg.com/media/FNcGF5aXMAYGdDO.jpg")</f>
        <v>https://pbs.twimg.com/media/FNcGF5aXMAYGdDO.jpg</v>
      </c>
      <c r="W77" s="82">
        <v>44629.910601851851</v>
      </c>
      <c r="X77" s="88">
        <v>44629</v>
      </c>
      <c r="Y77" s="85" t="s">
        <v>775</v>
      </c>
      <c r="Z77" s="83" t="str">
        <f>HYPERLINK("https://twitter.com/wfan99/status/1501677020308283393")</f>
        <v>https://twitter.com/wfan99/status/1501677020308283393</v>
      </c>
      <c r="AA77" s="80"/>
      <c r="AB77" s="80"/>
      <c r="AC77" s="85" t="s">
        <v>1224</v>
      </c>
      <c r="AD77" s="80"/>
      <c r="AE77" s="80" t="b">
        <v>0</v>
      </c>
      <c r="AF77" s="80">
        <v>0</v>
      </c>
      <c r="AG77" s="85" t="s">
        <v>1635</v>
      </c>
      <c r="AH77" s="80" t="b">
        <v>0</v>
      </c>
      <c r="AI77" s="80" t="s">
        <v>1642</v>
      </c>
      <c r="AJ77" s="80"/>
      <c r="AK77" s="85" t="s">
        <v>1635</v>
      </c>
      <c r="AL77" s="80" t="b">
        <v>0</v>
      </c>
      <c r="AM77" s="80">
        <v>1</v>
      </c>
      <c r="AN77" s="85" t="s">
        <v>1487</v>
      </c>
      <c r="AO77" s="85" t="s">
        <v>1673</v>
      </c>
      <c r="AP77" s="80" t="b">
        <v>0</v>
      </c>
      <c r="AQ77" s="85" t="s">
        <v>1487</v>
      </c>
      <c r="AR77" s="80" t="s">
        <v>179</v>
      </c>
      <c r="AS77" s="80">
        <v>0</v>
      </c>
      <c r="AT77" s="80">
        <v>0</v>
      </c>
      <c r="AU77" s="80"/>
      <c r="AV77" s="80"/>
      <c r="AW77" s="80"/>
      <c r="AX77" s="80"/>
      <c r="AY77" s="80"/>
      <c r="AZ77" s="80"/>
      <c r="BA77" s="80"/>
      <c r="BB77" s="80"/>
    </row>
    <row r="78" spans="1:54" x14ac:dyDescent="0.25">
      <c r="A78" s="65" t="s">
        <v>258</v>
      </c>
      <c r="B78" s="65" t="s">
        <v>388</v>
      </c>
      <c r="C78" s="66"/>
      <c r="D78" s="67"/>
      <c r="E78" s="68"/>
      <c r="F78" s="69"/>
      <c r="G78" s="66"/>
      <c r="H78" s="70"/>
      <c r="I78" s="71"/>
      <c r="J78" s="71"/>
      <c r="K78" s="36" t="s">
        <v>65</v>
      </c>
      <c r="L78" s="78">
        <v>78</v>
      </c>
      <c r="M78" s="78"/>
      <c r="N78" s="73"/>
      <c r="O78" s="80" t="s">
        <v>414</v>
      </c>
      <c r="P78" s="82">
        <v>44629.987453703703</v>
      </c>
      <c r="Q78" s="80" t="s">
        <v>453</v>
      </c>
      <c r="R78"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78" s="80" t="s">
        <v>641</v>
      </c>
      <c r="T78" s="85" t="s">
        <v>675</v>
      </c>
      <c r="U78" s="80"/>
      <c r="V78" s="83" t="str">
        <f>HYPERLINK("https://pbs.twimg.com/profile_images/1229964343573458944/vsGRf588_normal.jpg")</f>
        <v>https://pbs.twimg.com/profile_images/1229964343573458944/vsGRf588_normal.jpg</v>
      </c>
      <c r="W78" s="82">
        <v>44629.987453703703</v>
      </c>
      <c r="X78" s="88">
        <v>44629</v>
      </c>
      <c r="Y78" s="85" t="s">
        <v>776</v>
      </c>
      <c r="Z78" s="83" t="str">
        <f>HYPERLINK("https://twitter.com/gorlewskijulie/status/1501704871388590081")</f>
        <v>https://twitter.com/gorlewskijulie/status/1501704871388590081</v>
      </c>
      <c r="AA78" s="80"/>
      <c r="AB78" s="80"/>
      <c r="AC78" s="85" t="s">
        <v>1225</v>
      </c>
      <c r="AD78" s="80"/>
      <c r="AE78" s="80" t="b">
        <v>0</v>
      </c>
      <c r="AF78" s="80">
        <v>0</v>
      </c>
      <c r="AG78" s="85" t="s">
        <v>1635</v>
      </c>
      <c r="AH78" s="80" t="b">
        <v>0</v>
      </c>
      <c r="AI78" s="80" t="s">
        <v>1642</v>
      </c>
      <c r="AJ78" s="80"/>
      <c r="AK78" s="85" t="s">
        <v>1635</v>
      </c>
      <c r="AL78" s="80" t="b">
        <v>0</v>
      </c>
      <c r="AM78" s="80">
        <v>3</v>
      </c>
      <c r="AN78" s="85" t="s">
        <v>1523</v>
      </c>
      <c r="AO78" s="85" t="s">
        <v>1671</v>
      </c>
      <c r="AP78" s="80" t="b">
        <v>0</v>
      </c>
      <c r="AQ78" s="85" t="s">
        <v>1523</v>
      </c>
      <c r="AR78" s="80" t="s">
        <v>179</v>
      </c>
      <c r="AS78" s="80">
        <v>0</v>
      </c>
      <c r="AT78" s="80">
        <v>0</v>
      </c>
      <c r="AU78" s="80"/>
      <c r="AV78" s="80"/>
      <c r="AW78" s="80"/>
      <c r="AX78" s="80"/>
      <c r="AY78" s="80"/>
      <c r="AZ78" s="80"/>
      <c r="BA78" s="80"/>
      <c r="BB78" s="80"/>
    </row>
    <row r="79" spans="1:54" x14ac:dyDescent="0.25">
      <c r="A79" s="65" t="s">
        <v>258</v>
      </c>
      <c r="B79" s="65" t="s">
        <v>369</v>
      </c>
      <c r="C79" s="66"/>
      <c r="D79" s="67"/>
      <c r="E79" s="68"/>
      <c r="F79" s="69"/>
      <c r="G79" s="66"/>
      <c r="H79" s="70"/>
      <c r="I79" s="71"/>
      <c r="J79" s="71"/>
      <c r="K79" s="36" t="s">
        <v>65</v>
      </c>
      <c r="L79" s="78">
        <v>79</v>
      </c>
      <c r="M79" s="78"/>
      <c r="N79" s="73"/>
      <c r="O79" s="80" t="s">
        <v>415</v>
      </c>
      <c r="P79" s="82">
        <v>44629.987453703703</v>
      </c>
      <c r="Q79" s="80" t="s">
        <v>453</v>
      </c>
      <c r="R79"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79" s="80" t="s">
        <v>641</v>
      </c>
      <c r="T79" s="85" t="s">
        <v>675</v>
      </c>
      <c r="U79" s="80"/>
      <c r="V79" s="83" t="str">
        <f>HYPERLINK("https://pbs.twimg.com/profile_images/1229964343573458944/vsGRf588_normal.jpg")</f>
        <v>https://pbs.twimg.com/profile_images/1229964343573458944/vsGRf588_normal.jpg</v>
      </c>
      <c r="W79" s="82">
        <v>44629.987453703703</v>
      </c>
      <c r="X79" s="88">
        <v>44629</v>
      </c>
      <c r="Y79" s="85" t="s">
        <v>776</v>
      </c>
      <c r="Z79" s="83" t="str">
        <f>HYPERLINK("https://twitter.com/gorlewskijulie/status/1501704871388590081")</f>
        <v>https://twitter.com/gorlewskijulie/status/1501704871388590081</v>
      </c>
      <c r="AA79" s="80"/>
      <c r="AB79" s="80"/>
      <c r="AC79" s="85" t="s">
        <v>1225</v>
      </c>
      <c r="AD79" s="80"/>
      <c r="AE79" s="80" t="b">
        <v>0</v>
      </c>
      <c r="AF79" s="80">
        <v>0</v>
      </c>
      <c r="AG79" s="85" t="s">
        <v>1635</v>
      </c>
      <c r="AH79" s="80" t="b">
        <v>0</v>
      </c>
      <c r="AI79" s="80" t="s">
        <v>1642</v>
      </c>
      <c r="AJ79" s="80"/>
      <c r="AK79" s="85" t="s">
        <v>1635</v>
      </c>
      <c r="AL79" s="80" t="b">
        <v>0</v>
      </c>
      <c r="AM79" s="80">
        <v>3</v>
      </c>
      <c r="AN79" s="85" t="s">
        <v>1523</v>
      </c>
      <c r="AO79" s="85" t="s">
        <v>1671</v>
      </c>
      <c r="AP79" s="80" t="b">
        <v>0</v>
      </c>
      <c r="AQ79" s="85" t="s">
        <v>1523</v>
      </c>
      <c r="AR79" s="80" t="s">
        <v>179</v>
      </c>
      <c r="AS79" s="80">
        <v>0</v>
      </c>
      <c r="AT79" s="80">
        <v>0</v>
      </c>
      <c r="AU79" s="80"/>
      <c r="AV79" s="80"/>
      <c r="AW79" s="80"/>
      <c r="AX79" s="80"/>
      <c r="AY79" s="80"/>
      <c r="AZ79" s="80"/>
      <c r="BA79" s="80"/>
      <c r="BB79" s="80"/>
    </row>
    <row r="80" spans="1:54" x14ac:dyDescent="0.25">
      <c r="A80" s="65" t="s">
        <v>259</v>
      </c>
      <c r="B80" s="65" t="s">
        <v>362</v>
      </c>
      <c r="C80" s="66"/>
      <c r="D80" s="67"/>
      <c r="E80" s="68"/>
      <c r="F80" s="69"/>
      <c r="G80" s="66"/>
      <c r="H80" s="70"/>
      <c r="I80" s="71"/>
      <c r="J80" s="71"/>
      <c r="K80" s="36" t="s">
        <v>65</v>
      </c>
      <c r="L80" s="78">
        <v>80</v>
      </c>
      <c r="M80" s="78"/>
      <c r="N80" s="73"/>
      <c r="O80" s="80" t="s">
        <v>415</v>
      </c>
      <c r="P80" s="82">
        <v>44629.994317129633</v>
      </c>
      <c r="Q80" s="80" t="s">
        <v>451</v>
      </c>
      <c r="R80" s="80"/>
      <c r="S80" s="80"/>
      <c r="T80" s="85" t="s">
        <v>681</v>
      </c>
      <c r="U80" s="83" t="str">
        <f>HYPERLINK("https://pbs.twimg.com/media/FNb4EF6WUAMSZ9H.jpg")</f>
        <v>https://pbs.twimg.com/media/FNb4EF6WUAMSZ9H.jpg</v>
      </c>
      <c r="V80" s="83" t="str">
        <f>HYPERLINK("https://pbs.twimg.com/media/FNb4EF6WUAMSZ9H.jpg")</f>
        <v>https://pbs.twimg.com/media/FNb4EF6WUAMSZ9H.jpg</v>
      </c>
      <c r="W80" s="82">
        <v>44629.994317129633</v>
      </c>
      <c r="X80" s="88">
        <v>44629</v>
      </c>
      <c r="Y80" s="85" t="s">
        <v>777</v>
      </c>
      <c r="Z80" s="83" t="str">
        <f>HYPERLINK("https://twitter.com/jenna_armband_/status/1501707358099378179")</f>
        <v>https://twitter.com/jenna_armband_/status/1501707358099378179</v>
      </c>
      <c r="AA80" s="80"/>
      <c r="AB80" s="80"/>
      <c r="AC80" s="85" t="s">
        <v>1226</v>
      </c>
      <c r="AD80" s="80"/>
      <c r="AE80" s="80" t="b">
        <v>0</v>
      </c>
      <c r="AF80" s="80">
        <v>0</v>
      </c>
      <c r="AG80" s="85" t="s">
        <v>1635</v>
      </c>
      <c r="AH80" s="80" t="b">
        <v>0</v>
      </c>
      <c r="AI80" s="80" t="s">
        <v>1642</v>
      </c>
      <c r="AJ80" s="80"/>
      <c r="AK80" s="85" t="s">
        <v>1635</v>
      </c>
      <c r="AL80" s="80" t="b">
        <v>0</v>
      </c>
      <c r="AM80" s="80">
        <v>3</v>
      </c>
      <c r="AN80" s="85" t="s">
        <v>1494</v>
      </c>
      <c r="AO80" s="85" t="s">
        <v>1671</v>
      </c>
      <c r="AP80" s="80" t="b">
        <v>0</v>
      </c>
      <c r="AQ80" s="85" t="s">
        <v>1494</v>
      </c>
      <c r="AR80" s="80" t="s">
        <v>179</v>
      </c>
      <c r="AS80" s="80">
        <v>0</v>
      </c>
      <c r="AT80" s="80">
        <v>0</v>
      </c>
      <c r="AU80" s="80"/>
      <c r="AV80" s="80"/>
      <c r="AW80" s="80"/>
      <c r="AX80" s="80"/>
      <c r="AY80" s="80"/>
      <c r="AZ80" s="80"/>
      <c r="BA80" s="80"/>
      <c r="BB80" s="80"/>
    </row>
    <row r="81" spans="1:54" x14ac:dyDescent="0.25">
      <c r="A81" s="65" t="s">
        <v>260</v>
      </c>
      <c r="B81" s="65" t="s">
        <v>368</v>
      </c>
      <c r="C81" s="66"/>
      <c r="D81" s="67"/>
      <c r="E81" s="68"/>
      <c r="F81" s="69"/>
      <c r="G81" s="66"/>
      <c r="H81" s="70"/>
      <c r="I81" s="71"/>
      <c r="J81" s="71"/>
      <c r="K81" s="36" t="s">
        <v>65</v>
      </c>
      <c r="L81" s="78">
        <v>81</v>
      </c>
      <c r="M81" s="78"/>
      <c r="N81" s="73"/>
      <c r="O81" s="80" t="s">
        <v>414</v>
      </c>
      <c r="P81" s="82">
        <v>44630.090011574073</v>
      </c>
      <c r="Q81" s="80" t="s">
        <v>454</v>
      </c>
      <c r="R81" s="80"/>
      <c r="S81" s="80"/>
      <c r="T81" s="85" t="s">
        <v>357</v>
      </c>
      <c r="U81" s="83" t="str">
        <f>HYPERLINK("https://pbs.twimg.com/media/FMY_mKKXEAgeZPp.jpg")</f>
        <v>https://pbs.twimg.com/media/FMY_mKKXEAgeZPp.jpg</v>
      </c>
      <c r="V81" s="83" t="str">
        <f>HYPERLINK("https://pbs.twimg.com/media/FMY_mKKXEAgeZPp.jpg")</f>
        <v>https://pbs.twimg.com/media/FMY_mKKXEAgeZPp.jpg</v>
      </c>
      <c r="W81" s="82">
        <v>44630.090011574073</v>
      </c>
      <c r="X81" s="88">
        <v>44630</v>
      </c>
      <c r="Y81" s="85" t="s">
        <v>778</v>
      </c>
      <c r="Z81" s="83" t="str">
        <f>HYPERLINK("https://twitter.com/ubuffaloesports/status/1501742038244634628")</f>
        <v>https://twitter.com/ubuffaloesports/status/1501742038244634628</v>
      </c>
      <c r="AA81" s="80"/>
      <c r="AB81" s="80"/>
      <c r="AC81" s="85" t="s">
        <v>1227</v>
      </c>
      <c r="AD81" s="80"/>
      <c r="AE81" s="80" t="b">
        <v>0</v>
      </c>
      <c r="AF81" s="80">
        <v>0</v>
      </c>
      <c r="AG81" s="85" t="s">
        <v>1635</v>
      </c>
      <c r="AH81" s="80" t="b">
        <v>0</v>
      </c>
      <c r="AI81" s="80" t="s">
        <v>1642</v>
      </c>
      <c r="AJ81" s="80"/>
      <c r="AK81" s="85" t="s">
        <v>1635</v>
      </c>
      <c r="AL81" s="80" t="b">
        <v>0</v>
      </c>
      <c r="AM81" s="80">
        <v>7</v>
      </c>
      <c r="AN81" s="85" t="s">
        <v>1556</v>
      </c>
      <c r="AO81" s="85" t="s">
        <v>1671</v>
      </c>
      <c r="AP81" s="80" t="b">
        <v>0</v>
      </c>
      <c r="AQ81" s="85" t="s">
        <v>1556</v>
      </c>
      <c r="AR81" s="80" t="s">
        <v>179</v>
      </c>
      <c r="AS81" s="80">
        <v>0</v>
      </c>
      <c r="AT81" s="80">
        <v>0</v>
      </c>
      <c r="AU81" s="80"/>
      <c r="AV81" s="80"/>
      <c r="AW81" s="80"/>
      <c r="AX81" s="80"/>
      <c r="AY81" s="80"/>
      <c r="AZ81" s="80"/>
      <c r="BA81" s="80"/>
      <c r="BB81" s="80"/>
    </row>
    <row r="82" spans="1:54" x14ac:dyDescent="0.25">
      <c r="A82" s="65" t="s">
        <v>260</v>
      </c>
      <c r="B82" s="65" t="s">
        <v>357</v>
      </c>
      <c r="C82" s="66"/>
      <c r="D82" s="67"/>
      <c r="E82" s="68"/>
      <c r="F82" s="69"/>
      <c r="G82" s="66"/>
      <c r="H82" s="70"/>
      <c r="I82" s="71"/>
      <c r="J82" s="71"/>
      <c r="K82" s="36" t="s">
        <v>65</v>
      </c>
      <c r="L82" s="78">
        <v>82</v>
      </c>
      <c r="M82" s="78"/>
      <c r="N82" s="73"/>
      <c r="O82" s="80" t="s">
        <v>415</v>
      </c>
      <c r="P82" s="82">
        <v>44630.090011574073</v>
      </c>
      <c r="Q82" s="80" t="s">
        <v>454</v>
      </c>
      <c r="R82" s="80"/>
      <c r="S82" s="80"/>
      <c r="T82" s="85" t="s">
        <v>357</v>
      </c>
      <c r="U82" s="83" t="str">
        <f>HYPERLINK("https://pbs.twimg.com/media/FMY_mKKXEAgeZPp.jpg")</f>
        <v>https://pbs.twimg.com/media/FMY_mKKXEAgeZPp.jpg</v>
      </c>
      <c r="V82" s="83" t="str">
        <f>HYPERLINK("https://pbs.twimg.com/media/FMY_mKKXEAgeZPp.jpg")</f>
        <v>https://pbs.twimg.com/media/FMY_mKKXEAgeZPp.jpg</v>
      </c>
      <c r="W82" s="82">
        <v>44630.090011574073</v>
      </c>
      <c r="X82" s="88">
        <v>44630</v>
      </c>
      <c r="Y82" s="85" t="s">
        <v>778</v>
      </c>
      <c r="Z82" s="83" t="str">
        <f>HYPERLINK("https://twitter.com/ubuffaloesports/status/1501742038244634628")</f>
        <v>https://twitter.com/ubuffaloesports/status/1501742038244634628</v>
      </c>
      <c r="AA82" s="80"/>
      <c r="AB82" s="80"/>
      <c r="AC82" s="85" t="s">
        <v>1227</v>
      </c>
      <c r="AD82" s="80"/>
      <c r="AE82" s="80" t="b">
        <v>0</v>
      </c>
      <c r="AF82" s="80">
        <v>0</v>
      </c>
      <c r="AG82" s="85" t="s">
        <v>1635</v>
      </c>
      <c r="AH82" s="80" t="b">
        <v>0</v>
      </c>
      <c r="AI82" s="80" t="s">
        <v>1642</v>
      </c>
      <c r="AJ82" s="80"/>
      <c r="AK82" s="85" t="s">
        <v>1635</v>
      </c>
      <c r="AL82" s="80" t="b">
        <v>0</v>
      </c>
      <c r="AM82" s="80">
        <v>7</v>
      </c>
      <c r="AN82" s="85" t="s">
        <v>1556</v>
      </c>
      <c r="AO82" s="85" t="s">
        <v>1671</v>
      </c>
      <c r="AP82" s="80" t="b">
        <v>0</v>
      </c>
      <c r="AQ82" s="85" t="s">
        <v>1556</v>
      </c>
      <c r="AR82" s="80" t="s">
        <v>179</v>
      </c>
      <c r="AS82" s="80">
        <v>0</v>
      </c>
      <c r="AT82" s="80">
        <v>0</v>
      </c>
      <c r="AU82" s="80"/>
      <c r="AV82" s="80"/>
      <c r="AW82" s="80"/>
      <c r="AX82" s="80"/>
      <c r="AY82" s="80"/>
      <c r="AZ82" s="80"/>
      <c r="BA82" s="80"/>
      <c r="BB82" s="80"/>
    </row>
    <row r="83" spans="1:54" x14ac:dyDescent="0.25">
      <c r="A83" s="65" t="s">
        <v>261</v>
      </c>
      <c r="B83" s="65" t="s">
        <v>389</v>
      </c>
      <c r="C83" s="66"/>
      <c r="D83" s="67"/>
      <c r="E83" s="68"/>
      <c r="F83" s="69"/>
      <c r="G83" s="66"/>
      <c r="H83" s="70"/>
      <c r="I83" s="71"/>
      <c r="J83" s="71"/>
      <c r="K83" s="36" t="s">
        <v>65</v>
      </c>
      <c r="L83" s="78">
        <v>83</v>
      </c>
      <c r="M83" s="78"/>
      <c r="N83" s="73"/>
      <c r="O83" s="80" t="s">
        <v>414</v>
      </c>
      <c r="P83" s="82">
        <v>44630.09820601852</v>
      </c>
      <c r="Q83" s="80" t="s">
        <v>455</v>
      </c>
      <c r="R83" s="83" t="str">
        <f>HYPERLINK("https://buffalohistory.org/event/to-walk-about-in-freedom-lecture/")</f>
        <v>https://buffalohistory.org/event/to-walk-about-in-freedom-lecture/</v>
      </c>
      <c r="S83" s="80" t="s">
        <v>642</v>
      </c>
      <c r="T83" s="85" t="s">
        <v>357</v>
      </c>
      <c r="U83" s="80"/>
      <c r="V83" s="83" t="str">
        <f>HYPERLINK("https://pbs.twimg.com/profile_images/1208093022421958657/pcy7z_RE_normal.jpg")</f>
        <v>https://pbs.twimg.com/profile_images/1208093022421958657/pcy7z_RE_normal.jpg</v>
      </c>
      <c r="W83" s="82">
        <v>44630.09820601852</v>
      </c>
      <c r="X83" s="88">
        <v>44630</v>
      </c>
      <c r="Y83" s="85" t="s">
        <v>779</v>
      </c>
      <c r="Z83" s="83" t="str">
        <f>HYPERLINK("https://twitter.com/actionsspeak716/status/1501745005639122947")</f>
        <v>https://twitter.com/actionsspeak716/status/1501745005639122947</v>
      </c>
      <c r="AA83" s="80"/>
      <c r="AB83" s="80"/>
      <c r="AC83" s="85" t="s">
        <v>1228</v>
      </c>
      <c r="AD83" s="80"/>
      <c r="AE83" s="80" t="b">
        <v>0</v>
      </c>
      <c r="AF83" s="80">
        <v>0</v>
      </c>
      <c r="AG83" s="85" t="s">
        <v>1635</v>
      </c>
      <c r="AH83" s="80" t="b">
        <v>0</v>
      </c>
      <c r="AI83" s="80" t="s">
        <v>1642</v>
      </c>
      <c r="AJ83" s="80"/>
      <c r="AK83" s="85" t="s">
        <v>1635</v>
      </c>
      <c r="AL83" s="80" t="b">
        <v>0</v>
      </c>
      <c r="AM83" s="80">
        <v>4</v>
      </c>
      <c r="AN83" s="85" t="s">
        <v>1549</v>
      </c>
      <c r="AO83" s="85" t="s">
        <v>1671</v>
      </c>
      <c r="AP83" s="80" t="b">
        <v>0</v>
      </c>
      <c r="AQ83" s="85" t="s">
        <v>1549</v>
      </c>
      <c r="AR83" s="80" t="s">
        <v>179</v>
      </c>
      <c r="AS83" s="80">
        <v>0</v>
      </c>
      <c r="AT83" s="80">
        <v>0</v>
      </c>
      <c r="AU83" s="80"/>
      <c r="AV83" s="80"/>
      <c r="AW83" s="80"/>
      <c r="AX83" s="80"/>
      <c r="AY83" s="80"/>
      <c r="AZ83" s="80"/>
      <c r="BA83" s="80"/>
      <c r="BB83" s="80"/>
    </row>
    <row r="84" spans="1:54" x14ac:dyDescent="0.25">
      <c r="A84" s="65" t="s">
        <v>261</v>
      </c>
      <c r="B84" s="65" t="s">
        <v>376</v>
      </c>
      <c r="C84" s="66"/>
      <c r="D84" s="67"/>
      <c r="E84" s="68"/>
      <c r="F84" s="69"/>
      <c r="G84" s="66"/>
      <c r="H84" s="70"/>
      <c r="I84" s="71"/>
      <c r="J84" s="71"/>
      <c r="K84" s="36" t="s">
        <v>65</v>
      </c>
      <c r="L84" s="78">
        <v>84</v>
      </c>
      <c r="M84" s="78"/>
      <c r="N84" s="73"/>
      <c r="O84" s="80" t="s">
        <v>414</v>
      </c>
      <c r="P84" s="82">
        <v>44630.09820601852</v>
      </c>
      <c r="Q84" s="80" t="s">
        <v>455</v>
      </c>
      <c r="R84" s="83" t="str">
        <f>HYPERLINK("https://buffalohistory.org/event/to-walk-about-in-freedom-lecture/")</f>
        <v>https://buffalohistory.org/event/to-walk-about-in-freedom-lecture/</v>
      </c>
      <c r="S84" s="80" t="s">
        <v>642</v>
      </c>
      <c r="T84" s="85" t="s">
        <v>357</v>
      </c>
      <c r="U84" s="80"/>
      <c r="V84" s="83" t="str">
        <f>HYPERLINK("https://pbs.twimg.com/profile_images/1208093022421958657/pcy7z_RE_normal.jpg")</f>
        <v>https://pbs.twimg.com/profile_images/1208093022421958657/pcy7z_RE_normal.jpg</v>
      </c>
      <c r="W84" s="82">
        <v>44630.09820601852</v>
      </c>
      <c r="X84" s="88">
        <v>44630</v>
      </c>
      <c r="Y84" s="85" t="s">
        <v>779</v>
      </c>
      <c r="Z84" s="83" t="str">
        <f>HYPERLINK("https://twitter.com/actionsspeak716/status/1501745005639122947")</f>
        <v>https://twitter.com/actionsspeak716/status/1501745005639122947</v>
      </c>
      <c r="AA84" s="80"/>
      <c r="AB84" s="80"/>
      <c r="AC84" s="85" t="s">
        <v>1228</v>
      </c>
      <c r="AD84" s="80"/>
      <c r="AE84" s="80" t="b">
        <v>0</v>
      </c>
      <c r="AF84" s="80">
        <v>0</v>
      </c>
      <c r="AG84" s="85" t="s">
        <v>1635</v>
      </c>
      <c r="AH84" s="80" t="b">
        <v>0</v>
      </c>
      <c r="AI84" s="80" t="s">
        <v>1642</v>
      </c>
      <c r="AJ84" s="80"/>
      <c r="AK84" s="85" t="s">
        <v>1635</v>
      </c>
      <c r="AL84" s="80" t="b">
        <v>0</v>
      </c>
      <c r="AM84" s="80">
        <v>4</v>
      </c>
      <c r="AN84" s="85" t="s">
        <v>1549</v>
      </c>
      <c r="AO84" s="85" t="s">
        <v>1671</v>
      </c>
      <c r="AP84" s="80" t="b">
        <v>0</v>
      </c>
      <c r="AQ84" s="85" t="s">
        <v>1549</v>
      </c>
      <c r="AR84" s="80" t="s">
        <v>179</v>
      </c>
      <c r="AS84" s="80">
        <v>0</v>
      </c>
      <c r="AT84" s="80">
        <v>0</v>
      </c>
      <c r="AU84" s="80"/>
      <c r="AV84" s="80"/>
      <c r="AW84" s="80"/>
      <c r="AX84" s="80"/>
      <c r="AY84" s="80"/>
      <c r="AZ84" s="80"/>
      <c r="BA84" s="80"/>
      <c r="BB84" s="80"/>
    </row>
    <row r="85" spans="1:54" x14ac:dyDescent="0.25">
      <c r="A85" s="65" t="s">
        <v>261</v>
      </c>
      <c r="B85" s="65" t="s">
        <v>374</v>
      </c>
      <c r="C85" s="66"/>
      <c r="D85" s="67"/>
      <c r="E85" s="68"/>
      <c r="F85" s="69"/>
      <c r="G85" s="66"/>
      <c r="H85" s="70"/>
      <c r="I85" s="71"/>
      <c r="J85" s="71"/>
      <c r="K85" s="36" t="s">
        <v>65</v>
      </c>
      <c r="L85" s="78">
        <v>85</v>
      </c>
      <c r="M85" s="78"/>
      <c r="N85" s="73"/>
      <c r="O85" s="80" t="s">
        <v>415</v>
      </c>
      <c r="P85" s="82">
        <v>44630.09820601852</v>
      </c>
      <c r="Q85" s="80" t="s">
        <v>455</v>
      </c>
      <c r="R85" s="83" t="str">
        <f>HYPERLINK("https://buffalohistory.org/event/to-walk-about-in-freedom-lecture/")</f>
        <v>https://buffalohistory.org/event/to-walk-about-in-freedom-lecture/</v>
      </c>
      <c r="S85" s="80" t="s">
        <v>642</v>
      </c>
      <c r="T85" s="85" t="s">
        <v>357</v>
      </c>
      <c r="U85" s="80"/>
      <c r="V85" s="83" t="str">
        <f>HYPERLINK("https://pbs.twimg.com/profile_images/1208093022421958657/pcy7z_RE_normal.jpg")</f>
        <v>https://pbs.twimg.com/profile_images/1208093022421958657/pcy7z_RE_normal.jpg</v>
      </c>
      <c r="W85" s="82">
        <v>44630.09820601852</v>
      </c>
      <c r="X85" s="88">
        <v>44630</v>
      </c>
      <c r="Y85" s="85" t="s">
        <v>779</v>
      </c>
      <c r="Z85" s="83" t="str">
        <f>HYPERLINK("https://twitter.com/actionsspeak716/status/1501745005639122947")</f>
        <v>https://twitter.com/actionsspeak716/status/1501745005639122947</v>
      </c>
      <c r="AA85" s="80"/>
      <c r="AB85" s="80"/>
      <c r="AC85" s="85" t="s">
        <v>1228</v>
      </c>
      <c r="AD85" s="80"/>
      <c r="AE85" s="80" t="b">
        <v>0</v>
      </c>
      <c r="AF85" s="80">
        <v>0</v>
      </c>
      <c r="AG85" s="85" t="s">
        <v>1635</v>
      </c>
      <c r="AH85" s="80" t="b">
        <v>0</v>
      </c>
      <c r="AI85" s="80" t="s">
        <v>1642</v>
      </c>
      <c r="AJ85" s="80"/>
      <c r="AK85" s="85" t="s">
        <v>1635</v>
      </c>
      <c r="AL85" s="80" t="b">
        <v>0</v>
      </c>
      <c r="AM85" s="80">
        <v>4</v>
      </c>
      <c r="AN85" s="85" t="s">
        <v>1549</v>
      </c>
      <c r="AO85" s="85" t="s">
        <v>1671</v>
      </c>
      <c r="AP85" s="80" t="b">
        <v>0</v>
      </c>
      <c r="AQ85" s="85" t="s">
        <v>1549</v>
      </c>
      <c r="AR85" s="80" t="s">
        <v>179</v>
      </c>
      <c r="AS85" s="80">
        <v>0</v>
      </c>
      <c r="AT85" s="80">
        <v>0</v>
      </c>
      <c r="AU85" s="80"/>
      <c r="AV85" s="80"/>
      <c r="AW85" s="80"/>
      <c r="AX85" s="80"/>
      <c r="AY85" s="80"/>
      <c r="AZ85" s="80"/>
      <c r="BA85" s="80"/>
      <c r="BB85" s="80"/>
    </row>
    <row r="86" spans="1:54" x14ac:dyDescent="0.25">
      <c r="A86" s="65" t="s">
        <v>262</v>
      </c>
      <c r="B86" s="65" t="s">
        <v>388</v>
      </c>
      <c r="C86" s="66"/>
      <c r="D86" s="67"/>
      <c r="E86" s="68"/>
      <c r="F86" s="69"/>
      <c r="G86" s="66"/>
      <c r="H86" s="70"/>
      <c r="I86" s="71"/>
      <c r="J86" s="71"/>
      <c r="K86" s="36" t="s">
        <v>65</v>
      </c>
      <c r="L86" s="78">
        <v>86</v>
      </c>
      <c r="M86" s="78"/>
      <c r="N86" s="73"/>
      <c r="O86" s="80" t="s">
        <v>414</v>
      </c>
      <c r="P86" s="82">
        <v>44630.114178240743</v>
      </c>
      <c r="Q86" s="80" t="s">
        <v>453</v>
      </c>
      <c r="R86"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86" s="80" t="s">
        <v>641</v>
      </c>
      <c r="T86" s="85" t="s">
        <v>675</v>
      </c>
      <c r="U86" s="80"/>
      <c r="V86" s="83" t="str">
        <f>HYPERLINK("https://pbs.twimg.com/profile_images/804778481649352704/bJ3TuQgm_normal.jpg")</f>
        <v>https://pbs.twimg.com/profile_images/804778481649352704/bJ3TuQgm_normal.jpg</v>
      </c>
      <c r="W86" s="82">
        <v>44630.114178240743</v>
      </c>
      <c r="X86" s="88">
        <v>44630</v>
      </c>
      <c r="Y86" s="85" t="s">
        <v>780</v>
      </c>
      <c r="Z86" s="83" t="str">
        <f>HYPERLINK("https://twitter.com/erinkearney78/status/1501750795171151875")</f>
        <v>https://twitter.com/erinkearney78/status/1501750795171151875</v>
      </c>
      <c r="AA86" s="80"/>
      <c r="AB86" s="80"/>
      <c r="AC86" s="85" t="s">
        <v>1229</v>
      </c>
      <c r="AD86" s="80"/>
      <c r="AE86" s="80" t="b">
        <v>0</v>
      </c>
      <c r="AF86" s="80">
        <v>0</v>
      </c>
      <c r="AG86" s="85" t="s">
        <v>1635</v>
      </c>
      <c r="AH86" s="80" t="b">
        <v>0</v>
      </c>
      <c r="AI86" s="80" t="s">
        <v>1642</v>
      </c>
      <c r="AJ86" s="80"/>
      <c r="AK86" s="85" t="s">
        <v>1635</v>
      </c>
      <c r="AL86" s="80" t="b">
        <v>0</v>
      </c>
      <c r="AM86" s="80">
        <v>3</v>
      </c>
      <c r="AN86" s="85" t="s">
        <v>1523</v>
      </c>
      <c r="AO86" s="85" t="s">
        <v>1671</v>
      </c>
      <c r="AP86" s="80" t="b">
        <v>0</v>
      </c>
      <c r="AQ86" s="85" t="s">
        <v>1523</v>
      </c>
      <c r="AR86" s="80" t="s">
        <v>179</v>
      </c>
      <c r="AS86" s="80">
        <v>0</v>
      </c>
      <c r="AT86" s="80">
        <v>0</v>
      </c>
      <c r="AU86" s="80"/>
      <c r="AV86" s="80"/>
      <c r="AW86" s="80"/>
      <c r="AX86" s="80"/>
      <c r="AY86" s="80"/>
      <c r="AZ86" s="80"/>
      <c r="BA86" s="80"/>
      <c r="BB86" s="80"/>
    </row>
    <row r="87" spans="1:54" x14ac:dyDescent="0.25">
      <c r="A87" s="65" t="s">
        <v>262</v>
      </c>
      <c r="B87" s="65" t="s">
        <v>369</v>
      </c>
      <c r="C87" s="66"/>
      <c r="D87" s="67"/>
      <c r="E87" s="68"/>
      <c r="F87" s="69"/>
      <c r="G87" s="66"/>
      <c r="H87" s="70"/>
      <c r="I87" s="71"/>
      <c r="J87" s="71"/>
      <c r="K87" s="36" t="s">
        <v>65</v>
      </c>
      <c r="L87" s="78">
        <v>87</v>
      </c>
      <c r="M87" s="78"/>
      <c r="N87" s="73"/>
      <c r="O87" s="80" t="s">
        <v>415</v>
      </c>
      <c r="P87" s="82">
        <v>44630.114178240743</v>
      </c>
      <c r="Q87" s="80" t="s">
        <v>453</v>
      </c>
      <c r="R87"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87" s="80" t="s">
        <v>641</v>
      </c>
      <c r="T87" s="85" t="s">
        <v>675</v>
      </c>
      <c r="U87" s="80"/>
      <c r="V87" s="83" t="str">
        <f>HYPERLINK("https://pbs.twimg.com/profile_images/804778481649352704/bJ3TuQgm_normal.jpg")</f>
        <v>https://pbs.twimg.com/profile_images/804778481649352704/bJ3TuQgm_normal.jpg</v>
      </c>
      <c r="W87" s="82">
        <v>44630.114178240743</v>
      </c>
      <c r="X87" s="88">
        <v>44630</v>
      </c>
      <c r="Y87" s="85" t="s">
        <v>780</v>
      </c>
      <c r="Z87" s="83" t="str">
        <f>HYPERLINK("https://twitter.com/erinkearney78/status/1501750795171151875")</f>
        <v>https://twitter.com/erinkearney78/status/1501750795171151875</v>
      </c>
      <c r="AA87" s="80"/>
      <c r="AB87" s="80"/>
      <c r="AC87" s="85" t="s">
        <v>1229</v>
      </c>
      <c r="AD87" s="80"/>
      <c r="AE87" s="80" t="b">
        <v>0</v>
      </c>
      <c r="AF87" s="80">
        <v>0</v>
      </c>
      <c r="AG87" s="85" t="s">
        <v>1635</v>
      </c>
      <c r="AH87" s="80" t="b">
        <v>0</v>
      </c>
      <c r="AI87" s="80" t="s">
        <v>1642</v>
      </c>
      <c r="AJ87" s="80"/>
      <c r="AK87" s="85" t="s">
        <v>1635</v>
      </c>
      <c r="AL87" s="80" t="b">
        <v>0</v>
      </c>
      <c r="AM87" s="80">
        <v>3</v>
      </c>
      <c r="AN87" s="85" t="s">
        <v>1523</v>
      </c>
      <c r="AO87" s="85" t="s">
        <v>1671</v>
      </c>
      <c r="AP87" s="80" t="b">
        <v>0</v>
      </c>
      <c r="AQ87" s="85" t="s">
        <v>1523</v>
      </c>
      <c r="AR87" s="80" t="s">
        <v>179</v>
      </c>
      <c r="AS87" s="80">
        <v>0</v>
      </c>
      <c r="AT87" s="80">
        <v>0</v>
      </c>
      <c r="AU87" s="80"/>
      <c r="AV87" s="80"/>
      <c r="AW87" s="80"/>
      <c r="AX87" s="80"/>
      <c r="AY87" s="80"/>
      <c r="AZ87" s="80"/>
      <c r="BA87" s="80"/>
      <c r="BB87" s="80"/>
    </row>
    <row r="88" spans="1:54" x14ac:dyDescent="0.25">
      <c r="A88" s="65" t="s">
        <v>263</v>
      </c>
      <c r="B88" s="65" t="s">
        <v>390</v>
      </c>
      <c r="C88" s="66"/>
      <c r="D88" s="67"/>
      <c r="E88" s="68"/>
      <c r="F88" s="69"/>
      <c r="G88" s="66"/>
      <c r="H88" s="70"/>
      <c r="I88" s="71"/>
      <c r="J88" s="71"/>
      <c r="K88" s="36" t="s">
        <v>65</v>
      </c>
      <c r="L88" s="78">
        <v>88</v>
      </c>
      <c r="M88" s="78"/>
      <c r="N88" s="73"/>
      <c r="O88" s="80" t="s">
        <v>416</v>
      </c>
      <c r="P88" s="82">
        <v>44626.839826388888</v>
      </c>
      <c r="Q88" s="80" t="s">
        <v>456</v>
      </c>
      <c r="R88" s="83" t="str">
        <f>HYPERLINK("https://twitter.com/BfloBizFirst/status/1499731494885281793")</f>
        <v>https://twitter.com/BfloBizFirst/status/1499731494885281793</v>
      </c>
      <c r="S88" s="80" t="s">
        <v>633</v>
      </c>
      <c r="T88" s="85" t="s">
        <v>671</v>
      </c>
      <c r="U88" s="80"/>
      <c r="V88" s="83" t="str">
        <f>HYPERLINK("https://pbs.twimg.com/profile_images/1471631171356348420/a8Xi_Eqy_normal.jpg")</f>
        <v>https://pbs.twimg.com/profile_images/1471631171356348420/a8Xi_Eqy_normal.jpg</v>
      </c>
      <c r="W88" s="82">
        <v>44626.839826388888</v>
      </c>
      <c r="X88" s="88">
        <v>44626</v>
      </c>
      <c r="Y88" s="85" t="s">
        <v>781</v>
      </c>
      <c r="Z88" s="83" t="str">
        <f>HYPERLINK("https://twitter.com/drabrashear/status/1500564209960108034")</f>
        <v>https://twitter.com/drabrashear/status/1500564209960108034</v>
      </c>
      <c r="AA88" s="80"/>
      <c r="AB88" s="80"/>
      <c r="AC88" s="85" t="s">
        <v>1230</v>
      </c>
      <c r="AD88" s="80"/>
      <c r="AE88" s="80" t="b">
        <v>0</v>
      </c>
      <c r="AF88" s="80">
        <v>3</v>
      </c>
      <c r="AG88" s="85" t="s">
        <v>1635</v>
      </c>
      <c r="AH88" s="80" t="b">
        <v>1</v>
      </c>
      <c r="AI88" s="80" t="s">
        <v>1642</v>
      </c>
      <c r="AJ88" s="80"/>
      <c r="AK88" s="85" t="s">
        <v>1645</v>
      </c>
      <c r="AL88" s="80" t="b">
        <v>0</v>
      </c>
      <c r="AM88" s="80">
        <v>0</v>
      </c>
      <c r="AN88" s="85" t="s">
        <v>1635</v>
      </c>
      <c r="AO88" s="85" t="s">
        <v>1672</v>
      </c>
      <c r="AP88" s="80" t="b">
        <v>0</v>
      </c>
      <c r="AQ88" s="85" t="s">
        <v>1230</v>
      </c>
      <c r="AR88" s="80" t="s">
        <v>179</v>
      </c>
      <c r="AS88" s="80">
        <v>0</v>
      </c>
      <c r="AT88" s="80">
        <v>0</v>
      </c>
      <c r="AU88" s="80"/>
      <c r="AV88" s="80"/>
      <c r="AW88" s="80"/>
      <c r="AX88" s="80"/>
      <c r="AY88" s="80"/>
      <c r="AZ88" s="80"/>
      <c r="BA88" s="80"/>
      <c r="BB88" s="80"/>
    </row>
    <row r="89" spans="1:54" x14ac:dyDescent="0.25">
      <c r="A89" s="65" t="s">
        <v>264</v>
      </c>
      <c r="B89" s="65" t="s">
        <v>391</v>
      </c>
      <c r="C89" s="66"/>
      <c r="D89" s="67"/>
      <c r="E89" s="68"/>
      <c r="F89" s="69"/>
      <c r="G89" s="66"/>
      <c r="H89" s="70"/>
      <c r="I89" s="71"/>
      <c r="J89" s="71"/>
      <c r="K89" s="36" t="s">
        <v>65</v>
      </c>
      <c r="L89" s="78">
        <v>89</v>
      </c>
      <c r="M89" s="78"/>
      <c r="N89" s="73"/>
      <c r="O89" s="80" t="s">
        <v>416</v>
      </c>
      <c r="P89" s="82">
        <v>44630.52621527778</v>
      </c>
      <c r="Q89" s="80" t="s">
        <v>457</v>
      </c>
      <c r="R89" s="83" t="str">
        <f>HYPERLINK("https://www.wbur.org/hereandnow/2022/03/09/6888th-black-women-wwii")</f>
        <v>https://www.wbur.org/hereandnow/2022/03/09/6888th-black-women-wwii</v>
      </c>
      <c r="S89" s="80" t="s">
        <v>643</v>
      </c>
      <c r="T89" s="85" t="s">
        <v>357</v>
      </c>
      <c r="U89" s="80"/>
      <c r="V89" s="83" t="str">
        <f>HYPERLINK("https://pbs.twimg.com/profile_images/915941653738909696/XA1EcidC_normal.jpg")</f>
        <v>https://pbs.twimg.com/profile_images/915941653738909696/XA1EcidC_normal.jpg</v>
      </c>
      <c r="W89" s="82">
        <v>44630.52621527778</v>
      </c>
      <c r="X89" s="88">
        <v>44630</v>
      </c>
      <c r="Y89" s="85" t="s">
        <v>782</v>
      </c>
      <c r="Z89" s="83" t="str">
        <f>HYPERLINK("https://twitter.com/ubsociology/status/1501900111747911687")</f>
        <v>https://twitter.com/ubsociology/status/1501900111747911687</v>
      </c>
      <c r="AA89" s="80"/>
      <c r="AB89" s="80"/>
      <c r="AC89" s="85" t="s">
        <v>1231</v>
      </c>
      <c r="AD89" s="80"/>
      <c r="AE89" s="80" t="b">
        <v>0</v>
      </c>
      <c r="AF89" s="80">
        <v>5</v>
      </c>
      <c r="AG89" s="85" t="s">
        <v>1635</v>
      </c>
      <c r="AH89" s="80" t="b">
        <v>0</v>
      </c>
      <c r="AI89" s="80" t="s">
        <v>1642</v>
      </c>
      <c r="AJ89" s="80"/>
      <c r="AK89" s="85" t="s">
        <v>1635</v>
      </c>
      <c r="AL89" s="80" t="b">
        <v>0</v>
      </c>
      <c r="AM89" s="80">
        <v>0</v>
      </c>
      <c r="AN89" s="85" t="s">
        <v>1635</v>
      </c>
      <c r="AO89" s="85" t="s">
        <v>1672</v>
      </c>
      <c r="AP89" s="80" t="b">
        <v>0</v>
      </c>
      <c r="AQ89" s="85" t="s">
        <v>1231</v>
      </c>
      <c r="AR89" s="80" t="s">
        <v>179</v>
      </c>
      <c r="AS89" s="80">
        <v>0</v>
      </c>
      <c r="AT89" s="80">
        <v>0</v>
      </c>
      <c r="AU89" s="80"/>
      <c r="AV89" s="80"/>
      <c r="AW89" s="80"/>
      <c r="AX89" s="80"/>
      <c r="AY89" s="80"/>
      <c r="AZ89" s="80"/>
      <c r="BA89" s="80"/>
      <c r="BB89" s="80"/>
    </row>
    <row r="90" spans="1:54" x14ac:dyDescent="0.25">
      <c r="A90" s="65" t="s">
        <v>265</v>
      </c>
      <c r="B90" s="65" t="s">
        <v>360</v>
      </c>
      <c r="C90" s="66"/>
      <c r="D90" s="67"/>
      <c r="E90" s="68"/>
      <c r="F90" s="69"/>
      <c r="G90" s="66"/>
      <c r="H90" s="70"/>
      <c r="I90" s="71"/>
      <c r="J90" s="71"/>
      <c r="K90" s="36" t="s">
        <v>65</v>
      </c>
      <c r="L90" s="78">
        <v>90</v>
      </c>
      <c r="M90" s="78"/>
      <c r="N90" s="73"/>
      <c r="O90" s="80" t="s">
        <v>415</v>
      </c>
      <c r="P90" s="82">
        <v>44628.520694444444</v>
      </c>
      <c r="Q90" s="80" t="s">
        <v>437</v>
      </c>
      <c r="R90" s="80"/>
      <c r="S90" s="80"/>
      <c r="T90" s="85" t="s">
        <v>671</v>
      </c>
      <c r="U90" s="83" t="str">
        <f>HYPERLINK("https://pbs.twimg.com/media/FNTfFtyX0AEWqWF.jpg")</f>
        <v>https://pbs.twimg.com/media/FNTfFtyX0AEWqWF.jpg</v>
      </c>
      <c r="V90" s="83" t="str">
        <f>HYPERLINK("https://pbs.twimg.com/media/FNTfFtyX0AEWqWF.jpg")</f>
        <v>https://pbs.twimg.com/media/FNTfFtyX0AEWqWF.jpg</v>
      </c>
      <c r="W90" s="82">
        <v>44628.520694444444</v>
      </c>
      <c r="X90" s="88">
        <v>44628</v>
      </c>
      <c r="Y90" s="85" t="s">
        <v>783</v>
      </c>
      <c r="Z90" s="83" t="str">
        <f>HYPERLINK("https://twitter.com/ub_boone/status/1501173336897957896")</f>
        <v>https://twitter.com/ub_boone/status/1501173336897957896</v>
      </c>
      <c r="AA90" s="80"/>
      <c r="AB90" s="80"/>
      <c r="AC90" s="85" t="s">
        <v>1232</v>
      </c>
      <c r="AD90" s="80"/>
      <c r="AE90" s="80" t="b">
        <v>0</v>
      </c>
      <c r="AF90" s="80">
        <v>0</v>
      </c>
      <c r="AG90" s="85" t="s">
        <v>1635</v>
      </c>
      <c r="AH90" s="80" t="b">
        <v>0</v>
      </c>
      <c r="AI90" s="80" t="s">
        <v>1642</v>
      </c>
      <c r="AJ90" s="80"/>
      <c r="AK90" s="85" t="s">
        <v>1635</v>
      </c>
      <c r="AL90" s="80" t="b">
        <v>0</v>
      </c>
      <c r="AM90" s="80">
        <v>4</v>
      </c>
      <c r="AN90" s="85" t="s">
        <v>1470</v>
      </c>
      <c r="AO90" s="85" t="s">
        <v>1671</v>
      </c>
      <c r="AP90" s="80" t="b">
        <v>0</v>
      </c>
      <c r="AQ90" s="85" t="s">
        <v>1470</v>
      </c>
      <c r="AR90" s="80" t="s">
        <v>179</v>
      </c>
      <c r="AS90" s="80">
        <v>0</v>
      </c>
      <c r="AT90" s="80">
        <v>0</v>
      </c>
      <c r="AU90" s="80"/>
      <c r="AV90" s="80"/>
      <c r="AW90" s="80"/>
      <c r="AX90" s="80"/>
      <c r="AY90" s="80"/>
      <c r="AZ90" s="80"/>
      <c r="BA90" s="80"/>
      <c r="BB90" s="80"/>
    </row>
    <row r="91" spans="1:54" x14ac:dyDescent="0.25">
      <c r="A91" s="65" t="s">
        <v>265</v>
      </c>
      <c r="B91" s="65" t="s">
        <v>360</v>
      </c>
      <c r="C91" s="66"/>
      <c r="D91" s="67"/>
      <c r="E91" s="68"/>
      <c r="F91" s="69"/>
      <c r="G91" s="66"/>
      <c r="H91" s="70"/>
      <c r="I91" s="71"/>
      <c r="J91" s="71"/>
      <c r="K91" s="36" t="s">
        <v>65</v>
      </c>
      <c r="L91" s="78">
        <v>91</v>
      </c>
      <c r="M91" s="78"/>
      <c r="N91" s="73"/>
      <c r="O91" s="80" t="s">
        <v>415</v>
      </c>
      <c r="P91" s="82">
        <v>44630.530405092592</v>
      </c>
      <c r="Q91" s="80" t="s">
        <v>458</v>
      </c>
      <c r="R91" s="83" t="str">
        <f>HYPERLINK("https://library.buffalo.edu/ub-sports/")</f>
        <v>https://library.buffalo.edu/ub-sports/</v>
      </c>
      <c r="S91" s="80" t="s">
        <v>632</v>
      </c>
      <c r="T91" s="85" t="s">
        <v>682</v>
      </c>
      <c r="U91" s="83" t="str">
        <f>HYPERLINK("https://pbs.twimg.com/media/FNdQpFMX0AAU1af.jpg")</f>
        <v>https://pbs.twimg.com/media/FNdQpFMX0AAU1af.jpg</v>
      </c>
      <c r="V91" s="83" t="str">
        <f>HYPERLINK("https://pbs.twimg.com/media/FNdQpFMX0AAU1af.jpg")</f>
        <v>https://pbs.twimg.com/media/FNdQpFMX0AAU1af.jpg</v>
      </c>
      <c r="W91" s="82">
        <v>44630.530405092592</v>
      </c>
      <c r="X91" s="88">
        <v>44630</v>
      </c>
      <c r="Y91" s="85" t="s">
        <v>784</v>
      </c>
      <c r="Z91" s="83" t="str">
        <f>HYPERLINK("https://twitter.com/ub_boone/status/1501901630907817989")</f>
        <v>https://twitter.com/ub_boone/status/1501901630907817989</v>
      </c>
      <c r="AA91" s="80"/>
      <c r="AB91" s="80"/>
      <c r="AC91" s="85" t="s">
        <v>1233</v>
      </c>
      <c r="AD91" s="80"/>
      <c r="AE91" s="80" t="b">
        <v>0</v>
      </c>
      <c r="AF91" s="80">
        <v>0</v>
      </c>
      <c r="AG91" s="85" t="s">
        <v>1635</v>
      </c>
      <c r="AH91" s="80" t="b">
        <v>0</v>
      </c>
      <c r="AI91" s="80" t="s">
        <v>1642</v>
      </c>
      <c r="AJ91" s="80"/>
      <c r="AK91" s="85" t="s">
        <v>1635</v>
      </c>
      <c r="AL91" s="80" t="b">
        <v>0</v>
      </c>
      <c r="AM91" s="80">
        <v>3</v>
      </c>
      <c r="AN91" s="85" t="s">
        <v>1471</v>
      </c>
      <c r="AO91" s="85" t="s">
        <v>1671</v>
      </c>
      <c r="AP91" s="80" t="b">
        <v>0</v>
      </c>
      <c r="AQ91" s="85" t="s">
        <v>1471</v>
      </c>
      <c r="AR91" s="80" t="s">
        <v>179</v>
      </c>
      <c r="AS91" s="80">
        <v>0</v>
      </c>
      <c r="AT91" s="80">
        <v>0</v>
      </c>
      <c r="AU91" s="80"/>
      <c r="AV91" s="80"/>
      <c r="AW91" s="80"/>
      <c r="AX91" s="80"/>
      <c r="AY91" s="80"/>
      <c r="AZ91" s="80"/>
      <c r="BA91" s="80"/>
      <c r="BB91" s="80"/>
    </row>
    <row r="92" spans="1:54" x14ac:dyDescent="0.25">
      <c r="A92" s="65" t="s">
        <v>266</v>
      </c>
      <c r="B92" s="65" t="s">
        <v>392</v>
      </c>
      <c r="C92" s="66"/>
      <c r="D92" s="67"/>
      <c r="E92" s="68"/>
      <c r="F92" s="69"/>
      <c r="G92" s="66"/>
      <c r="H92" s="70"/>
      <c r="I92" s="71"/>
      <c r="J92" s="71"/>
      <c r="K92" s="36" t="s">
        <v>65</v>
      </c>
      <c r="L92" s="78">
        <v>92</v>
      </c>
      <c r="M92" s="78"/>
      <c r="N92" s="73"/>
      <c r="O92" s="80" t="s">
        <v>414</v>
      </c>
      <c r="P92" s="82">
        <v>44629.583124999997</v>
      </c>
      <c r="Q92" s="80" t="s">
        <v>459</v>
      </c>
      <c r="R92" s="83" t="str">
        <f>HYPERLINK("https://docs.google.com/forms/d/1PbZYvwie2ULhI6Dakwv9R_PiDFkiTBau736nHBGRAa0/viewform?ts=62165348&amp;edit_requested=true")</f>
        <v>https://docs.google.com/forms/d/1PbZYvwie2ULhI6Dakwv9R_PiDFkiTBau736nHBGRAa0/viewform?ts=62165348&amp;edit_requested=true</v>
      </c>
      <c r="S92" s="80" t="s">
        <v>644</v>
      </c>
      <c r="T92" s="85" t="s">
        <v>357</v>
      </c>
      <c r="U92" s="80"/>
      <c r="V92" s="83" t="str">
        <f>HYPERLINK("https://pbs.twimg.com/profile_images/968214965088899072/DnWqn9nU_normal.jpg")</f>
        <v>https://pbs.twimg.com/profile_images/968214965088899072/DnWqn9nU_normal.jpg</v>
      </c>
      <c r="W92" s="82">
        <v>44629.583124999997</v>
      </c>
      <c r="X92" s="88">
        <v>44629</v>
      </c>
      <c r="Y92" s="85" t="s">
        <v>785</v>
      </c>
      <c r="Z92" s="83" t="str">
        <f>HYPERLINK("https://twitter.com/urhistorydept/status/1501558347975335943")</f>
        <v>https://twitter.com/urhistorydept/status/1501558347975335943</v>
      </c>
      <c r="AA92" s="80"/>
      <c r="AB92" s="80"/>
      <c r="AC92" s="85" t="s">
        <v>1234</v>
      </c>
      <c r="AD92" s="80"/>
      <c r="AE92" s="80" t="b">
        <v>0</v>
      </c>
      <c r="AF92" s="80">
        <v>0</v>
      </c>
      <c r="AG92" s="85" t="s">
        <v>1635</v>
      </c>
      <c r="AH92" s="80" t="b">
        <v>0</v>
      </c>
      <c r="AI92" s="80" t="s">
        <v>1642</v>
      </c>
      <c r="AJ92" s="80"/>
      <c r="AK92" s="85" t="s">
        <v>1635</v>
      </c>
      <c r="AL92" s="80" t="b">
        <v>0</v>
      </c>
      <c r="AM92" s="80">
        <v>1</v>
      </c>
      <c r="AN92" s="85" t="s">
        <v>1235</v>
      </c>
      <c r="AO92" s="85" t="s">
        <v>1672</v>
      </c>
      <c r="AP92" s="80" t="b">
        <v>0</v>
      </c>
      <c r="AQ92" s="85" t="s">
        <v>1235</v>
      </c>
      <c r="AR92" s="80" t="s">
        <v>179</v>
      </c>
      <c r="AS92" s="80">
        <v>0</v>
      </c>
      <c r="AT92" s="80">
        <v>0</v>
      </c>
      <c r="AU92" s="80"/>
      <c r="AV92" s="80"/>
      <c r="AW92" s="80"/>
      <c r="AX92" s="80"/>
      <c r="AY92" s="80"/>
      <c r="AZ92" s="80"/>
      <c r="BA92" s="80"/>
      <c r="BB92" s="80"/>
    </row>
    <row r="93" spans="1:54" x14ac:dyDescent="0.25">
      <c r="A93" s="65" t="s">
        <v>266</v>
      </c>
      <c r="B93" s="65" t="s">
        <v>267</v>
      </c>
      <c r="C93" s="66"/>
      <c r="D93" s="67"/>
      <c r="E93" s="68"/>
      <c r="F93" s="69"/>
      <c r="G93" s="66"/>
      <c r="H93" s="70"/>
      <c r="I93" s="71"/>
      <c r="J93" s="71"/>
      <c r="K93" s="36" t="s">
        <v>66</v>
      </c>
      <c r="L93" s="78">
        <v>93</v>
      </c>
      <c r="M93" s="78"/>
      <c r="N93" s="73"/>
      <c r="O93" s="80" t="s">
        <v>415</v>
      </c>
      <c r="P93" s="82">
        <v>44629.583124999997</v>
      </c>
      <c r="Q93" s="80" t="s">
        <v>459</v>
      </c>
      <c r="R93" s="83" t="str">
        <f>HYPERLINK("https://docs.google.com/forms/d/1PbZYvwie2ULhI6Dakwv9R_PiDFkiTBau736nHBGRAa0/viewform?ts=62165348&amp;edit_requested=true")</f>
        <v>https://docs.google.com/forms/d/1PbZYvwie2ULhI6Dakwv9R_PiDFkiTBau736nHBGRAa0/viewform?ts=62165348&amp;edit_requested=true</v>
      </c>
      <c r="S93" s="80" t="s">
        <v>644</v>
      </c>
      <c r="T93" s="85" t="s">
        <v>357</v>
      </c>
      <c r="U93" s="80"/>
      <c r="V93" s="83" t="str">
        <f>HYPERLINK("https://pbs.twimg.com/profile_images/968214965088899072/DnWqn9nU_normal.jpg")</f>
        <v>https://pbs.twimg.com/profile_images/968214965088899072/DnWqn9nU_normal.jpg</v>
      </c>
      <c r="W93" s="82">
        <v>44629.583124999997</v>
      </c>
      <c r="X93" s="88">
        <v>44629</v>
      </c>
      <c r="Y93" s="85" t="s">
        <v>785</v>
      </c>
      <c r="Z93" s="83" t="str">
        <f>HYPERLINK("https://twitter.com/urhistorydept/status/1501558347975335943")</f>
        <v>https://twitter.com/urhistorydept/status/1501558347975335943</v>
      </c>
      <c r="AA93" s="80"/>
      <c r="AB93" s="80"/>
      <c r="AC93" s="85" t="s">
        <v>1234</v>
      </c>
      <c r="AD93" s="80"/>
      <c r="AE93" s="80" t="b">
        <v>0</v>
      </c>
      <c r="AF93" s="80">
        <v>0</v>
      </c>
      <c r="AG93" s="85" t="s">
        <v>1635</v>
      </c>
      <c r="AH93" s="80" t="b">
        <v>0</v>
      </c>
      <c r="AI93" s="80" t="s">
        <v>1642</v>
      </c>
      <c r="AJ93" s="80"/>
      <c r="AK93" s="85" t="s">
        <v>1635</v>
      </c>
      <c r="AL93" s="80" t="b">
        <v>0</v>
      </c>
      <c r="AM93" s="80">
        <v>1</v>
      </c>
      <c r="AN93" s="85" t="s">
        <v>1235</v>
      </c>
      <c r="AO93" s="85" t="s">
        <v>1672</v>
      </c>
      <c r="AP93" s="80" t="b">
        <v>0</v>
      </c>
      <c r="AQ93" s="85" t="s">
        <v>1235</v>
      </c>
      <c r="AR93" s="80" t="s">
        <v>179</v>
      </c>
      <c r="AS93" s="80">
        <v>0</v>
      </c>
      <c r="AT93" s="80">
        <v>0</v>
      </c>
      <c r="AU93" s="80"/>
      <c r="AV93" s="80"/>
      <c r="AW93" s="80"/>
      <c r="AX93" s="80"/>
      <c r="AY93" s="80"/>
      <c r="AZ93" s="80"/>
      <c r="BA93" s="80"/>
      <c r="BB93" s="80"/>
    </row>
    <row r="94" spans="1:54" x14ac:dyDescent="0.25">
      <c r="A94" s="65" t="s">
        <v>267</v>
      </c>
      <c r="B94" s="65" t="s">
        <v>266</v>
      </c>
      <c r="C94" s="66"/>
      <c r="D94" s="67"/>
      <c r="E94" s="68"/>
      <c r="F94" s="69"/>
      <c r="G94" s="66"/>
      <c r="H94" s="70"/>
      <c r="I94" s="71"/>
      <c r="J94" s="71"/>
      <c r="K94" s="36" t="s">
        <v>66</v>
      </c>
      <c r="L94" s="78">
        <v>94</v>
      </c>
      <c r="M94" s="78"/>
      <c r="N94" s="73"/>
      <c r="O94" s="80" t="s">
        <v>416</v>
      </c>
      <c r="P94" s="82">
        <v>44629.573587962965</v>
      </c>
      <c r="Q94" s="80" t="s">
        <v>459</v>
      </c>
      <c r="R94" s="83" t="str">
        <f>HYPERLINK("https://docs.google.com/forms/d/1PbZYvwie2ULhI6Dakwv9R_PiDFkiTBau736nHBGRAa0/viewform?ts=62165348&amp;edit_requested=true")</f>
        <v>https://docs.google.com/forms/d/1PbZYvwie2ULhI6Dakwv9R_PiDFkiTBau736nHBGRAa0/viewform?ts=62165348&amp;edit_requested=true</v>
      </c>
      <c r="S94" s="80" t="s">
        <v>644</v>
      </c>
      <c r="T94" s="85" t="s">
        <v>357</v>
      </c>
      <c r="U94" s="80"/>
      <c r="V94" s="83" t="str">
        <f>HYPERLINK("https://pbs.twimg.com/profile_images/1494773082208321536/hjo98llr_normal.jpg")</f>
        <v>https://pbs.twimg.com/profile_images/1494773082208321536/hjo98llr_normal.jpg</v>
      </c>
      <c r="W94" s="82">
        <v>44629.573587962965</v>
      </c>
      <c r="X94" s="88">
        <v>44629</v>
      </c>
      <c r="Y94" s="85" t="s">
        <v>786</v>
      </c>
      <c r="Z94" s="83" t="str">
        <f>HYPERLINK("https://twitter.com/baldycenter/status/1501554893924020224")</f>
        <v>https://twitter.com/baldycenter/status/1501554893924020224</v>
      </c>
      <c r="AA94" s="80"/>
      <c r="AB94" s="80"/>
      <c r="AC94" s="85" t="s">
        <v>1235</v>
      </c>
      <c r="AD94" s="80"/>
      <c r="AE94" s="80" t="b">
        <v>0</v>
      </c>
      <c r="AF94" s="80">
        <v>5</v>
      </c>
      <c r="AG94" s="85" t="s">
        <v>1635</v>
      </c>
      <c r="AH94" s="80" t="b">
        <v>0</v>
      </c>
      <c r="AI94" s="80" t="s">
        <v>1642</v>
      </c>
      <c r="AJ94" s="80"/>
      <c r="AK94" s="85" t="s">
        <v>1635</v>
      </c>
      <c r="AL94" s="80" t="b">
        <v>0</v>
      </c>
      <c r="AM94" s="80">
        <v>1</v>
      </c>
      <c r="AN94" s="85" t="s">
        <v>1635</v>
      </c>
      <c r="AO94" s="85" t="s">
        <v>1671</v>
      </c>
      <c r="AP94" s="80" t="b">
        <v>0</v>
      </c>
      <c r="AQ94" s="85" t="s">
        <v>1235</v>
      </c>
      <c r="AR94" s="80" t="s">
        <v>179</v>
      </c>
      <c r="AS94" s="80">
        <v>0</v>
      </c>
      <c r="AT94" s="80">
        <v>0</v>
      </c>
      <c r="AU94" s="80"/>
      <c r="AV94" s="80"/>
      <c r="AW94" s="80"/>
      <c r="AX94" s="80"/>
      <c r="AY94" s="80"/>
      <c r="AZ94" s="80"/>
      <c r="BA94" s="80"/>
      <c r="BB94" s="80"/>
    </row>
    <row r="95" spans="1:54" x14ac:dyDescent="0.25">
      <c r="A95" s="65" t="s">
        <v>267</v>
      </c>
      <c r="B95" s="65" t="s">
        <v>392</v>
      </c>
      <c r="C95" s="66"/>
      <c r="D95" s="67"/>
      <c r="E95" s="68"/>
      <c r="F95" s="69"/>
      <c r="G95" s="66"/>
      <c r="H95" s="70"/>
      <c r="I95" s="71"/>
      <c r="J95" s="71"/>
      <c r="K95" s="36" t="s">
        <v>65</v>
      </c>
      <c r="L95" s="78">
        <v>95</v>
      </c>
      <c r="M95" s="78"/>
      <c r="N95" s="73"/>
      <c r="O95" s="80" t="s">
        <v>416</v>
      </c>
      <c r="P95" s="82">
        <v>44629.573587962965</v>
      </c>
      <c r="Q95" s="80" t="s">
        <v>459</v>
      </c>
      <c r="R95" s="83" t="str">
        <f>HYPERLINK("https://docs.google.com/forms/d/1PbZYvwie2ULhI6Dakwv9R_PiDFkiTBau736nHBGRAa0/viewform?ts=62165348&amp;edit_requested=true")</f>
        <v>https://docs.google.com/forms/d/1PbZYvwie2ULhI6Dakwv9R_PiDFkiTBau736nHBGRAa0/viewform?ts=62165348&amp;edit_requested=true</v>
      </c>
      <c r="S95" s="80" t="s">
        <v>644</v>
      </c>
      <c r="T95" s="85" t="s">
        <v>357</v>
      </c>
      <c r="U95" s="80"/>
      <c r="V95" s="83" t="str">
        <f>HYPERLINK("https://pbs.twimg.com/profile_images/1494773082208321536/hjo98llr_normal.jpg")</f>
        <v>https://pbs.twimg.com/profile_images/1494773082208321536/hjo98llr_normal.jpg</v>
      </c>
      <c r="W95" s="82">
        <v>44629.573587962965</v>
      </c>
      <c r="X95" s="88">
        <v>44629</v>
      </c>
      <c r="Y95" s="85" t="s">
        <v>786</v>
      </c>
      <c r="Z95" s="83" t="str">
        <f>HYPERLINK("https://twitter.com/baldycenter/status/1501554893924020224")</f>
        <v>https://twitter.com/baldycenter/status/1501554893924020224</v>
      </c>
      <c r="AA95" s="80"/>
      <c r="AB95" s="80"/>
      <c r="AC95" s="85" t="s">
        <v>1235</v>
      </c>
      <c r="AD95" s="80"/>
      <c r="AE95" s="80" t="b">
        <v>0</v>
      </c>
      <c r="AF95" s="80">
        <v>5</v>
      </c>
      <c r="AG95" s="85" t="s">
        <v>1635</v>
      </c>
      <c r="AH95" s="80" t="b">
        <v>0</v>
      </c>
      <c r="AI95" s="80" t="s">
        <v>1642</v>
      </c>
      <c r="AJ95" s="80"/>
      <c r="AK95" s="85" t="s">
        <v>1635</v>
      </c>
      <c r="AL95" s="80" t="b">
        <v>0</v>
      </c>
      <c r="AM95" s="80">
        <v>1</v>
      </c>
      <c r="AN95" s="85" t="s">
        <v>1635</v>
      </c>
      <c r="AO95" s="85" t="s">
        <v>1671</v>
      </c>
      <c r="AP95" s="80" t="b">
        <v>0</v>
      </c>
      <c r="AQ95" s="85" t="s">
        <v>1235</v>
      </c>
      <c r="AR95" s="80" t="s">
        <v>179</v>
      </c>
      <c r="AS95" s="80">
        <v>0</v>
      </c>
      <c r="AT95" s="80">
        <v>0</v>
      </c>
      <c r="AU95" s="80"/>
      <c r="AV95" s="80"/>
      <c r="AW95" s="80"/>
      <c r="AX95" s="80"/>
      <c r="AY95" s="80"/>
      <c r="AZ95" s="80"/>
      <c r="BA95" s="80"/>
      <c r="BB95" s="80"/>
    </row>
    <row r="96" spans="1:54" x14ac:dyDescent="0.25">
      <c r="A96" s="65" t="s">
        <v>267</v>
      </c>
      <c r="B96" s="65" t="s">
        <v>393</v>
      </c>
      <c r="C96" s="66"/>
      <c r="D96" s="67"/>
      <c r="E96" s="68"/>
      <c r="F96" s="69"/>
      <c r="G96" s="66"/>
      <c r="H96" s="70"/>
      <c r="I96" s="71"/>
      <c r="J96" s="71"/>
      <c r="K96" s="36" t="s">
        <v>65</v>
      </c>
      <c r="L96" s="78">
        <v>96</v>
      </c>
      <c r="M96" s="78"/>
      <c r="N96" s="73"/>
      <c r="O96" s="80" t="s">
        <v>416</v>
      </c>
      <c r="P96" s="82">
        <v>44630.584907407407</v>
      </c>
      <c r="Q96" s="80" t="s">
        <v>460</v>
      </c>
      <c r="R96" s="83" t="str">
        <f>HYPERLINK("https://buffalo.zoom.us/meeting/register/tJEqce2urDkpG9Yett6jcba37pRQiC5M2snU")</f>
        <v>https://buffalo.zoom.us/meeting/register/tJEqce2urDkpG9Yett6jcba37pRQiC5M2snU</v>
      </c>
      <c r="S96" s="80" t="s">
        <v>637</v>
      </c>
      <c r="T96" s="85" t="s">
        <v>357</v>
      </c>
      <c r="U96" s="80"/>
      <c r="V96" s="83" t="str">
        <f>HYPERLINK("https://pbs.twimg.com/profile_images/1494773082208321536/hjo98llr_normal.jpg")</f>
        <v>https://pbs.twimg.com/profile_images/1494773082208321536/hjo98llr_normal.jpg</v>
      </c>
      <c r="W96" s="82">
        <v>44630.584907407407</v>
      </c>
      <c r="X96" s="88">
        <v>44630</v>
      </c>
      <c r="Y96" s="85" t="s">
        <v>787</v>
      </c>
      <c r="Z96" s="83" t="str">
        <f>HYPERLINK("https://twitter.com/baldycenter/status/1501921381256204299")</f>
        <v>https://twitter.com/baldycenter/status/1501921381256204299</v>
      </c>
      <c r="AA96" s="80"/>
      <c r="AB96" s="80"/>
      <c r="AC96" s="85" t="s">
        <v>1236</v>
      </c>
      <c r="AD96" s="80"/>
      <c r="AE96" s="80" t="b">
        <v>0</v>
      </c>
      <c r="AF96" s="80">
        <v>0</v>
      </c>
      <c r="AG96" s="85" t="s">
        <v>1635</v>
      </c>
      <c r="AH96" s="80" t="b">
        <v>0</v>
      </c>
      <c r="AI96" s="80" t="s">
        <v>1642</v>
      </c>
      <c r="AJ96" s="80"/>
      <c r="AK96" s="85" t="s">
        <v>1635</v>
      </c>
      <c r="AL96" s="80" t="b">
        <v>0</v>
      </c>
      <c r="AM96" s="80">
        <v>0</v>
      </c>
      <c r="AN96" s="85" t="s">
        <v>1635</v>
      </c>
      <c r="AO96" s="85" t="s">
        <v>1671</v>
      </c>
      <c r="AP96" s="80" t="b">
        <v>0</v>
      </c>
      <c r="AQ96" s="85" t="s">
        <v>1236</v>
      </c>
      <c r="AR96" s="80" t="s">
        <v>179</v>
      </c>
      <c r="AS96" s="80">
        <v>0</v>
      </c>
      <c r="AT96" s="80">
        <v>0</v>
      </c>
      <c r="AU96" s="80"/>
      <c r="AV96" s="80"/>
      <c r="AW96" s="80"/>
      <c r="AX96" s="80"/>
      <c r="AY96" s="80"/>
      <c r="AZ96" s="80"/>
      <c r="BA96" s="80"/>
      <c r="BB96" s="80"/>
    </row>
    <row r="97" spans="1:54" x14ac:dyDescent="0.25">
      <c r="A97" s="65" t="s">
        <v>267</v>
      </c>
      <c r="B97" s="65" t="s">
        <v>394</v>
      </c>
      <c r="C97" s="66"/>
      <c r="D97" s="67"/>
      <c r="E97" s="68"/>
      <c r="F97" s="69"/>
      <c r="G97" s="66"/>
      <c r="H97" s="70"/>
      <c r="I97" s="71"/>
      <c r="J97" s="71"/>
      <c r="K97" s="36" t="s">
        <v>65</v>
      </c>
      <c r="L97" s="78">
        <v>97</v>
      </c>
      <c r="M97" s="78"/>
      <c r="N97" s="73"/>
      <c r="O97" s="80" t="s">
        <v>416</v>
      </c>
      <c r="P97" s="82">
        <v>44630.584907407407</v>
      </c>
      <c r="Q97" s="80" t="s">
        <v>460</v>
      </c>
      <c r="R97" s="83" t="str">
        <f>HYPERLINK("https://buffalo.zoom.us/meeting/register/tJEqce2urDkpG9Yett6jcba37pRQiC5M2snU")</f>
        <v>https://buffalo.zoom.us/meeting/register/tJEqce2urDkpG9Yett6jcba37pRQiC5M2snU</v>
      </c>
      <c r="S97" s="80" t="s">
        <v>637</v>
      </c>
      <c r="T97" s="85" t="s">
        <v>357</v>
      </c>
      <c r="U97" s="80"/>
      <c r="V97" s="83" t="str">
        <f>HYPERLINK("https://pbs.twimg.com/profile_images/1494773082208321536/hjo98llr_normal.jpg")</f>
        <v>https://pbs.twimg.com/profile_images/1494773082208321536/hjo98llr_normal.jpg</v>
      </c>
      <c r="W97" s="82">
        <v>44630.584907407407</v>
      </c>
      <c r="X97" s="88">
        <v>44630</v>
      </c>
      <c r="Y97" s="85" t="s">
        <v>787</v>
      </c>
      <c r="Z97" s="83" t="str">
        <f>HYPERLINK("https://twitter.com/baldycenter/status/1501921381256204299")</f>
        <v>https://twitter.com/baldycenter/status/1501921381256204299</v>
      </c>
      <c r="AA97" s="80"/>
      <c r="AB97" s="80"/>
      <c r="AC97" s="85" t="s">
        <v>1236</v>
      </c>
      <c r="AD97" s="80"/>
      <c r="AE97" s="80" t="b">
        <v>0</v>
      </c>
      <c r="AF97" s="80">
        <v>0</v>
      </c>
      <c r="AG97" s="85" t="s">
        <v>1635</v>
      </c>
      <c r="AH97" s="80" t="b">
        <v>0</v>
      </c>
      <c r="AI97" s="80" t="s">
        <v>1642</v>
      </c>
      <c r="AJ97" s="80"/>
      <c r="AK97" s="85" t="s">
        <v>1635</v>
      </c>
      <c r="AL97" s="80" t="b">
        <v>0</v>
      </c>
      <c r="AM97" s="80">
        <v>0</v>
      </c>
      <c r="AN97" s="85" t="s">
        <v>1635</v>
      </c>
      <c r="AO97" s="85" t="s">
        <v>1671</v>
      </c>
      <c r="AP97" s="80" t="b">
        <v>0</v>
      </c>
      <c r="AQ97" s="85" t="s">
        <v>1236</v>
      </c>
      <c r="AR97" s="80" t="s">
        <v>179</v>
      </c>
      <c r="AS97" s="80">
        <v>0</v>
      </c>
      <c r="AT97" s="80">
        <v>0</v>
      </c>
      <c r="AU97" s="80"/>
      <c r="AV97" s="80"/>
      <c r="AW97" s="80"/>
      <c r="AX97" s="80"/>
      <c r="AY97" s="80"/>
      <c r="AZ97" s="80"/>
      <c r="BA97" s="80"/>
      <c r="BB97" s="80"/>
    </row>
    <row r="98" spans="1:54" x14ac:dyDescent="0.25">
      <c r="A98" s="65" t="s">
        <v>268</v>
      </c>
      <c r="B98" s="65" t="s">
        <v>395</v>
      </c>
      <c r="C98" s="66"/>
      <c r="D98" s="67"/>
      <c r="E98" s="68"/>
      <c r="F98" s="69"/>
      <c r="G98" s="66"/>
      <c r="H98" s="70"/>
      <c r="I98" s="71"/>
      <c r="J98" s="71"/>
      <c r="K98" s="36" t="s">
        <v>65</v>
      </c>
      <c r="L98" s="78">
        <v>98</v>
      </c>
      <c r="M98" s="78"/>
      <c r="N98" s="73"/>
      <c r="O98" s="80" t="s">
        <v>414</v>
      </c>
      <c r="P98" s="82">
        <v>44630.620613425926</v>
      </c>
      <c r="Q98" s="80" t="s">
        <v>461</v>
      </c>
      <c r="R98" s="83" t="str">
        <f>HYPERLINK("https://arts-sciences.buffalo.edu/history/news-events/upcoming-events.html")</f>
        <v>https://arts-sciences.buffalo.edu/history/news-events/upcoming-events.html</v>
      </c>
      <c r="S98" s="80" t="s">
        <v>632</v>
      </c>
      <c r="T98" s="85" t="s">
        <v>357</v>
      </c>
      <c r="U98" s="83" t="str">
        <f>HYPERLINK("https://pbs.twimg.com/media/FMtNZgTX0AoGlnL.jpg")</f>
        <v>https://pbs.twimg.com/media/FMtNZgTX0AoGlnL.jpg</v>
      </c>
      <c r="V98" s="83" t="str">
        <f>HYPERLINK("https://pbs.twimg.com/media/FMtNZgTX0AoGlnL.jpg")</f>
        <v>https://pbs.twimg.com/media/FMtNZgTX0AoGlnL.jpg</v>
      </c>
      <c r="W98" s="82">
        <v>44630.620613425926</v>
      </c>
      <c r="X98" s="88">
        <v>44630</v>
      </c>
      <c r="Y98" s="85" t="s">
        <v>788</v>
      </c>
      <c r="Z98" s="83" t="str">
        <f>HYPERLINK("https://twitter.com/yan_liu_histmed/status/1501934321736695819")</f>
        <v>https://twitter.com/yan_liu_histmed/status/1501934321736695819</v>
      </c>
      <c r="AA98" s="80"/>
      <c r="AB98" s="80"/>
      <c r="AC98" s="85" t="s">
        <v>1237</v>
      </c>
      <c r="AD98" s="80"/>
      <c r="AE98" s="80" t="b">
        <v>0</v>
      </c>
      <c r="AF98" s="80">
        <v>0</v>
      </c>
      <c r="AG98" s="85" t="s">
        <v>1635</v>
      </c>
      <c r="AH98" s="80" t="b">
        <v>0</v>
      </c>
      <c r="AI98" s="80" t="s">
        <v>1642</v>
      </c>
      <c r="AJ98" s="80"/>
      <c r="AK98" s="85" t="s">
        <v>1635</v>
      </c>
      <c r="AL98" s="80" t="b">
        <v>0</v>
      </c>
      <c r="AM98" s="80">
        <v>2</v>
      </c>
      <c r="AN98" s="85" t="s">
        <v>1551</v>
      </c>
      <c r="AO98" s="85" t="s">
        <v>1672</v>
      </c>
      <c r="AP98" s="80" t="b">
        <v>0</v>
      </c>
      <c r="AQ98" s="85" t="s">
        <v>1551</v>
      </c>
      <c r="AR98" s="80" t="s">
        <v>179</v>
      </c>
      <c r="AS98" s="80">
        <v>0</v>
      </c>
      <c r="AT98" s="80">
        <v>0</v>
      </c>
      <c r="AU98" s="80"/>
      <c r="AV98" s="80"/>
      <c r="AW98" s="80"/>
      <c r="AX98" s="80"/>
      <c r="AY98" s="80"/>
      <c r="AZ98" s="80"/>
      <c r="BA98" s="80"/>
      <c r="BB98" s="80"/>
    </row>
    <row r="99" spans="1:54" x14ac:dyDescent="0.25">
      <c r="A99" s="65" t="s">
        <v>268</v>
      </c>
      <c r="B99" s="65" t="s">
        <v>374</v>
      </c>
      <c r="C99" s="66"/>
      <c r="D99" s="67"/>
      <c r="E99" s="68"/>
      <c r="F99" s="69"/>
      <c r="G99" s="66"/>
      <c r="H99" s="70"/>
      <c r="I99" s="71"/>
      <c r="J99" s="71"/>
      <c r="K99" s="36" t="s">
        <v>65</v>
      </c>
      <c r="L99" s="78">
        <v>99</v>
      </c>
      <c r="M99" s="78"/>
      <c r="N99" s="73"/>
      <c r="O99" s="80" t="s">
        <v>415</v>
      </c>
      <c r="P99" s="82">
        <v>44630.620613425926</v>
      </c>
      <c r="Q99" s="80" t="s">
        <v>461</v>
      </c>
      <c r="R99" s="83" t="str">
        <f>HYPERLINK("https://arts-sciences.buffalo.edu/history/news-events/upcoming-events.html")</f>
        <v>https://arts-sciences.buffalo.edu/history/news-events/upcoming-events.html</v>
      </c>
      <c r="S99" s="80" t="s">
        <v>632</v>
      </c>
      <c r="T99" s="85" t="s">
        <v>357</v>
      </c>
      <c r="U99" s="83" t="str">
        <f>HYPERLINK("https://pbs.twimg.com/media/FMtNZgTX0AoGlnL.jpg")</f>
        <v>https://pbs.twimg.com/media/FMtNZgTX0AoGlnL.jpg</v>
      </c>
      <c r="V99" s="83" t="str">
        <f>HYPERLINK("https://pbs.twimg.com/media/FMtNZgTX0AoGlnL.jpg")</f>
        <v>https://pbs.twimg.com/media/FMtNZgTX0AoGlnL.jpg</v>
      </c>
      <c r="W99" s="82">
        <v>44630.620613425926</v>
      </c>
      <c r="X99" s="88">
        <v>44630</v>
      </c>
      <c r="Y99" s="85" t="s">
        <v>788</v>
      </c>
      <c r="Z99" s="83" t="str">
        <f>HYPERLINK("https://twitter.com/yan_liu_histmed/status/1501934321736695819")</f>
        <v>https://twitter.com/yan_liu_histmed/status/1501934321736695819</v>
      </c>
      <c r="AA99" s="80"/>
      <c r="AB99" s="80"/>
      <c r="AC99" s="85" t="s">
        <v>1237</v>
      </c>
      <c r="AD99" s="80"/>
      <c r="AE99" s="80" t="b">
        <v>0</v>
      </c>
      <c r="AF99" s="80">
        <v>0</v>
      </c>
      <c r="AG99" s="85" t="s">
        <v>1635</v>
      </c>
      <c r="AH99" s="80" t="b">
        <v>0</v>
      </c>
      <c r="AI99" s="80" t="s">
        <v>1642</v>
      </c>
      <c r="AJ99" s="80"/>
      <c r="AK99" s="85" t="s">
        <v>1635</v>
      </c>
      <c r="AL99" s="80" t="b">
        <v>0</v>
      </c>
      <c r="AM99" s="80">
        <v>2</v>
      </c>
      <c r="AN99" s="85" t="s">
        <v>1551</v>
      </c>
      <c r="AO99" s="85" t="s">
        <v>1672</v>
      </c>
      <c r="AP99" s="80" t="b">
        <v>0</v>
      </c>
      <c r="AQ99" s="85" t="s">
        <v>1551</v>
      </c>
      <c r="AR99" s="80" t="s">
        <v>179</v>
      </c>
      <c r="AS99" s="80">
        <v>0</v>
      </c>
      <c r="AT99" s="80">
        <v>0</v>
      </c>
      <c r="AU99" s="80"/>
      <c r="AV99" s="80"/>
      <c r="AW99" s="80"/>
      <c r="AX99" s="80"/>
      <c r="AY99" s="80"/>
      <c r="AZ99" s="80"/>
      <c r="BA99" s="80"/>
      <c r="BB99" s="80"/>
    </row>
    <row r="100" spans="1:54" x14ac:dyDescent="0.25">
      <c r="A100" s="65" t="s">
        <v>269</v>
      </c>
      <c r="B100" s="65" t="s">
        <v>395</v>
      </c>
      <c r="C100" s="66"/>
      <c r="D100" s="67"/>
      <c r="E100" s="68"/>
      <c r="F100" s="69"/>
      <c r="G100" s="66"/>
      <c r="H100" s="70"/>
      <c r="I100" s="71"/>
      <c r="J100" s="71"/>
      <c r="K100" s="36" t="s">
        <v>65</v>
      </c>
      <c r="L100" s="78">
        <v>100</v>
      </c>
      <c r="M100" s="78"/>
      <c r="N100" s="73"/>
      <c r="O100" s="80" t="s">
        <v>414</v>
      </c>
      <c r="P100" s="82">
        <v>44630.63175925926</v>
      </c>
      <c r="Q100" s="80" t="s">
        <v>461</v>
      </c>
      <c r="R100" s="83" t="str">
        <f>HYPERLINK("https://arts-sciences.buffalo.edu/history/news-events/upcoming-events.html")</f>
        <v>https://arts-sciences.buffalo.edu/history/news-events/upcoming-events.html</v>
      </c>
      <c r="S100" s="80" t="s">
        <v>632</v>
      </c>
      <c r="T100" s="85" t="s">
        <v>357</v>
      </c>
      <c r="U100" s="83" t="str">
        <f>HYPERLINK("https://pbs.twimg.com/media/FMtNZgTX0AoGlnL.jpg")</f>
        <v>https://pbs.twimg.com/media/FMtNZgTX0AoGlnL.jpg</v>
      </c>
      <c r="V100" s="83" t="str">
        <f>HYPERLINK("https://pbs.twimg.com/media/FMtNZgTX0AoGlnL.jpg")</f>
        <v>https://pbs.twimg.com/media/FMtNZgTX0AoGlnL.jpg</v>
      </c>
      <c r="W100" s="82">
        <v>44630.63175925926</v>
      </c>
      <c r="X100" s="88">
        <v>44630</v>
      </c>
      <c r="Y100" s="85" t="s">
        <v>789</v>
      </c>
      <c r="Z100" s="83" t="str">
        <f>HYPERLINK("https://twitter.com/genezubovich/status/1501938360310382596")</f>
        <v>https://twitter.com/genezubovich/status/1501938360310382596</v>
      </c>
      <c r="AA100" s="80"/>
      <c r="AB100" s="80"/>
      <c r="AC100" s="85" t="s">
        <v>1238</v>
      </c>
      <c r="AD100" s="80"/>
      <c r="AE100" s="80" t="b">
        <v>0</v>
      </c>
      <c r="AF100" s="80">
        <v>0</v>
      </c>
      <c r="AG100" s="85" t="s">
        <v>1635</v>
      </c>
      <c r="AH100" s="80" t="b">
        <v>0</v>
      </c>
      <c r="AI100" s="80" t="s">
        <v>1642</v>
      </c>
      <c r="AJ100" s="80"/>
      <c r="AK100" s="85" t="s">
        <v>1635</v>
      </c>
      <c r="AL100" s="80" t="b">
        <v>0</v>
      </c>
      <c r="AM100" s="80">
        <v>2</v>
      </c>
      <c r="AN100" s="85" t="s">
        <v>1551</v>
      </c>
      <c r="AO100" s="85" t="s">
        <v>1672</v>
      </c>
      <c r="AP100" s="80" t="b">
        <v>0</v>
      </c>
      <c r="AQ100" s="85" t="s">
        <v>1551</v>
      </c>
      <c r="AR100" s="80" t="s">
        <v>179</v>
      </c>
      <c r="AS100" s="80">
        <v>0</v>
      </c>
      <c r="AT100" s="80">
        <v>0</v>
      </c>
      <c r="AU100" s="80"/>
      <c r="AV100" s="80"/>
      <c r="AW100" s="80"/>
      <c r="AX100" s="80"/>
      <c r="AY100" s="80"/>
      <c r="AZ100" s="80"/>
      <c r="BA100" s="80"/>
      <c r="BB100" s="80"/>
    </row>
    <row r="101" spans="1:54" x14ac:dyDescent="0.25">
      <c r="A101" s="65" t="s">
        <v>269</v>
      </c>
      <c r="B101" s="65" t="s">
        <v>374</v>
      </c>
      <c r="C101" s="66"/>
      <c r="D101" s="67"/>
      <c r="E101" s="68"/>
      <c r="F101" s="69"/>
      <c r="G101" s="66"/>
      <c r="H101" s="70"/>
      <c r="I101" s="71"/>
      <c r="J101" s="71"/>
      <c r="K101" s="36" t="s">
        <v>65</v>
      </c>
      <c r="L101" s="78">
        <v>101</v>
      </c>
      <c r="M101" s="78"/>
      <c r="N101" s="73"/>
      <c r="O101" s="80" t="s">
        <v>415</v>
      </c>
      <c r="P101" s="82">
        <v>44630.63175925926</v>
      </c>
      <c r="Q101" s="80" t="s">
        <v>461</v>
      </c>
      <c r="R101" s="83" t="str">
        <f>HYPERLINK("https://arts-sciences.buffalo.edu/history/news-events/upcoming-events.html")</f>
        <v>https://arts-sciences.buffalo.edu/history/news-events/upcoming-events.html</v>
      </c>
      <c r="S101" s="80" t="s">
        <v>632</v>
      </c>
      <c r="T101" s="85" t="s">
        <v>357</v>
      </c>
      <c r="U101" s="83" t="str">
        <f>HYPERLINK("https://pbs.twimg.com/media/FMtNZgTX0AoGlnL.jpg")</f>
        <v>https://pbs.twimg.com/media/FMtNZgTX0AoGlnL.jpg</v>
      </c>
      <c r="V101" s="83" t="str">
        <f>HYPERLINK("https://pbs.twimg.com/media/FMtNZgTX0AoGlnL.jpg")</f>
        <v>https://pbs.twimg.com/media/FMtNZgTX0AoGlnL.jpg</v>
      </c>
      <c r="W101" s="82">
        <v>44630.63175925926</v>
      </c>
      <c r="X101" s="88">
        <v>44630</v>
      </c>
      <c r="Y101" s="85" t="s">
        <v>789</v>
      </c>
      <c r="Z101" s="83" t="str">
        <f>HYPERLINK("https://twitter.com/genezubovich/status/1501938360310382596")</f>
        <v>https://twitter.com/genezubovich/status/1501938360310382596</v>
      </c>
      <c r="AA101" s="80"/>
      <c r="AB101" s="80"/>
      <c r="AC101" s="85" t="s">
        <v>1238</v>
      </c>
      <c r="AD101" s="80"/>
      <c r="AE101" s="80" t="b">
        <v>0</v>
      </c>
      <c r="AF101" s="80">
        <v>0</v>
      </c>
      <c r="AG101" s="85" t="s">
        <v>1635</v>
      </c>
      <c r="AH101" s="80" t="b">
        <v>0</v>
      </c>
      <c r="AI101" s="80" t="s">
        <v>1642</v>
      </c>
      <c r="AJ101" s="80"/>
      <c r="AK101" s="85" t="s">
        <v>1635</v>
      </c>
      <c r="AL101" s="80" t="b">
        <v>0</v>
      </c>
      <c r="AM101" s="80">
        <v>2</v>
      </c>
      <c r="AN101" s="85" t="s">
        <v>1551</v>
      </c>
      <c r="AO101" s="85" t="s">
        <v>1672</v>
      </c>
      <c r="AP101" s="80" t="b">
        <v>0</v>
      </c>
      <c r="AQ101" s="85" t="s">
        <v>1551</v>
      </c>
      <c r="AR101" s="80" t="s">
        <v>179</v>
      </c>
      <c r="AS101" s="80">
        <v>0</v>
      </c>
      <c r="AT101" s="80">
        <v>0</v>
      </c>
      <c r="AU101" s="80"/>
      <c r="AV101" s="80"/>
      <c r="AW101" s="80"/>
      <c r="AX101" s="80"/>
      <c r="AY101" s="80"/>
      <c r="AZ101" s="80"/>
      <c r="BA101" s="80"/>
      <c r="BB101" s="80"/>
    </row>
    <row r="102" spans="1:54" x14ac:dyDescent="0.25">
      <c r="A102" s="65" t="s">
        <v>270</v>
      </c>
      <c r="B102" s="65" t="s">
        <v>387</v>
      </c>
      <c r="C102" s="66"/>
      <c r="D102" s="67"/>
      <c r="E102" s="68"/>
      <c r="F102" s="69"/>
      <c r="G102" s="66"/>
      <c r="H102" s="70"/>
      <c r="I102" s="71"/>
      <c r="J102" s="71"/>
      <c r="K102" s="36" t="s">
        <v>65</v>
      </c>
      <c r="L102" s="78">
        <v>102</v>
      </c>
      <c r="M102" s="78"/>
      <c r="N102" s="73"/>
      <c r="O102" s="80" t="s">
        <v>416</v>
      </c>
      <c r="P102" s="82">
        <v>44624.695902777778</v>
      </c>
      <c r="Q102" s="80" t="s">
        <v>439</v>
      </c>
      <c r="R102" s="83" t="str">
        <f>HYPERLINK("https://buffalohealthcast.buzzsprout.com/1645006/9566172")</f>
        <v>https://buffalohealthcast.buzzsprout.com/1645006/9566172</v>
      </c>
      <c r="S102" s="80" t="s">
        <v>640</v>
      </c>
      <c r="T102" s="85" t="s">
        <v>673</v>
      </c>
      <c r="U102" s="83" t="str">
        <f>HYPERLINK("https://pbs.twimg.com/media/FNBQlByWUAQXotQ.jpg")</f>
        <v>https://pbs.twimg.com/media/FNBQlByWUAQXotQ.jpg</v>
      </c>
      <c r="V102" s="83" t="str">
        <f>HYPERLINK("https://pbs.twimg.com/media/FNBQlByWUAQXotQ.jpg")</f>
        <v>https://pbs.twimg.com/media/FNBQlByWUAQXotQ.jpg</v>
      </c>
      <c r="W102" s="82">
        <v>44624.695902777778</v>
      </c>
      <c r="X102" s="88">
        <v>44624</v>
      </c>
      <c r="Y102" s="85" t="s">
        <v>790</v>
      </c>
      <c r="Z102" s="83" t="str">
        <f>HYPERLINK("https://twitter.com/ubhealthcast/status/1499787276930457608")</f>
        <v>https://twitter.com/ubhealthcast/status/1499787276930457608</v>
      </c>
      <c r="AA102" s="80"/>
      <c r="AB102" s="80"/>
      <c r="AC102" s="85" t="s">
        <v>1239</v>
      </c>
      <c r="AD102" s="80"/>
      <c r="AE102" s="80" t="b">
        <v>0</v>
      </c>
      <c r="AF102" s="80">
        <v>3</v>
      </c>
      <c r="AG102" s="85" t="s">
        <v>1635</v>
      </c>
      <c r="AH102" s="80" t="b">
        <v>0</v>
      </c>
      <c r="AI102" s="80" t="s">
        <v>1642</v>
      </c>
      <c r="AJ102" s="80"/>
      <c r="AK102" s="85" t="s">
        <v>1635</v>
      </c>
      <c r="AL102" s="80" t="b">
        <v>0</v>
      </c>
      <c r="AM102" s="80">
        <v>2</v>
      </c>
      <c r="AN102" s="85" t="s">
        <v>1635</v>
      </c>
      <c r="AO102" s="85" t="s">
        <v>1671</v>
      </c>
      <c r="AP102" s="80" t="b">
        <v>0</v>
      </c>
      <c r="AQ102" s="85" t="s">
        <v>1239</v>
      </c>
      <c r="AR102" s="80" t="s">
        <v>415</v>
      </c>
      <c r="AS102" s="80">
        <v>0</v>
      </c>
      <c r="AT102" s="80">
        <v>0</v>
      </c>
      <c r="AU102" s="80" t="s">
        <v>1688</v>
      </c>
      <c r="AV102" s="80" t="s">
        <v>1691</v>
      </c>
      <c r="AW102" s="80" t="s">
        <v>1692</v>
      </c>
      <c r="AX102" s="80" t="s">
        <v>1694</v>
      </c>
      <c r="AY102" s="80" t="s">
        <v>1698</v>
      </c>
      <c r="AZ102" s="80" t="s">
        <v>1702</v>
      </c>
      <c r="BA102" s="80" t="s">
        <v>1705</v>
      </c>
      <c r="BB102" s="83" t="str">
        <f>HYPERLINK("https://api.twitter.com/1.1/geo/id/a307591cd0413588.json")</f>
        <v>https://api.twitter.com/1.1/geo/id/a307591cd0413588.json</v>
      </c>
    </row>
    <row r="103" spans="1:54" x14ac:dyDescent="0.25">
      <c r="A103" s="65" t="s">
        <v>270</v>
      </c>
      <c r="B103" s="65" t="s">
        <v>354</v>
      </c>
      <c r="C103" s="66"/>
      <c r="D103" s="67"/>
      <c r="E103" s="68"/>
      <c r="F103" s="69"/>
      <c r="G103" s="66"/>
      <c r="H103" s="70"/>
      <c r="I103" s="71"/>
      <c r="J103" s="71"/>
      <c r="K103" s="36" t="s">
        <v>65</v>
      </c>
      <c r="L103" s="78">
        <v>103</v>
      </c>
      <c r="M103" s="78"/>
      <c r="N103" s="73"/>
      <c r="O103" s="80" t="s">
        <v>416</v>
      </c>
      <c r="P103" s="82">
        <v>44624.695902777778</v>
      </c>
      <c r="Q103" s="80" t="s">
        <v>439</v>
      </c>
      <c r="R103" s="83" t="str">
        <f>HYPERLINK("https://buffalohealthcast.buzzsprout.com/1645006/9566172")</f>
        <v>https://buffalohealthcast.buzzsprout.com/1645006/9566172</v>
      </c>
      <c r="S103" s="80" t="s">
        <v>640</v>
      </c>
      <c r="T103" s="85" t="s">
        <v>673</v>
      </c>
      <c r="U103" s="83" t="str">
        <f>HYPERLINK("https://pbs.twimg.com/media/FNBQlByWUAQXotQ.jpg")</f>
        <v>https://pbs.twimg.com/media/FNBQlByWUAQXotQ.jpg</v>
      </c>
      <c r="V103" s="83" t="str">
        <f>HYPERLINK("https://pbs.twimg.com/media/FNBQlByWUAQXotQ.jpg")</f>
        <v>https://pbs.twimg.com/media/FNBQlByWUAQXotQ.jpg</v>
      </c>
      <c r="W103" s="82">
        <v>44624.695902777778</v>
      </c>
      <c r="X103" s="88">
        <v>44624</v>
      </c>
      <c r="Y103" s="85" t="s">
        <v>790</v>
      </c>
      <c r="Z103" s="83" t="str">
        <f>HYPERLINK("https://twitter.com/ubhealthcast/status/1499787276930457608")</f>
        <v>https://twitter.com/ubhealthcast/status/1499787276930457608</v>
      </c>
      <c r="AA103" s="80"/>
      <c r="AB103" s="80"/>
      <c r="AC103" s="85" t="s">
        <v>1239</v>
      </c>
      <c r="AD103" s="80"/>
      <c r="AE103" s="80" t="b">
        <v>0</v>
      </c>
      <c r="AF103" s="80">
        <v>3</v>
      </c>
      <c r="AG103" s="85" t="s">
        <v>1635</v>
      </c>
      <c r="AH103" s="80" t="b">
        <v>0</v>
      </c>
      <c r="AI103" s="80" t="s">
        <v>1642</v>
      </c>
      <c r="AJ103" s="80"/>
      <c r="AK103" s="85" t="s">
        <v>1635</v>
      </c>
      <c r="AL103" s="80" t="b">
        <v>0</v>
      </c>
      <c r="AM103" s="80">
        <v>2</v>
      </c>
      <c r="AN103" s="85" t="s">
        <v>1635</v>
      </c>
      <c r="AO103" s="85" t="s">
        <v>1671</v>
      </c>
      <c r="AP103" s="80" t="b">
        <v>0</v>
      </c>
      <c r="AQ103" s="85" t="s">
        <v>1239</v>
      </c>
      <c r="AR103" s="80" t="s">
        <v>415</v>
      </c>
      <c r="AS103" s="80">
        <v>0</v>
      </c>
      <c r="AT103" s="80">
        <v>0</v>
      </c>
      <c r="AU103" s="80" t="s">
        <v>1688</v>
      </c>
      <c r="AV103" s="80" t="s">
        <v>1691</v>
      </c>
      <c r="AW103" s="80" t="s">
        <v>1692</v>
      </c>
      <c r="AX103" s="80" t="s">
        <v>1694</v>
      </c>
      <c r="AY103" s="80" t="s">
        <v>1698</v>
      </c>
      <c r="AZ103" s="80" t="s">
        <v>1702</v>
      </c>
      <c r="BA103" s="80" t="s">
        <v>1705</v>
      </c>
      <c r="BB103" s="83" t="str">
        <f>HYPERLINK("https://api.twitter.com/1.1/geo/id/a307591cd0413588.json")</f>
        <v>https://api.twitter.com/1.1/geo/id/a307591cd0413588.json</v>
      </c>
    </row>
    <row r="104" spans="1:54" x14ac:dyDescent="0.25">
      <c r="A104" s="65" t="s">
        <v>270</v>
      </c>
      <c r="B104" s="65" t="s">
        <v>270</v>
      </c>
      <c r="C104" s="66"/>
      <c r="D104" s="67"/>
      <c r="E104" s="68"/>
      <c r="F104" s="69"/>
      <c r="G104" s="66"/>
      <c r="H104" s="70"/>
      <c r="I104" s="71"/>
      <c r="J104" s="71"/>
      <c r="K104" s="36" t="s">
        <v>65</v>
      </c>
      <c r="L104" s="78">
        <v>104</v>
      </c>
      <c r="M104" s="78"/>
      <c r="N104" s="73"/>
      <c r="O104" s="80" t="s">
        <v>179</v>
      </c>
      <c r="P104" s="82">
        <v>44628.662916666668</v>
      </c>
      <c r="Q104" s="80" t="s">
        <v>438</v>
      </c>
      <c r="R104" s="80" t="s">
        <v>626</v>
      </c>
      <c r="S104" s="80" t="s">
        <v>639</v>
      </c>
      <c r="T104" s="85" t="s">
        <v>672</v>
      </c>
      <c r="U104" s="83" t="str">
        <f>HYPERLINK("https://pbs.twimg.com/media/FNVr3NoWYAEbxsv.png")</f>
        <v>https://pbs.twimg.com/media/FNVr3NoWYAEbxsv.png</v>
      </c>
      <c r="V104" s="83" t="str">
        <f>HYPERLINK("https://pbs.twimg.com/media/FNVr3NoWYAEbxsv.png")</f>
        <v>https://pbs.twimg.com/media/FNVr3NoWYAEbxsv.png</v>
      </c>
      <c r="W104" s="82">
        <v>44628.662916666668</v>
      </c>
      <c r="X104" s="88">
        <v>44628</v>
      </c>
      <c r="Y104" s="85" t="s">
        <v>791</v>
      </c>
      <c r="Z104" s="83" t="str">
        <f>HYPERLINK("https://twitter.com/ubhealthcast/status/1501224875549028355")</f>
        <v>https://twitter.com/ubhealthcast/status/1501224875549028355</v>
      </c>
      <c r="AA104" s="80"/>
      <c r="AB104" s="80"/>
      <c r="AC104" s="85" t="s">
        <v>1240</v>
      </c>
      <c r="AD104" s="80"/>
      <c r="AE104" s="80" t="b">
        <v>0</v>
      </c>
      <c r="AF104" s="80">
        <v>2</v>
      </c>
      <c r="AG104" s="85" t="s">
        <v>1635</v>
      </c>
      <c r="AH104" s="80" t="b">
        <v>0</v>
      </c>
      <c r="AI104" s="80" t="s">
        <v>1642</v>
      </c>
      <c r="AJ104" s="80"/>
      <c r="AK104" s="85" t="s">
        <v>1635</v>
      </c>
      <c r="AL104" s="80" t="b">
        <v>0</v>
      </c>
      <c r="AM104" s="80">
        <v>2</v>
      </c>
      <c r="AN104" s="85" t="s">
        <v>1635</v>
      </c>
      <c r="AO104" s="85" t="s">
        <v>1672</v>
      </c>
      <c r="AP104" s="80" t="b">
        <v>0</v>
      </c>
      <c r="AQ104" s="85" t="s">
        <v>1240</v>
      </c>
      <c r="AR104" s="80" t="s">
        <v>179</v>
      </c>
      <c r="AS104" s="80">
        <v>0</v>
      </c>
      <c r="AT104" s="80">
        <v>0</v>
      </c>
      <c r="AU104" s="80"/>
      <c r="AV104" s="80"/>
      <c r="AW104" s="80"/>
      <c r="AX104" s="80"/>
      <c r="AY104" s="80"/>
      <c r="AZ104" s="80"/>
      <c r="BA104" s="80"/>
      <c r="BB104" s="80"/>
    </row>
    <row r="105" spans="1:54" x14ac:dyDescent="0.25">
      <c r="A105" s="65" t="s">
        <v>270</v>
      </c>
      <c r="B105" s="65" t="s">
        <v>357</v>
      </c>
      <c r="C105" s="66"/>
      <c r="D105" s="67"/>
      <c r="E105" s="68"/>
      <c r="F105" s="69"/>
      <c r="G105" s="66"/>
      <c r="H105" s="70"/>
      <c r="I105" s="71"/>
      <c r="J105" s="71"/>
      <c r="K105" s="36" t="s">
        <v>65</v>
      </c>
      <c r="L105" s="78">
        <v>105</v>
      </c>
      <c r="M105" s="78"/>
      <c r="N105" s="73"/>
      <c r="O105" s="80" t="s">
        <v>416</v>
      </c>
      <c r="P105" s="82">
        <v>44630.650925925926</v>
      </c>
      <c r="Q105" s="80" t="s">
        <v>462</v>
      </c>
      <c r="R105" s="80"/>
      <c r="S105" s="80"/>
      <c r="T105" s="85" t="s">
        <v>683</v>
      </c>
      <c r="U105" s="83" t="str">
        <f>HYPERLINK("https://pbs.twimg.com/media/FNf6oxXUUA07azl.jpg")</f>
        <v>https://pbs.twimg.com/media/FNf6oxXUUA07azl.jpg</v>
      </c>
      <c r="V105" s="83" t="str">
        <f>HYPERLINK("https://pbs.twimg.com/media/FNf6oxXUUA07azl.jpg")</f>
        <v>https://pbs.twimg.com/media/FNf6oxXUUA07azl.jpg</v>
      </c>
      <c r="W105" s="82">
        <v>44630.650925925926</v>
      </c>
      <c r="X105" s="88">
        <v>44630</v>
      </c>
      <c r="Y105" s="85" t="s">
        <v>792</v>
      </c>
      <c r="Z105" s="83" t="str">
        <f>HYPERLINK("https://twitter.com/ubhealthcast/status/1501945308065923082")</f>
        <v>https://twitter.com/ubhealthcast/status/1501945308065923082</v>
      </c>
      <c r="AA105" s="80"/>
      <c r="AB105" s="80"/>
      <c r="AC105" s="85" t="s">
        <v>1241</v>
      </c>
      <c r="AD105" s="80"/>
      <c r="AE105" s="80" t="b">
        <v>0</v>
      </c>
      <c r="AF105" s="80">
        <v>1</v>
      </c>
      <c r="AG105" s="85" t="s">
        <v>1635</v>
      </c>
      <c r="AH105" s="80" t="b">
        <v>0</v>
      </c>
      <c r="AI105" s="80" t="s">
        <v>1642</v>
      </c>
      <c r="AJ105" s="80"/>
      <c r="AK105" s="85" t="s">
        <v>1635</v>
      </c>
      <c r="AL105" s="80" t="b">
        <v>0</v>
      </c>
      <c r="AM105" s="80">
        <v>0</v>
      </c>
      <c r="AN105" s="85" t="s">
        <v>1635</v>
      </c>
      <c r="AO105" s="85" t="s">
        <v>1672</v>
      </c>
      <c r="AP105" s="80" t="b">
        <v>0</v>
      </c>
      <c r="AQ105" s="85" t="s">
        <v>1241</v>
      </c>
      <c r="AR105" s="80" t="s">
        <v>179</v>
      </c>
      <c r="AS105" s="80">
        <v>0</v>
      </c>
      <c r="AT105" s="80">
        <v>0</v>
      </c>
      <c r="AU105" s="80"/>
      <c r="AV105" s="80"/>
      <c r="AW105" s="80"/>
      <c r="AX105" s="80"/>
      <c r="AY105" s="80"/>
      <c r="AZ105" s="80"/>
      <c r="BA105" s="80"/>
      <c r="BB105" s="80"/>
    </row>
    <row r="106" spans="1:54" x14ac:dyDescent="0.25">
      <c r="A106" s="65" t="s">
        <v>271</v>
      </c>
      <c r="B106" s="65" t="s">
        <v>396</v>
      </c>
      <c r="C106" s="66"/>
      <c r="D106" s="67"/>
      <c r="E106" s="68"/>
      <c r="F106" s="69"/>
      <c r="G106" s="66"/>
      <c r="H106" s="70"/>
      <c r="I106" s="71"/>
      <c r="J106" s="71"/>
      <c r="K106" s="36" t="s">
        <v>65</v>
      </c>
      <c r="L106" s="78">
        <v>106</v>
      </c>
      <c r="M106" s="78"/>
      <c r="N106" s="73"/>
      <c r="O106" s="80" t="s">
        <v>414</v>
      </c>
      <c r="P106" s="82">
        <v>44628.693449074075</v>
      </c>
      <c r="Q106" s="80" t="s">
        <v>463</v>
      </c>
      <c r="R106" s="83" t="str">
        <f>HYPERLINK("https://engineering.buffalo.edu/home/news/seas.host.html/content/shared/engineering/home/articles/news-articles/2022/three-seas-students-receive-suny-great-awards.detail.html")</f>
        <v>https://engineering.buffalo.edu/home/news/seas.host.html/content/shared/engineering/home/articles/news-articles/2022/three-seas-students-receive-suny-great-awards.detail.html</v>
      </c>
      <c r="S106" s="80" t="s">
        <v>632</v>
      </c>
      <c r="T106" s="85" t="s">
        <v>357</v>
      </c>
      <c r="U106" s="83" t="str">
        <f>HYPERLINK("https://pbs.twimg.com/media/FMx4ZUNXIAsJZx0.jpg")</f>
        <v>https://pbs.twimg.com/media/FMx4ZUNXIAsJZx0.jpg</v>
      </c>
      <c r="V106" s="83" t="str">
        <f>HYPERLINK("https://pbs.twimg.com/media/FMx4ZUNXIAsJZx0.jpg")</f>
        <v>https://pbs.twimg.com/media/FMx4ZUNXIAsJZx0.jpg</v>
      </c>
      <c r="W106" s="82">
        <v>44628.693449074075</v>
      </c>
      <c r="X106" s="88">
        <v>44628</v>
      </c>
      <c r="Y106" s="85" t="s">
        <v>793</v>
      </c>
      <c r="Z106" s="83" t="str">
        <f>HYPERLINK("https://twitter.com/rfsuny/status/1501235938608959490")</f>
        <v>https://twitter.com/rfsuny/status/1501235938608959490</v>
      </c>
      <c r="AA106" s="80"/>
      <c r="AB106" s="80"/>
      <c r="AC106" s="85" t="s">
        <v>1242</v>
      </c>
      <c r="AD106" s="80"/>
      <c r="AE106" s="80" t="b">
        <v>0</v>
      </c>
      <c r="AF106" s="80">
        <v>0</v>
      </c>
      <c r="AG106" s="85" t="s">
        <v>1635</v>
      </c>
      <c r="AH106" s="80" t="b">
        <v>0</v>
      </c>
      <c r="AI106" s="80" t="s">
        <v>1642</v>
      </c>
      <c r="AJ106" s="80"/>
      <c r="AK106" s="85" t="s">
        <v>1635</v>
      </c>
      <c r="AL106" s="80" t="b">
        <v>0</v>
      </c>
      <c r="AM106" s="80">
        <v>2</v>
      </c>
      <c r="AN106" s="85" t="s">
        <v>1299</v>
      </c>
      <c r="AO106" s="85" t="s">
        <v>1672</v>
      </c>
      <c r="AP106" s="80" t="b">
        <v>0</v>
      </c>
      <c r="AQ106" s="85" t="s">
        <v>1299</v>
      </c>
      <c r="AR106" s="80" t="s">
        <v>179</v>
      </c>
      <c r="AS106" s="80">
        <v>0</v>
      </c>
      <c r="AT106" s="80">
        <v>0</v>
      </c>
      <c r="AU106" s="80"/>
      <c r="AV106" s="80"/>
      <c r="AW106" s="80"/>
      <c r="AX106" s="80"/>
      <c r="AY106" s="80"/>
      <c r="AZ106" s="80"/>
      <c r="BA106" s="80"/>
      <c r="BB106" s="80"/>
    </row>
    <row r="107" spans="1:54" x14ac:dyDescent="0.25">
      <c r="A107" s="65" t="s">
        <v>271</v>
      </c>
      <c r="B107" s="65" t="s">
        <v>304</v>
      </c>
      <c r="C107" s="66"/>
      <c r="D107" s="67"/>
      <c r="E107" s="68"/>
      <c r="F107" s="69"/>
      <c r="G107" s="66"/>
      <c r="H107" s="70"/>
      <c r="I107" s="71"/>
      <c r="J107" s="71"/>
      <c r="K107" s="36" t="s">
        <v>65</v>
      </c>
      <c r="L107" s="78">
        <v>107</v>
      </c>
      <c r="M107" s="78"/>
      <c r="N107" s="73"/>
      <c r="O107" s="80" t="s">
        <v>415</v>
      </c>
      <c r="P107" s="82">
        <v>44628.693449074075</v>
      </c>
      <c r="Q107" s="80" t="s">
        <v>463</v>
      </c>
      <c r="R107" s="83" t="str">
        <f>HYPERLINK("https://engineering.buffalo.edu/home/news/seas.host.html/content/shared/engineering/home/articles/news-articles/2022/three-seas-students-receive-suny-great-awards.detail.html")</f>
        <v>https://engineering.buffalo.edu/home/news/seas.host.html/content/shared/engineering/home/articles/news-articles/2022/three-seas-students-receive-suny-great-awards.detail.html</v>
      </c>
      <c r="S107" s="80" t="s">
        <v>632</v>
      </c>
      <c r="T107" s="85" t="s">
        <v>357</v>
      </c>
      <c r="U107" s="83" t="str">
        <f>HYPERLINK("https://pbs.twimg.com/media/FMx4ZUNXIAsJZx0.jpg")</f>
        <v>https://pbs.twimg.com/media/FMx4ZUNXIAsJZx0.jpg</v>
      </c>
      <c r="V107" s="83" t="str">
        <f>HYPERLINK("https://pbs.twimg.com/media/FMx4ZUNXIAsJZx0.jpg")</f>
        <v>https://pbs.twimg.com/media/FMx4ZUNXIAsJZx0.jpg</v>
      </c>
      <c r="W107" s="82">
        <v>44628.693449074075</v>
      </c>
      <c r="X107" s="88">
        <v>44628</v>
      </c>
      <c r="Y107" s="85" t="s">
        <v>793</v>
      </c>
      <c r="Z107" s="83" t="str">
        <f>HYPERLINK("https://twitter.com/rfsuny/status/1501235938608959490")</f>
        <v>https://twitter.com/rfsuny/status/1501235938608959490</v>
      </c>
      <c r="AA107" s="80"/>
      <c r="AB107" s="80"/>
      <c r="AC107" s="85" t="s">
        <v>1242</v>
      </c>
      <c r="AD107" s="80"/>
      <c r="AE107" s="80" t="b">
        <v>0</v>
      </c>
      <c r="AF107" s="80">
        <v>0</v>
      </c>
      <c r="AG107" s="85" t="s">
        <v>1635</v>
      </c>
      <c r="AH107" s="80" t="b">
        <v>0</v>
      </c>
      <c r="AI107" s="80" t="s">
        <v>1642</v>
      </c>
      <c r="AJ107" s="80"/>
      <c r="AK107" s="85" t="s">
        <v>1635</v>
      </c>
      <c r="AL107" s="80" t="b">
        <v>0</v>
      </c>
      <c r="AM107" s="80">
        <v>2</v>
      </c>
      <c r="AN107" s="85" t="s">
        <v>1299</v>
      </c>
      <c r="AO107" s="85" t="s">
        <v>1672</v>
      </c>
      <c r="AP107" s="80" t="b">
        <v>0</v>
      </c>
      <c r="AQ107" s="85" t="s">
        <v>1299</v>
      </c>
      <c r="AR107" s="80" t="s">
        <v>179</v>
      </c>
      <c r="AS107" s="80">
        <v>0</v>
      </c>
      <c r="AT107" s="80">
        <v>0</v>
      </c>
      <c r="AU107" s="80"/>
      <c r="AV107" s="80"/>
      <c r="AW107" s="80"/>
      <c r="AX107" s="80"/>
      <c r="AY107" s="80"/>
      <c r="AZ107" s="80"/>
      <c r="BA107" s="80"/>
      <c r="BB107" s="80"/>
    </row>
    <row r="108" spans="1:54" x14ac:dyDescent="0.25">
      <c r="A108" s="65" t="s">
        <v>271</v>
      </c>
      <c r="B108" s="65" t="s">
        <v>304</v>
      </c>
      <c r="C108" s="66"/>
      <c r="D108" s="67"/>
      <c r="E108" s="68"/>
      <c r="F108" s="69"/>
      <c r="G108" s="66"/>
      <c r="H108" s="70"/>
      <c r="I108" s="71"/>
      <c r="J108" s="71"/>
      <c r="K108" s="36" t="s">
        <v>65</v>
      </c>
      <c r="L108" s="78">
        <v>108</v>
      </c>
      <c r="M108" s="78"/>
      <c r="N108" s="73"/>
      <c r="O108" s="80" t="s">
        <v>414</v>
      </c>
      <c r="P108" s="82">
        <v>44630.663032407407</v>
      </c>
      <c r="Q108" s="80" t="s">
        <v>464</v>
      </c>
      <c r="R108" s="83" t="str">
        <f>HYPERLINK("https://www.buffalo.edu/baldycenter/multimedia/blog/21-22-posts.html#Joe-Atkinson")</f>
        <v>https://www.buffalo.edu/baldycenter/multimedia/blog/21-22-posts.html#Joe-Atkinson</v>
      </c>
      <c r="S108" s="80" t="s">
        <v>632</v>
      </c>
      <c r="T108" s="85" t="s">
        <v>357</v>
      </c>
      <c r="U108" s="80"/>
      <c r="V108" s="83" t="str">
        <f>HYPERLINK("https://pbs.twimg.com/profile_images/1476987920603140105/9N0-uzH__normal.jpg")</f>
        <v>https://pbs.twimg.com/profile_images/1476987920603140105/9N0-uzH__normal.jpg</v>
      </c>
      <c r="W108" s="82">
        <v>44630.663032407407</v>
      </c>
      <c r="X108" s="88">
        <v>44630</v>
      </c>
      <c r="Y108" s="85" t="s">
        <v>794</v>
      </c>
      <c r="Z108" s="83" t="str">
        <f>HYPERLINK("https://twitter.com/rfsuny/status/1501949695337263104")</f>
        <v>https://twitter.com/rfsuny/status/1501949695337263104</v>
      </c>
      <c r="AA108" s="80"/>
      <c r="AB108" s="80"/>
      <c r="AC108" s="85" t="s">
        <v>1243</v>
      </c>
      <c r="AD108" s="80"/>
      <c r="AE108" s="80" t="b">
        <v>0</v>
      </c>
      <c r="AF108" s="80">
        <v>0</v>
      </c>
      <c r="AG108" s="85" t="s">
        <v>1635</v>
      </c>
      <c r="AH108" s="80" t="b">
        <v>0</v>
      </c>
      <c r="AI108" s="80" t="s">
        <v>1642</v>
      </c>
      <c r="AJ108" s="80"/>
      <c r="AK108" s="85" t="s">
        <v>1635</v>
      </c>
      <c r="AL108" s="80" t="b">
        <v>0</v>
      </c>
      <c r="AM108" s="80">
        <v>2</v>
      </c>
      <c r="AN108" s="85" t="s">
        <v>1300</v>
      </c>
      <c r="AO108" s="85" t="s">
        <v>1672</v>
      </c>
      <c r="AP108" s="80" t="b">
        <v>0</v>
      </c>
      <c r="AQ108" s="85" t="s">
        <v>1300</v>
      </c>
      <c r="AR108" s="80" t="s">
        <v>179</v>
      </c>
      <c r="AS108" s="80">
        <v>0</v>
      </c>
      <c r="AT108" s="80">
        <v>0</v>
      </c>
      <c r="AU108" s="80"/>
      <c r="AV108" s="80"/>
      <c r="AW108" s="80"/>
      <c r="AX108" s="80"/>
      <c r="AY108" s="80"/>
      <c r="AZ108" s="80"/>
      <c r="BA108" s="80"/>
      <c r="BB108" s="80"/>
    </row>
    <row r="109" spans="1:54" x14ac:dyDescent="0.25">
      <c r="A109" s="65" t="s">
        <v>271</v>
      </c>
      <c r="B109" s="65" t="s">
        <v>267</v>
      </c>
      <c r="C109" s="66"/>
      <c r="D109" s="67"/>
      <c r="E109" s="68"/>
      <c r="F109" s="69"/>
      <c r="G109" s="66"/>
      <c r="H109" s="70"/>
      <c r="I109" s="71"/>
      <c r="J109" s="71"/>
      <c r="K109" s="36" t="s">
        <v>65</v>
      </c>
      <c r="L109" s="78">
        <v>109</v>
      </c>
      <c r="M109" s="78"/>
      <c r="N109" s="73"/>
      <c r="O109" s="80" t="s">
        <v>415</v>
      </c>
      <c r="P109" s="82">
        <v>44630.663032407407</v>
      </c>
      <c r="Q109" s="80" t="s">
        <v>464</v>
      </c>
      <c r="R109" s="83" t="str">
        <f>HYPERLINK("https://www.buffalo.edu/baldycenter/multimedia/blog/21-22-posts.html#Joe-Atkinson")</f>
        <v>https://www.buffalo.edu/baldycenter/multimedia/blog/21-22-posts.html#Joe-Atkinson</v>
      </c>
      <c r="S109" s="80" t="s">
        <v>632</v>
      </c>
      <c r="T109" s="85" t="s">
        <v>357</v>
      </c>
      <c r="U109" s="80"/>
      <c r="V109" s="83" t="str">
        <f>HYPERLINK("https://pbs.twimg.com/profile_images/1476987920603140105/9N0-uzH__normal.jpg")</f>
        <v>https://pbs.twimg.com/profile_images/1476987920603140105/9N0-uzH__normal.jpg</v>
      </c>
      <c r="W109" s="82">
        <v>44630.663032407407</v>
      </c>
      <c r="X109" s="88">
        <v>44630</v>
      </c>
      <c r="Y109" s="85" t="s">
        <v>794</v>
      </c>
      <c r="Z109" s="83" t="str">
        <f>HYPERLINK("https://twitter.com/rfsuny/status/1501949695337263104")</f>
        <v>https://twitter.com/rfsuny/status/1501949695337263104</v>
      </c>
      <c r="AA109" s="80"/>
      <c r="AB109" s="80"/>
      <c r="AC109" s="85" t="s">
        <v>1243</v>
      </c>
      <c r="AD109" s="80"/>
      <c r="AE109" s="80" t="b">
        <v>0</v>
      </c>
      <c r="AF109" s="80">
        <v>0</v>
      </c>
      <c r="AG109" s="85" t="s">
        <v>1635</v>
      </c>
      <c r="AH109" s="80" t="b">
        <v>0</v>
      </c>
      <c r="AI109" s="80" t="s">
        <v>1642</v>
      </c>
      <c r="AJ109" s="80"/>
      <c r="AK109" s="85" t="s">
        <v>1635</v>
      </c>
      <c r="AL109" s="80" t="b">
        <v>0</v>
      </c>
      <c r="AM109" s="80">
        <v>2</v>
      </c>
      <c r="AN109" s="85" t="s">
        <v>1300</v>
      </c>
      <c r="AO109" s="85" t="s">
        <v>1672</v>
      </c>
      <c r="AP109" s="80" t="b">
        <v>0</v>
      </c>
      <c r="AQ109" s="85" t="s">
        <v>1300</v>
      </c>
      <c r="AR109" s="80" t="s">
        <v>179</v>
      </c>
      <c r="AS109" s="80">
        <v>0</v>
      </c>
      <c r="AT109" s="80">
        <v>0</v>
      </c>
      <c r="AU109" s="80"/>
      <c r="AV109" s="80"/>
      <c r="AW109" s="80"/>
      <c r="AX109" s="80"/>
      <c r="AY109" s="80"/>
      <c r="AZ109" s="80"/>
      <c r="BA109" s="80"/>
      <c r="BB109" s="80"/>
    </row>
    <row r="110" spans="1:54" x14ac:dyDescent="0.25">
      <c r="A110" s="65" t="s">
        <v>272</v>
      </c>
      <c r="B110" s="65" t="s">
        <v>284</v>
      </c>
      <c r="C110" s="66"/>
      <c r="D110" s="67"/>
      <c r="E110" s="68"/>
      <c r="F110" s="69"/>
      <c r="G110" s="66"/>
      <c r="H110" s="70"/>
      <c r="I110" s="71"/>
      <c r="J110" s="71"/>
      <c r="K110" s="36" t="s">
        <v>65</v>
      </c>
      <c r="L110" s="78">
        <v>110</v>
      </c>
      <c r="M110" s="78"/>
      <c r="N110" s="73"/>
      <c r="O110" s="80" t="s">
        <v>415</v>
      </c>
      <c r="P110" s="82">
        <v>44630.686157407406</v>
      </c>
      <c r="Q110" s="80" t="s">
        <v>465</v>
      </c>
      <c r="R110" s="83" t="str">
        <f>HYPERLINK("https://management.buffalo.edu/about/buffalo-business/2022spring/features/setting-the-stage.html")</f>
        <v>https://management.buffalo.edu/about/buffalo-business/2022spring/features/setting-the-stage.html</v>
      </c>
      <c r="S110" s="80" t="s">
        <v>632</v>
      </c>
      <c r="T110" s="85" t="s">
        <v>684</v>
      </c>
      <c r="U110" s="80"/>
      <c r="V110" s="83" t="str">
        <f>HYPERLINK("https://pbs.twimg.com/profile_images/1488522492440420361/6UBVXEoD_normal.jpg")</f>
        <v>https://pbs.twimg.com/profile_images/1488522492440420361/6UBVXEoD_normal.jpg</v>
      </c>
      <c r="W110" s="82">
        <v>44630.686157407406</v>
      </c>
      <c r="X110" s="88">
        <v>44630</v>
      </c>
      <c r="Y110" s="85" t="s">
        <v>795</v>
      </c>
      <c r="Z110" s="83" t="str">
        <f>HYPERLINK("https://twitter.com/ub_cel/status/1501958073128308743")</f>
        <v>https://twitter.com/ub_cel/status/1501958073128308743</v>
      </c>
      <c r="AA110" s="80"/>
      <c r="AB110" s="80"/>
      <c r="AC110" s="85" t="s">
        <v>1244</v>
      </c>
      <c r="AD110" s="80"/>
      <c r="AE110" s="80" t="b">
        <v>0</v>
      </c>
      <c r="AF110" s="80">
        <v>0</v>
      </c>
      <c r="AG110" s="85" t="s">
        <v>1635</v>
      </c>
      <c r="AH110" s="80" t="b">
        <v>1</v>
      </c>
      <c r="AI110" s="80" t="s">
        <v>1642</v>
      </c>
      <c r="AJ110" s="80"/>
      <c r="AK110" s="85" t="s">
        <v>1646</v>
      </c>
      <c r="AL110" s="80" t="b">
        <v>0</v>
      </c>
      <c r="AM110" s="80">
        <v>1</v>
      </c>
      <c r="AN110" s="85" t="s">
        <v>1447</v>
      </c>
      <c r="AO110" s="85" t="s">
        <v>1672</v>
      </c>
      <c r="AP110" s="80" t="b">
        <v>0</v>
      </c>
      <c r="AQ110" s="85" t="s">
        <v>1447</v>
      </c>
      <c r="AR110" s="80" t="s">
        <v>179</v>
      </c>
      <c r="AS110" s="80">
        <v>0</v>
      </c>
      <c r="AT110" s="80">
        <v>0</v>
      </c>
      <c r="AU110" s="80"/>
      <c r="AV110" s="80"/>
      <c r="AW110" s="80"/>
      <c r="AX110" s="80"/>
      <c r="AY110" s="80"/>
      <c r="AZ110" s="80"/>
      <c r="BA110" s="80"/>
      <c r="BB110" s="80"/>
    </row>
    <row r="111" spans="1:54" x14ac:dyDescent="0.25">
      <c r="A111" s="65" t="s">
        <v>273</v>
      </c>
      <c r="B111" s="65" t="s">
        <v>273</v>
      </c>
      <c r="C111" s="66"/>
      <c r="D111" s="67"/>
      <c r="E111" s="68"/>
      <c r="F111" s="69"/>
      <c r="G111" s="66"/>
      <c r="H111" s="70"/>
      <c r="I111" s="71"/>
      <c r="J111" s="71"/>
      <c r="K111" s="36" t="s">
        <v>65</v>
      </c>
      <c r="L111" s="78">
        <v>111</v>
      </c>
      <c r="M111" s="78"/>
      <c r="N111" s="73"/>
      <c r="O111" s="80" t="s">
        <v>179</v>
      </c>
      <c r="P111" s="82">
        <v>44630.743090277778</v>
      </c>
      <c r="Q111" s="80" t="s">
        <v>466</v>
      </c>
      <c r="R111" s="83" t="str">
        <f>HYPERLINK("https://pickpub.com/buffalo-akron-prediction-preview-college-basketball-2022-03-10/")</f>
        <v>https://pickpub.com/buffalo-akron-prediction-preview-college-basketball-2022-03-10/</v>
      </c>
      <c r="S111" s="80" t="s">
        <v>645</v>
      </c>
      <c r="T111" s="85" t="s">
        <v>685</v>
      </c>
      <c r="U111" s="80"/>
      <c r="V111" s="83" t="str">
        <f>HYPERLINK("https://pbs.twimg.com/profile_images/1448867507167715334/HV029ZxR_normal.jpg")</f>
        <v>https://pbs.twimg.com/profile_images/1448867507167715334/HV029ZxR_normal.jpg</v>
      </c>
      <c r="W111" s="82">
        <v>44630.743090277778</v>
      </c>
      <c r="X111" s="88">
        <v>44630</v>
      </c>
      <c r="Y111" s="85" t="s">
        <v>796</v>
      </c>
      <c r="Z111" s="83" t="str">
        <f>HYPERLINK("https://twitter.com/pickpub/status/1501978704318275589")</f>
        <v>https://twitter.com/pickpub/status/1501978704318275589</v>
      </c>
      <c r="AA111" s="80"/>
      <c r="AB111" s="80"/>
      <c r="AC111" s="85" t="s">
        <v>1245</v>
      </c>
      <c r="AD111" s="80"/>
      <c r="AE111" s="80" t="b">
        <v>0</v>
      </c>
      <c r="AF111" s="80">
        <v>1</v>
      </c>
      <c r="AG111" s="85" t="s">
        <v>1635</v>
      </c>
      <c r="AH111" s="80" t="b">
        <v>0</v>
      </c>
      <c r="AI111" s="80" t="s">
        <v>1642</v>
      </c>
      <c r="AJ111" s="80"/>
      <c r="AK111" s="85" t="s">
        <v>1635</v>
      </c>
      <c r="AL111" s="80" t="b">
        <v>0</v>
      </c>
      <c r="AM111" s="80">
        <v>0</v>
      </c>
      <c r="AN111" s="85" t="s">
        <v>1635</v>
      </c>
      <c r="AO111" s="85" t="s">
        <v>1682</v>
      </c>
      <c r="AP111" s="80" t="b">
        <v>0</v>
      </c>
      <c r="AQ111" s="85" t="s">
        <v>1245</v>
      </c>
      <c r="AR111" s="80" t="s">
        <v>179</v>
      </c>
      <c r="AS111" s="80">
        <v>0</v>
      </c>
      <c r="AT111" s="80">
        <v>0</v>
      </c>
      <c r="AU111" s="80"/>
      <c r="AV111" s="80"/>
      <c r="AW111" s="80"/>
      <c r="AX111" s="80"/>
      <c r="AY111" s="80"/>
      <c r="AZ111" s="80"/>
      <c r="BA111" s="80"/>
      <c r="BB111" s="80"/>
    </row>
    <row r="112" spans="1:54" x14ac:dyDescent="0.25">
      <c r="A112" s="65" t="s">
        <v>273</v>
      </c>
      <c r="B112" s="65" t="s">
        <v>273</v>
      </c>
      <c r="C112" s="66"/>
      <c r="D112" s="67"/>
      <c r="E112" s="68"/>
      <c r="F112" s="69"/>
      <c r="G112" s="66"/>
      <c r="H112" s="70"/>
      <c r="I112" s="71"/>
      <c r="J112" s="71"/>
      <c r="K112" s="36" t="s">
        <v>65</v>
      </c>
      <c r="L112" s="78">
        <v>112</v>
      </c>
      <c r="M112" s="78"/>
      <c r="N112" s="73"/>
      <c r="O112" s="80" t="s">
        <v>179</v>
      </c>
      <c r="P112" s="82">
        <v>44630.74796296296</v>
      </c>
      <c r="Q112" s="80" t="s">
        <v>467</v>
      </c>
      <c r="R112" s="83" t="str">
        <f>HYPERLINK("https://pickpub.com/buffalo-akron-prediction-preview-college-basketball-2022-03-10/")</f>
        <v>https://pickpub.com/buffalo-akron-prediction-preview-college-basketball-2022-03-10/</v>
      </c>
      <c r="S112" s="80" t="s">
        <v>645</v>
      </c>
      <c r="T112" s="85" t="s">
        <v>686</v>
      </c>
      <c r="U112" s="80"/>
      <c r="V112" s="83" t="str">
        <f>HYPERLINK("https://pbs.twimg.com/profile_images/1448867507167715334/HV029ZxR_normal.jpg")</f>
        <v>https://pbs.twimg.com/profile_images/1448867507167715334/HV029ZxR_normal.jpg</v>
      </c>
      <c r="W112" s="82">
        <v>44630.74796296296</v>
      </c>
      <c r="X112" s="88">
        <v>44630</v>
      </c>
      <c r="Y112" s="85" t="s">
        <v>797</v>
      </c>
      <c r="Z112" s="83" t="str">
        <f>HYPERLINK("https://twitter.com/pickpub/status/1501980471818960896")</f>
        <v>https://twitter.com/pickpub/status/1501980471818960896</v>
      </c>
      <c r="AA112" s="80"/>
      <c r="AB112" s="80"/>
      <c r="AC112" s="85" t="s">
        <v>1246</v>
      </c>
      <c r="AD112" s="80"/>
      <c r="AE112" s="80" t="b">
        <v>0</v>
      </c>
      <c r="AF112" s="80">
        <v>0</v>
      </c>
      <c r="AG112" s="85" t="s">
        <v>1635</v>
      </c>
      <c r="AH112" s="80" t="b">
        <v>0</v>
      </c>
      <c r="AI112" s="80" t="s">
        <v>1642</v>
      </c>
      <c r="AJ112" s="80"/>
      <c r="AK112" s="85" t="s">
        <v>1635</v>
      </c>
      <c r="AL112" s="80" t="b">
        <v>0</v>
      </c>
      <c r="AM112" s="80">
        <v>0</v>
      </c>
      <c r="AN112" s="85" t="s">
        <v>1635</v>
      </c>
      <c r="AO112" s="85" t="s">
        <v>1682</v>
      </c>
      <c r="AP112" s="80" t="b">
        <v>0</v>
      </c>
      <c r="AQ112" s="85" t="s">
        <v>1246</v>
      </c>
      <c r="AR112" s="80" t="s">
        <v>179</v>
      </c>
      <c r="AS112" s="80">
        <v>0</v>
      </c>
      <c r="AT112" s="80">
        <v>0</v>
      </c>
      <c r="AU112" s="80"/>
      <c r="AV112" s="80"/>
      <c r="AW112" s="80"/>
      <c r="AX112" s="80"/>
      <c r="AY112" s="80"/>
      <c r="AZ112" s="80"/>
      <c r="BA112" s="80"/>
      <c r="BB112" s="80"/>
    </row>
    <row r="113" spans="1:54" x14ac:dyDescent="0.25">
      <c r="A113" s="65" t="s">
        <v>274</v>
      </c>
      <c r="B113" s="65" t="s">
        <v>377</v>
      </c>
      <c r="C113" s="66"/>
      <c r="D113" s="67"/>
      <c r="E113" s="68"/>
      <c r="F113" s="69"/>
      <c r="G113" s="66"/>
      <c r="H113" s="70"/>
      <c r="I113" s="71"/>
      <c r="J113" s="71"/>
      <c r="K113" s="36" t="s">
        <v>65</v>
      </c>
      <c r="L113" s="78">
        <v>113</v>
      </c>
      <c r="M113" s="78"/>
      <c r="N113" s="73"/>
      <c r="O113" s="80" t="s">
        <v>415</v>
      </c>
      <c r="P113" s="82">
        <v>44628.587546296294</v>
      </c>
      <c r="Q113" s="80" t="s">
        <v>468</v>
      </c>
      <c r="R113" s="83" t="str">
        <f>HYPERLINK("https://www.buffalo.edu/coronavirus/health-and-safety/testing.html")</f>
        <v>https://www.buffalo.edu/coronavirus/health-and-safety/testing.html</v>
      </c>
      <c r="S113" s="80" t="s">
        <v>632</v>
      </c>
      <c r="T113" s="85" t="s">
        <v>357</v>
      </c>
      <c r="U113" s="80"/>
      <c r="V113" s="83" t="str">
        <f>HYPERLINK("https://pbs.twimg.com/profile_images/942757046952321025/qfAUWWSn_normal.jpg")</f>
        <v>https://pbs.twimg.com/profile_images/942757046952321025/qfAUWWSn_normal.jpg</v>
      </c>
      <c r="W113" s="82">
        <v>44628.587546296294</v>
      </c>
      <c r="X113" s="88">
        <v>44628</v>
      </c>
      <c r="Y113" s="85" t="s">
        <v>798</v>
      </c>
      <c r="Z113" s="83" t="str">
        <f>HYPERLINK("https://twitter.com/ubhjkri/status/1501197560630947842")</f>
        <v>https://twitter.com/ubhjkri/status/1501197560630947842</v>
      </c>
      <c r="AA113" s="80"/>
      <c r="AB113" s="80"/>
      <c r="AC113" s="85" t="s">
        <v>1247</v>
      </c>
      <c r="AD113" s="80"/>
      <c r="AE113" s="80" t="b">
        <v>0</v>
      </c>
      <c r="AF113" s="80">
        <v>0</v>
      </c>
      <c r="AG113" s="85" t="s">
        <v>1635</v>
      </c>
      <c r="AH113" s="80" t="b">
        <v>0</v>
      </c>
      <c r="AI113" s="80" t="s">
        <v>1642</v>
      </c>
      <c r="AJ113" s="80"/>
      <c r="AK113" s="85" t="s">
        <v>1635</v>
      </c>
      <c r="AL113" s="80" t="b">
        <v>0</v>
      </c>
      <c r="AM113" s="80">
        <v>1</v>
      </c>
      <c r="AN113" s="85" t="s">
        <v>1591</v>
      </c>
      <c r="AO113" s="85" t="s">
        <v>1672</v>
      </c>
      <c r="AP113" s="80" t="b">
        <v>0</v>
      </c>
      <c r="AQ113" s="85" t="s">
        <v>1591</v>
      </c>
      <c r="AR113" s="80" t="s">
        <v>179</v>
      </c>
      <c r="AS113" s="80">
        <v>0</v>
      </c>
      <c r="AT113" s="80">
        <v>0</v>
      </c>
      <c r="AU113" s="80"/>
      <c r="AV113" s="80"/>
      <c r="AW113" s="80"/>
      <c r="AX113" s="80"/>
      <c r="AY113" s="80"/>
      <c r="AZ113" s="80"/>
      <c r="BA113" s="80"/>
      <c r="BB113" s="80"/>
    </row>
    <row r="114" spans="1:54" x14ac:dyDescent="0.25">
      <c r="A114" s="65" t="s">
        <v>274</v>
      </c>
      <c r="B114" s="65" t="s">
        <v>307</v>
      </c>
      <c r="C114" s="66"/>
      <c r="D114" s="67"/>
      <c r="E114" s="68"/>
      <c r="F114" s="69"/>
      <c r="G114" s="66"/>
      <c r="H114" s="70"/>
      <c r="I114" s="71"/>
      <c r="J114" s="71"/>
      <c r="K114" s="36" t="s">
        <v>65</v>
      </c>
      <c r="L114" s="78">
        <v>114</v>
      </c>
      <c r="M114" s="78"/>
      <c r="N114" s="73"/>
      <c r="O114" s="80" t="s">
        <v>414</v>
      </c>
      <c r="P114" s="82">
        <v>44630.859525462962</v>
      </c>
      <c r="Q114" s="80" t="s">
        <v>469</v>
      </c>
      <c r="R114" s="83" t="str">
        <f>HYPERLINK("https://twitter.com/Jacobs_Med_UB/status/1501709433679892497")</f>
        <v>https://twitter.com/Jacobs_Med_UB/status/1501709433679892497</v>
      </c>
      <c r="S114" s="80" t="s">
        <v>633</v>
      </c>
      <c r="T114" s="85" t="s">
        <v>357</v>
      </c>
      <c r="U114" s="80"/>
      <c r="V114" s="83" t="str">
        <f>HYPERLINK("https://pbs.twimg.com/profile_images/942757046952321025/qfAUWWSn_normal.jpg")</f>
        <v>https://pbs.twimg.com/profile_images/942757046952321025/qfAUWWSn_normal.jpg</v>
      </c>
      <c r="W114" s="82">
        <v>44630.859525462962</v>
      </c>
      <c r="X114" s="88">
        <v>44630</v>
      </c>
      <c r="Y114" s="85" t="s">
        <v>799</v>
      </c>
      <c r="Z114" s="83" t="str">
        <f>HYPERLINK("https://twitter.com/ubhjkri/status/1502020902149525504")</f>
        <v>https://twitter.com/ubhjkri/status/1502020902149525504</v>
      </c>
      <c r="AA114" s="80"/>
      <c r="AB114" s="80"/>
      <c r="AC114" s="85" t="s">
        <v>1248</v>
      </c>
      <c r="AD114" s="80"/>
      <c r="AE114" s="80" t="b">
        <v>0</v>
      </c>
      <c r="AF114" s="80">
        <v>0</v>
      </c>
      <c r="AG114" s="85" t="s">
        <v>1635</v>
      </c>
      <c r="AH114" s="80" t="b">
        <v>1</v>
      </c>
      <c r="AI114" s="80" t="s">
        <v>1642</v>
      </c>
      <c r="AJ114" s="80"/>
      <c r="AK114" s="85" t="s">
        <v>1459</v>
      </c>
      <c r="AL114" s="80" t="b">
        <v>0</v>
      </c>
      <c r="AM114" s="80">
        <v>1</v>
      </c>
      <c r="AN114" s="85" t="s">
        <v>1261</v>
      </c>
      <c r="AO114" s="85" t="s">
        <v>1672</v>
      </c>
      <c r="AP114" s="80" t="b">
        <v>0</v>
      </c>
      <c r="AQ114" s="85" t="s">
        <v>1261</v>
      </c>
      <c r="AR114" s="80" t="s">
        <v>179</v>
      </c>
      <c r="AS114" s="80">
        <v>0</v>
      </c>
      <c r="AT114" s="80">
        <v>0</v>
      </c>
      <c r="AU114" s="80"/>
      <c r="AV114" s="80"/>
      <c r="AW114" s="80"/>
      <c r="AX114" s="80"/>
      <c r="AY114" s="80"/>
      <c r="AZ114" s="80"/>
      <c r="BA114" s="80"/>
      <c r="BB114" s="80"/>
    </row>
    <row r="115" spans="1:54" x14ac:dyDescent="0.25">
      <c r="A115" s="65" t="s">
        <v>274</v>
      </c>
      <c r="B115" s="65" t="s">
        <v>263</v>
      </c>
      <c r="C115" s="66"/>
      <c r="D115" s="67"/>
      <c r="E115" s="68"/>
      <c r="F115" s="69"/>
      <c r="G115" s="66"/>
      <c r="H115" s="70"/>
      <c r="I115" s="71"/>
      <c r="J115" s="71"/>
      <c r="K115" s="36" t="s">
        <v>65</v>
      </c>
      <c r="L115" s="78">
        <v>115</v>
      </c>
      <c r="M115" s="78"/>
      <c r="N115" s="73"/>
      <c r="O115" s="80" t="s">
        <v>415</v>
      </c>
      <c r="P115" s="82">
        <v>44630.859525462962</v>
      </c>
      <c r="Q115" s="80" t="s">
        <v>469</v>
      </c>
      <c r="R115" s="83" t="str">
        <f>HYPERLINK("https://twitter.com/Jacobs_Med_UB/status/1501709433679892497")</f>
        <v>https://twitter.com/Jacobs_Med_UB/status/1501709433679892497</v>
      </c>
      <c r="S115" s="80" t="s">
        <v>633</v>
      </c>
      <c r="T115" s="85" t="s">
        <v>357</v>
      </c>
      <c r="U115" s="80"/>
      <c r="V115" s="83" t="str">
        <f>HYPERLINK("https://pbs.twimg.com/profile_images/942757046952321025/qfAUWWSn_normal.jpg")</f>
        <v>https://pbs.twimg.com/profile_images/942757046952321025/qfAUWWSn_normal.jpg</v>
      </c>
      <c r="W115" s="82">
        <v>44630.859525462962</v>
      </c>
      <c r="X115" s="88">
        <v>44630</v>
      </c>
      <c r="Y115" s="85" t="s">
        <v>799</v>
      </c>
      <c r="Z115" s="83" t="str">
        <f>HYPERLINK("https://twitter.com/ubhjkri/status/1502020902149525504")</f>
        <v>https://twitter.com/ubhjkri/status/1502020902149525504</v>
      </c>
      <c r="AA115" s="80"/>
      <c r="AB115" s="80"/>
      <c r="AC115" s="85" t="s">
        <v>1248</v>
      </c>
      <c r="AD115" s="80"/>
      <c r="AE115" s="80" t="b">
        <v>0</v>
      </c>
      <c r="AF115" s="80">
        <v>0</v>
      </c>
      <c r="AG115" s="85" t="s">
        <v>1635</v>
      </c>
      <c r="AH115" s="80" t="b">
        <v>1</v>
      </c>
      <c r="AI115" s="80" t="s">
        <v>1642</v>
      </c>
      <c r="AJ115" s="80"/>
      <c r="AK115" s="85" t="s">
        <v>1459</v>
      </c>
      <c r="AL115" s="80" t="b">
        <v>0</v>
      </c>
      <c r="AM115" s="80">
        <v>1</v>
      </c>
      <c r="AN115" s="85" t="s">
        <v>1261</v>
      </c>
      <c r="AO115" s="85" t="s">
        <v>1672</v>
      </c>
      <c r="AP115" s="80" t="b">
        <v>0</v>
      </c>
      <c r="AQ115" s="85" t="s">
        <v>1261</v>
      </c>
      <c r="AR115" s="80" t="s">
        <v>179</v>
      </c>
      <c r="AS115" s="80">
        <v>0</v>
      </c>
      <c r="AT115" s="80">
        <v>0</v>
      </c>
      <c r="AU115" s="80"/>
      <c r="AV115" s="80"/>
      <c r="AW115" s="80"/>
      <c r="AX115" s="80"/>
      <c r="AY115" s="80"/>
      <c r="AZ115" s="80"/>
      <c r="BA115" s="80"/>
      <c r="BB115" s="80"/>
    </row>
    <row r="116" spans="1:54" x14ac:dyDescent="0.25">
      <c r="A116" s="65" t="s">
        <v>274</v>
      </c>
      <c r="B116" s="65" t="s">
        <v>307</v>
      </c>
      <c r="C116" s="66"/>
      <c r="D116" s="67"/>
      <c r="E116" s="68"/>
      <c r="F116" s="69"/>
      <c r="G116" s="66"/>
      <c r="H116" s="70"/>
      <c r="I116" s="71"/>
      <c r="J116" s="71"/>
      <c r="K116" s="36" t="s">
        <v>65</v>
      </c>
      <c r="L116" s="78">
        <v>116</v>
      </c>
      <c r="M116" s="78"/>
      <c r="N116" s="73"/>
      <c r="O116" s="80" t="s">
        <v>415</v>
      </c>
      <c r="P116" s="82">
        <v>44630.859918981485</v>
      </c>
      <c r="Q116" s="80" t="s">
        <v>470</v>
      </c>
      <c r="R116" s="83" t="str">
        <f>HYPERLINK("https://medicine.buffalo.edu/oiace/diversity/diversity-month/women-history-month.host.html/content/shared/smbs/instruction_and_help_oiace/women/mary-blair-moody.detail.html")</f>
        <v>https://medicine.buffalo.edu/oiace/diversity/diversity-month/women-history-month.host.html/content/shared/smbs/instruction_and_help_oiace/women/mary-blair-moody.detail.html</v>
      </c>
      <c r="S116" s="80" t="s">
        <v>632</v>
      </c>
      <c r="T116" s="85" t="s">
        <v>687</v>
      </c>
      <c r="U116" s="83" t="str">
        <f>HYPERLINK("https://pbs.twimg.com/media/FNflJFgXIAIjHEn.jpg")</f>
        <v>https://pbs.twimg.com/media/FNflJFgXIAIjHEn.jpg</v>
      </c>
      <c r="V116" s="83" t="str">
        <f>HYPERLINK("https://pbs.twimg.com/media/FNflJFgXIAIjHEn.jpg")</f>
        <v>https://pbs.twimg.com/media/FNflJFgXIAIjHEn.jpg</v>
      </c>
      <c r="W116" s="82">
        <v>44630.859918981485</v>
      </c>
      <c r="X116" s="88">
        <v>44630</v>
      </c>
      <c r="Y116" s="85" t="s">
        <v>800</v>
      </c>
      <c r="Z116" s="83" t="str">
        <f>HYPERLINK("https://twitter.com/ubhjkri/status/1502021043078279172")</f>
        <v>https://twitter.com/ubhjkri/status/1502021043078279172</v>
      </c>
      <c r="AA116" s="80"/>
      <c r="AB116" s="80"/>
      <c r="AC116" s="85" t="s">
        <v>1249</v>
      </c>
      <c r="AD116" s="80"/>
      <c r="AE116" s="80" t="b">
        <v>0</v>
      </c>
      <c r="AF116" s="80">
        <v>0</v>
      </c>
      <c r="AG116" s="85" t="s">
        <v>1635</v>
      </c>
      <c r="AH116" s="80" t="b">
        <v>0</v>
      </c>
      <c r="AI116" s="80" t="s">
        <v>1642</v>
      </c>
      <c r="AJ116" s="80"/>
      <c r="AK116" s="85" t="s">
        <v>1635</v>
      </c>
      <c r="AL116" s="80" t="b">
        <v>0</v>
      </c>
      <c r="AM116" s="80">
        <v>4</v>
      </c>
      <c r="AN116" s="85" t="s">
        <v>1460</v>
      </c>
      <c r="AO116" s="85" t="s">
        <v>1672</v>
      </c>
      <c r="AP116" s="80" t="b">
        <v>0</v>
      </c>
      <c r="AQ116" s="85" t="s">
        <v>1460</v>
      </c>
      <c r="AR116" s="80" t="s">
        <v>179</v>
      </c>
      <c r="AS116" s="80">
        <v>0</v>
      </c>
      <c r="AT116" s="80">
        <v>0</v>
      </c>
      <c r="AU116" s="80"/>
      <c r="AV116" s="80"/>
      <c r="AW116" s="80"/>
      <c r="AX116" s="80"/>
      <c r="AY116" s="80"/>
      <c r="AZ116" s="80"/>
      <c r="BA116" s="80"/>
      <c r="BB116" s="80"/>
    </row>
    <row r="117" spans="1:54" x14ac:dyDescent="0.25">
      <c r="A117" s="65" t="s">
        <v>275</v>
      </c>
      <c r="B117" s="65" t="s">
        <v>307</v>
      </c>
      <c r="C117" s="66"/>
      <c r="D117" s="67"/>
      <c r="E117" s="68"/>
      <c r="F117" s="69"/>
      <c r="G117" s="66"/>
      <c r="H117" s="70"/>
      <c r="I117" s="71"/>
      <c r="J117" s="71"/>
      <c r="K117" s="36" t="s">
        <v>65</v>
      </c>
      <c r="L117" s="78">
        <v>117</v>
      </c>
      <c r="M117" s="78"/>
      <c r="N117" s="73"/>
      <c r="O117" s="80" t="s">
        <v>415</v>
      </c>
      <c r="P117" s="82">
        <v>44630.887094907404</v>
      </c>
      <c r="Q117" s="80" t="s">
        <v>470</v>
      </c>
      <c r="R117" s="83" t="str">
        <f>HYPERLINK("https://medicine.buffalo.edu/oiace/diversity/diversity-month/women-history-month.host.html/content/shared/smbs/instruction_and_help_oiace/women/mary-blair-moody.detail.html")</f>
        <v>https://medicine.buffalo.edu/oiace/diversity/diversity-month/women-history-month.host.html/content/shared/smbs/instruction_and_help_oiace/women/mary-blair-moody.detail.html</v>
      </c>
      <c r="S117" s="80" t="s">
        <v>632</v>
      </c>
      <c r="T117" s="85" t="s">
        <v>687</v>
      </c>
      <c r="U117" s="83" t="str">
        <f>HYPERLINK("https://pbs.twimg.com/media/FNflJFgXIAIjHEn.jpg")</f>
        <v>https://pbs.twimg.com/media/FNflJFgXIAIjHEn.jpg</v>
      </c>
      <c r="V117" s="83" t="str">
        <f>HYPERLINK("https://pbs.twimg.com/media/FNflJFgXIAIjHEn.jpg")</f>
        <v>https://pbs.twimg.com/media/FNflJFgXIAIjHEn.jpg</v>
      </c>
      <c r="W117" s="82">
        <v>44630.887094907404</v>
      </c>
      <c r="X117" s="88">
        <v>44630</v>
      </c>
      <c r="Y117" s="85" t="s">
        <v>801</v>
      </c>
      <c r="Z117" s="83" t="str">
        <f>HYPERLINK("https://twitter.com/amerunipt/status/1502030892662935562")</f>
        <v>https://twitter.com/amerunipt/status/1502030892662935562</v>
      </c>
      <c r="AA117" s="80"/>
      <c r="AB117" s="80"/>
      <c r="AC117" s="85" t="s">
        <v>1250</v>
      </c>
      <c r="AD117" s="80"/>
      <c r="AE117" s="80" t="b">
        <v>0</v>
      </c>
      <c r="AF117" s="80">
        <v>0</v>
      </c>
      <c r="AG117" s="85" t="s">
        <v>1635</v>
      </c>
      <c r="AH117" s="80" t="b">
        <v>0</v>
      </c>
      <c r="AI117" s="80" t="s">
        <v>1642</v>
      </c>
      <c r="AJ117" s="80"/>
      <c r="AK117" s="85" t="s">
        <v>1635</v>
      </c>
      <c r="AL117" s="80" t="b">
        <v>0</v>
      </c>
      <c r="AM117" s="80">
        <v>4</v>
      </c>
      <c r="AN117" s="85" t="s">
        <v>1460</v>
      </c>
      <c r="AO117" s="85" t="s">
        <v>1672</v>
      </c>
      <c r="AP117" s="80" t="b">
        <v>0</v>
      </c>
      <c r="AQ117" s="85" t="s">
        <v>1460</v>
      </c>
      <c r="AR117" s="80" t="s">
        <v>179</v>
      </c>
      <c r="AS117" s="80">
        <v>0</v>
      </c>
      <c r="AT117" s="80">
        <v>0</v>
      </c>
      <c r="AU117" s="80"/>
      <c r="AV117" s="80"/>
      <c r="AW117" s="80"/>
      <c r="AX117" s="80"/>
      <c r="AY117" s="80"/>
      <c r="AZ117" s="80"/>
      <c r="BA117" s="80"/>
      <c r="BB117" s="80"/>
    </row>
    <row r="118" spans="1:54" x14ac:dyDescent="0.25">
      <c r="A118" s="65" t="s">
        <v>276</v>
      </c>
      <c r="B118" s="65" t="s">
        <v>368</v>
      </c>
      <c r="C118" s="66"/>
      <c r="D118" s="67"/>
      <c r="E118" s="68"/>
      <c r="F118" s="69"/>
      <c r="G118" s="66"/>
      <c r="H118" s="70"/>
      <c r="I118" s="71"/>
      <c r="J118" s="71"/>
      <c r="K118" s="36" t="s">
        <v>65</v>
      </c>
      <c r="L118" s="78">
        <v>118</v>
      </c>
      <c r="M118" s="78"/>
      <c r="N118" s="73"/>
      <c r="O118" s="80" t="s">
        <v>415</v>
      </c>
      <c r="P118" s="82">
        <v>44630.89230324074</v>
      </c>
      <c r="Q118" s="80" t="s">
        <v>450</v>
      </c>
      <c r="R118" s="80"/>
      <c r="S118" s="80"/>
      <c r="T118" s="85" t="s">
        <v>357</v>
      </c>
      <c r="U118" s="83" t="str">
        <f>HYPERLINK("https://pbs.twimg.com/ext_tw_video_thumb/1501561093814165506/pu/img/zcMRFGF0HHs8KwPm.jpg")</f>
        <v>https://pbs.twimg.com/ext_tw_video_thumb/1501561093814165506/pu/img/zcMRFGF0HHs8KwPm.jpg</v>
      </c>
      <c r="V118" s="83" t="str">
        <f>HYPERLINK("https://pbs.twimg.com/ext_tw_video_thumb/1501561093814165506/pu/img/zcMRFGF0HHs8KwPm.jpg")</f>
        <v>https://pbs.twimg.com/ext_tw_video_thumb/1501561093814165506/pu/img/zcMRFGF0HHs8KwPm.jpg</v>
      </c>
      <c r="W118" s="82">
        <v>44630.89230324074</v>
      </c>
      <c r="X118" s="88">
        <v>44630</v>
      </c>
      <c r="Y118" s="85" t="s">
        <v>802</v>
      </c>
      <c r="Z118" s="83" t="str">
        <f>HYPERLINK("https://twitter.com/ntechnocrat/status/1502032778690543626")</f>
        <v>https://twitter.com/ntechnocrat/status/1502032778690543626</v>
      </c>
      <c r="AA118" s="80"/>
      <c r="AB118" s="80"/>
      <c r="AC118" s="85" t="s">
        <v>1251</v>
      </c>
      <c r="AD118" s="80"/>
      <c r="AE118" s="80" t="b">
        <v>0</v>
      </c>
      <c r="AF118" s="80">
        <v>0</v>
      </c>
      <c r="AG118" s="85" t="s">
        <v>1635</v>
      </c>
      <c r="AH118" s="80" t="b">
        <v>0</v>
      </c>
      <c r="AI118" s="80" t="s">
        <v>1642</v>
      </c>
      <c r="AJ118" s="80"/>
      <c r="AK118" s="85" t="s">
        <v>1635</v>
      </c>
      <c r="AL118" s="80" t="b">
        <v>0</v>
      </c>
      <c r="AM118" s="80">
        <v>5</v>
      </c>
      <c r="AN118" s="85" t="s">
        <v>1560</v>
      </c>
      <c r="AO118" s="85" t="s">
        <v>1673</v>
      </c>
      <c r="AP118" s="80" t="b">
        <v>0</v>
      </c>
      <c r="AQ118" s="85" t="s">
        <v>1560</v>
      </c>
      <c r="AR118" s="80" t="s">
        <v>179</v>
      </c>
      <c r="AS118" s="80">
        <v>0</v>
      </c>
      <c r="AT118" s="80">
        <v>0</v>
      </c>
      <c r="AU118" s="80"/>
      <c r="AV118" s="80"/>
      <c r="AW118" s="80"/>
      <c r="AX118" s="80"/>
      <c r="AY118" s="80"/>
      <c r="AZ118" s="80"/>
      <c r="BA118" s="80"/>
      <c r="BB118" s="80"/>
    </row>
    <row r="119" spans="1:54" x14ac:dyDescent="0.25">
      <c r="A119" s="65" t="s">
        <v>277</v>
      </c>
      <c r="B119" s="65" t="s">
        <v>353</v>
      </c>
      <c r="C119" s="66"/>
      <c r="D119" s="67"/>
      <c r="E119" s="68"/>
      <c r="F119" s="69"/>
      <c r="G119" s="66"/>
      <c r="H119" s="70"/>
      <c r="I119" s="71"/>
      <c r="J119" s="71"/>
      <c r="K119" s="36" t="s">
        <v>65</v>
      </c>
      <c r="L119" s="78">
        <v>119</v>
      </c>
      <c r="M119" s="78"/>
      <c r="N119" s="73"/>
      <c r="O119" s="80" t="s">
        <v>416</v>
      </c>
      <c r="P119" s="82">
        <v>44628.573530092595</v>
      </c>
      <c r="Q119" s="80" t="s">
        <v>471</v>
      </c>
      <c r="R119" s="83" t="str">
        <f>HYPERLINK("https://arts-sciences.buffalo.edu/economics/news-events/seminar-series/michael-koved.html")</f>
        <v>https://arts-sciences.buffalo.edu/economics/news-events/seminar-series/michael-koved.html</v>
      </c>
      <c r="S119" s="80" t="s">
        <v>632</v>
      </c>
      <c r="T119" s="85" t="s">
        <v>357</v>
      </c>
      <c r="U119" s="83" t="str">
        <f>HYPERLINK("https://pbs.twimg.com/media/FNVN81nXsAU87l4.jpg")</f>
        <v>https://pbs.twimg.com/media/FNVN81nXsAU87l4.jpg</v>
      </c>
      <c r="V119" s="83" t="str">
        <f>HYPERLINK("https://pbs.twimg.com/media/FNVN81nXsAU87l4.jpg")</f>
        <v>https://pbs.twimg.com/media/FNVN81nXsAU87l4.jpg</v>
      </c>
      <c r="W119" s="82">
        <v>44628.573530092595</v>
      </c>
      <c r="X119" s="88">
        <v>44628</v>
      </c>
      <c r="Y119" s="85" t="s">
        <v>803</v>
      </c>
      <c r="Z119" s="83" t="str">
        <f>HYPERLINK("https://twitter.com/ubuffaloecon/status/1501192483304263680")</f>
        <v>https://twitter.com/ubuffaloecon/status/1501192483304263680</v>
      </c>
      <c r="AA119" s="80"/>
      <c r="AB119" s="80"/>
      <c r="AC119" s="85" t="s">
        <v>1252</v>
      </c>
      <c r="AD119" s="80"/>
      <c r="AE119" s="80" t="b">
        <v>0</v>
      </c>
      <c r="AF119" s="80">
        <v>3</v>
      </c>
      <c r="AG119" s="85" t="s">
        <v>1635</v>
      </c>
      <c r="AH119" s="80" t="b">
        <v>0</v>
      </c>
      <c r="AI119" s="80" t="s">
        <v>1642</v>
      </c>
      <c r="AJ119" s="80"/>
      <c r="AK119" s="85" t="s">
        <v>1635</v>
      </c>
      <c r="AL119" s="80" t="b">
        <v>0</v>
      </c>
      <c r="AM119" s="80">
        <v>0</v>
      </c>
      <c r="AN119" s="85" t="s">
        <v>1635</v>
      </c>
      <c r="AO119" s="85" t="s">
        <v>1672</v>
      </c>
      <c r="AP119" s="80" t="b">
        <v>0</v>
      </c>
      <c r="AQ119" s="85" t="s">
        <v>1252</v>
      </c>
      <c r="AR119" s="80" t="s">
        <v>179</v>
      </c>
      <c r="AS119" s="80">
        <v>0</v>
      </c>
      <c r="AT119" s="80">
        <v>0</v>
      </c>
      <c r="AU119" s="80"/>
      <c r="AV119" s="80"/>
      <c r="AW119" s="80"/>
      <c r="AX119" s="80"/>
      <c r="AY119" s="80"/>
      <c r="AZ119" s="80"/>
      <c r="BA119" s="80"/>
      <c r="BB119" s="80"/>
    </row>
    <row r="120" spans="1:54" x14ac:dyDescent="0.25">
      <c r="A120" s="65" t="s">
        <v>277</v>
      </c>
      <c r="B120" s="65" t="s">
        <v>379</v>
      </c>
      <c r="C120" s="66"/>
      <c r="D120" s="67"/>
      <c r="E120" s="68"/>
      <c r="F120" s="69"/>
      <c r="G120" s="66"/>
      <c r="H120" s="70"/>
      <c r="I120" s="71"/>
      <c r="J120" s="71"/>
      <c r="K120" s="36" t="s">
        <v>65</v>
      </c>
      <c r="L120" s="78">
        <v>120</v>
      </c>
      <c r="M120" s="78"/>
      <c r="N120" s="73"/>
      <c r="O120" s="80" t="s">
        <v>416</v>
      </c>
      <c r="P120" s="82">
        <v>44628.573530092595</v>
      </c>
      <c r="Q120" s="80" t="s">
        <v>471</v>
      </c>
      <c r="R120" s="83" t="str">
        <f>HYPERLINK("https://arts-sciences.buffalo.edu/economics/news-events/seminar-series/michael-koved.html")</f>
        <v>https://arts-sciences.buffalo.edu/economics/news-events/seminar-series/michael-koved.html</v>
      </c>
      <c r="S120" s="80" t="s">
        <v>632</v>
      </c>
      <c r="T120" s="85" t="s">
        <v>357</v>
      </c>
      <c r="U120" s="83" t="str">
        <f>HYPERLINK("https://pbs.twimg.com/media/FNVN81nXsAU87l4.jpg")</f>
        <v>https://pbs.twimg.com/media/FNVN81nXsAU87l4.jpg</v>
      </c>
      <c r="V120" s="83" t="str">
        <f>HYPERLINK("https://pbs.twimg.com/media/FNVN81nXsAU87l4.jpg")</f>
        <v>https://pbs.twimg.com/media/FNVN81nXsAU87l4.jpg</v>
      </c>
      <c r="W120" s="82">
        <v>44628.573530092595</v>
      </c>
      <c r="X120" s="88">
        <v>44628</v>
      </c>
      <c r="Y120" s="85" t="s">
        <v>803</v>
      </c>
      <c r="Z120" s="83" t="str">
        <f>HYPERLINK("https://twitter.com/ubuffaloecon/status/1501192483304263680")</f>
        <v>https://twitter.com/ubuffaloecon/status/1501192483304263680</v>
      </c>
      <c r="AA120" s="80"/>
      <c r="AB120" s="80"/>
      <c r="AC120" s="85" t="s">
        <v>1252</v>
      </c>
      <c r="AD120" s="80"/>
      <c r="AE120" s="80" t="b">
        <v>0</v>
      </c>
      <c r="AF120" s="80">
        <v>3</v>
      </c>
      <c r="AG120" s="85" t="s">
        <v>1635</v>
      </c>
      <c r="AH120" s="80" t="b">
        <v>0</v>
      </c>
      <c r="AI120" s="80" t="s">
        <v>1642</v>
      </c>
      <c r="AJ120" s="80"/>
      <c r="AK120" s="85" t="s">
        <v>1635</v>
      </c>
      <c r="AL120" s="80" t="b">
        <v>0</v>
      </c>
      <c r="AM120" s="80">
        <v>0</v>
      </c>
      <c r="AN120" s="85" t="s">
        <v>1635</v>
      </c>
      <c r="AO120" s="85" t="s">
        <v>1672</v>
      </c>
      <c r="AP120" s="80" t="b">
        <v>0</v>
      </c>
      <c r="AQ120" s="85" t="s">
        <v>1252</v>
      </c>
      <c r="AR120" s="80" t="s">
        <v>179</v>
      </c>
      <c r="AS120" s="80">
        <v>0</v>
      </c>
      <c r="AT120" s="80">
        <v>0</v>
      </c>
      <c r="AU120" s="80"/>
      <c r="AV120" s="80"/>
      <c r="AW120" s="80"/>
      <c r="AX120" s="80"/>
      <c r="AY120" s="80"/>
      <c r="AZ120" s="80"/>
      <c r="BA120" s="80"/>
      <c r="BB120" s="80"/>
    </row>
    <row r="121" spans="1:54" x14ac:dyDescent="0.25">
      <c r="A121" s="65" t="s">
        <v>277</v>
      </c>
      <c r="B121" s="65" t="s">
        <v>379</v>
      </c>
      <c r="C121" s="66"/>
      <c r="D121" s="67"/>
      <c r="E121" s="68"/>
      <c r="F121" s="69"/>
      <c r="G121" s="66"/>
      <c r="H121" s="70"/>
      <c r="I121" s="71"/>
      <c r="J121" s="71"/>
      <c r="K121" s="36" t="s">
        <v>65</v>
      </c>
      <c r="L121" s="78">
        <v>121</v>
      </c>
      <c r="M121" s="78"/>
      <c r="N121" s="73"/>
      <c r="O121" s="80" t="s">
        <v>416</v>
      </c>
      <c r="P121" s="82">
        <v>44630.961504629631</v>
      </c>
      <c r="Q121" s="80" t="s">
        <v>472</v>
      </c>
      <c r="R121" s="83" t="str">
        <f>HYPERLINK("https://arts-sciences.buffalo.edu/economics/news-events/seminar-series/philipp-kircher.html")</f>
        <v>https://arts-sciences.buffalo.edu/economics/news-events/seminar-series/philipp-kircher.html</v>
      </c>
      <c r="S121" s="80" t="s">
        <v>632</v>
      </c>
      <c r="T121" s="85" t="s">
        <v>357</v>
      </c>
      <c r="U121" s="83" t="str">
        <f>HYPERLINK("https://pbs.twimg.com/media/FNhgu_wXsAwkIMC.jpg")</f>
        <v>https://pbs.twimg.com/media/FNhgu_wXsAwkIMC.jpg</v>
      </c>
      <c r="V121" s="83" t="str">
        <f>HYPERLINK("https://pbs.twimg.com/media/FNhgu_wXsAwkIMC.jpg")</f>
        <v>https://pbs.twimg.com/media/FNhgu_wXsAwkIMC.jpg</v>
      </c>
      <c r="W121" s="82">
        <v>44630.961504629631</v>
      </c>
      <c r="X121" s="88">
        <v>44630</v>
      </c>
      <c r="Y121" s="85" t="s">
        <v>804</v>
      </c>
      <c r="Z121" s="83" t="str">
        <f>HYPERLINK("https://twitter.com/ubuffaloecon/status/1502057854651543553")</f>
        <v>https://twitter.com/ubuffaloecon/status/1502057854651543553</v>
      </c>
      <c r="AA121" s="80"/>
      <c r="AB121" s="80"/>
      <c r="AC121" s="85" t="s">
        <v>1253</v>
      </c>
      <c r="AD121" s="80"/>
      <c r="AE121" s="80" t="b">
        <v>0</v>
      </c>
      <c r="AF121" s="80">
        <v>2</v>
      </c>
      <c r="AG121" s="85" t="s">
        <v>1635</v>
      </c>
      <c r="AH121" s="80" t="b">
        <v>0</v>
      </c>
      <c r="AI121" s="80" t="s">
        <v>1642</v>
      </c>
      <c r="AJ121" s="80"/>
      <c r="AK121" s="85" t="s">
        <v>1635</v>
      </c>
      <c r="AL121" s="80" t="b">
        <v>0</v>
      </c>
      <c r="AM121" s="80">
        <v>0</v>
      </c>
      <c r="AN121" s="85" t="s">
        <v>1635</v>
      </c>
      <c r="AO121" s="85" t="s">
        <v>1672</v>
      </c>
      <c r="AP121" s="80" t="b">
        <v>0</v>
      </c>
      <c r="AQ121" s="85" t="s">
        <v>1253</v>
      </c>
      <c r="AR121" s="80" t="s">
        <v>179</v>
      </c>
      <c r="AS121" s="80">
        <v>0</v>
      </c>
      <c r="AT121" s="80">
        <v>0</v>
      </c>
      <c r="AU121" s="80"/>
      <c r="AV121" s="80"/>
      <c r="AW121" s="80"/>
      <c r="AX121" s="80"/>
      <c r="AY121" s="80"/>
      <c r="AZ121" s="80"/>
      <c r="BA121" s="80"/>
      <c r="BB121" s="80"/>
    </row>
    <row r="122" spans="1:54" x14ac:dyDescent="0.25">
      <c r="A122" s="65" t="s">
        <v>278</v>
      </c>
      <c r="B122" s="65" t="s">
        <v>285</v>
      </c>
      <c r="C122" s="66"/>
      <c r="D122" s="67"/>
      <c r="E122" s="68"/>
      <c r="F122" s="69"/>
      <c r="G122" s="66"/>
      <c r="H122" s="70"/>
      <c r="I122" s="71"/>
      <c r="J122" s="71"/>
      <c r="K122" s="36" t="s">
        <v>65</v>
      </c>
      <c r="L122" s="78">
        <v>122</v>
      </c>
      <c r="M122" s="78"/>
      <c r="N122" s="73"/>
      <c r="O122" s="80" t="s">
        <v>414</v>
      </c>
      <c r="P122" s="82">
        <v>44631.113321759258</v>
      </c>
      <c r="Q122" s="80" t="s">
        <v>473</v>
      </c>
      <c r="R122" s="83" t="str">
        <f>HYPERLINK("https://twitter.com/SAADAonline/status/1501612042448478214")</f>
        <v>https://twitter.com/SAADAonline/status/1501612042448478214</v>
      </c>
      <c r="S122" s="80" t="s">
        <v>633</v>
      </c>
      <c r="T122" s="85" t="s">
        <v>688</v>
      </c>
      <c r="U122" s="80"/>
      <c r="V122" s="83" t="str">
        <f>HYPERLINK("https://pbs.twimg.com/profile_images/1149318210690396162/ab8XPElx_normal.png")</f>
        <v>https://pbs.twimg.com/profile_images/1149318210690396162/ab8XPElx_normal.png</v>
      </c>
      <c r="W122" s="82">
        <v>44631.113321759258</v>
      </c>
      <c r="X122" s="88">
        <v>44631</v>
      </c>
      <c r="Y122" s="85" t="s">
        <v>805</v>
      </c>
      <c r="Z122" s="83" t="str">
        <f>HYPERLINK("https://twitter.com/wnhakala/status/1502112873572712457")</f>
        <v>https://twitter.com/wnhakala/status/1502112873572712457</v>
      </c>
      <c r="AA122" s="80"/>
      <c r="AB122" s="80"/>
      <c r="AC122" s="85" t="s">
        <v>1254</v>
      </c>
      <c r="AD122" s="80"/>
      <c r="AE122" s="80" t="b">
        <v>0</v>
      </c>
      <c r="AF122" s="80">
        <v>0</v>
      </c>
      <c r="AG122" s="85" t="s">
        <v>1635</v>
      </c>
      <c r="AH122" s="80" t="b">
        <v>1</v>
      </c>
      <c r="AI122" s="80" t="s">
        <v>1642</v>
      </c>
      <c r="AJ122" s="80"/>
      <c r="AK122" s="85" t="s">
        <v>1647</v>
      </c>
      <c r="AL122" s="80" t="b">
        <v>0</v>
      </c>
      <c r="AM122" s="80">
        <v>3</v>
      </c>
      <c r="AN122" s="85" t="s">
        <v>1268</v>
      </c>
      <c r="AO122" s="85" t="s">
        <v>1672</v>
      </c>
      <c r="AP122" s="80" t="b">
        <v>0</v>
      </c>
      <c r="AQ122" s="85" t="s">
        <v>1268</v>
      </c>
      <c r="AR122" s="80" t="s">
        <v>179</v>
      </c>
      <c r="AS122" s="80">
        <v>0</v>
      </c>
      <c r="AT122" s="80">
        <v>0</v>
      </c>
      <c r="AU122" s="80"/>
      <c r="AV122" s="80"/>
      <c r="AW122" s="80"/>
      <c r="AX122" s="80"/>
      <c r="AY122" s="80"/>
      <c r="AZ122" s="80"/>
      <c r="BA122" s="80"/>
      <c r="BB122" s="80"/>
    </row>
    <row r="123" spans="1:54" x14ac:dyDescent="0.25">
      <c r="A123" s="65" t="s">
        <v>278</v>
      </c>
      <c r="B123" s="65" t="s">
        <v>286</v>
      </c>
      <c r="C123" s="66"/>
      <c r="D123" s="67"/>
      <c r="E123" s="68"/>
      <c r="F123" s="69"/>
      <c r="G123" s="66"/>
      <c r="H123" s="70"/>
      <c r="I123" s="71"/>
      <c r="J123" s="71"/>
      <c r="K123" s="36" t="s">
        <v>65</v>
      </c>
      <c r="L123" s="78">
        <v>123</v>
      </c>
      <c r="M123" s="78"/>
      <c r="N123" s="73"/>
      <c r="O123" s="80" t="s">
        <v>414</v>
      </c>
      <c r="P123" s="82">
        <v>44631.113321759258</v>
      </c>
      <c r="Q123" s="80" t="s">
        <v>473</v>
      </c>
      <c r="R123" s="83" t="str">
        <f>HYPERLINK("https://twitter.com/SAADAonline/status/1501612042448478214")</f>
        <v>https://twitter.com/SAADAonline/status/1501612042448478214</v>
      </c>
      <c r="S123" s="80" t="s">
        <v>633</v>
      </c>
      <c r="T123" s="85" t="s">
        <v>688</v>
      </c>
      <c r="U123" s="80"/>
      <c r="V123" s="83" t="str">
        <f>HYPERLINK("https://pbs.twimg.com/profile_images/1149318210690396162/ab8XPElx_normal.png")</f>
        <v>https://pbs.twimg.com/profile_images/1149318210690396162/ab8XPElx_normal.png</v>
      </c>
      <c r="W123" s="82">
        <v>44631.113321759258</v>
      </c>
      <c r="X123" s="88">
        <v>44631</v>
      </c>
      <c r="Y123" s="85" t="s">
        <v>805</v>
      </c>
      <c r="Z123" s="83" t="str">
        <f>HYPERLINK("https://twitter.com/wnhakala/status/1502112873572712457")</f>
        <v>https://twitter.com/wnhakala/status/1502112873572712457</v>
      </c>
      <c r="AA123" s="80"/>
      <c r="AB123" s="80"/>
      <c r="AC123" s="85" t="s">
        <v>1254</v>
      </c>
      <c r="AD123" s="80"/>
      <c r="AE123" s="80" t="b">
        <v>0</v>
      </c>
      <c r="AF123" s="80">
        <v>0</v>
      </c>
      <c r="AG123" s="85" t="s">
        <v>1635</v>
      </c>
      <c r="AH123" s="80" t="b">
        <v>1</v>
      </c>
      <c r="AI123" s="80" t="s">
        <v>1642</v>
      </c>
      <c r="AJ123" s="80"/>
      <c r="AK123" s="85" t="s">
        <v>1647</v>
      </c>
      <c r="AL123" s="80" t="b">
        <v>0</v>
      </c>
      <c r="AM123" s="80">
        <v>3</v>
      </c>
      <c r="AN123" s="85" t="s">
        <v>1268</v>
      </c>
      <c r="AO123" s="85" t="s">
        <v>1672</v>
      </c>
      <c r="AP123" s="80" t="b">
        <v>0</v>
      </c>
      <c r="AQ123" s="85" t="s">
        <v>1268</v>
      </c>
      <c r="AR123" s="80" t="s">
        <v>179</v>
      </c>
      <c r="AS123" s="80">
        <v>0</v>
      </c>
      <c r="AT123" s="80">
        <v>0</v>
      </c>
      <c r="AU123" s="80"/>
      <c r="AV123" s="80"/>
      <c r="AW123" s="80"/>
      <c r="AX123" s="80"/>
      <c r="AY123" s="80"/>
      <c r="AZ123" s="80"/>
      <c r="BA123" s="80"/>
      <c r="BB123" s="80"/>
    </row>
    <row r="124" spans="1:54" x14ac:dyDescent="0.25">
      <c r="A124" s="65" t="s">
        <v>278</v>
      </c>
      <c r="B124" s="65" t="s">
        <v>286</v>
      </c>
      <c r="C124" s="66"/>
      <c r="D124" s="67"/>
      <c r="E124" s="68"/>
      <c r="F124" s="69"/>
      <c r="G124" s="66"/>
      <c r="H124" s="70"/>
      <c r="I124" s="71"/>
      <c r="J124" s="71"/>
      <c r="K124" s="36" t="s">
        <v>65</v>
      </c>
      <c r="L124" s="78">
        <v>124</v>
      </c>
      <c r="M124" s="78"/>
      <c r="N124" s="73"/>
      <c r="O124" s="80" t="s">
        <v>415</v>
      </c>
      <c r="P124" s="82">
        <v>44631.113321759258</v>
      </c>
      <c r="Q124" s="80" t="s">
        <v>473</v>
      </c>
      <c r="R124" s="83" t="str">
        <f>HYPERLINK("https://twitter.com/SAADAonline/status/1501612042448478214")</f>
        <v>https://twitter.com/SAADAonline/status/1501612042448478214</v>
      </c>
      <c r="S124" s="80" t="s">
        <v>633</v>
      </c>
      <c r="T124" s="85" t="s">
        <v>688</v>
      </c>
      <c r="U124" s="80"/>
      <c r="V124" s="83" t="str">
        <f>HYPERLINK("https://pbs.twimg.com/profile_images/1149318210690396162/ab8XPElx_normal.png")</f>
        <v>https://pbs.twimg.com/profile_images/1149318210690396162/ab8XPElx_normal.png</v>
      </c>
      <c r="W124" s="82">
        <v>44631.113321759258</v>
      </c>
      <c r="X124" s="88">
        <v>44631</v>
      </c>
      <c r="Y124" s="85" t="s">
        <v>805</v>
      </c>
      <c r="Z124" s="83" t="str">
        <f>HYPERLINK("https://twitter.com/wnhakala/status/1502112873572712457")</f>
        <v>https://twitter.com/wnhakala/status/1502112873572712457</v>
      </c>
      <c r="AA124" s="80"/>
      <c r="AB124" s="80"/>
      <c r="AC124" s="85" t="s">
        <v>1254</v>
      </c>
      <c r="AD124" s="80"/>
      <c r="AE124" s="80" t="b">
        <v>0</v>
      </c>
      <c r="AF124" s="80">
        <v>0</v>
      </c>
      <c r="AG124" s="85" t="s">
        <v>1635</v>
      </c>
      <c r="AH124" s="80" t="b">
        <v>1</v>
      </c>
      <c r="AI124" s="80" t="s">
        <v>1642</v>
      </c>
      <c r="AJ124" s="80"/>
      <c r="AK124" s="85" t="s">
        <v>1647</v>
      </c>
      <c r="AL124" s="80" t="b">
        <v>0</v>
      </c>
      <c r="AM124" s="80">
        <v>3</v>
      </c>
      <c r="AN124" s="85" t="s">
        <v>1268</v>
      </c>
      <c r="AO124" s="85" t="s">
        <v>1672</v>
      </c>
      <c r="AP124" s="80" t="b">
        <v>0</v>
      </c>
      <c r="AQ124" s="85" t="s">
        <v>1268</v>
      </c>
      <c r="AR124" s="80" t="s">
        <v>179</v>
      </c>
      <c r="AS124" s="80">
        <v>0</v>
      </c>
      <c r="AT124" s="80">
        <v>0</v>
      </c>
      <c r="AU124" s="80"/>
      <c r="AV124" s="80"/>
      <c r="AW124" s="80"/>
      <c r="AX124" s="80"/>
      <c r="AY124" s="80"/>
      <c r="AZ124" s="80"/>
      <c r="BA124" s="80"/>
      <c r="BB124" s="80"/>
    </row>
    <row r="125" spans="1:54" x14ac:dyDescent="0.25">
      <c r="A125" s="65" t="s">
        <v>279</v>
      </c>
      <c r="B125" s="65" t="s">
        <v>374</v>
      </c>
      <c r="C125" s="66"/>
      <c r="D125" s="67"/>
      <c r="E125" s="68"/>
      <c r="F125" s="69"/>
      <c r="G125" s="66"/>
      <c r="H125" s="70"/>
      <c r="I125" s="71"/>
      <c r="J125" s="71"/>
      <c r="K125" s="36" t="s">
        <v>65</v>
      </c>
      <c r="L125" s="78">
        <v>125</v>
      </c>
      <c r="M125" s="78"/>
      <c r="N125" s="73"/>
      <c r="O125" s="80" t="s">
        <v>415</v>
      </c>
      <c r="P125" s="82">
        <v>44629.759375000001</v>
      </c>
      <c r="Q125" s="80" t="s">
        <v>474</v>
      </c>
      <c r="R125" s="83" t="str">
        <f>HYPERLINK("https://www.alisondesforges.org/upcoming-events")</f>
        <v>https://www.alisondesforges.org/upcoming-events</v>
      </c>
      <c r="S125" s="80" t="s">
        <v>646</v>
      </c>
      <c r="T125" s="85" t="s">
        <v>357</v>
      </c>
      <c r="U125" s="83" t="str">
        <f>HYPERLINK("https://pbs.twimg.com/media/FNbI8t6WQAEdkTE.jpg")</f>
        <v>https://pbs.twimg.com/media/FNbI8t6WQAEdkTE.jpg</v>
      </c>
      <c r="V125" s="83" t="str">
        <f>HYPERLINK("https://pbs.twimg.com/media/FNbI8t6WQAEdkTE.jpg")</f>
        <v>https://pbs.twimg.com/media/FNbI8t6WQAEdkTE.jpg</v>
      </c>
      <c r="W125" s="82">
        <v>44629.759375000001</v>
      </c>
      <c r="X125" s="88">
        <v>44629</v>
      </c>
      <c r="Y125" s="85" t="s">
        <v>806</v>
      </c>
      <c r="Z125" s="83" t="str">
        <f>HYPERLINK("https://twitter.com/ubasianstudies/status/1501622220635914242")</f>
        <v>https://twitter.com/ubasianstudies/status/1501622220635914242</v>
      </c>
      <c r="AA125" s="80"/>
      <c r="AB125" s="80"/>
      <c r="AC125" s="85" t="s">
        <v>1255</v>
      </c>
      <c r="AD125" s="80"/>
      <c r="AE125" s="80" t="b">
        <v>0</v>
      </c>
      <c r="AF125" s="80">
        <v>0</v>
      </c>
      <c r="AG125" s="85" t="s">
        <v>1635</v>
      </c>
      <c r="AH125" s="80" t="b">
        <v>0</v>
      </c>
      <c r="AI125" s="80" t="s">
        <v>1642</v>
      </c>
      <c r="AJ125" s="80"/>
      <c r="AK125" s="85" t="s">
        <v>1635</v>
      </c>
      <c r="AL125" s="80" t="b">
        <v>0</v>
      </c>
      <c r="AM125" s="80">
        <v>1</v>
      </c>
      <c r="AN125" s="85" t="s">
        <v>1610</v>
      </c>
      <c r="AO125" s="85" t="s">
        <v>1672</v>
      </c>
      <c r="AP125" s="80" t="b">
        <v>0</v>
      </c>
      <c r="AQ125" s="85" t="s">
        <v>1610</v>
      </c>
      <c r="AR125" s="80" t="s">
        <v>179</v>
      </c>
      <c r="AS125" s="80">
        <v>0</v>
      </c>
      <c r="AT125" s="80">
        <v>0</v>
      </c>
      <c r="AU125" s="80"/>
      <c r="AV125" s="80"/>
      <c r="AW125" s="80"/>
      <c r="AX125" s="80"/>
      <c r="AY125" s="80"/>
      <c r="AZ125" s="80"/>
      <c r="BA125" s="80"/>
      <c r="BB125" s="80"/>
    </row>
    <row r="126" spans="1:54" x14ac:dyDescent="0.25">
      <c r="A126" s="65" t="s">
        <v>279</v>
      </c>
      <c r="B126" s="65" t="s">
        <v>285</v>
      </c>
      <c r="C126" s="66"/>
      <c r="D126" s="67"/>
      <c r="E126" s="68"/>
      <c r="F126" s="69"/>
      <c r="G126" s="66"/>
      <c r="H126" s="70"/>
      <c r="I126" s="71"/>
      <c r="J126" s="71"/>
      <c r="K126" s="36" t="s">
        <v>65</v>
      </c>
      <c r="L126" s="78">
        <v>126</v>
      </c>
      <c r="M126" s="78"/>
      <c r="N126" s="73"/>
      <c r="O126" s="80" t="s">
        <v>414</v>
      </c>
      <c r="P126" s="82">
        <v>44631.113726851851</v>
      </c>
      <c r="Q126" s="80" t="s">
        <v>473</v>
      </c>
      <c r="R126" s="83" t="str">
        <f>HYPERLINK("https://twitter.com/SAADAonline/status/1501612042448478214")</f>
        <v>https://twitter.com/SAADAonline/status/1501612042448478214</v>
      </c>
      <c r="S126" s="80" t="s">
        <v>633</v>
      </c>
      <c r="T126" s="85" t="s">
        <v>688</v>
      </c>
      <c r="U126" s="80"/>
      <c r="V126" s="83" t="str">
        <f>HYPERLINK("https://pbs.twimg.com/profile_images/1427333321596489728/65q36pK__normal.jpg")</f>
        <v>https://pbs.twimg.com/profile_images/1427333321596489728/65q36pK__normal.jpg</v>
      </c>
      <c r="W126" s="82">
        <v>44631.113726851851</v>
      </c>
      <c r="X126" s="88">
        <v>44631</v>
      </c>
      <c r="Y126" s="85" t="s">
        <v>807</v>
      </c>
      <c r="Z126" s="83" t="str">
        <f>HYPERLINK("https://twitter.com/ubasianstudies/status/1502113020553707541")</f>
        <v>https://twitter.com/ubasianstudies/status/1502113020553707541</v>
      </c>
      <c r="AA126" s="80"/>
      <c r="AB126" s="80"/>
      <c r="AC126" s="85" t="s">
        <v>1256</v>
      </c>
      <c r="AD126" s="80"/>
      <c r="AE126" s="80" t="b">
        <v>0</v>
      </c>
      <c r="AF126" s="80">
        <v>0</v>
      </c>
      <c r="AG126" s="85" t="s">
        <v>1635</v>
      </c>
      <c r="AH126" s="80" t="b">
        <v>1</v>
      </c>
      <c r="AI126" s="80" t="s">
        <v>1642</v>
      </c>
      <c r="AJ126" s="80"/>
      <c r="AK126" s="85" t="s">
        <v>1647</v>
      </c>
      <c r="AL126" s="80" t="b">
        <v>0</v>
      </c>
      <c r="AM126" s="80">
        <v>3</v>
      </c>
      <c r="AN126" s="85" t="s">
        <v>1268</v>
      </c>
      <c r="AO126" s="85" t="s">
        <v>1672</v>
      </c>
      <c r="AP126" s="80" t="b">
        <v>0</v>
      </c>
      <c r="AQ126" s="85" t="s">
        <v>1268</v>
      </c>
      <c r="AR126" s="80" t="s">
        <v>179</v>
      </c>
      <c r="AS126" s="80">
        <v>0</v>
      </c>
      <c r="AT126" s="80">
        <v>0</v>
      </c>
      <c r="AU126" s="80"/>
      <c r="AV126" s="80"/>
      <c r="AW126" s="80"/>
      <c r="AX126" s="80"/>
      <c r="AY126" s="80"/>
      <c r="AZ126" s="80"/>
      <c r="BA126" s="80"/>
      <c r="BB126" s="80"/>
    </row>
    <row r="127" spans="1:54" x14ac:dyDescent="0.25">
      <c r="A127" s="65" t="s">
        <v>279</v>
      </c>
      <c r="B127" s="65" t="s">
        <v>286</v>
      </c>
      <c r="C127" s="66"/>
      <c r="D127" s="67"/>
      <c r="E127" s="68"/>
      <c r="F127" s="69"/>
      <c r="G127" s="66"/>
      <c r="H127" s="70"/>
      <c r="I127" s="71"/>
      <c r="J127" s="71"/>
      <c r="K127" s="36" t="s">
        <v>65</v>
      </c>
      <c r="L127" s="78">
        <v>127</v>
      </c>
      <c r="M127" s="78"/>
      <c r="N127" s="73"/>
      <c r="O127" s="80" t="s">
        <v>414</v>
      </c>
      <c r="P127" s="82">
        <v>44631.113726851851</v>
      </c>
      <c r="Q127" s="80" t="s">
        <v>473</v>
      </c>
      <c r="R127" s="83" t="str">
        <f>HYPERLINK("https://twitter.com/SAADAonline/status/1501612042448478214")</f>
        <v>https://twitter.com/SAADAonline/status/1501612042448478214</v>
      </c>
      <c r="S127" s="80" t="s">
        <v>633</v>
      </c>
      <c r="T127" s="85" t="s">
        <v>688</v>
      </c>
      <c r="U127" s="80"/>
      <c r="V127" s="83" t="str">
        <f>HYPERLINK("https://pbs.twimg.com/profile_images/1427333321596489728/65q36pK__normal.jpg")</f>
        <v>https://pbs.twimg.com/profile_images/1427333321596489728/65q36pK__normal.jpg</v>
      </c>
      <c r="W127" s="82">
        <v>44631.113726851851</v>
      </c>
      <c r="X127" s="88">
        <v>44631</v>
      </c>
      <c r="Y127" s="85" t="s">
        <v>807</v>
      </c>
      <c r="Z127" s="83" t="str">
        <f>HYPERLINK("https://twitter.com/ubasianstudies/status/1502113020553707541")</f>
        <v>https://twitter.com/ubasianstudies/status/1502113020553707541</v>
      </c>
      <c r="AA127" s="80"/>
      <c r="AB127" s="80"/>
      <c r="AC127" s="85" t="s">
        <v>1256</v>
      </c>
      <c r="AD127" s="80"/>
      <c r="AE127" s="80" t="b">
        <v>0</v>
      </c>
      <c r="AF127" s="80">
        <v>0</v>
      </c>
      <c r="AG127" s="85" t="s">
        <v>1635</v>
      </c>
      <c r="AH127" s="80" t="b">
        <v>1</v>
      </c>
      <c r="AI127" s="80" t="s">
        <v>1642</v>
      </c>
      <c r="AJ127" s="80"/>
      <c r="AK127" s="85" t="s">
        <v>1647</v>
      </c>
      <c r="AL127" s="80" t="b">
        <v>0</v>
      </c>
      <c r="AM127" s="80">
        <v>3</v>
      </c>
      <c r="AN127" s="85" t="s">
        <v>1268</v>
      </c>
      <c r="AO127" s="85" t="s">
        <v>1672</v>
      </c>
      <c r="AP127" s="80" t="b">
        <v>0</v>
      </c>
      <c r="AQ127" s="85" t="s">
        <v>1268</v>
      </c>
      <c r="AR127" s="80" t="s">
        <v>179</v>
      </c>
      <c r="AS127" s="80">
        <v>0</v>
      </c>
      <c r="AT127" s="80">
        <v>0</v>
      </c>
      <c r="AU127" s="80"/>
      <c r="AV127" s="80"/>
      <c r="AW127" s="80"/>
      <c r="AX127" s="80"/>
      <c r="AY127" s="80"/>
      <c r="AZ127" s="80"/>
      <c r="BA127" s="80"/>
      <c r="BB127" s="80"/>
    </row>
    <row r="128" spans="1:54" x14ac:dyDescent="0.25">
      <c r="A128" s="65" t="s">
        <v>279</v>
      </c>
      <c r="B128" s="65" t="s">
        <v>286</v>
      </c>
      <c r="C128" s="66"/>
      <c r="D128" s="67"/>
      <c r="E128" s="68"/>
      <c r="F128" s="69"/>
      <c r="G128" s="66"/>
      <c r="H128" s="70"/>
      <c r="I128" s="71"/>
      <c r="J128" s="71"/>
      <c r="K128" s="36" t="s">
        <v>65</v>
      </c>
      <c r="L128" s="78">
        <v>128</v>
      </c>
      <c r="M128" s="78"/>
      <c r="N128" s="73"/>
      <c r="O128" s="80" t="s">
        <v>415</v>
      </c>
      <c r="P128" s="82">
        <v>44631.113726851851</v>
      </c>
      <c r="Q128" s="80" t="s">
        <v>473</v>
      </c>
      <c r="R128" s="83" t="str">
        <f>HYPERLINK("https://twitter.com/SAADAonline/status/1501612042448478214")</f>
        <v>https://twitter.com/SAADAonline/status/1501612042448478214</v>
      </c>
      <c r="S128" s="80" t="s">
        <v>633</v>
      </c>
      <c r="T128" s="85" t="s">
        <v>688</v>
      </c>
      <c r="U128" s="80"/>
      <c r="V128" s="83" t="str">
        <f>HYPERLINK("https://pbs.twimg.com/profile_images/1427333321596489728/65q36pK__normal.jpg")</f>
        <v>https://pbs.twimg.com/profile_images/1427333321596489728/65q36pK__normal.jpg</v>
      </c>
      <c r="W128" s="82">
        <v>44631.113726851851</v>
      </c>
      <c r="X128" s="88">
        <v>44631</v>
      </c>
      <c r="Y128" s="85" t="s">
        <v>807</v>
      </c>
      <c r="Z128" s="83" t="str">
        <f>HYPERLINK("https://twitter.com/ubasianstudies/status/1502113020553707541")</f>
        <v>https://twitter.com/ubasianstudies/status/1502113020553707541</v>
      </c>
      <c r="AA128" s="80"/>
      <c r="AB128" s="80"/>
      <c r="AC128" s="85" t="s">
        <v>1256</v>
      </c>
      <c r="AD128" s="80"/>
      <c r="AE128" s="80" t="b">
        <v>0</v>
      </c>
      <c r="AF128" s="80">
        <v>0</v>
      </c>
      <c r="AG128" s="85" t="s">
        <v>1635</v>
      </c>
      <c r="AH128" s="80" t="b">
        <v>1</v>
      </c>
      <c r="AI128" s="80" t="s">
        <v>1642</v>
      </c>
      <c r="AJ128" s="80"/>
      <c r="AK128" s="85" t="s">
        <v>1647</v>
      </c>
      <c r="AL128" s="80" t="b">
        <v>0</v>
      </c>
      <c r="AM128" s="80">
        <v>3</v>
      </c>
      <c r="AN128" s="85" t="s">
        <v>1268</v>
      </c>
      <c r="AO128" s="85" t="s">
        <v>1672</v>
      </c>
      <c r="AP128" s="80" t="b">
        <v>0</v>
      </c>
      <c r="AQ128" s="85" t="s">
        <v>1268</v>
      </c>
      <c r="AR128" s="80" t="s">
        <v>179</v>
      </c>
      <c r="AS128" s="80">
        <v>0</v>
      </c>
      <c r="AT128" s="80">
        <v>0</v>
      </c>
      <c r="AU128" s="80"/>
      <c r="AV128" s="80"/>
      <c r="AW128" s="80"/>
      <c r="AX128" s="80"/>
      <c r="AY128" s="80"/>
      <c r="AZ128" s="80"/>
      <c r="BA128" s="80"/>
      <c r="BB128" s="80"/>
    </row>
    <row r="129" spans="1:54" x14ac:dyDescent="0.25">
      <c r="A129" s="65" t="s">
        <v>280</v>
      </c>
      <c r="B129" s="65" t="s">
        <v>397</v>
      </c>
      <c r="C129" s="66"/>
      <c r="D129" s="67"/>
      <c r="E129" s="68"/>
      <c r="F129" s="69"/>
      <c r="G129" s="66"/>
      <c r="H129" s="70"/>
      <c r="I129" s="71"/>
      <c r="J129" s="71"/>
      <c r="K129" s="36" t="s">
        <v>65</v>
      </c>
      <c r="L129" s="78">
        <v>129</v>
      </c>
      <c r="M129" s="78"/>
      <c r="N129" s="73"/>
      <c r="O129" s="80" t="s">
        <v>416</v>
      </c>
      <c r="P129" s="82">
        <v>44629.880069444444</v>
      </c>
      <c r="Q129" s="80" t="s">
        <v>475</v>
      </c>
      <c r="R129" s="83" t="str">
        <f>HYPERLINK("http://www.buffalo.edu/parking/parking-places/parking-for-me/visitors-parking.html")</f>
        <v>http://www.buffalo.edu/parking/parking-places/parking-for-me/visitors-parking.html</v>
      </c>
      <c r="S129" s="80" t="s">
        <v>632</v>
      </c>
      <c r="T129" s="85" t="s">
        <v>357</v>
      </c>
      <c r="U129" s="80"/>
      <c r="V129" s="83" t="str">
        <f>HYPERLINK("https://pbs.twimg.com/profile_images/1229781686084390916/FgbALggb_normal.jpg")</f>
        <v>https://pbs.twimg.com/profile_images/1229781686084390916/FgbALggb_normal.jpg</v>
      </c>
      <c r="W129" s="82">
        <v>44629.880069444444</v>
      </c>
      <c r="X129" s="88">
        <v>44629</v>
      </c>
      <c r="Y129" s="85" t="s">
        <v>808</v>
      </c>
      <c r="Z129" s="83" t="str">
        <f>HYPERLINK("https://twitter.com/ubparking/status/1501665955298123780")</f>
        <v>https://twitter.com/ubparking/status/1501665955298123780</v>
      </c>
      <c r="AA129" s="80"/>
      <c r="AB129" s="80"/>
      <c r="AC129" s="85" t="s">
        <v>1257</v>
      </c>
      <c r="AD129" s="80"/>
      <c r="AE129" s="80" t="b">
        <v>0</v>
      </c>
      <c r="AF129" s="80">
        <v>1</v>
      </c>
      <c r="AG129" s="85" t="s">
        <v>1635</v>
      </c>
      <c r="AH129" s="80" t="b">
        <v>0</v>
      </c>
      <c r="AI129" s="80" t="s">
        <v>1642</v>
      </c>
      <c r="AJ129" s="80"/>
      <c r="AK129" s="85" t="s">
        <v>1635</v>
      </c>
      <c r="AL129" s="80" t="b">
        <v>0</v>
      </c>
      <c r="AM129" s="80">
        <v>0</v>
      </c>
      <c r="AN129" s="85" t="s">
        <v>1635</v>
      </c>
      <c r="AO129" s="85" t="s">
        <v>1672</v>
      </c>
      <c r="AP129" s="80" t="b">
        <v>0</v>
      </c>
      <c r="AQ129" s="85" t="s">
        <v>1257</v>
      </c>
      <c r="AR129" s="80" t="s">
        <v>179</v>
      </c>
      <c r="AS129" s="80">
        <v>0</v>
      </c>
      <c r="AT129" s="80">
        <v>0</v>
      </c>
      <c r="AU129" s="80"/>
      <c r="AV129" s="80"/>
      <c r="AW129" s="80"/>
      <c r="AX129" s="80"/>
      <c r="AY129" s="80"/>
      <c r="AZ129" s="80"/>
      <c r="BA129" s="80"/>
      <c r="BB129" s="80"/>
    </row>
    <row r="130" spans="1:54" x14ac:dyDescent="0.25">
      <c r="A130" s="65" t="s">
        <v>281</v>
      </c>
      <c r="B130" s="65" t="s">
        <v>398</v>
      </c>
      <c r="C130" s="66"/>
      <c r="D130" s="67"/>
      <c r="E130" s="68"/>
      <c r="F130" s="69"/>
      <c r="G130" s="66"/>
      <c r="H130" s="70"/>
      <c r="I130" s="71"/>
      <c r="J130" s="71"/>
      <c r="K130" s="36" t="s">
        <v>65</v>
      </c>
      <c r="L130" s="78">
        <v>130</v>
      </c>
      <c r="M130" s="78"/>
      <c r="N130" s="73"/>
      <c r="O130" s="80" t="s">
        <v>416</v>
      </c>
      <c r="P130" s="82">
        <v>44631.575601851851</v>
      </c>
      <c r="Q130" s="80" t="s">
        <v>476</v>
      </c>
      <c r="R130" s="80"/>
      <c r="S130" s="80"/>
      <c r="T130" s="85" t="s">
        <v>357</v>
      </c>
      <c r="U130" s="80"/>
      <c r="V130" s="83" t="str">
        <f>HYPERLINK("https://pbs.twimg.com/profile_images/718917199096909824/2RFPwAKj_normal.jpg")</f>
        <v>https://pbs.twimg.com/profile_images/718917199096909824/2RFPwAKj_normal.jpg</v>
      </c>
      <c r="W130" s="82">
        <v>44631.575601851851</v>
      </c>
      <c r="X130" s="88">
        <v>44631</v>
      </c>
      <c r="Y130" s="85" t="s">
        <v>809</v>
      </c>
      <c r="Z130" s="83" t="str">
        <f>HYPERLINK("https://twitter.com/theajwilcox/status/1502280399241850891")</f>
        <v>https://twitter.com/theajwilcox/status/1502280399241850891</v>
      </c>
      <c r="AA130" s="80"/>
      <c r="AB130" s="80"/>
      <c r="AC130" s="85" t="s">
        <v>1258</v>
      </c>
      <c r="AD130" s="85" t="s">
        <v>1426</v>
      </c>
      <c r="AE130" s="80" t="b">
        <v>0</v>
      </c>
      <c r="AF130" s="80">
        <v>4</v>
      </c>
      <c r="AG130" s="85" t="s">
        <v>1636</v>
      </c>
      <c r="AH130" s="80" t="b">
        <v>0</v>
      </c>
      <c r="AI130" s="80" t="s">
        <v>1642</v>
      </c>
      <c r="AJ130" s="80"/>
      <c r="AK130" s="85" t="s">
        <v>1635</v>
      </c>
      <c r="AL130" s="80" t="b">
        <v>0</v>
      </c>
      <c r="AM130" s="80">
        <v>0</v>
      </c>
      <c r="AN130" s="85" t="s">
        <v>1635</v>
      </c>
      <c r="AO130" s="85" t="s">
        <v>1672</v>
      </c>
      <c r="AP130" s="80" t="b">
        <v>0</v>
      </c>
      <c r="AQ130" s="85" t="s">
        <v>1426</v>
      </c>
      <c r="AR130" s="80" t="s">
        <v>179</v>
      </c>
      <c r="AS130" s="80">
        <v>0</v>
      </c>
      <c r="AT130" s="80">
        <v>0</v>
      </c>
      <c r="AU130" s="80"/>
      <c r="AV130" s="80"/>
      <c r="AW130" s="80"/>
      <c r="AX130" s="80"/>
      <c r="AY130" s="80"/>
      <c r="AZ130" s="80"/>
      <c r="BA130" s="80"/>
      <c r="BB130" s="80"/>
    </row>
    <row r="131" spans="1:54" x14ac:dyDescent="0.25">
      <c r="A131" s="65" t="s">
        <v>281</v>
      </c>
      <c r="B131" s="65" t="s">
        <v>353</v>
      </c>
      <c r="C131" s="66"/>
      <c r="D131" s="67"/>
      <c r="E131" s="68"/>
      <c r="F131" s="69"/>
      <c r="G131" s="66"/>
      <c r="H131" s="70"/>
      <c r="I131" s="71"/>
      <c r="J131" s="71"/>
      <c r="K131" s="36" t="s">
        <v>65</v>
      </c>
      <c r="L131" s="78">
        <v>131</v>
      </c>
      <c r="M131" s="78"/>
      <c r="N131" s="73"/>
      <c r="O131" s="80" t="s">
        <v>417</v>
      </c>
      <c r="P131" s="82">
        <v>44631.575601851851</v>
      </c>
      <c r="Q131" s="80" t="s">
        <v>476</v>
      </c>
      <c r="R131" s="80"/>
      <c r="S131" s="80"/>
      <c r="T131" s="85" t="s">
        <v>357</v>
      </c>
      <c r="U131" s="80"/>
      <c r="V131" s="83" t="str">
        <f>HYPERLINK("https://pbs.twimg.com/profile_images/718917199096909824/2RFPwAKj_normal.jpg")</f>
        <v>https://pbs.twimg.com/profile_images/718917199096909824/2RFPwAKj_normal.jpg</v>
      </c>
      <c r="W131" s="82">
        <v>44631.575601851851</v>
      </c>
      <c r="X131" s="88">
        <v>44631</v>
      </c>
      <c r="Y131" s="85" t="s">
        <v>809</v>
      </c>
      <c r="Z131" s="83" t="str">
        <f>HYPERLINK("https://twitter.com/theajwilcox/status/1502280399241850891")</f>
        <v>https://twitter.com/theajwilcox/status/1502280399241850891</v>
      </c>
      <c r="AA131" s="80"/>
      <c r="AB131" s="80"/>
      <c r="AC131" s="85" t="s">
        <v>1258</v>
      </c>
      <c r="AD131" s="85" t="s">
        <v>1426</v>
      </c>
      <c r="AE131" s="80" t="b">
        <v>0</v>
      </c>
      <c r="AF131" s="80">
        <v>4</v>
      </c>
      <c r="AG131" s="85" t="s">
        <v>1636</v>
      </c>
      <c r="AH131" s="80" t="b">
        <v>0</v>
      </c>
      <c r="AI131" s="80" t="s">
        <v>1642</v>
      </c>
      <c r="AJ131" s="80"/>
      <c r="AK131" s="85" t="s">
        <v>1635</v>
      </c>
      <c r="AL131" s="80" t="b">
        <v>0</v>
      </c>
      <c r="AM131" s="80">
        <v>0</v>
      </c>
      <c r="AN131" s="85" t="s">
        <v>1635</v>
      </c>
      <c r="AO131" s="85" t="s">
        <v>1672</v>
      </c>
      <c r="AP131" s="80" t="b">
        <v>0</v>
      </c>
      <c r="AQ131" s="85" t="s">
        <v>1426</v>
      </c>
      <c r="AR131" s="80" t="s">
        <v>179</v>
      </c>
      <c r="AS131" s="80">
        <v>0</v>
      </c>
      <c r="AT131" s="80">
        <v>0</v>
      </c>
      <c r="AU131" s="80"/>
      <c r="AV131" s="80"/>
      <c r="AW131" s="80"/>
      <c r="AX131" s="80"/>
      <c r="AY131" s="80"/>
      <c r="AZ131" s="80"/>
      <c r="BA131" s="80"/>
      <c r="BB131" s="80"/>
    </row>
    <row r="132" spans="1:54" x14ac:dyDescent="0.25">
      <c r="A132" s="65" t="s">
        <v>263</v>
      </c>
      <c r="B132" s="65" t="s">
        <v>307</v>
      </c>
      <c r="C132" s="66"/>
      <c r="D132" s="67"/>
      <c r="E132" s="68"/>
      <c r="F132" s="69"/>
      <c r="G132" s="66"/>
      <c r="H132" s="70"/>
      <c r="I132" s="71"/>
      <c r="J132" s="71"/>
      <c r="K132" s="36" t="s">
        <v>65</v>
      </c>
      <c r="L132" s="78">
        <v>132</v>
      </c>
      <c r="M132" s="78"/>
      <c r="N132" s="73"/>
      <c r="O132" s="80" t="s">
        <v>416</v>
      </c>
      <c r="P132" s="82">
        <v>44626.839826388888</v>
      </c>
      <c r="Q132" s="80" t="s">
        <v>456</v>
      </c>
      <c r="R132" s="83" t="str">
        <f>HYPERLINK("https://twitter.com/BfloBizFirst/status/1499731494885281793")</f>
        <v>https://twitter.com/BfloBizFirst/status/1499731494885281793</v>
      </c>
      <c r="S132" s="80" t="s">
        <v>633</v>
      </c>
      <c r="T132" s="85" t="s">
        <v>671</v>
      </c>
      <c r="U132" s="80"/>
      <c r="V132" s="83" t="str">
        <f>HYPERLINK("https://pbs.twimg.com/profile_images/1471631171356348420/a8Xi_Eqy_normal.jpg")</f>
        <v>https://pbs.twimg.com/profile_images/1471631171356348420/a8Xi_Eqy_normal.jpg</v>
      </c>
      <c r="W132" s="82">
        <v>44626.839826388888</v>
      </c>
      <c r="X132" s="88">
        <v>44626</v>
      </c>
      <c r="Y132" s="85" t="s">
        <v>781</v>
      </c>
      <c r="Z132" s="83" t="str">
        <f>HYPERLINK("https://twitter.com/drabrashear/status/1500564209960108034")</f>
        <v>https://twitter.com/drabrashear/status/1500564209960108034</v>
      </c>
      <c r="AA132" s="80"/>
      <c r="AB132" s="80"/>
      <c r="AC132" s="85" t="s">
        <v>1230</v>
      </c>
      <c r="AD132" s="80"/>
      <c r="AE132" s="80" t="b">
        <v>0</v>
      </c>
      <c r="AF132" s="80">
        <v>3</v>
      </c>
      <c r="AG132" s="85" t="s">
        <v>1635</v>
      </c>
      <c r="AH132" s="80" t="b">
        <v>1</v>
      </c>
      <c r="AI132" s="80" t="s">
        <v>1642</v>
      </c>
      <c r="AJ132" s="80"/>
      <c r="AK132" s="85" t="s">
        <v>1645</v>
      </c>
      <c r="AL132" s="80" t="b">
        <v>0</v>
      </c>
      <c r="AM132" s="80">
        <v>0</v>
      </c>
      <c r="AN132" s="85" t="s">
        <v>1635</v>
      </c>
      <c r="AO132" s="85" t="s">
        <v>1672</v>
      </c>
      <c r="AP132" s="80" t="b">
        <v>0</v>
      </c>
      <c r="AQ132" s="85" t="s">
        <v>1230</v>
      </c>
      <c r="AR132" s="80" t="s">
        <v>179</v>
      </c>
      <c r="AS132" s="80">
        <v>0</v>
      </c>
      <c r="AT132" s="80">
        <v>0</v>
      </c>
      <c r="AU132" s="80"/>
      <c r="AV132" s="80"/>
      <c r="AW132" s="80"/>
      <c r="AX132" s="80"/>
      <c r="AY132" s="80"/>
      <c r="AZ132" s="80"/>
      <c r="BA132" s="80"/>
      <c r="BB132" s="80"/>
    </row>
    <row r="133" spans="1:54" x14ac:dyDescent="0.25">
      <c r="A133" s="65" t="s">
        <v>263</v>
      </c>
      <c r="B133" s="65" t="s">
        <v>263</v>
      </c>
      <c r="C133" s="66"/>
      <c r="D133" s="67"/>
      <c r="E133" s="68"/>
      <c r="F133" s="69"/>
      <c r="G133" s="66"/>
      <c r="H133" s="70"/>
      <c r="I133" s="71"/>
      <c r="J133" s="71"/>
      <c r="K133" s="36" t="s">
        <v>65</v>
      </c>
      <c r="L133" s="78">
        <v>133</v>
      </c>
      <c r="M133" s="78"/>
      <c r="N133" s="73"/>
      <c r="O133" s="80" t="s">
        <v>179</v>
      </c>
      <c r="P133" s="82">
        <v>44627.84375</v>
      </c>
      <c r="Q133" s="80" t="s">
        <v>477</v>
      </c>
      <c r="R133" s="83" t="str">
        <f>HYPERLINK("http://www.buffalo.edu/ubnow/stories/2022/03/mask-mandate-lifted.html")</f>
        <v>http://www.buffalo.edu/ubnow/stories/2022/03/mask-mandate-lifted.html</v>
      </c>
      <c r="S133" s="80" t="s">
        <v>632</v>
      </c>
      <c r="T133" s="85" t="s">
        <v>689</v>
      </c>
      <c r="U133" s="83" t="str">
        <f>HYPERLINK("https://pbs.twimg.com/media/FNRdrUTWQAAlrZS.jpg")</f>
        <v>https://pbs.twimg.com/media/FNRdrUTWQAAlrZS.jpg</v>
      </c>
      <c r="V133" s="83" t="str">
        <f>HYPERLINK("https://pbs.twimg.com/media/FNRdrUTWQAAlrZS.jpg")</f>
        <v>https://pbs.twimg.com/media/FNRdrUTWQAAlrZS.jpg</v>
      </c>
      <c r="W133" s="82">
        <v>44627.84375</v>
      </c>
      <c r="X133" s="88">
        <v>44627</v>
      </c>
      <c r="Y133" s="85" t="s">
        <v>810</v>
      </c>
      <c r="Z133" s="83" t="str">
        <f>HYPERLINK("https://twitter.com/drabrashear/status/1500928018511970305")</f>
        <v>https://twitter.com/drabrashear/status/1500928018511970305</v>
      </c>
      <c r="AA133" s="80"/>
      <c r="AB133" s="80"/>
      <c r="AC133" s="85" t="s">
        <v>1259</v>
      </c>
      <c r="AD133" s="80"/>
      <c r="AE133" s="80" t="b">
        <v>0</v>
      </c>
      <c r="AF133" s="80">
        <v>5</v>
      </c>
      <c r="AG133" s="85" t="s">
        <v>1635</v>
      </c>
      <c r="AH133" s="80" t="b">
        <v>0</v>
      </c>
      <c r="AI133" s="80" t="s">
        <v>1642</v>
      </c>
      <c r="AJ133" s="80"/>
      <c r="AK133" s="85" t="s">
        <v>1635</v>
      </c>
      <c r="AL133" s="80" t="b">
        <v>0</v>
      </c>
      <c r="AM133" s="80">
        <v>1</v>
      </c>
      <c r="AN133" s="85" t="s">
        <v>1635</v>
      </c>
      <c r="AO133" s="85" t="s">
        <v>1672</v>
      </c>
      <c r="AP133" s="80" t="b">
        <v>0</v>
      </c>
      <c r="AQ133" s="85" t="s">
        <v>1259</v>
      </c>
      <c r="AR133" s="80" t="s">
        <v>179</v>
      </c>
      <c r="AS133" s="80">
        <v>0</v>
      </c>
      <c r="AT133" s="80">
        <v>0</v>
      </c>
      <c r="AU133" s="80"/>
      <c r="AV133" s="80"/>
      <c r="AW133" s="80"/>
      <c r="AX133" s="80"/>
      <c r="AY133" s="80"/>
      <c r="AZ133" s="80"/>
      <c r="BA133" s="80"/>
      <c r="BB133" s="80"/>
    </row>
    <row r="134" spans="1:54" x14ac:dyDescent="0.25">
      <c r="A134" s="65" t="s">
        <v>263</v>
      </c>
      <c r="B134" s="65" t="s">
        <v>307</v>
      </c>
      <c r="C134" s="66"/>
      <c r="D134" s="67"/>
      <c r="E134" s="68"/>
      <c r="F134" s="69"/>
      <c r="G134" s="66"/>
      <c r="H134" s="70"/>
      <c r="I134" s="71"/>
      <c r="J134" s="71"/>
      <c r="K134" s="36" t="s">
        <v>65</v>
      </c>
      <c r="L134" s="78">
        <v>134</v>
      </c>
      <c r="M134" s="78"/>
      <c r="N134" s="73"/>
      <c r="O134" s="80" t="s">
        <v>414</v>
      </c>
      <c r="P134" s="82">
        <v>44629.059699074074</v>
      </c>
      <c r="Q134" s="80" t="s">
        <v>478</v>
      </c>
      <c r="R134" s="80"/>
      <c r="S134" s="80"/>
      <c r="T134" s="85" t="s">
        <v>668</v>
      </c>
      <c r="U134" s="83" t="str">
        <f>HYPERLINK("https://pbs.twimg.com/media/FNXo62eXoAEyQvR.jpg")</f>
        <v>https://pbs.twimg.com/media/FNXo62eXoAEyQvR.jpg</v>
      </c>
      <c r="V134" s="83" t="str">
        <f>HYPERLINK("https://pbs.twimg.com/media/FNXo62eXoAEyQvR.jpg")</f>
        <v>https://pbs.twimg.com/media/FNXo62eXoAEyQvR.jpg</v>
      </c>
      <c r="W134" s="82">
        <v>44629.059699074074</v>
      </c>
      <c r="X134" s="88">
        <v>44629</v>
      </c>
      <c r="Y134" s="85" t="s">
        <v>811</v>
      </c>
      <c r="Z134" s="83" t="str">
        <f>HYPERLINK("https://twitter.com/drabrashear/status/1501368666457350146")</f>
        <v>https://twitter.com/drabrashear/status/1501368666457350146</v>
      </c>
      <c r="AA134" s="80"/>
      <c r="AB134" s="80"/>
      <c r="AC134" s="85" t="s">
        <v>1260</v>
      </c>
      <c r="AD134" s="80"/>
      <c r="AE134" s="80" t="b">
        <v>0</v>
      </c>
      <c r="AF134" s="80">
        <v>0</v>
      </c>
      <c r="AG134" s="85" t="s">
        <v>1635</v>
      </c>
      <c r="AH134" s="80" t="b">
        <v>0</v>
      </c>
      <c r="AI134" s="80" t="s">
        <v>1642</v>
      </c>
      <c r="AJ134" s="80"/>
      <c r="AK134" s="85" t="s">
        <v>1635</v>
      </c>
      <c r="AL134" s="80" t="b">
        <v>0</v>
      </c>
      <c r="AM134" s="80">
        <v>2</v>
      </c>
      <c r="AN134" s="85" t="s">
        <v>1456</v>
      </c>
      <c r="AO134" s="85" t="s">
        <v>1672</v>
      </c>
      <c r="AP134" s="80" t="b">
        <v>0</v>
      </c>
      <c r="AQ134" s="85" t="s">
        <v>1456</v>
      </c>
      <c r="AR134" s="80" t="s">
        <v>179</v>
      </c>
      <c r="AS134" s="80">
        <v>0</v>
      </c>
      <c r="AT134" s="80">
        <v>0</v>
      </c>
      <c r="AU134" s="80"/>
      <c r="AV134" s="80"/>
      <c r="AW134" s="80"/>
      <c r="AX134" s="80"/>
      <c r="AY134" s="80"/>
      <c r="AZ134" s="80"/>
      <c r="BA134" s="80"/>
      <c r="BB134" s="80"/>
    </row>
    <row r="135" spans="1:54" x14ac:dyDescent="0.25">
      <c r="A135" s="65" t="s">
        <v>263</v>
      </c>
      <c r="B135" s="65" t="s">
        <v>307</v>
      </c>
      <c r="C135" s="66"/>
      <c r="D135" s="67"/>
      <c r="E135" s="68"/>
      <c r="F135" s="69"/>
      <c r="G135" s="66"/>
      <c r="H135" s="70"/>
      <c r="I135" s="71"/>
      <c r="J135" s="71"/>
      <c r="K135" s="36" t="s">
        <v>65</v>
      </c>
      <c r="L135" s="78">
        <v>135</v>
      </c>
      <c r="M135" s="78"/>
      <c r="N135" s="73"/>
      <c r="O135" s="80" t="s">
        <v>415</v>
      </c>
      <c r="P135" s="82">
        <v>44629.059699074074</v>
      </c>
      <c r="Q135" s="80" t="s">
        <v>478</v>
      </c>
      <c r="R135" s="80"/>
      <c r="S135" s="80"/>
      <c r="T135" s="85" t="s">
        <v>668</v>
      </c>
      <c r="U135" s="83" t="str">
        <f>HYPERLINK("https://pbs.twimg.com/media/FNXo62eXoAEyQvR.jpg")</f>
        <v>https://pbs.twimg.com/media/FNXo62eXoAEyQvR.jpg</v>
      </c>
      <c r="V135" s="83" t="str">
        <f>HYPERLINK("https://pbs.twimg.com/media/FNXo62eXoAEyQvR.jpg")</f>
        <v>https://pbs.twimg.com/media/FNXo62eXoAEyQvR.jpg</v>
      </c>
      <c r="W135" s="82">
        <v>44629.059699074074</v>
      </c>
      <c r="X135" s="88">
        <v>44629</v>
      </c>
      <c r="Y135" s="85" t="s">
        <v>811</v>
      </c>
      <c r="Z135" s="83" t="str">
        <f>HYPERLINK("https://twitter.com/drabrashear/status/1501368666457350146")</f>
        <v>https://twitter.com/drabrashear/status/1501368666457350146</v>
      </c>
      <c r="AA135" s="80"/>
      <c r="AB135" s="80"/>
      <c r="AC135" s="85" t="s">
        <v>1260</v>
      </c>
      <c r="AD135" s="80"/>
      <c r="AE135" s="80" t="b">
        <v>0</v>
      </c>
      <c r="AF135" s="80">
        <v>0</v>
      </c>
      <c r="AG135" s="85" t="s">
        <v>1635</v>
      </c>
      <c r="AH135" s="80" t="b">
        <v>0</v>
      </c>
      <c r="AI135" s="80" t="s">
        <v>1642</v>
      </c>
      <c r="AJ135" s="80"/>
      <c r="AK135" s="85" t="s">
        <v>1635</v>
      </c>
      <c r="AL135" s="80" t="b">
        <v>0</v>
      </c>
      <c r="AM135" s="80">
        <v>2</v>
      </c>
      <c r="AN135" s="85" t="s">
        <v>1456</v>
      </c>
      <c r="AO135" s="85" t="s">
        <v>1672</v>
      </c>
      <c r="AP135" s="80" t="b">
        <v>0</v>
      </c>
      <c r="AQ135" s="85" t="s">
        <v>1456</v>
      </c>
      <c r="AR135" s="80" t="s">
        <v>179</v>
      </c>
      <c r="AS135" s="80">
        <v>0</v>
      </c>
      <c r="AT135" s="80">
        <v>0</v>
      </c>
      <c r="AU135" s="80"/>
      <c r="AV135" s="80"/>
      <c r="AW135" s="80"/>
      <c r="AX135" s="80"/>
      <c r="AY135" s="80"/>
      <c r="AZ135" s="80"/>
      <c r="BA135" s="80"/>
      <c r="BB135" s="80"/>
    </row>
    <row r="136" spans="1:54" x14ac:dyDescent="0.25">
      <c r="A136" s="65" t="s">
        <v>263</v>
      </c>
      <c r="B136" s="65" t="s">
        <v>307</v>
      </c>
      <c r="C136" s="66"/>
      <c r="D136" s="67"/>
      <c r="E136" s="68"/>
      <c r="F136" s="69"/>
      <c r="G136" s="66"/>
      <c r="H136" s="70"/>
      <c r="I136" s="71"/>
      <c r="J136" s="71"/>
      <c r="K136" s="36" t="s">
        <v>65</v>
      </c>
      <c r="L136" s="78">
        <v>136</v>
      </c>
      <c r="M136" s="78"/>
      <c r="N136" s="73"/>
      <c r="O136" s="80" t="s">
        <v>416</v>
      </c>
      <c r="P136" s="82">
        <v>44630.517152777778</v>
      </c>
      <c r="Q136" s="80" t="s">
        <v>469</v>
      </c>
      <c r="R136" s="83" t="str">
        <f>HYPERLINK("https://twitter.com/Jacobs_Med_UB/status/1501709433679892497")</f>
        <v>https://twitter.com/Jacobs_Med_UB/status/1501709433679892497</v>
      </c>
      <c r="S136" s="80" t="s">
        <v>633</v>
      </c>
      <c r="T136" s="85" t="s">
        <v>357</v>
      </c>
      <c r="U136" s="80"/>
      <c r="V136" s="83" t="str">
        <f>HYPERLINK("https://pbs.twimg.com/profile_images/1471631171356348420/a8Xi_Eqy_normal.jpg")</f>
        <v>https://pbs.twimg.com/profile_images/1471631171356348420/a8Xi_Eqy_normal.jpg</v>
      </c>
      <c r="W136" s="82">
        <v>44630.517152777778</v>
      </c>
      <c r="X136" s="88">
        <v>44630</v>
      </c>
      <c r="Y136" s="85" t="s">
        <v>812</v>
      </c>
      <c r="Z136" s="83" t="str">
        <f>HYPERLINK("https://twitter.com/drabrashear/status/1501896830191349762")</f>
        <v>https://twitter.com/drabrashear/status/1501896830191349762</v>
      </c>
      <c r="AA136" s="80"/>
      <c r="AB136" s="80"/>
      <c r="AC136" s="85" t="s">
        <v>1261</v>
      </c>
      <c r="AD136" s="80"/>
      <c r="AE136" s="80" t="b">
        <v>0</v>
      </c>
      <c r="AF136" s="80">
        <v>4</v>
      </c>
      <c r="AG136" s="85" t="s">
        <v>1635</v>
      </c>
      <c r="AH136" s="80" t="b">
        <v>1</v>
      </c>
      <c r="AI136" s="80" t="s">
        <v>1642</v>
      </c>
      <c r="AJ136" s="80"/>
      <c r="AK136" s="85" t="s">
        <v>1459</v>
      </c>
      <c r="AL136" s="80" t="b">
        <v>0</v>
      </c>
      <c r="AM136" s="80">
        <v>1</v>
      </c>
      <c r="AN136" s="85" t="s">
        <v>1635</v>
      </c>
      <c r="AO136" s="85" t="s">
        <v>1672</v>
      </c>
      <c r="AP136" s="80" t="b">
        <v>0</v>
      </c>
      <c r="AQ136" s="85" t="s">
        <v>1261</v>
      </c>
      <c r="AR136" s="80" t="s">
        <v>179</v>
      </c>
      <c r="AS136" s="80">
        <v>0</v>
      </c>
      <c r="AT136" s="80">
        <v>0</v>
      </c>
      <c r="AU136" s="80"/>
      <c r="AV136" s="80"/>
      <c r="AW136" s="80"/>
      <c r="AX136" s="80"/>
      <c r="AY136" s="80"/>
      <c r="AZ136" s="80"/>
      <c r="BA136" s="80"/>
      <c r="BB136" s="80"/>
    </row>
    <row r="137" spans="1:54" x14ac:dyDescent="0.25">
      <c r="A137" s="65" t="s">
        <v>282</v>
      </c>
      <c r="B137" s="65" t="s">
        <v>263</v>
      </c>
      <c r="C137" s="66"/>
      <c r="D137" s="67"/>
      <c r="E137" s="68"/>
      <c r="F137" s="69"/>
      <c r="G137" s="66"/>
      <c r="H137" s="70"/>
      <c r="I137" s="71"/>
      <c r="J137" s="71"/>
      <c r="K137" s="36" t="s">
        <v>65</v>
      </c>
      <c r="L137" s="78">
        <v>137</v>
      </c>
      <c r="M137" s="78"/>
      <c r="N137" s="73"/>
      <c r="O137" s="80" t="s">
        <v>415</v>
      </c>
      <c r="P137" s="82">
        <v>44627.859560185185</v>
      </c>
      <c r="Q137" s="80" t="s">
        <v>477</v>
      </c>
      <c r="R137" s="83" t="str">
        <f>HYPERLINK("http://www.buffalo.edu/ubnow/stories/2022/03/mask-mandate-lifted.html")</f>
        <v>http://www.buffalo.edu/ubnow/stories/2022/03/mask-mandate-lifted.html</v>
      </c>
      <c r="S137" s="80" t="s">
        <v>632</v>
      </c>
      <c r="T137" s="85" t="s">
        <v>689</v>
      </c>
      <c r="U137" s="83" t="str">
        <f>HYPERLINK("https://pbs.twimg.com/media/FNRdrUTWQAAlrZS.jpg")</f>
        <v>https://pbs.twimg.com/media/FNRdrUTWQAAlrZS.jpg</v>
      </c>
      <c r="V137" s="83" t="str">
        <f>HYPERLINK("https://pbs.twimg.com/media/FNRdrUTWQAAlrZS.jpg")</f>
        <v>https://pbs.twimg.com/media/FNRdrUTWQAAlrZS.jpg</v>
      </c>
      <c r="W137" s="82">
        <v>44627.859560185185</v>
      </c>
      <c r="X137" s="88">
        <v>44627</v>
      </c>
      <c r="Y137" s="85" t="s">
        <v>813</v>
      </c>
      <c r="Z137" s="83" t="str">
        <f>HYPERLINK("https://twitter.com/ubuffaloctsi/status/1500933750909292544")</f>
        <v>https://twitter.com/ubuffaloctsi/status/1500933750909292544</v>
      </c>
      <c r="AA137" s="80"/>
      <c r="AB137" s="80"/>
      <c r="AC137" s="85" t="s">
        <v>1262</v>
      </c>
      <c r="AD137" s="80"/>
      <c r="AE137" s="80" t="b">
        <v>0</v>
      </c>
      <c r="AF137" s="80">
        <v>0</v>
      </c>
      <c r="AG137" s="85" t="s">
        <v>1635</v>
      </c>
      <c r="AH137" s="80" t="b">
        <v>0</v>
      </c>
      <c r="AI137" s="80" t="s">
        <v>1642</v>
      </c>
      <c r="AJ137" s="80"/>
      <c r="AK137" s="85" t="s">
        <v>1635</v>
      </c>
      <c r="AL137" s="80" t="b">
        <v>0</v>
      </c>
      <c r="AM137" s="80">
        <v>1</v>
      </c>
      <c r="AN137" s="85" t="s">
        <v>1259</v>
      </c>
      <c r="AO137" s="85" t="s">
        <v>1672</v>
      </c>
      <c r="AP137" s="80" t="b">
        <v>0</v>
      </c>
      <c r="AQ137" s="85" t="s">
        <v>1259</v>
      </c>
      <c r="AR137" s="80" t="s">
        <v>179</v>
      </c>
      <c r="AS137" s="80">
        <v>0</v>
      </c>
      <c r="AT137" s="80">
        <v>0</v>
      </c>
      <c r="AU137" s="80"/>
      <c r="AV137" s="80"/>
      <c r="AW137" s="80"/>
      <c r="AX137" s="80"/>
      <c r="AY137" s="80"/>
      <c r="AZ137" s="80"/>
      <c r="BA137" s="80"/>
      <c r="BB137" s="80"/>
    </row>
    <row r="138" spans="1:54" x14ac:dyDescent="0.25">
      <c r="A138" s="65" t="s">
        <v>282</v>
      </c>
      <c r="B138" s="65" t="s">
        <v>399</v>
      </c>
      <c r="C138" s="66"/>
      <c r="D138" s="67"/>
      <c r="E138" s="68"/>
      <c r="F138" s="69"/>
      <c r="G138" s="66"/>
      <c r="H138" s="70"/>
      <c r="I138" s="71"/>
      <c r="J138" s="71"/>
      <c r="K138" s="36" t="s">
        <v>65</v>
      </c>
      <c r="L138" s="78">
        <v>138</v>
      </c>
      <c r="M138" s="78"/>
      <c r="N138" s="73"/>
      <c r="O138" s="80" t="s">
        <v>416</v>
      </c>
      <c r="P138" s="82">
        <v>44629.553576388891</v>
      </c>
      <c r="Q138" s="80" t="s">
        <v>479</v>
      </c>
      <c r="R138" s="83" t="str">
        <f>HYPERLINK("https://mailchi.mp/buffalo/ctsi-translational-spotlight-march-2-2022")</f>
        <v>https://mailchi.mp/buffalo/ctsi-translational-spotlight-march-2-2022</v>
      </c>
      <c r="S138" s="80" t="s">
        <v>647</v>
      </c>
      <c r="T138" s="85" t="s">
        <v>689</v>
      </c>
      <c r="U138" s="83" t="str">
        <f>HYPERLINK("https://pbs.twimg.com/media/FNaQwg8X0AEBw0c.jpg")</f>
        <v>https://pbs.twimg.com/media/FNaQwg8X0AEBw0c.jpg</v>
      </c>
      <c r="V138" s="83" t="str">
        <f>HYPERLINK("https://pbs.twimg.com/media/FNaQwg8X0AEBw0c.jpg")</f>
        <v>https://pbs.twimg.com/media/FNaQwg8X0AEBw0c.jpg</v>
      </c>
      <c r="W138" s="82">
        <v>44629.553576388891</v>
      </c>
      <c r="X138" s="88">
        <v>44629</v>
      </c>
      <c r="Y138" s="85" t="s">
        <v>814</v>
      </c>
      <c r="Z138" s="83" t="str">
        <f>HYPERLINK("https://twitter.com/ubuffaloctsi/status/1501547639971762176")</f>
        <v>https://twitter.com/ubuffaloctsi/status/1501547639971762176</v>
      </c>
      <c r="AA138" s="80"/>
      <c r="AB138" s="80"/>
      <c r="AC138" s="85" t="s">
        <v>1263</v>
      </c>
      <c r="AD138" s="80"/>
      <c r="AE138" s="80" t="b">
        <v>0</v>
      </c>
      <c r="AF138" s="80">
        <v>1</v>
      </c>
      <c r="AG138" s="85" t="s">
        <v>1635</v>
      </c>
      <c r="AH138" s="80" t="b">
        <v>0</v>
      </c>
      <c r="AI138" s="80" t="s">
        <v>1642</v>
      </c>
      <c r="AJ138" s="80"/>
      <c r="AK138" s="85" t="s">
        <v>1635</v>
      </c>
      <c r="AL138" s="80" t="b">
        <v>0</v>
      </c>
      <c r="AM138" s="80">
        <v>0</v>
      </c>
      <c r="AN138" s="85" t="s">
        <v>1635</v>
      </c>
      <c r="AO138" s="85" t="s">
        <v>1672</v>
      </c>
      <c r="AP138" s="80" t="b">
        <v>0</v>
      </c>
      <c r="AQ138" s="85" t="s">
        <v>1263</v>
      </c>
      <c r="AR138" s="80" t="s">
        <v>179</v>
      </c>
      <c r="AS138" s="80">
        <v>0</v>
      </c>
      <c r="AT138" s="80">
        <v>0</v>
      </c>
      <c r="AU138" s="80"/>
      <c r="AV138" s="80"/>
      <c r="AW138" s="80"/>
      <c r="AX138" s="80"/>
      <c r="AY138" s="80"/>
      <c r="AZ138" s="80"/>
      <c r="BA138" s="80"/>
      <c r="BB138" s="80"/>
    </row>
    <row r="139" spans="1:54" x14ac:dyDescent="0.25">
      <c r="A139" s="65" t="s">
        <v>283</v>
      </c>
      <c r="B139" s="65" t="s">
        <v>304</v>
      </c>
      <c r="C139" s="66"/>
      <c r="D139" s="67"/>
      <c r="E139" s="68"/>
      <c r="F139" s="69"/>
      <c r="G139" s="66"/>
      <c r="H139" s="70"/>
      <c r="I139" s="71"/>
      <c r="J139" s="71"/>
      <c r="K139" s="36" t="s">
        <v>65</v>
      </c>
      <c r="L139" s="78">
        <v>139</v>
      </c>
      <c r="M139" s="78"/>
      <c r="N139" s="73"/>
      <c r="O139" s="80" t="s">
        <v>414</v>
      </c>
      <c r="P139" s="82">
        <v>44631.735300925924</v>
      </c>
      <c r="Q139" s="80" t="s">
        <v>480</v>
      </c>
      <c r="R139" s="83" t="str">
        <f>HYPERLINK("https://www.buffalo.edu/ubnow/stories/2022/03/hari-srihari-obit.html?utm_source=TWITTER&amp;utm_medium=social&amp;utm_term=20220311&amp;utm_content=100002967032042&amp;utm_campaign=General+Content&amp;linkId=100000114633763")</f>
        <v>https://www.buffalo.edu/ubnow/stories/2022/03/hari-srihari-obit.html?utm_source=TWITTER&amp;utm_medium=social&amp;utm_term=20220311&amp;utm_content=100002967032042&amp;utm_campaign=General+Content&amp;linkId=100000114633763</v>
      </c>
      <c r="S139" s="80" t="s">
        <v>632</v>
      </c>
      <c r="T139" s="85" t="s">
        <v>357</v>
      </c>
      <c r="U139" s="80"/>
      <c r="V139" s="83" t="str">
        <f>HYPERLINK("https://pbs.twimg.com/profile_images/1239273298552291328/tpElWE6-_normal.jpg")</f>
        <v>https://pbs.twimg.com/profile_images/1239273298552291328/tpElWE6-_normal.jpg</v>
      </c>
      <c r="W139" s="82">
        <v>44631.735300925924</v>
      </c>
      <c r="X139" s="88">
        <v>44631</v>
      </c>
      <c r="Y139" s="85" t="s">
        <v>815</v>
      </c>
      <c r="Z139" s="83" t="str">
        <f>HYPERLINK("https://twitter.com/muratdemirbas/status/1502338270176419849")</f>
        <v>https://twitter.com/muratdemirbas/status/1502338270176419849</v>
      </c>
      <c r="AA139" s="80"/>
      <c r="AB139" s="80"/>
      <c r="AC139" s="85" t="s">
        <v>1264</v>
      </c>
      <c r="AD139" s="80"/>
      <c r="AE139" s="80" t="b">
        <v>0</v>
      </c>
      <c r="AF139" s="80">
        <v>0</v>
      </c>
      <c r="AG139" s="85" t="s">
        <v>1635</v>
      </c>
      <c r="AH139" s="80" t="b">
        <v>0</v>
      </c>
      <c r="AI139" s="80" t="s">
        <v>1642</v>
      </c>
      <c r="AJ139" s="80"/>
      <c r="AK139" s="85" t="s">
        <v>1635</v>
      </c>
      <c r="AL139" s="80" t="b">
        <v>0</v>
      </c>
      <c r="AM139" s="80">
        <v>4</v>
      </c>
      <c r="AN139" s="85" t="s">
        <v>1469</v>
      </c>
      <c r="AO139" s="85" t="s">
        <v>1672</v>
      </c>
      <c r="AP139" s="80" t="b">
        <v>0</v>
      </c>
      <c r="AQ139" s="85" t="s">
        <v>1469</v>
      </c>
      <c r="AR139" s="80" t="s">
        <v>179</v>
      </c>
      <c r="AS139" s="80">
        <v>0</v>
      </c>
      <c r="AT139" s="80">
        <v>0</v>
      </c>
      <c r="AU139" s="80"/>
      <c r="AV139" s="80"/>
      <c r="AW139" s="80"/>
      <c r="AX139" s="80"/>
      <c r="AY139" s="80"/>
      <c r="AZ139" s="80"/>
      <c r="BA139" s="80"/>
      <c r="BB139" s="80"/>
    </row>
    <row r="140" spans="1:54" x14ac:dyDescent="0.25">
      <c r="A140" s="65" t="s">
        <v>283</v>
      </c>
      <c r="B140" s="65" t="s">
        <v>357</v>
      </c>
      <c r="C140" s="66"/>
      <c r="D140" s="67"/>
      <c r="E140" s="68"/>
      <c r="F140" s="69"/>
      <c r="G140" s="66"/>
      <c r="H140" s="70"/>
      <c r="I140" s="71"/>
      <c r="J140" s="71"/>
      <c r="K140" s="36" t="s">
        <v>65</v>
      </c>
      <c r="L140" s="78">
        <v>140</v>
      </c>
      <c r="M140" s="78"/>
      <c r="N140" s="73"/>
      <c r="O140" s="80" t="s">
        <v>415</v>
      </c>
      <c r="P140" s="82">
        <v>44631.735300925924</v>
      </c>
      <c r="Q140" s="80" t="s">
        <v>480</v>
      </c>
      <c r="R140" s="83" t="str">
        <f>HYPERLINK("https://www.buffalo.edu/ubnow/stories/2022/03/hari-srihari-obit.html?utm_source=TWITTER&amp;utm_medium=social&amp;utm_term=20220311&amp;utm_content=100002967032042&amp;utm_campaign=General+Content&amp;linkId=100000114633763")</f>
        <v>https://www.buffalo.edu/ubnow/stories/2022/03/hari-srihari-obit.html?utm_source=TWITTER&amp;utm_medium=social&amp;utm_term=20220311&amp;utm_content=100002967032042&amp;utm_campaign=General+Content&amp;linkId=100000114633763</v>
      </c>
      <c r="S140" s="80" t="s">
        <v>632</v>
      </c>
      <c r="T140" s="85" t="s">
        <v>357</v>
      </c>
      <c r="U140" s="80"/>
      <c r="V140" s="83" t="str">
        <f>HYPERLINK("https://pbs.twimg.com/profile_images/1239273298552291328/tpElWE6-_normal.jpg")</f>
        <v>https://pbs.twimg.com/profile_images/1239273298552291328/tpElWE6-_normal.jpg</v>
      </c>
      <c r="W140" s="82">
        <v>44631.735300925924</v>
      </c>
      <c r="X140" s="88">
        <v>44631</v>
      </c>
      <c r="Y140" s="85" t="s">
        <v>815</v>
      </c>
      <c r="Z140" s="83" t="str">
        <f>HYPERLINK("https://twitter.com/muratdemirbas/status/1502338270176419849")</f>
        <v>https://twitter.com/muratdemirbas/status/1502338270176419849</v>
      </c>
      <c r="AA140" s="80"/>
      <c r="AB140" s="80"/>
      <c r="AC140" s="85" t="s">
        <v>1264</v>
      </c>
      <c r="AD140" s="80"/>
      <c r="AE140" s="80" t="b">
        <v>0</v>
      </c>
      <c r="AF140" s="80">
        <v>0</v>
      </c>
      <c r="AG140" s="85" t="s">
        <v>1635</v>
      </c>
      <c r="AH140" s="80" t="b">
        <v>0</v>
      </c>
      <c r="AI140" s="80" t="s">
        <v>1642</v>
      </c>
      <c r="AJ140" s="80"/>
      <c r="AK140" s="85" t="s">
        <v>1635</v>
      </c>
      <c r="AL140" s="80" t="b">
        <v>0</v>
      </c>
      <c r="AM140" s="80">
        <v>4</v>
      </c>
      <c r="AN140" s="85" t="s">
        <v>1469</v>
      </c>
      <c r="AO140" s="85" t="s">
        <v>1672</v>
      </c>
      <c r="AP140" s="80" t="b">
        <v>0</v>
      </c>
      <c r="AQ140" s="85" t="s">
        <v>1469</v>
      </c>
      <c r="AR140" s="80" t="s">
        <v>179</v>
      </c>
      <c r="AS140" s="80">
        <v>0</v>
      </c>
      <c r="AT140" s="80">
        <v>0</v>
      </c>
      <c r="AU140" s="80"/>
      <c r="AV140" s="80"/>
      <c r="AW140" s="80"/>
      <c r="AX140" s="80"/>
      <c r="AY140" s="80"/>
      <c r="AZ140" s="80"/>
      <c r="BA140" s="80"/>
      <c r="BB140" s="80"/>
    </row>
    <row r="141" spans="1:54" x14ac:dyDescent="0.25">
      <c r="A141" s="65" t="s">
        <v>284</v>
      </c>
      <c r="B141" s="65" t="s">
        <v>400</v>
      </c>
      <c r="C141" s="66"/>
      <c r="D141" s="67"/>
      <c r="E141" s="68"/>
      <c r="F141" s="69"/>
      <c r="G141" s="66"/>
      <c r="H141" s="70"/>
      <c r="I141" s="71"/>
      <c r="J141" s="71"/>
      <c r="K141" s="36" t="s">
        <v>65</v>
      </c>
      <c r="L141" s="78">
        <v>141</v>
      </c>
      <c r="M141" s="78"/>
      <c r="N141" s="73"/>
      <c r="O141" s="80" t="s">
        <v>416</v>
      </c>
      <c r="P141" s="82">
        <v>44627.744722222225</v>
      </c>
      <c r="Q141" s="80" t="s">
        <v>481</v>
      </c>
      <c r="R141" s="80" t="s">
        <v>627</v>
      </c>
      <c r="S141" s="80" t="s">
        <v>648</v>
      </c>
      <c r="T141" s="85" t="s">
        <v>690</v>
      </c>
      <c r="U141" s="80"/>
      <c r="V141" s="83" t="str">
        <f>HYPERLINK("https://pbs.twimg.com/profile_images/1349057594313363458/2umQAp4m_normal.jpg")</f>
        <v>https://pbs.twimg.com/profile_images/1349057594313363458/2umQAp4m_normal.jpg</v>
      </c>
      <c r="W141" s="82">
        <v>44627.744722222225</v>
      </c>
      <c r="X141" s="88">
        <v>44627</v>
      </c>
      <c r="Y141" s="85" t="s">
        <v>816</v>
      </c>
      <c r="Z141" s="83" t="str">
        <f>HYPERLINK("https://twitter.com/ubschoolofmgt/status/1500892135473790981")</f>
        <v>https://twitter.com/ubschoolofmgt/status/1500892135473790981</v>
      </c>
      <c r="AA141" s="80"/>
      <c r="AB141" s="80"/>
      <c r="AC141" s="85" t="s">
        <v>1265</v>
      </c>
      <c r="AD141" s="80"/>
      <c r="AE141" s="80" t="b">
        <v>0</v>
      </c>
      <c r="AF141" s="80">
        <v>1</v>
      </c>
      <c r="AG141" s="85" t="s">
        <v>1635</v>
      </c>
      <c r="AH141" s="80" t="b">
        <v>1</v>
      </c>
      <c r="AI141" s="80" t="s">
        <v>1642</v>
      </c>
      <c r="AJ141" s="80"/>
      <c r="AK141" s="85" t="s">
        <v>1648</v>
      </c>
      <c r="AL141" s="80" t="b">
        <v>0</v>
      </c>
      <c r="AM141" s="80">
        <v>0</v>
      </c>
      <c r="AN141" s="85" t="s">
        <v>1635</v>
      </c>
      <c r="AO141" s="85" t="s">
        <v>1672</v>
      </c>
      <c r="AP141" s="80" t="b">
        <v>0</v>
      </c>
      <c r="AQ141" s="85" t="s">
        <v>1265</v>
      </c>
      <c r="AR141" s="80" t="s">
        <v>179</v>
      </c>
      <c r="AS141" s="80">
        <v>0</v>
      </c>
      <c r="AT141" s="80">
        <v>0</v>
      </c>
      <c r="AU141" s="80"/>
      <c r="AV141" s="80"/>
      <c r="AW141" s="80"/>
      <c r="AX141" s="80"/>
      <c r="AY141" s="80"/>
      <c r="AZ141" s="80"/>
      <c r="BA141" s="80"/>
      <c r="BB141" s="80"/>
    </row>
    <row r="142" spans="1:54" x14ac:dyDescent="0.25">
      <c r="A142" s="65" t="s">
        <v>284</v>
      </c>
      <c r="B142" s="65" t="s">
        <v>401</v>
      </c>
      <c r="C142" s="66"/>
      <c r="D142" s="67"/>
      <c r="E142" s="68"/>
      <c r="F142" s="69"/>
      <c r="G142" s="66"/>
      <c r="H142" s="70"/>
      <c r="I142" s="71"/>
      <c r="J142" s="71"/>
      <c r="K142" s="36" t="s">
        <v>65</v>
      </c>
      <c r="L142" s="78">
        <v>142</v>
      </c>
      <c r="M142" s="78"/>
      <c r="N142" s="73"/>
      <c r="O142" s="80" t="s">
        <v>416</v>
      </c>
      <c r="P142" s="82">
        <v>44630.651423611111</v>
      </c>
      <c r="Q142" s="80" t="s">
        <v>482</v>
      </c>
      <c r="R142" s="83" t="str">
        <f>HYPERLINK("https://management.buffalo.edu/about/news.host.html/content/shared/mgt/news/ub-undergrads-rise-to-challenge.detail.html")</f>
        <v>https://management.buffalo.edu/about/news.host.html/content/shared/mgt/news/ub-undergrads-rise-to-challenge.detail.html</v>
      </c>
      <c r="S142" s="80" t="s">
        <v>632</v>
      </c>
      <c r="T142" s="85" t="s">
        <v>691</v>
      </c>
      <c r="U142" s="83" t="str">
        <f>HYPERLINK("https://pbs.twimg.com/media/FNf6_2GUcAYWE5V.jpg")</f>
        <v>https://pbs.twimg.com/media/FNf6_2GUcAYWE5V.jpg</v>
      </c>
      <c r="V142" s="83" t="str">
        <f>HYPERLINK("https://pbs.twimg.com/media/FNf6_2GUcAYWE5V.jpg")</f>
        <v>https://pbs.twimg.com/media/FNf6_2GUcAYWE5V.jpg</v>
      </c>
      <c r="W142" s="82">
        <v>44630.651423611111</v>
      </c>
      <c r="X142" s="88">
        <v>44630</v>
      </c>
      <c r="Y142" s="85" t="s">
        <v>817</v>
      </c>
      <c r="Z142" s="83" t="str">
        <f>HYPERLINK("https://twitter.com/ubschoolofmgt/status/1501945486432866310")</f>
        <v>https://twitter.com/ubschoolofmgt/status/1501945486432866310</v>
      </c>
      <c r="AA142" s="80"/>
      <c r="AB142" s="80"/>
      <c r="AC142" s="85" t="s">
        <v>1266</v>
      </c>
      <c r="AD142" s="80"/>
      <c r="AE142" s="80" t="b">
        <v>0</v>
      </c>
      <c r="AF142" s="80">
        <v>6</v>
      </c>
      <c r="AG142" s="85" t="s">
        <v>1635</v>
      </c>
      <c r="AH142" s="80" t="b">
        <v>0</v>
      </c>
      <c r="AI142" s="80" t="s">
        <v>1642</v>
      </c>
      <c r="AJ142" s="80"/>
      <c r="AK142" s="85" t="s">
        <v>1635</v>
      </c>
      <c r="AL142" s="80" t="b">
        <v>0</v>
      </c>
      <c r="AM142" s="80">
        <v>0</v>
      </c>
      <c r="AN142" s="85" t="s">
        <v>1635</v>
      </c>
      <c r="AO142" s="85" t="s">
        <v>1672</v>
      </c>
      <c r="AP142" s="80" t="b">
        <v>0</v>
      </c>
      <c r="AQ142" s="85" t="s">
        <v>1266</v>
      </c>
      <c r="AR142" s="80" t="s">
        <v>179</v>
      </c>
      <c r="AS142" s="80">
        <v>0</v>
      </c>
      <c r="AT142" s="80">
        <v>0</v>
      </c>
      <c r="AU142" s="80"/>
      <c r="AV142" s="80"/>
      <c r="AW142" s="80"/>
      <c r="AX142" s="80"/>
      <c r="AY142" s="80"/>
      <c r="AZ142" s="80"/>
      <c r="BA142" s="80"/>
      <c r="BB142" s="80"/>
    </row>
    <row r="143" spans="1:54" x14ac:dyDescent="0.25">
      <c r="A143" s="65" t="s">
        <v>285</v>
      </c>
      <c r="B143" s="65" t="s">
        <v>286</v>
      </c>
      <c r="C143" s="66"/>
      <c r="D143" s="67"/>
      <c r="E143" s="68"/>
      <c r="F143" s="69"/>
      <c r="G143" s="66"/>
      <c r="H143" s="70"/>
      <c r="I143" s="71"/>
      <c r="J143" s="71"/>
      <c r="K143" s="36" t="s">
        <v>66</v>
      </c>
      <c r="L143" s="78">
        <v>143</v>
      </c>
      <c r="M143" s="78"/>
      <c r="N143" s="73"/>
      <c r="O143" s="80" t="s">
        <v>414</v>
      </c>
      <c r="P143" s="82">
        <v>44631.568842592591</v>
      </c>
      <c r="Q143" s="80" t="s">
        <v>473</v>
      </c>
      <c r="R143" s="83" t="str">
        <f>HYPERLINK("https://twitter.com/SAADAonline/status/1501612042448478214")</f>
        <v>https://twitter.com/SAADAonline/status/1501612042448478214</v>
      </c>
      <c r="S143" s="80" t="s">
        <v>633</v>
      </c>
      <c r="T143" s="85" t="s">
        <v>688</v>
      </c>
      <c r="U143" s="80"/>
      <c r="V143" s="83" t="str">
        <f>HYPERLINK("https://pbs.twimg.com/profile_images/3609239569/003061952dcf9690f762157a0740eb96_normal.png")</f>
        <v>https://pbs.twimg.com/profile_images/3609239569/003061952dcf9690f762157a0740eb96_normal.png</v>
      </c>
      <c r="W143" s="82">
        <v>44631.568842592591</v>
      </c>
      <c r="X143" s="88">
        <v>44631</v>
      </c>
      <c r="Y143" s="85" t="s">
        <v>818</v>
      </c>
      <c r="Z143" s="83" t="str">
        <f>HYPERLINK("https://twitter.com/saadaonline/status/1502277950238044170")</f>
        <v>https://twitter.com/saadaonline/status/1502277950238044170</v>
      </c>
      <c r="AA143" s="80"/>
      <c r="AB143" s="80"/>
      <c r="AC143" s="85" t="s">
        <v>1267</v>
      </c>
      <c r="AD143" s="80"/>
      <c r="AE143" s="80" t="b">
        <v>0</v>
      </c>
      <c r="AF143" s="80">
        <v>0</v>
      </c>
      <c r="AG143" s="85" t="s">
        <v>1635</v>
      </c>
      <c r="AH143" s="80" t="b">
        <v>1</v>
      </c>
      <c r="AI143" s="80" t="s">
        <v>1642</v>
      </c>
      <c r="AJ143" s="80"/>
      <c r="AK143" s="85" t="s">
        <v>1647</v>
      </c>
      <c r="AL143" s="80" t="b">
        <v>0</v>
      </c>
      <c r="AM143" s="80">
        <v>3</v>
      </c>
      <c r="AN143" s="85" t="s">
        <v>1268</v>
      </c>
      <c r="AO143" s="85" t="s">
        <v>1672</v>
      </c>
      <c r="AP143" s="80" t="b">
        <v>0</v>
      </c>
      <c r="AQ143" s="85" t="s">
        <v>1268</v>
      </c>
      <c r="AR143" s="80" t="s">
        <v>179</v>
      </c>
      <c r="AS143" s="80">
        <v>0</v>
      </c>
      <c r="AT143" s="80">
        <v>0</v>
      </c>
      <c r="AU143" s="80"/>
      <c r="AV143" s="80"/>
      <c r="AW143" s="80"/>
      <c r="AX143" s="80"/>
      <c r="AY143" s="80"/>
      <c r="AZ143" s="80"/>
      <c r="BA143" s="80"/>
      <c r="BB143" s="80"/>
    </row>
    <row r="144" spans="1:54" x14ac:dyDescent="0.25">
      <c r="A144" s="65" t="s">
        <v>285</v>
      </c>
      <c r="B144" s="65" t="s">
        <v>286</v>
      </c>
      <c r="C144" s="66"/>
      <c r="D144" s="67"/>
      <c r="E144" s="68"/>
      <c r="F144" s="69"/>
      <c r="G144" s="66"/>
      <c r="H144" s="70"/>
      <c r="I144" s="71"/>
      <c r="J144" s="71"/>
      <c r="K144" s="36" t="s">
        <v>66</v>
      </c>
      <c r="L144" s="78">
        <v>144</v>
      </c>
      <c r="M144" s="78"/>
      <c r="N144" s="73"/>
      <c r="O144" s="80" t="s">
        <v>415</v>
      </c>
      <c r="P144" s="82">
        <v>44631.568842592591</v>
      </c>
      <c r="Q144" s="80" t="s">
        <v>473</v>
      </c>
      <c r="R144" s="83" t="str">
        <f>HYPERLINK("https://twitter.com/SAADAonline/status/1501612042448478214")</f>
        <v>https://twitter.com/SAADAonline/status/1501612042448478214</v>
      </c>
      <c r="S144" s="80" t="s">
        <v>633</v>
      </c>
      <c r="T144" s="85" t="s">
        <v>688</v>
      </c>
      <c r="U144" s="80"/>
      <c r="V144" s="83" t="str">
        <f>HYPERLINK("https://pbs.twimg.com/profile_images/3609239569/003061952dcf9690f762157a0740eb96_normal.png")</f>
        <v>https://pbs.twimg.com/profile_images/3609239569/003061952dcf9690f762157a0740eb96_normal.png</v>
      </c>
      <c r="W144" s="82">
        <v>44631.568842592591</v>
      </c>
      <c r="X144" s="88">
        <v>44631</v>
      </c>
      <c r="Y144" s="85" t="s">
        <v>818</v>
      </c>
      <c r="Z144" s="83" t="str">
        <f>HYPERLINK("https://twitter.com/saadaonline/status/1502277950238044170")</f>
        <v>https://twitter.com/saadaonline/status/1502277950238044170</v>
      </c>
      <c r="AA144" s="80"/>
      <c r="AB144" s="80"/>
      <c r="AC144" s="85" t="s">
        <v>1267</v>
      </c>
      <c r="AD144" s="80"/>
      <c r="AE144" s="80" t="b">
        <v>0</v>
      </c>
      <c r="AF144" s="80">
        <v>0</v>
      </c>
      <c r="AG144" s="85" t="s">
        <v>1635</v>
      </c>
      <c r="AH144" s="80" t="b">
        <v>1</v>
      </c>
      <c r="AI144" s="80" t="s">
        <v>1642</v>
      </c>
      <c r="AJ144" s="80"/>
      <c r="AK144" s="85" t="s">
        <v>1647</v>
      </c>
      <c r="AL144" s="80" t="b">
        <v>0</v>
      </c>
      <c r="AM144" s="80">
        <v>3</v>
      </c>
      <c r="AN144" s="85" t="s">
        <v>1268</v>
      </c>
      <c r="AO144" s="85" t="s">
        <v>1672</v>
      </c>
      <c r="AP144" s="80" t="b">
        <v>0</v>
      </c>
      <c r="AQ144" s="85" t="s">
        <v>1268</v>
      </c>
      <c r="AR144" s="80" t="s">
        <v>179</v>
      </c>
      <c r="AS144" s="80">
        <v>0</v>
      </c>
      <c r="AT144" s="80">
        <v>0</v>
      </c>
      <c r="AU144" s="80"/>
      <c r="AV144" s="80"/>
      <c r="AW144" s="80"/>
      <c r="AX144" s="80"/>
      <c r="AY144" s="80"/>
      <c r="AZ144" s="80"/>
      <c r="BA144" s="80"/>
      <c r="BB144" s="80"/>
    </row>
    <row r="145" spans="1:54" x14ac:dyDescent="0.25">
      <c r="A145" s="65" t="s">
        <v>286</v>
      </c>
      <c r="B145" s="65" t="s">
        <v>285</v>
      </c>
      <c r="C145" s="66"/>
      <c r="D145" s="67"/>
      <c r="E145" s="68"/>
      <c r="F145" s="69"/>
      <c r="G145" s="66"/>
      <c r="H145" s="70"/>
      <c r="I145" s="71"/>
      <c r="J145" s="71"/>
      <c r="K145" s="36" t="s">
        <v>66</v>
      </c>
      <c r="L145" s="78">
        <v>145</v>
      </c>
      <c r="M145" s="78"/>
      <c r="N145" s="73"/>
      <c r="O145" s="80" t="s">
        <v>416</v>
      </c>
      <c r="P145" s="82">
        <v>44631.112812500003</v>
      </c>
      <c r="Q145" s="80" t="s">
        <v>473</v>
      </c>
      <c r="R145" s="83" t="str">
        <f>HYPERLINK("https://twitter.com/SAADAonline/status/1501612042448478214")</f>
        <v>https://twitter.com/SAADAonline/status/1501612042448478214</v>
      </c>
      <c r="S145" s="80" t="s">
        <v>633</v>
      </c>
      <c r="T145" s="85" t="s">
        <v>688</v>
      </c>
      <c r="U145" s="80"/>
      <c r="V145" s="83" t="str">
        <f>HYPERLINK("https://pbs.twimg.com/profile_images/1427337925814013952/kGaBCjef_normal.jpg")</f>
        <v>https://pbs.twimg.com/profile_images/1427337925814013952/kGaBCjef_normal.jpg</v>
      </c>
      <c r="W145" s="82">
        <v>44631.112812500003</v>
      </c>
      <c r="X145" s="88">
        <v>44631</v>
      </c>
      <c r="Y145" s="85" t="s">
        <v>819</v>
      </c>
      <c r="Z145" s="83" t="str">
        <f>HYPERLINK("https://twitter.com/ub_english/status/1502112687030951937")</f>
        <v>https://twitter.com/ub_english/status/1502112687030951937</v>
      </c>
      <c r="AA145" s="80"/>
      <c r="AB145" s="80"/>
      <c r="AC145" s="85" t="s">
        <v>1268</v>
      </c>
      <c r="AD145" s="80"/>
      <c r="AE145" s="80" t="b">
        <v>0</v>
      </c>
      <c r="AF145" s="80">
        <v>8</v>
      </c>
      <c r="AG145" s="85" t="s">
        <v>1635</v>
      </c>
      <c r="AH145" s="80" t="b">
        <v>1</v>
      </c>
      <c r="AI145" s="80" t="s">
        <v>1642</v>
      </c>
      <c r="AJ145" s="80"/>
      <c r="AK145" s="85" t="s">
        <v>1647</v>
      </c>
      <c r="AL145" s="80" t="b">
        <v>0</v>
      </c>
      <c r="AM145" s="80">
        <v>3</v>
      </c>
      <c r="AN145" s="85" t="s">
        <v>1635</v>
      </c>
      <c r="AO145" s="85" t="s">
        <v>1672</v>
      </c>
      <c r="AP145" s="80" t="b">
        <v>0</v>
      </c>
      <c r="AQ145" s="85" t="s">
        <v>1268</v>
      </c>
      <c r="AR145" s="80" t="s">
        <v>179</v>
      </c>
      <c r="AS145" s="80">
        <v>0</v>
      </c>
      <c r="AT145" s="80">
        <v>0</v>
      </c>
      <c r="AU145" s="80"/>
      <c r="AV145" s="80"/>
      <c r="AW145" s="80"/>
      <c r="AX145" s="80"/>
      <c r="AY145" s="80"/>
      <c r="AZ145" s="80"/>
      <c r="BA145" s="80"/>
      <c r="BB145" s="80"/>
    </row>
    <row r="146" spans="1:54" x14ac:dyDescent="0.25">
      <c r="A146" s="65" t="s">
        <v>286</v>
      </c>
      <c r="B146" s="65" t="s">
        <v>286</v>
      </c>
      <c r="C146" s="66"/>
      <c r="D146" s="67"/>
      <c r="E146" s="68"/>
      <c r="F146" s="69"/>
      <c r="G146" s="66"/>
      <c r="H146" s="70"/>
      <c r="I146" s="71"/>
      <c r="J146" s="71"/>
      <c r="K146" s="36" t="s">
        <v>65</v>
      </c>
      <c r="L146" s="78">
        <v>146</v>
      </c>
      <c r="M146" s="78"/>
      <c r="N146" s="73"/>
      <c r="O146" s="80" t="s">
        <v>179</v>
      </c>
      <c r="P146" s="82">
        <v>44623.683831018519</v>
      </c>
      <c r="Q146" s="80" t="s">
        <v>422</v>
      </c>
      <c r="R146" s="83" t="str">
        <f>HYPERLINK("https://veerbooks.com/filter/veer-books/Steve-McCaffery-Carnival")</f>
        <v>https://veerbooks.com/filter/veer-books/Steve-McCaffery-Carnival</v>
      </c>
      <c r="S146" s="80" t="s">
        <v>635</v>
      </c>
      <c r="T146" s="85" t="s">
        <v>357</v>
      </c>
      <c r="U146" s="83" t="str">
        <f>HYPERLINK("https://pbs.twimg.com/media/FM8C-zOXEAwknm_.jpg")</f>
        <v>https://pbs.twimg.com/media/FM8C-zOXEAwknm_.jpg</v>
      </c>
      <c r="V146" s="83" t="str">
        <f>HYPERLINK("https://pbs.twimg.com/media/FM8C-zOXEAwknm_.jpg")</f>
        <v>https://pbs.twimg.com/media/FM8C-zOXEAwknm_.jpg</v>
      </c>
      <c r="W146" s="82">
        <v>44623.683831018519</v>
      </c>
      <c r="X146" s="88">
        <v>44623</v>
      </c>
      <c r="Y146" s="85" t="s">
        <v>820</v>
      </c>
      <c r="Z146" s="83" t="str">
        <f>HYPERLINK("https://twitter.com/ub_english/status/1499420514942607363")</f>
        <v>https://twitter.com/ub_english/status/1499420514942607363</v>
      </c>
      <c r="AA146" s="80"/>
      <c r="AB146" s="80"/>
      <c r="AC146" s="85" t="s">
        <v>1269</v>
      </c>
      <c r="AD146" s="80"/>
      <c r="AE146" s="80" t="b">
        <v>0</v>
      </c>
      <c r="AF146" s="80">
        <v>4</v>
      </c>
      <c r="AG146" s="85" t="s">
        <v>1635</v>
      </c>
      <c r="AH146" s="80" t="b">
        <v>0</v>
      </c>
      <c r="AI146" s="80" t="s">
        <v>1642</v>
      </c>
      <c r="AJ146" s="80"/>
      <c r="AK146" s="85" t="s">
        <v>1635</v>
      </c>
      <c r="AL146" s="80" t="b">
        <v>0</v>
      </c>
      <c r="AM146" s="80">
        <v>1</v>
      </c>
      <c r="AN146" s="85" t="s">
        <v>1635</v>
      </c>
      <c r="AO146" s="85" t="s">
        <v>1672</v>
      </c>
      <c r="AP146" s="80" t="b">
        <v>0</v>
      </c>
      <c r="AQ146" s="85" t="s">
        <v>1269</v>
      </c>
      <c r="AR146" s="80" t="s">
        <v>415</v>
      </c>
      <c r="AS146" s="80">
        <v>0</v>
      </c>
      <c r="AT146" s="80">
        <v>0</v>
      </c>
      <c r="AU146" s="80"/>
      <c r="AV146" s="80"/>
      <c r="AW146" s="80"/>
      <c r="AX146" s="80"/>
      <c r="AY146" s="80"/>
      <c r="AZ146" s="80"/>
      <c r="BA146" s="80"/>
      <c r="BB146" s="80"/>
    </row>
    <row r="147" spans="1:54" x14ac:dyDescent="0.25">
      <c r="A147" s="65" t="s">
        <v>286</v>
      </c>
      <c r="B147" s="65" t="s">
        <v>286</v>
      </c>
      <c r="C147" s="66"/>
      <c r="D147" s="67"/>
      <c r="E147" s="68"/>
      <c r="F147" s="69"/>
      <c r="G147" s="66"/>
      <c r="H147" s="70"/>
      <c r="I147" s="71"/>
      <c r="J147" s="71"/>
      <c r="K147" s="36" t="s">
        <v>65</v>
      </c>
      <c r="L147" s="78">
        <v>147</v>
      </c>
      <c r="M147" s="78"/>
      <c r="N147" s="73"/>
      <c r="O147" s="80" t="s">
        <v>179</v>
      </c>
      <c r="P147" s="82">
        <v>44631.861145833333</v>
      </c>
      <c r="Q147" s="80" t="s">
        <v>483</v>
      </c>
      <c r="R147" s="83" t="str">
        <f>HYPERLINK("https://www.cambridge.org/core/books/african-american-literature-in-transition-19201930/EBD39A1DA36E59B175B1B76FA5921929")</f>
        <v>https://www.cambridge.org/core/books/african-american-literature-in-transition-19201930/EBD39A1DA36E59B175B1B76FA5921929</v>
      </c>
      <c r="S147" s="80" t="s">
        <v>649</v>
      </c>
      <c r="T147" s="85" t="s">
        <v>357</v>
      </c>
      <c r="U147" s="83" t="str">
        <f>HYPERLINK("https://pbs.twimg.com/media/FNmKHFdXoAQoJsl.jpg")</f>
        <v>https://pbs.twimg.com/media/FNmKHFdXoAQoJsl.jpg</v>
      </c>
      <c r="V147" s="83" t="str">
        <f>HYPERLINK("https://pbs.twimg.com/media/FNmKHFdXoAQoJsl.jpg")</f>
        <v>https://pbs.twimg.com/media/FNmKHFdXoAQoJsl.jpg</v>
      </c>
      <c r="W147" s="82">
        <v>44631.861145833333</v>
      </c>
      <c r="X147" s="88">
        <v>44631</v>
      </c>
      <c r="Y147" s="85" t="s">
        <v>821</v>
      </c>
      <c r="Z147" s="83" t="str">
        <f>HYPERLINK("https://twitter.com/ub_english/status/1502383876152471553")</f>
        <v>https://twitter.com/ub_english/status/1502383876152471553</v>
      </c>
      <c r="AA147" s="80"/>
      <c r="AB147" s="80"/>
      <c r="AC147" s="85" t="s">
        <v>1270</v>
      </c>
      <c r="AD147" s="80"/>
      <c r="AE147" s="80" t="b">
        <v>0</v>
      </c>
      <c r="AF147" s="80">
        <v>0</v>
      </c>
      <c r="AG147" s="85" t="s">
        <v>1635</v>
      </c>
      <c r="AH147" s="80" t="b">
        <v>0</v>
      </c>
      <c r="AI147" s="80" t="s">
        <v>1642</v>
      </c>
      <c r="AJ147" s="80"/>
      <c r="AK147" s="85" t="s">
        <v>1635</v>
      </c>
      <c r="AL147" s="80" t="b">
        <v>0</v>
      </c>
      <c r="AM147" s="80">
        <v>0</v>
      </c>
      <c r="AN147" s="85" t="s">
        <v>1635</v>
      </c>
      <c r="AO147" s="85" t="s">
        <v>1672</v>
      </c>
      <c r="AP147" s="80" t="b">
        <v>0</v>
      </c>
      <c r="AQ147" s="85" t="s">
        <v>1270</v>
      </c>
      <c r="AR147" s="80" t="s">
        <v>179</v>
      </c>
      <c r="AS147" s="80">
        <v>0</v>
      </c>
      <c r="AT147" s="80">
        <v>0</v>
      </c>
      <c r="AU147" s="80"/>
      <c r="AV147" s="80"/>
      <c r="AW147" s="80"/>
      <c r="AX147" s="80"/>
      <c r="AY147" s="80"/>
      <c r="AZ147" s="80"/>
      <c r="BA147" s="80"/>
      <c r="BB147" s="80"/>
    </row>
    <row r="148" spans="1:54" x14ac:dyDescent="0.25">
      <c r="A148" s="65" t="s">
        <v>286</v>
      </c>
      <c r="B148" s="65" t="s">
        <v>286</v>
      </c>
      <c r="C148" s="66"/>
      <c r="D148" s="67"/>
      <c r="E148" s="68"/>
      <c r="F148" s="69"/>
      <c r="G148" s="66"/>
      <c r="H148" s="70"/>
      <c r="I148" s="71"/>
      <c r="J148" s="71"/>
      <c r="K148" s="36" t="s">
        <v>65</v>
      </c>
      <c r="L148" s="78">
        <v>148</v>
      </c>
      <c r="M148" s="78"/>
      <c r="N148" s="73"/>
      <c r="O148" s="80" t="s">
        <v>179</v>
      </c>
      <c r="P148" s="82">
        <v>44631.871053240742</v>
      </c>
      <c r="Q148" s="80" t="s">
        <v>484</v>
      </c>
      <c r="R148" s="83" t="str">
        <f>HYPERLINK("https://academic.oup.com/melus/advance-article/doi/10.1093/melus/mlac010/6535169")</f>
        <v>https://academic.oup.com/melus/advance-article/doi/10.1093/melus/mlac010/6535169</v>
      </c>
      <c r="S148" s="80" t="s">
        <v>650</v>
      </c>
      <c r="T148" s="85" t="s">
        <v>357</v>
      </c>
      <c r="U148" s="83" t="str">
        <f>HYPERLINK("https://pbs.twimg.com/media/FNmNVM_WQAMAaNi.png")</f>
        <v>https://pbs.twimg.com/media/FNmNVM_WQAMAaNi.png</v>
      </c>
      <c r="V148" s="83" t="str">
        <f>HYPERLINK("https://pbs.twimg.com/media/FNmNVM_WQAMAaNi.png")</f>
        <v>https://pbs.twimg.com/media/FNmNVM_WQAMAaNi.png</v>
      </c>
      <c r="W148" s="82">
        <v>44631.871053240742</v>
      </c>
      <c r="X148" s="88">
        <v>44631</v>
      </c>
      <c r="Y148" s="85" t="s">
        <v>822</v>
      </c>
      <c r="Z148" s="83" t="str">
        <f>HYPERLINK("https://twitter.com/ub_english/status/1502387465390276609")</f>
        <v>https://twitter.com/ub_english/status/1502387465390276609</v>
      </c>
      <c r="AA148" s="80"/>
      <c r="AB148" s="80"/>
      <c r="AC148" s="85" t="s">
        <v>1271</v>
      </c>
      <c r="AD148" s="80"/>
      <c r="AE148" s="80" t="b">
        <v>0</v>
      </c>
      <c r="AF148" s="80">
        <v>0</v>
      </c>
      <c r="AG148" s="85" t="s">
        <v>1635</v>
      </c>
      <c r="AH148" s="80" t="b">
        <v>0</v>
      </c>
      <c r="AI148" s="80" t="s">
        <v>1642</v>
      </c>
      <c r="AJ148" s="80"/>
      <c r="AK148" s="85" t="s">
        <v>1635</v>
      </c>
      <c r="AL148" s="80" t="b">
        <v>0</v>
      </c>
      <c r="AM148" s="80">
        <v>0</v>
      </c>
      <c r="AN148" s="85" t="s">
        <v>1635</v>
      </c>
      <c r="AO148" s="85" t="s">
        <v>1672</v>
      </c>
      <c r="AP148" s="80" t="b">
        <v>0</v>
      </c>
      <c r="AQ148" s="85" t="s">
        <v>1271</v>
      </c>
      <c r="AR148" s="80" t="s">
        <v>179</v>
      </c>
      <c r="AS148" s="80">
        <v>0</v>
      </c>
      <c r="AT148" s="80">
        <v>0</v>
      </c>
      <c r="AU148" s="80"/>
      <c r="AV148" s="80"/>
      <c r="AW148" s="80"/>
      <c r="AX148" s="80"/>
      <c r="AY148" s="80"/>
      <c r="AZ148" s="80"/>
      <c r="BA148" s="80"/>
      <c r="BB148" s="80"/>
    </row>
    <row r="149" spans="1:54" x14ac:dyDescent="0.25">
      <c r="A149" s="65" t="s">
        <v>287</v>
      </c>
      <c r="B149" s="65" t="s">
        <v>388</v>
      </c>
      <c r="C149" s="66"/>
      <c r="D149" s="67"/>
      <c r="E149" s="68"/>
      <c r="F149" s="69"/>
      <c r="G149" s="66"/>
      <c r="H149" s="70"/>
      <c r="I149" s="71"/>
      <c r="J149" s="71"/>
      <c r="K149" s="36" t="s">
        <v>65</v>
      </c>
      <c r="L149" s="78">
        <v>149</v>
      </c>
      <c r="M149" s="78"/>
      <c r="N149" s="73"/>
      <c r="O149" s="80" t="s">
        <v>414</v>
      </c>
      <c r="P149" s="82">
        <v>44631.913668981484</v>
      </c>
      <c r="Q149" s="80" t="s">
        <v>453</v>
      </c>
      <c r="R149"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149" s="80" t="s">
        <v>641</v>
      </c>
      <c r="T149" s="85" t="s">
        <v>675</v>
      </c>
      <c r="U149" s="80"/>
      <c r="V149" s="83" t="str">
        <f>HYPERLINK("https://pbs.twimg.com/profile_images/1444289358903848969/hAAvCum2_normal.jpg")</f>
        <v>https://pbs.twimg.com/profile_images/1444289358903848969/hAAvCum2_normal.jpg</v>
      </c>
      <c r="W149" s="82">
        <v>44631.913668981484</v>
      </c>
      <c r="X149" s="88">
        <v>44631</v>
      </c>
      <c r="Y149" s="85" t="s">
        <v>823</v>
      </c>
      <c r="Z149" s="83" t="str">
        <f>HYPERLINK("https://twitter.com/drkamonta/status/1502402907571949574")</f>
        <v>https://twitter.com/drkamonta/status/1502402907571949574</v>
      </c>
      <c r="AA149" s="80"/>
      <c r="AB149" s="80"/>
      <c r="AC149" s="85" t="s">
        <v>1272</v>
      </c>
      <c r="AD149" s="80"/>
      <c r="AE149" s="80" t="b">
        <v>0</v>
      </c>
      <c r="AF149" s="80">
        <v>0</v>
      </c>
      <c r="AG149" s="85" t="s">
        <v>1635</v>
      </c>
      <c r="AH149" s="80" t="b">
        <v>0</v>
      </c>
      <c r="AI149" s="80" t="s">
        <v>1642</v>
      </c>
      <c r="AJ149" s="80"/>
      <c r="AK149" s="85" t="s">
        <v>1635</v>
      </c>
      <c r="AL149" s="80" t="b">
        <v>0</v>
      </c>
      <c r="AM149" s="80">
        <v>3</v>
      </c>
      <c r="AN149" s="85" t="s">
        <v>1523</v>
      </c>
      <c r="AO149" s="85" t="s">
        <v>1673</v>
      </c>
      <c r="AP149" s="80" t="b">
        <v>0</v>
      </c>
      <c r="AQ149" s="85" t="s">
        <v>1523</v>
      </c>
      <c r="AR149" s="80" t="s">
        <v>179</v>
      </c>
      <c r="AS149" s="80">
        <v>0</v>
      </c>
      <c r="AT149" s="80">
        <v>0</v>
      </c>
      <c r="AU149" s="80"/>
      <c r="AV149" s="80"/>
      <c r="AW149" s="80"/>
      <c r="AX149" s="80"/>
      <c r="AY149" s="80"/>
      <c r="AZ149" s="80"/>
      <c r="BA149" s="80"/>
      <c r="BB149" s="80"/>
    </row>
    <row r="150" spans="1:54" x14ac:dyDescent="0.25">
      <c r="A150" s="65" t="s">
        <v>287</v>
      </c>
      <c r="B150" s="65" t="s">
        <v>369</v>
      </c>
      <c r="C150" s="66"/>
      <c r="D150" s="67"/>
      <c r="E150" s="68"/>
      <c r="F150" s="69"/>
      <c r="G150" s="66"/>
      <c r="H150" s="70"/>
      <c r="I150" s="71"/>
      <c r="J150" s="71"/>
      <c r="K150" s="36" t="s">
        <v>65</v>
      </c>
      <c r="L150" s="78">
        <v>150</v>
      </c>
      <c r="M150" s="78"/>
      <c r="N150" s="73"/>
      <c r="O150" s="80" t="s">
        <v>415</v>
      </c>
      <c r="P150" s="82">
        <v>44631.913668981484</v>
      </c>
      <c r="Q150" s="80" t="s">
        <v>453</v>
      </c>
      <c r="R150"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150" s="80" t="s">
        <v>641</v>
      </c>
      <c r="T150" s="85" t="s">
        <v>675</v>
      </c>
      <c r="U150" s="80"/>
      <c r="V150" s="83" t="str">
        <f>HYPERLINK("https://pbs.twimg.com/profile_images/1444289358903848969/hAAvCum2_normal.jpg")</f>
        <v>https://pbs.twimg.com/profile_images/1444289358903848969/hAAvCum2_normal.jpg</v>
      </c>
      <c r="W150" s="82">
        <v>44631.913668981484</v>
      </c>
      <c r="X150" s="88">
        <v>44631</v>
      </c>
      <c r="Y150" s="85" t="s">
        <v>823</v>
      </c>
      <c r="Z150" s="83" t="str">
        <f>HYPERLINK("https://twitter.com/drkamonta/status/1502402907571949574")</f>
        <v>https://twitter.com/drkamonta/status/1502402907571949574</v>
      </c>
      <c r="AA150" s="80"/>
      <c r="AB150" s="80"/>
      <c r="AC150" s="85" t="s">
        <v>1272</v>
      </c>
      <c r="AD150" s="80"/>
      <c r="AE150" s="80" t="b">
        <v>0</v>
      </c>
      <c r="AF150" s="80">
        <v>0</v>
      </c>
      <c r="AG150" s="85" t="s">
        <v>1635</v>
      </c>
      <c r="AH150" s="80" t="b">
        <v>0</v>
      </c>
      <c r="AI150" s="80" t="s">
        <v>1642</v>
      </c>
      <c r="AJ150" s="80"/>
      <c r="AK150" s="85" t="s">
        <v>1635</v>
      </c>
      <c r="AL150" s="80" t="b">
        <v>0</v>
      </c>
      <c r="AM150" s="80">
        <v>3</v>
      </c>
      <c r="AN150" s="85" t="s">
        <v>1523</v>
      </c>
      <c r="AO150" s="85" t="s">
        <v>1673</v>
      </c>
      <c r="AP150" s="80" t="b">
        <v>0</v>
      </c>
      <c r="AQ150" s="85" t="s">
        <v>1523</v>
      </c>
      <c r="AR150" s="80" t="s">
        <v>179</v>
      </c>
      <c r="AS150" s="80">
        <v>0</v>
      </c>
      <c r="AT150" s="80">
        <v>0</v>
      </c>
      <c r="AU150" s="80"/>
      <c r="AV150" s="80"/>
      <c r="AW150" s="80"/>
      <c r="AX150" s="80"/>
      <c r="AY150" s="80"/>
      <c r="AZ150" s="80"/>
      <c r="BA150" s="80"/>
      <c r="BB150" s="80"/>
    </row>
    <row r="151" spans="1:54" x14ac:dyDescent="0.25">
      <c r="A151" s="65" t="s">
        <v>288</v>
      </c>
      <c r="B151" s="65" t="s">
        <v>362</v>
      </c>
      <c r="C151" s="66"/>
      <c r="D151" s="67"/>
      <c r="E151" s="68"/>
      <c r="F151" s="69"/>
      <c r="G151" s="66"/>
      <c r="H151" s="70"/>
      <c r="I151" s="71"/>
      <c r="J151" s="71"/>
      <c r="K151" s="36" t="s">
        <v>65</v>
      </c>
      <c r="L151" s="78">
        <v>151</v>
      </c>
      <c r="M151" s="78"/>
      <c r="N151" s="73"/>
      <c r="O151" s="80" t="s">
        <v>415</v>
      </c>
      <c r="P151" s="82">
        <v>44630.213402777779</v>
      </c>
      <c r="Q151" s="80" t="s">
        <v>451</v>
      </c>
      <c r="R151" s="80"/>
      <c r="S151" s="80"/>
      <c r="T151" s="85" t="s">
        <v>681</v>
      </c>
      <c r="U151" s="83" t="str">
        <f>HYPERLINK("https://pbs.twimg.com/media/FNb4EF6WUAMSZ9H.jpg")</f>
        <v>https://pbs.twimg.com/media/FNb4EF6WUAMSZ9H.jpg</v>
      </c>
      <c r="V151" s="83" t="str">
        <f>HYPERLINK("https://pbs.twimg.com/media/FNb4EF6WUAMSZ9H.jpg")</f>
        <v>https://pbs.twimg.com/media/FNb4EF6WUAMSZ9H.jpg</v>
      </c>
      <c r="W151" s="82">
        <v>44630.213402777779</v>
      </c>
      <c r="X151" s="88">
        <v>44630</v>
      </c>
      <c r="Y151" s="85" t="s">
        <v>824</v>
      </c>
      <c r="Z151" s="83" t="str">
        <f>HYPERLINK("https://twitter.com/mdixon18255/status/1501786751282692098")</f>
        <v>https://twitter.com/mdixon18255/status/1501786751282692098</v>
      </c>
      <c r="AA151" s="80"/>
      <c r="AB151" s="80"/>
      <c r="AC151" s="85" t="s">
        <v>1273</v>
      </c>
      <c r="AD151" s="80"/>
      <c r="AE151" s="80" t="b">
        <v>0</v>
      </c>
      <c r="AF151" s="80">
        <v>0</v>
      </c>
      <c r="AG151" s="85" t="s">
        <v>1635</v>
      </c>
      <c r="AH151" s="80" t="b">
        <v>0</v>
      </c>
      <c r="AI151" s="80" t="s">
        <v>1642</v>
      </c>
      <c r="AJ151" s="80"/>
      <c r="AK151" s="85" t="s">
        <v>1635</v>
      </c>
      <c r="AL151" s="80" t="b">
        <v>0</v>
      </c>
      <c r="AM151" s="80">
        <v>3</v>
      </c>
      <c r="AN151" s="85" t="s">
        <v>1494</v>
      </c>
      <c r="AO151" s="85" t="s">
        <v>1671</v>
      </c>
      <c r="AP151" s="80" t="b">
        <v>0</v>
      </c>
      <c r="AQ151" s="85" t="s">
        <v>1494</v>
      </c>
      <c r="AR151" s="80" t="s">
        <v>179</v>
      </c>
      <c r="AS151" s="80">
        <v>0</v>
      </c>
      <c r="AT151" s="80">
        <v>0</v>
      </c>
      <c r="AU151" s="80"/>
      <c r="AV151" s="80"/>
      <c r="AW151" s="80"/>
      <c r="AX151" s="80"/>
      <c r="AY151" s="80"/>
      <c r="AZ151" s="80"/>
      <c r="BA151" s="80"/>
      <c r="BB151" s="80"/>
    </row>
    <row r="152" spans="1:54" x14ac:dyDescent="0.25">
      <c r="A152" s="65" t="s">
        <v>288</v>
      </c>
      <c r="B152" s="65" t="s">
        <v>362</v>
      </c>
      <c r="C152" s="66"/>
      <c r="D152" s="67"/>
      <c r="E152" s="68"/>
      <c r="F152" s="69"/>
      <c r="G152" s="66"/>
      <c r="H152" s="70"/>
      <c r="I152" s="71"/>
      <c r="J152" s="71"/>
      <c r="K152" s="36" t="s">
        <v>65</v>
      </c>
      <c r="L152" s="78">
        <v>152</v>
      </c>
      <c r="M152" s="78"/>
      <c r="N152" s="73"/>
      <c r="O152" s="80" t="s">
        <v>415</v>
      </c>
      <c r="P152" s="82">
        <v>44631.940798611111</v>
      </c>
      <c r="Q152" s="80" t="s">
        <v>485</v>
      </c>
      <c r="R152" s="80"/>
      <c r="S152" s="80"/>
      <c r="T152" s="85" t="s">
        <v>692</v>
      </c>
      <c r="U152" s="83" t="str">
        <f>HYPERLINK("https://pbs.twimg.com/media/FNltHNJXoAA3lTB.jpg")</f>
        <v>https://pbs.twimg.com/media/FNltHNJXoAA3lTB.jpg</v>
      </c>
      <c r="V152" s="83" t="str">
        <f>HYPERLINK("https://pbs.twimg.com/media/FNltHNJXoAA3lTB.jpg")</f>
        <v>https://pbs.twimg.com/media/FNltHNJXoAA3lTB.jpg</v>
      </c>
      <c r="W152" s="82">
        <v>44631.940798611111</v>
      </c>
      <c r="X152" s="88">
        <v>44631</v>
      </c>
      <c r="Y152" s="85" t="s">
        <v>825</v>
      </c>
      <c r="Z152" s="83" t="str">
        <f>HYPERLINK("https://twitter.com/mdixon18255/status/1502412739700002816")</f>
        <v>https://twitter.com/mdixon18255/status/1502412739700002816</v>
      </c>
      <c r="AA152" s="80"/>
      <c r="AB152" s="80"/>
      <c r="AC152" s="85" t="s">
        <v>1274</v>
      </c>
      <c r="AD152" s="80"/>
      <c r="AE152" s="80" t="b">
        <v>0</v>
      </c>
      <c r="AF152" s="80">
        <v>0</v>
      </c>
      <c r="AG152" s="85" t="s">
        <v>1635</v>
      </c>
      <c r="AH152" s="80" t="b">
        <v>0</v>
      </c>
      <c r="AI152" s="80" t="s">
        <v>1642</v>
      </c>
      <c r="AJ152" s="80"/>
      <c r="AK152" s="85" t="s">
        <v>1635</v>
      </c>
      <c r="AL152" s="80" t="b">
        <v>0</v>
      </c>
      <c r="AM152" s="80">
        <v>6</v>
      </c>
      <c r="AN152" s="85" t="s">
        <v>1496</v>
      </c>
      <c r="AO152" s="85" t="s">
        <v>1671</v>
      </c>
      <c r="AP152" s="80" t="b">
        <v>0</v>
      </c>
      <c r="AQ152" s="85" t="s">
        <v>1496</v>
      </c>
      <c r="AR152" s="80" t="s">
        <v>179</v>
      </c>
      <c r="AS152" s="80">
        <v>0</v>
      </c>
      <c r="AT152" s="80">
        <v>0</v>
      </c>
      <c r="AU152" s="80"/>
      <c r="AV152" s="80"/>
      <c r="AW152" s="80"/>
      <c r="AX152" s="80"/>
      <c r="AY152" s="80"/>
      <c r="AZ152" s="80"/>
      <c r="BA152" s="80"/>
      <c r="BB152" s="80"/>
    </row>
    <row r="153" spans="1:54" x14ac:dyDescent="0.25">
      <c r="A153" s="65" t="s">
        <v>289</v>
      </c>
      <c r="B153" s="65" t="s">
        <v>360</v>
      </c>
      <c r="C153" s="66"/>
      <c r="D153" s="67"/>
      <c r="E153" s="68"/>
      <c r="F153" s="69"/>
      <c r="G153" s="66"/>
      <c r="H153" s="70"/>
      <c r="I153" s="71"/>
      <c r="J153" s="71"/>
      <c r="K153" s="36" t="s">
        <v>65</v>
      </c>
      <c r="L153" s="78">
        <v>153</v>
      </c>
      <c r="M153" s="78"/>
      <c r="N153" s="73"/>
      <c r="O153" s="80" t="s">
        <v>415</v>
      </c>
      <c r="P153" s="82">
        <v>44632.094039351854</v>
      </c>
      <c r="Q153" s="80" t="s">
        <v>486</v>
      </c>
      <c r="R153" s="83" t="str">
        <f>HYPERLINK("https://library.buffalo.edu/ub-sports/mens-sports/football/1899-buffalo-football/")</f>
        <v>https://library.buffalo.edu/ub-sports/mens-sports/football/1899-buffalo-football/</v>
      </c>
      <c r="S153" s="80" t="s">
        <v>632</v>
      </c>
      <c r="T153" s="85" t="s">
        <v>357</v>
      </c>
      <c r="U153" s="83" t="str">
        <f>HYPERLINK("https://pbs.twimg.com/media/FNnWJWrXIAA8Q0T.jpg")</f>
        <v>https://pbs.twimg.com/media/FNnWJWrXIAA8Q0T.jpg</v>
      </c>
      <c r="V153" s="83" t="str">
        <f>HYPERLINK("https://pbs.twimg.com/media/FNnWJWrXIAA8Q0T.jpg")</f>
        <v>https://pbs.twimg.com/media/FNnWJWrXIAA8Q0T.jpg</v>
      </c>
      <c r="W153" s="82">
        <v>44632.094039351854</v>
      </c>
      <c r="X153" s="88">
        <v>44632</v>
      </c>
      <c r="Y153" s="85" t="s">
        <v>826</v>
      </c>
      <c r="Z153" s="83" t="str">
        <f>HYPERLINK("https://twitter.com/scottwilsonbuf/status/1502468275103584256")</f>
        <v>https://twitter.com/scottwilsonbuf/status/1502468275103584256</v>
      </c>
      <c r="AA153" s="80"/>
      <c r="AB153" s="80"/>
      <c r="AC153" s="85" t="s">
        <v>1275</v>
      </c>
      <c r="AD153" s="80"/>
      <c r="AE153" s="80" t="b">
        <v>0</v>
      </c>
      <c r="AF153" s="80">
        <v>0</v>
      </c>
      <c r="AG153" s="85" t="s">
        <v>1635</v>
      </c>
      <c r="AH153" s="80" t="b">
        <v>0</v>
      </c>
      <c r="AI153" s="80" t="s">
        <v>1642</v>
      </c>
      <c r="AJ153" s="80"/>
      <c r="AK153" s="85" t="s">
        <v>1635</v>
      </c>
      <c r="AL153" s="80" t="b">
        <v>0</v>
      </c>
      <c r="AM153" s="80">
        <v>4</v>
      </c>
      <c r="AN153" s="85" t="s">
        <v>1473</v>
      </c>
      <c r="AO153" s="85" t="s">
        <v>1671</v>
      </c>
      <c r="AP153" s="80" t="b">
        <v>0</v>
      </c>
      <c r="AQ153" s="85" t="s">
        <v>1473</v>
      </c>
      <c r="AR153" s="80" t="s">
        <v>179</v>
      </c>
      <c r="AS153" s="80">
        <v>0</v>
      </c>
      <c r="AT153" s="80">
        <v>0</v>
      </c>
      <c r="AU153" s="80"/>
      <c r="AV153" s="80"/>
      <c r="AW153" s="80"/>
      <c r="AX153" s="80"/>
      <c r="AY153" s="80"/>
      <c r="AZ153" s="80"/>
      <c r="BA153" s="80"/>
      <c r="BB153" s="80"/>
    </row>
    <row r="154" spans="1:54" x14ac:dyDescent="0.25">
      <c r="A154" s="65" t="s">
        <v>290</v>
      </c>
      <c r="B154" s="65" t="s">
        <v>383</v>
      </c>
      <c r="C154" s="66"/>
      <c r="D154" s="67"/>
      <c r="E154" s="68"/>
      <c r="F154" s="69"/>
      <c r="G154" s="66"/>
      <c r="H154" s="70"/>
      <c r="I154" s="71"/>
      <c r="J154" s="71"/>
      <c r="K154" s="36" t="s">
        <v>65</v>
      </c>
      <c r="L154" s="78">
        <v>154</v>
      </c>
      <c r="M154" s="78"/>
      <c r="N154" s="73"/>
      <c r="O154" s="80" t="s">
        <v>414</v>
      </c>
      <c r="P154" s="82">
        <v>44628.519965277781</v>
      </c>
      <c r="Q154" s="80" t="s">
        <v>429</v>
      </c>
      <c r="R154" s="83" t="str">
        <f>HYPERLINK("https://buffalo.zoom.us/meeting/register/tJApdu2upz8uH91uWWEt4_SQWWdLuqt6gkng")</f>
        <v>https://buffalo.zoom.us/meeting/register/tJApdu2upz8uH91uWWEt4_SQWWdLuqt6gkng</v>
      </c>
      <c r="S154" s="80" t="s">
        <v>637</v>
      </c>
      <c r="T154" s="85" t="s">
        <v>357</v>
      </c>
      <c r="U154" s="80"/>
      <c r="V154" s="83" t="str">
        <f>HYPERLINK("https://pbs.twimg.com/profile_images/1397932075894947840/esdFDrLr_normal.jpg")</f>
        <v>https://pbs.twimg.com/profile_images/1397932075894947840/esdFDrLr_normal.jpg</v>
      </c>
      <c r="W154" s="82">
        <v>44628.519965277781</v>
      </c>
      <c r="X154" s="88">
        <v>44628</v>
      </c>
      <c r="Y154" s="85" t="s">
        <v>827</v>
      </c>
      <c r="Z154" s="83" t="str">
        <f>HYPERLINK("https://twitter.com/pfmcdevitt/status/1501173071310647300")</f>
        <v>https://twitter.com/pfmcdevitt/status/1501173071310647300</v>
      </c>
      <c r="AA154" s="80"/>
      <c r="AB154" s="80"/>
      <c r="AC154" s="85" t="s">
        <v>1276</v>
      </c>
      <c r="AD154" s="80"/>
      <c r="AE154" s="80" t="b">
        <v>0</v>
      </c>
      <c r="AF154" s="80">
        <v>0</v>
      </c>
      <c r="AG154" s="85" t="s">
        <v>1635</v>
      </c>
      <c r="AH154" s="80" t="b">
        <v>0</v>
      </c>
      <c r="AI154" s="80" t="s">
        <v>1642</v>
      </c>
      <c r="AJ154" s="80"/>
      <c r="AK154" s="85" t="s">
        <v>1635</v>
      </c>
      <c r="AL154" s="80" t="b">
        <v>0</v>
      </c>
      <c r="AM154" s="80">
        <v>2</v>
      </c>
      <c r="AN154" s="85" t="s">
        <v>1543</v>
      </c>
      <c r="AO154" s="85" t="s">
        <v>1672</v>
      </c>
      <c r="AP154" s="80" t="b">
        <v>0</v>
      </c>
      <c r="AQ154" s="85" t="s">
        <v>1543</v>
      </c>
      <c r="AR154" s="80" t="s">
        <v>179</v>
      </c>
      <c r="AS154" s="80">
        <v>0</v>
      </c>
      <c r="AT154" s="80">
        <v>0</v>
      </c>
      <c r="AU154" s="80"/>
      <c r="AV154" s="80"/>
      <c r="AW154" s="80"/>
      <c r="AX154" s="80"/>
      <c r="AY154" s="80"/>
      <c r="AZ154" s="80"/>
      <c r="BA154" s="80"/>
      <c r="BB154" s="80"/>
    </row>
    <row r="155" spans="1:54" x14ac:dyDescent="0.25">
      <c r="A155" s="65" t="s">
        <v>290</v>
      </c>
      <c r="B155" s="65" t="s">
        <v>375</v>
      </c>
      <c r="C155" s="66"/>
      <c r="D155" s="67"/>
      <c r="E155" s="68"/>
      <c r="F155" s="69"/>
      <c r="G155" s="66"/>
      <c r="H155" s="70"/>
      <c r="I155" s="71"/>
      <c r="J155" s="71"/>
      <c r="K155" s="36" t="s">
        <v>65</v>
      </c>
      <c r="L155" s="78">
        <v>155</v>
      </c>
      <c r="M155" s="78"/>
      <c r="N155" s="73"/>
      <c r="O155" s="80" t="s">
        <v>414</v>
      </c>
      <c r="P155" s="82">
        <v>44628.519965277781</v>
      </c>
      <c r="Q155" s="80" t="s">
        <v>429</v>
      </c>
      <c r="R155" s="83" t="str">
        <f>HYPERLINK("https://buffalo.zoom.us/meeting/register/tJApdu2upz8uH91uWWEt4_SQWWdLuqt6gkng")</f>
        <v>https://buffalo.zoom.us/meeting/register/tJApdu2upz8uH91uWWEt4_SQWWdLuqt6gkng</v>
      </c>
      <c r="S155" s="80" t="s">
        <v>637</v>
      </c>
      <c r="T155" s="85" t="s">
        <v>357</v>
      </c>
      <c r="U155" s="80"/>
      <c r="V155" s="83" t="str">
        <f>HYPERLINK("https://pbs.twimg.com/profile_images/1397932075894947840/esdFDrLr_normal.jpg")</f>
        <v>https://pbs.twimg.com/profile_images/1397932075894947840/esdFDrLr_normal.jpg</v>
      </c>
      <c r="W155" s="82">
        <v>44628.519965277781</v>
      </c>
      <c r="X155" s="88">
        <v>44628</v>
      </c>
      <c r="Y155" s="85" t="s">
        <v>827</v>
      </c>
      <c r="Z155" s="83" t="str">
        <f>HYPERLINK("https://twitter.com/pfmcdevitt/status/1501173071310647300")</f>
        <v>https://twitter.com/pfmcdevitt/status/1501173071310647300</v>
      </c>
      <c r="AA155" s="80"/>
      <c r="AB155" s="80"/>
      <c r="AC155" s="85" t="s">
        <v>1276</v>
      </c>
      <c r="AD155" s="80"/>
      <c r="AE155" s="80" t="b">
        <v>0</v>
      </c>
      <c r="AF155" s="80">
        <v>0</v>
      </c>
      <c r="AG155" s="85" t="s">
        <v>1635</v>
      </c>
      <c r="AH155" s="80" t="b">
        <v>0</v>
      </c>
      <c r="AI155" s="80" t="s">
        <v>1642</v>
      </c>
      <c r="AJ155" s="80"/>
      <c r="AK155" s="85" t="s">
        <v>1635</v>
      </c>
      <c r="AL155" s="80" t="b">
        <v>0</v>
      </c>
      <c r="AM155" s="80">
        <v>2</v>
      </c>
      <c r="AN155" s="85" t="s">
        <v>1543</v>
      </c>
      <c r="AO155" s="85" t="s">
        <v>1672</v>
      </c>
      <c r="AP155" s="80" t="b">
        <v>0</v>
      </c>
      <c r="AQ155" s="85" t="s">
        <v>1543</v>
      </c>
      <c r="AR155" s="80" t="s">
        <v>179</v>
      </c>
      <c r="AS155" s="80">
        <v>0</v>
      </c>
      <c r="AT155" s="80">
        <v>0</v>
      </c>
      <c r="AU155" s="80"/>
      <c r="AV155" s="80"/>
      <c r="AW155" s="80"/>
      <c r="AX155" s="80"/>
      <c r="AY155" s="80"/>
      <c r="AZ155" s="80"/>
      <c r="BA155" s="80"/>
      <c r="BB155" s="80"/>
    </row>
    <row r="156" spans="1:54" x14ac:dyDescent="0.25">
      <c r="A156" s="65" t="s">
        <v>290</v>
      </c>
      <c r="B156" s="65" t="s">
        <v>384</v>
      </c>
      <c r="C156" s="66"/>
      <c r="D156" s="67"/>
      <c r="E156" s="68"/>
      <c r="F156" s="69"/>
      <c r="G156" s="66"/>
      <c r="H156" s="70"/>
      <c r="I156" s="71"/>
      <c r="J156" s="71"/>
      <c r="K156" s="36" t="s">
        <v>65</v>
      </c>
      <c r="L156" s="78">
        <v>156</v>
      </c>
      <c r="M156" s="78"/>
      <c r="N156" s="73"/>
      <c r="O156" s="80" t="s">
        <v>414</v>
      </c>
      <c r="P156" s="82">
        <v>44628.519965277781</v>
      </c>
      <c r="Q156" s="80" t="s">
        <v>429</v>
      </c>
      <c r="R156" s="83" t="str">
        <f>HYPERLINK("https://buffalo.zoom.us/meeting/register/tJApdu2upz8uH91uWWEt4_SQWWdLuqt6gkng")</f>
        <v>https://buffalo.zoom.us/meeting/register/tJApdu2upz8uH91uWWEt4_SQWWdLuqt6gkng</v>
      </c>
      <c r="S156" s="80" t="s">
        <v>637</v>
      </c>
      <c r="T156" s="85" t="s">
        <v>357</v>
      </c>
      <c r="U156" s="80"/>
      <c r="V156" s="83" t="str">
        <f>HYPERLINK("https://pbs.twimg.com/profile_images/1397932075894947840/esdFDrLr_normal.jpg")</f>
        <v>https://pbs.twimg.com/profile_images/1397932075894947840/esdFDrLr_normal.jpg</v>
      </c>
      <c r="W156" s="82">
        <v>44628.519965277781</v>
      </c>
      <c r="X156" s="88">
        <v>44628</v>
      </c>
      <c r="Y156" s="85" t="s">
        <v>827</v>
      </c>
      <c r="Z156" s="83" t="str">
        <f>HYPERLINK("https://twitter.com/pfmcdevitt/status/1501173071310647300")</f>
        <v>https://twitter.com/pfmcdevitt/status/1501173071310647300</v>
      </c>
      <c r="AA156" s="80"/>
      <c r="AB156" s="80"/>
      <c r="AC156" s="85" t="s">
        <v>1276</v>
      </c>
      <c r="AD156" s="80"/>
      <c r="AE156" s="80" t="b">
        <v>0</v>
      </c>
      <c r="AF156" s="80">
        <v>0</v>
      </c>
      <c r="AG156" s="85" t="s">
        <v>1635</v>
      </c>
      <c r="AH156" s="80" t="b">
        <v>0</v>
      </c>
      <c r="AI156" s="80" t="s">
        <v>1642</v>
      </c>
      <c r="AJ156" s="80"/>
      <c r="AK156" s="85" t="s">
        <v>1635</v>
      </c>
      <c r="AL156" s="80" t="b">
        <v>0</v>
      </c>
      <c r="AM156" s="80">
        <v>2</v>
      </c>
      <c r="AN156" s="85" t="s">
        <v>1543</v>
      </c>
      <c r="AO156" s="85" t="s">
        <v>1672</v>
      </c>
      <c r="AP156" s="80" t="b">
        <v>0</v>
      </c>
      <c r="AQ156" s="85" t="s">
        <v>1543</v>
      </c>
      <c r="AR156" s="80" t="s">
        <v>179</v>
      </c>
      <c r="AS156" s="80">
        <v>0</v>
      </c>
      <c r="AT156" s="80">
        <v>0</v>
      </c>
      <c r="AU156" s="80"/>
      <c r="AV156" s="80"/>
      <c r="AW156" s="80"/>
      <c r="AX156" s="80"/>
      <c r="AY156" s="80"/>
      <c r="AZ156" s="80"/>
      <c r="BA156" s="80"/>
      <c r="BB156" s="80"/>
    </row>
    <row r="157" spans="1:54" x14ac:dyDescent="0.25">
      <c r="A157" s="65" t="s">
        <v>290</v>
      </c>
      <c r="B157" s="65" t="s">
        <v>374</v>
      </c>
      <c r="C157" s="66"/>
      <c r="D157" s="67"/>
      <c r="E157" s="68"/>
      <c r="F157" s="69"/>
      <c r="G157" s="66"/>
      <c r="H157" s="70"/>
      <c r="I157" s="71"/>
      <c r="J157" s="71"/>
      <c r="K157" s="36" t="s">
        <v>65</v>
      </c>
      <c r="L157" s="78">
        <v>157</v>
      </c>
      <c r="M157" s="78"/>
      <c r="N157" s="73"/>
      <c r="O157" s="80" t="s">
        <v>415</v>
      </c>
      <c r="P157" s="82">
        <v>44628.519965277781</v>
      </c>
      <c r="Q157" s="80" t="s">
        <v>429</v>
      </c>
      <c r="R157" s="83" t="str">
        <f>HYPERLINK("https://buffalo.zoom.us/meeting/register/tJApdu2upz8uH91uWWEt4_SQWWdLuqt6gkng")</f>
        <v>https://buffalo.zoom.us/meeting/register/tJApdu2upz8uH91uWWEt4_SQWWdLuqt6gkng</v>
      </c>
      <c r="S157" s="80" t="s">
        <v>637</v>
      </c>
      <c r="T157" s="85" t="s">
        <v>357</v>
      </c>
      <c r="U157" s="80"/>
      <c r="V157" s="83" t="str">
        <f>HYPERLINK("https://pbs.twimg.com/profile_images/1397932075894947840/esdFDrLr_normal.jpg")</f>
        <v>https://pbs.twimg.com/profile_images/1397932075894947840/esdFDrLr_normal.jpg</v>
      </c>
      <c r="W157" s="82">
        <v>44628.519965277781</v>
      </c>
      <c r="X157" s="88">
        <v>44628</v>
      </c>
      <c r="Y157" s="85" t="s">
        <v>827</v>
      </c>
      <c r="Z157" s="83" t="str">
        <f>HYPERLINK("https://twitter.com/pfmcdevitt/status/1501173071310647300")</f>
        <v>https://twitter.com/pfmcdevitt/status/1501173071310647300</v>
      </c>
      <c r="AA157" s="80"/>
      <c r="AB157" s="80"/>
      <c r="AC157" s="85" t="s">
        <v>1276</v>
      </c>
      <c r="AD157" s="80"/>
      <c r="AE157" s="80" t="b">
        <v>0</v>
      </c>
      <c r="AF157" s="80">
        <v>0</v>
      </c>
      <c r="AG157" s="85" t="s">
        <v>1635</v>
      </c>
      <c r="AH157" s="80" t="b">
        <v>0</v>
      </c>
      <c r="AI157" s="80" t="s">
        <v>1642</v>
      </c>
      <c r="AJ157" s="80"/>
      <c r="AK157" s="85" t="s">
        <v>1635</v>
      </c>
      <c r="AL157" s="80" t="b">
        <v>0</v>
      </c>
      <c r="AM157" s="80">
        <v>2</v>
      </c>
      <c r="AN157" s="85" t="s">
        <v>1543</v>
      </c>
      <c r="AO157" s="85" t="s">
        <v>1672</v>
      </c>
      <c r="AP157" s="80" t="b">
        <v>0</v>
      </c>
      <c r="AQ157" s="85" t="s">
        <v>1543</v>
      </c>
      <c r="AR157" s="80" t="s">
        <v>179</v>
      </c>
      <c r="AS157" s="80">
        <v>0</v>
      </c>
      <c r="AT157" s="80">
        <v>0</v>
      </c>
      <c r="AU157" s="80"/>
      <c r="AV157" s="80"/>
      <c r="AW157" s="80"/>
      <c r="AX157" s="80"/>
      <c r="AY157" s="80"/>
      <c r="AZ157" s="80"/>
      <c r="BA157" s="80"/>
      <c r="BB157" s="80"/>
    </row>
    <row r="158" spans="1:54" x14ac:dyDescent="0.25">
      <c r="A158" s="65" t="s">
        <v>290</v>
      </c>
      <c r="B158" s="65" t="s">
        <v>374</v>
      </c>
      <c r="C158" s="66"/>
      <c r="D158" s="67"/>
      <c r="E158" s="68"/>
      <c r="F158" s="69"/>
      <c r="G158" s="66"/>
      <c r="H158" s="70"/>
      <c r="I158" s="71"/>
      <c r="J158" s="71"/>
      <c r="K158" s="36" t="s">
        <v>65</v>
      </c>
      <c r="L158" s="78">
        <v>158</v>
      </c>
      <c r="M158" s="78"/>
      <c r="N158" s="73"/>
      <c r="O158" s="80" t="s">
        <v>415</v>
      </c>
      <c r="P158" s="82">
        <v>44632.44</v>
      </c>
      <c r="Q158" s="80" t="s">
        <v>487</v>
      </c>
      <c r="R158" s="83" t="str">
        <f>HYPERLINK("https://arts-sciences.buffalo.edu/history/undergraduate/scholarships-awards.html")</f>
        <v>https://arts-sciences.buffalo.edu/history/undergraduate/scholarships-awards.html</v>
      </c>
      <c r="S158" s="80" t="s">
        <v>632</v>
      </c>
      <c r="T158" s="85" t="s">
        <v>357</v>
      </c>
      <c r="U158" s="83" t="str">
        <f>HYPERLINK("https://pbs.twimg.com/media/FNk5l21XoAA5HV9.jpg")</f>
        <v>https://pbs.twimg.com/media/FNk5l21XoAA5HV9.jpg</v>
      </c>
      <c r="V158" s="83" t="str">
        <f>HYPERLINK("https://pbs.twimg.com/media/FNk5l21XoAA5HV9.jpg")</f>
        <v>https://pbs.twimg.com/media/FNk5l21XoAA5HV9.jpg</v>
      </c>
      <c r="W158" s="82">
        <v>44632.44</v>
      </c>
      <c r="X158" s="88">
        <v>44632</v>
      </c>
      <c r="Y158" s="85" t="s">
        <v>828</v>
      </c>
      <c r="Z158" s="83" t="str">
        <f>HYPERLINK("https://twitter.com/pfmcdevitt/status/1502593646373310471")</f>
        <v>https://twitter.com/pfmcdevitt/status/1502593646373310471</v>
      </c>
      <c r="AA158" s="80"/>
      <c r="AB158" s="80"/>
      <c r="AC158" s="85" t="s">
        <v>1277</v>
      </c>
      <c r="AD158" s="80"/>
      <c r="AE158" s="80" t="b">
        <v>0</v>
      </c>
      <c r="AF158" s="80">
        <v>0</v>
      </c>
      <c r="AG158" s="85" t="s">
        <v>1635</v>
      </c>
      <c r="AH158" s="80" t="b">
        <v>0</v>
      </c>
      <c r="AI158" s="80" t="s">
        <v>1642</v>
      </c>
      <c r="AJ158" s="80"/>
      <c r="AK158" s="85" t="s">
        <v>1635</v>
      </c>
      <c r="AL158" s="80" t="b">
        <v>0</v>
      </c>
      <c r="AM158" s="80">
        <v>1</v>
      </c>
      <c r="AN158" s="85" t="s">
        <v>1611</v>
      </c>
      <c r="AO158" s="85" t="s">
        <v>1671</v>
      </c>
      <c r="AP158" s="80" t="b">
        <v>0</v>
      </c>
      <c r="AQ158" s="85" t="s">
        <v>1611</v>
      </c>
      <c r="AR158" s="80" t="s">
        <v>179</v>
      </c>
      <c r="AS158" s="80">
        <v>0</v>
      </c>
      <c r="AT158" s="80">
        <v>0</v>
      </c>
      <c r="AU158" s="80"/>
      <c r="AV158" s="80"/>
      <c r="AW158" s="80"/>
      <c r="AX158" s="80"/>
      <c r="AY158" s="80"/>
      <c r="AZ158" s="80"/>
      <c r="BA158" s="80"/>
      <c r="BB158" s="80"/>
    </row>
    <row r="159" spans="1:54" x14ac:dyDescent="0.25">
      <c r="A159" s="65" t="s">
        <v>291</v>
      </c>
      <c r="B159" s="65" t="s">
        <v>353</v>
      </c>
      <c r="C159" s="66"/>
      <c r="D159" s="67"/>
      <c r="E159" s="68"/>
      <c r="F159" s="69"/>
      <c r="G159" s="66"/>
      <c r="H159" s="70"/>
      <c r="I159" s="71"/>
      <c r="J159" s="71"/>
      <c r="K159" s="36" t="s">
        <v>65</v>
      </c>
      <c r="L159" s="78">
        <v>159</v>
      </c>
      <c r="M159" s="78"/>
      <c r="N159" s="73"/>
      <c r="O159" s="80" t="s">
        <v>415</v>
      </c>
      <c r="P159" s="82">
        <v>44627.309317129628</v>
      </c>
      <c r="Q159" s="80" t="s">
        <v>427</v>
      </c>
      <c r="R159" s="83" t="str">
        <f>HYPERLINK("http://www.buffalo.edu/alumni/get-involved/fast46.html?utm_source=TWITTER&amp;utm_medium=social&amp;utm_term=20220306&amp;utm_content=100002954388711&amp;utm_campaign=General+Content&amp;linkId=100000113770589")</f>
        <v>http://www.buffalo.edu/alumni/get-involved/fast46.html?utm_source=TWITTER&amp;utm_medium=social&amp;utm_term=20220306&amp;utm_content=100002954388711&amp;utm_campaign=General+Content&amp;linkId=100000113770589</v>
      </c>
      <c r="S159" s="80" t="s">
        <v>632</v>
      </c>
      <c r="T159" s="85" t="s">
        <v>357</v>
      </c>
      <c r="U159" s="80"/>
      <c r="V159" s="83" t="str">
        <f>HYPERLINK("https://pbs.twimg.com/profile_images/1851270789/Amherst-20120224-02691_normal.jpg")</f>
        <v>https://pbs.twimg.com/profile_images/1851270789/Amherst-20120224-02691_normal.jpg</v>
      </c>
      <c r="W159" s="82">
        <v>44627.309317129628</v>
      </c>
      <c r="X159" s="88">
        <v>44627</v>
      </c>
      <c r="Y159" s="85" t="s">
        <v>829</v>
      </c>
      <c r="Z159" s="83" t="str">
        <f>HYPERLINK("https://twitter.com/saefarq/status/1500734346118180868")</f>
        <v>https://twitter.com/saefarq/status/1500734346118180868</v>
      </c>
      <c r="AA159" s="80"/>
      <c r="AB159" s="80"/>
      <c r="AC159" s="85" t="s">
        <v>1278</v>
      </c>
      <c r="AD159" s="80"/>
      <c r="AE159" s="80" t="b">
        <v>0</v>
      </c>
      <c r="AF159" s="80">
        <v>0</v>
      </c>
      <c r="AG159" s="85" t="s">
        <v>1635</v>
      </c>
      <c r="AH159" s="80" t="b">
        <v>0</v>
      </c>
      <c r="AI159" s="80" t="s">
        <v>1642</v>
      </c>
      <c r="AJ159" s="80"/>
      <c r="AK159" s="85" t="s">
        <v>1635</v>
      </c>
      <c r="AL159" s="80" t="b">
        <v>0</v>
      </c>
      <c r="AM159" s="80">
        <v>3</v>
      </c>
      <c r="AN159" s="85" t="s">
        <v>1483</v>
      </c>
      <c r="AO159" s="85" t="s">
        <v>1672</v>
      </c>
      <c r="AP159" s="80" t="b">
        <v>0</v>
      </c>
      <c r="AQ159" s="85" t="s">
        <v>1483</v>
      </c>
      <c r="AR159" s="80" t="s">
        <v>179</v>
      </c>
      <c r="AS159" s="80">
        <v>0</v>
      </c>
      <c r="AT159" s="80">
        <v>0</v>
      </c>
      <c r="AU159" s="80"/>
      <c r="AV159" s="80"/>
      <c r="AW159" s="80"/>
      <c r="AX159" s="80"/>
      <c r="AY159" s="80"/>
      <c r="AZ159" s="80"/>
      <c r="BA159" s="80"/>
      <c r="BB159" s="80"/>
    </row>
    <row r="160" spans="1:54" x14ac:dyDescent="0.25">
      <c r="A160" s="65" t="s">
        <v>291</v>
      </c>
      <c r="B160" s="65" t="s">
        <v>353</v>
      </c>
      <c r="C160" s="66"/>
      <c r="D160" s="67"/>
      <c r="E160" s="68"/>
      <c r="F160" s="69"/>
      <c r="G160" s="66"/>
      <c r="H160" s="70"/>
      <c r="I160" s="71"/>
      <c r="J160" s="71"/>
      <c r="K160" s="36" t="s">
        <v>65</v>
      </c>
      <c r="L160" s="78">
        <v>160</v>
      </c>
      <c r="M160" s="78"/>
      <c r="N160" s="73"/>
      <c r="O160" s="80" t="s">
        <v>415</v>
      </c>
      <c r="P160" s="82">
        <v>44632.556516203702</v>
      </c>
      <c r="Q160" s="80" t="s">
        <v>488</v>
      </c>
      <c r="R160" s="80"/>
      <c r="S160" s="80"/>
      <c r="T160" s="85" t="s">
        <v>357</v>
      </c>
      <c r="U160" s="83" t="str">
        <f>HYPERLINK("https://pbs.twimg.com/media/FNpnS6UWUAAi-cw.jpg")</f>
        <v>https://pbs.twimg.com/media/FNpnS6UWUAAi-cw.jpg</v>
      </c>
      <c r="V160" s="83" t="str">
        <f>HYPERLINK("https://pbs.twimg.com/media/FNpnS6UWUAAi-cw.jpg")</f>
        <v>https://pbs.twimg.com/media/FNpnS6UWUAAi-cw.jpg</v>
      </c>
      <c r="W160" s="82">
        <v>44632.556516203702</v>
      </c>
      <c r="X160" s="88">
        <v>44632</v>
      </c>
      <c r="Y160" s="85" t="s">
        <v>830</v>
      </c>
      <c r="Z160" s="83" t="str">
        <f>HYPERLINK("https://twitter.com/saefarq/status/1502635869072633856")</f>
        <v>https://twitter.com/saefarq/status/1502635869072633856</v>
      </c>
      <c r="AA160" s="80"/>
      <c r="AB160" s="80"/>
      <c r="AC160" s="85" t="s">
        <v>1279</v>
      </c>
      <c r="AD160" s="80"/>
      <c r="AE160" s="80" t="b">
        <v>0</v>
      </c>
      <c r="AF160" s="80">
        <v>0</v>
      </c>
      <c r="AG160" s="85" t="s">
        <v>1635</v>
      </c>
      <c r="AH160" s="80" t="b">
        <v>0</v>
      </c>
      <c r="AI160" s="80" t="s">
        <v>1642</v>
      </c>
      <c r="AJ160" s="80"/>
      <c r="AK160" s="85" t="s">
        <v>1635</v>
      </c>
      <c r="AL160" s="80" t="b">
        <v>0</v>
      </c>
      <c r="AM160" s="80">
        <v>3</v>
      </c>
      <c r="AN160" s="85" t="s">
        <v>1488</v>
      </c>
      <c r="AO160" s="85" t="s">
        <v>1673</v>
      </c>
      <c r="AP160" s="80" t="b">
        <v>0</v>
      </c>
      <c r="AQ160" s="85" t="s">
        <v>1488</v>
      </c>
      <c r="AR160" s="80" t="s">
        <v>179</v>
      </c>
      <c r="AS160" s="80">
        <v>0</v>
      </c>
      <c r="AT160" s="80">
        <v>0</v>
      </c>
      <c r="AU160" s="80"/>
      <c r="AV160" s="80"/>
      <c r="AW160" s="80"/>
      <c r="AX160" s="80"/>
      <c r="AY160" s="80"/>
      <c r="AZ160" s="80"/>
      <c r="BA160" s="80"/>
      <c r="BB160" s="80"/>
    </row>
    <row r="161" spans="1:54" x14ac:dyDescent="0.25">
      <c r="A161" s="65" t="s">
        <v>292</v>
      </c>
      <c r="B161" s="65" t="s">
        <v>353</v>
      </c>
      <c r="C161" s="66"/>
      <c r="D161" s="67"/>
      <c r="E161" s="68"/>
      <c r="F161" s="69"/>
      <c r="G161" s="66"/>
      <c r="H161" s="70"/>
      <c r="I161" s="71"/>
      <c r="J161" s="71"/>
      <c r="K161" s="36" t="s">
        <v>65</v>
      </c>
      <c r="L161" s="78">
        <v>161</v>
      </c>
      <c r="M161" s="78"/>
      <c r="N161" s="73"/>
      <c r="O161" s="80" t="s">
        <v>415</v>
      </c>
      <c r="P161" s="82">
        <v>44632.587048611109</v>
      </c>
      <c r="Q161" s="80" t="s">
        <v>488</v>
      </c>
      <c r="R161" s="80"/>
      <c r="S161" s="80"/>
      <c r="T161" s="85" t="s">
        <v>357</v>
      </c>
      <c r="U161" s="83" t="str">
        <f>HYPERLINK("https://pbs.twimg.com/media/FNpnS6UWUAAi-cw.jpg")</f>
        <v>https://pbs.twimg.com/media/FNpnS6UWUAAi-cw.jpg</v>
      </c>
      <c r="V161" s="83" t="str">
        <f>HYPERLINK("https://pbs.twimg.com/media/FNpnS6UWUAAi-cw.jpg")</f>
        <v>https://pbs.twimg.com/media/FNpnS6UWUAAi-cw.jpg</v>
      </c>
      <c r="W161" s="82">
        <v>44632.587048611109</v>
      </c>
      <c r="X161" s="88">
        <v>44632</v>
      </c>
      <c r="Y161" s="85" t="s">
        <v>831</v>
      </c>
      <c r="Z161" s="83" t="str">
        <f>HYPERLINK("https://twitter.com/thomasmcarthur1/status/1502646932598136836")</f>
        <v>https://twitter.com/thomasmcarthur1/status/1502646932598136836</v>
      </c>
      <c r="AA161" s="80"/>
      <c r="AB161" s="80"/>
      <c r="AC161" s="85" t="s">
        <v>1280</v>
      </c>
      <c r="AD161" s="80"/>
      <c r="AE161" s="80" t="b">
        <v>0</v>
      </c>
      <c r="AF161" s="80">
        <v>0</v>
      </c>
      <c r="AG161" s="85" t="s">
        <v>1635</v>
      </c>
      <c r="AH161" s="80" t="b">
        <v>0</v>
      </c>
      <c r="AI161" s="80" t="s">
        <v>1642</v>
      </c>
      <c r="AJ161" s="80"/>
      <c r="AK161" s="85" t="s">
        <v>1635</v>
      </c>
      <c r="AL161" s="80" t="b">
        <v>0</v>
      </c>
      <c r="AM161" s="80">
        <v>3</v>
      </c>
      <c r="AN161" s="85" t="s">
        <v>1488</v>
      </c>
      <c r="AO161" s="85" t="s">
        <v>1671</v>
      </c>
      <c r="AP161" s="80" t="b">
        <v>0</v>
      </c>
      <c r="AQ161" s="85" t="s">
        <v>1488</v>
      </c>
      <c r="AR161" s="80" t="s">
        <v>179</v>
      </c>
      <c r="AS161" s="80">
        <v>0</v>
      </c>
      <c r="AT161" s="80">
        <v>0</v>
      </c>
      <c r="AU161" s="80"/>
      <c r="AV161" s="80"/>
      <c r="AW161" s="80"/>
      <c r="AX161" s="80"/>
      <c r="AY161" s="80"/>
      <c r="AZ161" s="80"/>
      <c r="BA161" s="80"/>
      <c r="BB161" s="80"/>
    </row>
    <row r="162" spans="1:54" x14ac:dyDescent="0.25">
      <c r="A162" s="65" t="s">
        <v>293</v>
      </c>
      <c r="B162" s="65" t="s">
        <v>357</v>
      </c>
      <c r="C162" s="66"/>
      <c r="D162" s="67"/>
      <c r="E162" s="68"/>
      <c r="F162" s="69"/>
      <c r="G162" s="66"/>
      <c r="H162" s="70"/>
      <c r="I162" s="71"/>
      <c r="J162" s="71"/>
      <c r="K162" s="36" t="s">
        <v>65</v>
      </c>
      <c r="L162" s="78">
        <v>162</v>
      </c>
      <c r="M162" s="78"/>
      <c r="N162" s="73"/>
      <c r="O162" s="80" t="s">
        <v>415</v>
      </c>
      <c r="P162" s="82">
        <v>44632.592673611114</v>
      </c>
      <c r="Q162" s="80" t="s">
        <v>489</v>
      </c>
      <c r="R162" s="83" t="str">
        <f>HYPERLINK("https://www.buffalo.edu/how/articles.host.html/content/shared/www/eub/here-is-how/neighborhood-health.detail.html")</f>
        <v>https://www.buffalo.edu/how/articles.host.html/content/shared/www/eub/here-is-how/neighborhood-health.detail.html</v>
      </c>
      <c r="S162" s="80" t="s">
        <v>632</v>
      </c>
      <c r="T162" s="85" t="s">
        <v>693</v>
      </c>
      <c r="U162" s="83" t="str">
        <f>HYPERLINK("https://pbs.twimg.com/media/FNpko7NXIAAYxbs.jpg")</f>
        <v>https://pbs.twimg.com/media/FNpko7NXIAAYxbs.jpg</v>
      </c>
      <c r="V162" s="83" t="str">
        <f>HYPERLINK("https://pbs.twimg.com/media/FNpko7NXIAAYxbs.jpg")</f>
        <v>https://pbs.twimg.com/media/FNpko7NXIAAYxbs.jpg</v>
      </c>
      <c r="W162" s="82">
        <v>44632.592673611114</v>
      </c>
      <c r="X162" s="88">
        <v>44632</v>
      </c>
      <c r="Y162" s="85" t="s">
        <v>832</v>
      </c>
      <c r="Z162" s="83" t="str">
        <f>HYPERLINK("https://twitter.com/buffaloarchplan/status/1502648970941714436")</f>
        <v>https://twitter.com/buffaloarchplan/status/1502648970941714436</v>
      </c>
      <c r="AA162" s="80"/>
      <c r="AB162" s="80"/>
      <c r="AC162" s="85" t="s">
        <v>1281</v>
      </c>
      <c r="AD162" s="80"/>
      <c r="AE162" s="80" t="b">
        <v>0</v>
      </c>
      <c r="AF162" s="80">
        <v>0</v>
      </c>
      <c r="AG162" s="85" t="s">
        <v>1635</v>
      </c>
      <c r="AH162" s="80" t="b">
        <v>0</v>
      </c>
      <c r="AI162" s="80" t="s">
        <v>1642</v>
      </c>
      <c r="AJ162" s="80"/>
      <c r="AK162" s="85" t="s">
        <v>1635</v>
      </c>
      <c r="AL162" s="80" t="b">
        <v>0</v>
      </c>
      <c r="AM162" s="80">
        <v>2</v>
      </c>
      <c r="AN162" s="85" t="s">
        <v>1622</v>
      </c>
      <c r="AO162" s="85" t="s">
        <v>1671</v>
      </c>
      <c r="AP162" s="80" t="b">
        <v>0</v>
      </c>
      <c r="AQ162" s="85" t="s">
        <v>1622</v>
      </c>
      <c r="AR162" s="80" t="s">
        <v>179</v>
      </c>
      <c r="AS162" s="80">
        <v>0</v>
      </c>
      <c r="AT162" s="80">
        <v>0</v>
      </c>
      <c r="AU162" s="80"/>
      <c r="AV162" s="80"/>
      <c r="AW162" s="80"/>
      <c r="AX162" s="80"/>
      <c r="AY162" s="80"/>
      <c r="AZ162" s="80"/>
      <c r="BA162" s="80"/>
      <c r="BB162" s="80"/>
    </row>
    <row r="163" spans="1:54" x14ac:dyDescent="0.25">
      <c r="A163" s="65" t="s">
        <v>294</v>
      </c>
      <c r="B163" s="65" t="s">
        <v>382</v>
      </c>
      <c r="C163" s="66"/>
      <c r="D163" s="67"/>
      <c r="E163" s="68"/>
      <c r="F163" s="69"/>
      <c r="G163" s="66"/>
      <c r="H163" s="70"/>
      <c r="I163" s="71"/>
      <c r="J163" s="71"/>
      <c r="K163" s="36" t="s">
        <v>65</v>
      </c>
      <c r="L163" s="78">
        <v>163</v>
      </c>
      <c r="M163" s="78"/>
      <c r="N163" s="73"/>
      <c r="O163" s="80" t="s">
        <v>416</v>
      </c>
      <c r="P163" s="82">
        <v>44626.217581018522</v>
      </c>
      <c r="Q163" s="80" t="s">
        <v>418</v>
      </c>
      <c r="R163" s="80"/>
      <c r="S163" s="80"/>
      <c r="T163" s="85" t="s">
        <v>661</v>
      </c>
      <c r="U163" s="83" t="str">
        <f>HYPERLINK("https://pbs.twimg.com/media/FNJGG2EUYAARlam.jpg")</f>
        <v>https://pbs.twimg.com/media/FNJGG2EUYAARlam.jpg</v>
      </c>
      <c r="V163" s="83" t="str">
        <f>HYPERLINK("https://pbs.twimg.com/media/FNJGG2EUYAARlam.jpg")</f>
        <v>https://pbs.twimg.com/media/FNJGG2EUYAARlam.jpg</v>
      </c>
      <c r="W163" s="82">
        <v>44626.217581018522</v>
      </c>
      <c r="X163" s="88">
        <v>44626</v>
      </c>
      <c r="Y163" s="85" t="s">
        <v>833</v>
      </c>
      <c r="Z163" s="83" t="str">
        <f>HYPERLINK("https://twitter.com/buffalo_at/status/1500338716895703040")</f>
        <v>https://twitter.com/buffalo_at/status/1500338716895703040</v>
      </c>
      <c r="AA163" s="80"/>
      <c r="AB163" s="80"/>
      <c r="AC163" s="85" t="s">
        <v>1282</v>
      </c>
      <c r="AD163" s="80"/>
      <c r="AE163" s="80" t="b">
        <v>0</v>
      </c>
      <c r="AF163" s="80">
        <v>19</v>
      </c>
      <c r="AG163" s="85" t="s">
        <v>1635</v>
      </c>
      <c r="AH163" s="80" t="b">
        <v>0</v>
      </c>
      <c r="AI163" s="80" t="s">
        <v>1642</v>
      </c>
      <c r="AJ163" s="80"/>
      <c r="AK163" s="85" t="s">
        <v>1635</v>
      </c>
      <c r="AL163" s="80" t="b">
        <v>0</v>
      </c>
      <c r="AM163" s="80">
        <v>3</v>
      </c>
      <c r="AN163" s="85" t="s">
        <v>1635</v>
      </c>
      <c r="AO163" s="85" t="s">
        <v>1671</v>
      </c>
      <c r="AP163" s="80" t="b">
        <v>0</v>
      </c>
      <c r="AQ163" s="85" t="s">
        <v>1282</v>
      </c>
      <c r="AR163" s="80" t="s">
        <v>415</v>
      </c>
      <c r="AS163" s="80">
        <v>0</v>
      </c>
      <c r="AT163" s="80">
        <v>0</v>
      </c>
      <c r="AU163" s="80"/>
      <c r="AV163" s="80"/>
      <c r="AW163" s="80"/>
      <c r="AX163" s="80"/>
      <c r="AY163" s="80"/>
      <c r="AZ163" s="80"/>
      <c r="BA163" s="80"/>
      <c r="BB163" s="80"/>
    </row>
    <row r="164" spans="1:54" x14ac:dyDescent="0.25">
      <c r="A164" s="65" t="s">
        <v>294</v>
      </c>
      <c r="B164" s="65" t="s">
        <v>380</v>
      </c>
      <c r="C164" s="66"/>
      <c r="D164" s="67"/>
      <c r="E164" s="68"/>
      <c r="F164" s="69"/>
      <c r="G164" s="66"/>
      <c r="H164" s="70"/>
      <c r="I164" s="71"/>
      <c r="J164" s="71"/>
      <c r="K164" s="36" t="s">
        <v>65</v>
      </c>
      <c r="L164" s="78">
        <v>164</v>
      </c>
      <c r="M164" s="78"/>
      <c r="N164" s="73"/>
      <c r="O164" s="80" t="s">
        <v>416</v>
      </c>
      <c r="P164" s="82">
        <v>44626.217581018522</v>
      </c>
      <c r="Q164" s="80" t="s">
        <v>418</v>
      </c>
      <c r="R164" s="80"/>
      <c r="S164" s="80"/>
      <c r="T164" s="85" t="s">
        <v>661</v>
      </c>
      <c r="U164" s="83" t="str">
        <f>HYPERLINK("https://pbs.twimg.com/media/FNJGG2EUYAARlam.jpg")</f>
        <v>https://pbs.twimg.com/media/FNJGG2EUYAARlam.jpg</v>
      </c>
      <c r="V164" s="83" t="str">
        <f>HYPERLINK("https://pbs.twimg.com/media/FNJGG2EUYAARlam.jpg")</f>
        <v>https://pbs.twimg.com/media/FNJGG2EUYAARlam.jpg</v>
      </c>
      <c r="W164" s="82">
        <v>44626.217581018522</v>
      </c>
      <c r="X164" s="88">
        <v>44626</v>
      </c>
      <c r="Y164" s="85" t="s">
        <v>833</v>
      </c>
      <c r="Z164" s="83" t="str">
        <f>HYPERLINK("https://twitter.com/buffalo_at/status/1500338716895703040")</f>
        <v>https://twitter.com/buffalo_at/status/1500338716895703040</v>
      </c>
      <c r="AA164" s="80"/>
      <c r="AB164" s="80"/>
      <c r="AC164" s="85" t="s">
        <v>1282</v>
      </c>
      <c r="AD164" s="80"/>
      <c r="AE164" s="80" t="b">
        <v>0</v>
      </c>
      <c r="AF164" s="80">
        <v>19</v>
      </c>
      <c r="AG164" s="85" t="s">
        <v>1635</v>
      </c>
      <c r="AH164" s="80" t="b">
        <v>0</v>
      </c>
      <c r="AI164" s="80" t="s">
        <v>1642</v>
      </c>
      <c r="AJ164" s="80"/>
      <c r="AK164" s="85" t="s">
        <v>1635</v>
      </c>
      <c r="AL164" s="80" t="b">
        <v>0</v>
      </c>
      <c r="AM164" s="80">
        <v>3</v>
      </c>
      <c r="AN164" s="85" t="s">
        <v>1635</v>
      </c>
      <c r="AO164" s="85" t="s">
        <v>1671</v>
      </c>
      <c r="AP164" s="80" t="b">
        <v>0</v>
      </c>
      <c r="AQ164" s="85" t="s">
        <v>1282</v>
      </c>
      <c r="AR164" s="80" t="s">
        <v>415</v>
      </c>
      <c r="AS164" s="80">
        <v>0</v>
      </c>
      <c r="AT164" s="80">
        <v>0</v>
      </c>
      <c r="AU164" s="80"/>
      <c r="AV164" s="80"/>
      <c r="AW164" s="80"/>
      <c r="AX164" s="80"/>
      <c r="AY164" s="80"/>
      <c r="AZ164" s="80"/>
      <c r="BA164" s="80"/>
      <c r="BB164" s="80"/>
    </row>
    <row r="165" spans="1:54" x14ac:dyDescent="0.25">
      <c r="A165" s="65" t="s">
        <v>294</v>
      </c>
      <c r="B165" s="65" t="s">
        <v>294</v>
      </c>
      <c r="C165" s="66"/>
      <c r="D165" s="67"/>
      <c r="E165" s="68"/>
      <c r="F165" s="69"/>
      <c r="G165" s="66"/>
      <c r="H165" s="70"/>
      <c r="I165" s="71"/>
      <c r="J165" s="71"/>
      <c r="K165" s="36" t="s">
        <v>65</v>
      </c>
      <c r="L165" s="78">
        <v>165</v>
      </c>
      <c r="M165" s="78"/>
      <c r="N165" s="73"/>
      <c r="O165" s="80" t="s">
        <v>179</v>
      </c>
      <c r="P165" s="82">
        <v>44632.607546296298</v>
      </c>
      <c r="Q165" s="80" t="s">
        <v>490</v>
      </c>
      <c r="R165" s="80"/>
      <c r="S165" s="80"/>
      <c r="T165" s="85" t="s">
        <v>694</v>
      </c>
      <c r="U165" s="83" t="str">
        <f>HYPERLINK("https://pbs.twimg.com/media/FNp_7f_XEAIDmjF.jpg")</f>
        <v>https://pbs.twimg.com/media/FNp_7f_XEAIDmjF.jpg</v>
      </c>
      <c r="V165" s="83" t="str">
        <f>HYPERLINK("https://pbs.twimg.com/media/FNp_7f_XEAIDmjF.jpg")</f>
        <v>https://pbs.twimg.com/media/FNp_7f_XEAIDmjF.jpg</v>
      </c>
      <c r="W165" s="82">
        <v>44632.607546296298</v>
      </c>
      <c r="X165" s="88">
        <v>44632</v>
      </c>
      <c r="Y165" s="85" t="s">
        <v>834</v>
      </c>
      <c r="Z165" s="83" t="str">
        <f>HYPERLINK("https://twitter.com/buffalo_at/status/1502654360374890497")</f>
        <v>https://twitter.com/buffalo_at/status/1502654360374890497</v>
      </c>
      <c r="AA165" s="80"/>
      <c r="AB165" s="80"/>
      <c r="AC165" s="85" t="s">
        <v>1283</v>
      </c>
      <c r="AD165" s="80"/>
      <c r="AE165" s="80" t="b">
        <v>0</v>
      </c>
      <c r="AF165" s="80">
        <v>5</v>
      </c>
      <c r="AG165" s="85" t="s">
        <v>1635</v>
      </c>
      <c r="AH165" s="80" t="b">
        <v>0</v>
      </c>
      <c r="AI165" s="80" t="s">
        <v>1642</v>
      </c>
      <c r="AJ165" s="80"/>
      <c r="AK165" s="85" t="s">
        <v>1635</v>
      </c>
      <c r="AL165" s="80" t="b">
        <v>0</v>
      </c>
      <c r="AM165" s="80">
        <v>0</v>
      </c>
      <c r="AN165" s="85" t="s">
        <v>1635</v>
      </c>
      <c r="AO165" s="85" t="s">
        <v>1672</v>
      </c>
      <c r="AP165" s="80" t="b">
        <v>0</v>
      </c>
      <c r="AQ165" s="85" t="s">
        <v>1283</v>
      </c>
      <c r="AR165" s="80" t="s">
        <v>179</v>
      </c>
      <c r="AS165" s="80">
        <v>0</v>
      </c>
      <c r="AT165" s="80">
        <v>0</v>
      </c>
      <c r="AU165" s="80"/>
      <c r="AV165" s="80"/>
      <c r="AW165" s="80"/>
      <c r="AX165" s="80"/>
      <c r="AY165" s="80"/>
      <c r="AZ165" s="80"/>
      <c r="BA165" s="80"/>
      <c r="BB165" s="80"/>
    </row>
    <row r="166" spans="1:54" x14ac:dyDescent="0.25">
      <c r="A166" s="65" t="s">
        <v>295</v>
      </c>
      <c r="B166" s="65" t="s">
        <v>356</v>
      </c>
      <c r="C166" s="66"/>
      <c r="D166" s="67"/>
      <c r="E166" s="68"/>
      <c r="F166" s="69"/>
      <c r="G166" s="66"/>
      <c r="H166" s="70"/>
      <c r="I166" s="71"/>
      <c r="J166" s="71"/>
      <c r="K166" s="36" t="s">
        <v>65</v>
      </c>
      <c r="L166" s="78">
        <v>166</v>
      </c>
      <c r="M166" s="78"/>
      <c r="N166" s="73"/>
      <c r="O166" s="80" t="s">
        <v>415</v>
      </c>
      <c r="P166" s="82">
        <v>44629.83829861111</v>
      </c>
      <c r="Q166" s="80" t="s">
        <v>491</v>
      </c>
      <c r="R166" s="83" t="str">
        <f>HYPERLINK("https://nursing.buffalo.edu/additional-info/alumni/award-nomination-form.html?utm_source=twitter&amp;utm_medium=social-organic&amp;utm_term=&amp;utm_content=2eb9dab6-cfb0-4788-a653-c8ad48a2e5e3&amp;utm_campaign=son-social")</f>
        <v>https://nursing.buffalo.edu/additional-info/alumni/award-nomination-form.html?utm_source=twitter&amp;utm_medium=social-organic&amp;utm_term=&amp;utm_content=2eb9dab6-cfb0-4788-a653-c8ad48a2e5e3&amp;utm_campaign=son-social</v>
      </c>
      <c r="S166" s="80" t="s">
        <v>632</v>
      </c>
      <c r="T166" s="85" t="s">
        <v>357</v>
      </c>
      <c r="U166" s="80"/>
      <c r="V166" s="83" t="str">
        <f>HYPERLINK("https://pbs.twimg.com/profile_images/1448247266687557637/yIHBBb2T_normal.jpg")</f>
        <v>https://pbs.twimg.com/profile_images/1448247266687557637/yIHBBb2T_normal.jpg</v>
      </c>
      <c r="W166" s="82">
        <v>44629.83829861111</v>
      </c>
      <c r="X166" s="88">
        <v>44629</v>
      </c>
      <c r="Y166" s="85" t="s">
        <v>835</v>
      </c>
      <c r="Z166" s="83" t="str">
        <f>HYPERLINK("https://twitter.com/bergren/status/1501650821896974338")</f>
        <v>https://twitter.com/bergren/status/1501650821896974338</v>
      </c>
      <c r="AA166" s="80"/>
      <c r="AB166" s="80"/>
      <c r="AC166" s="85" t="s">
        <v>1284</v>
      </c>
      <c r="AD166" s="80"/>
      <c r="AE166" s="80" t="b">
        <v>0</v>
      </c>
      <c r="AF166" s="80">
        <v>0</v>
      </c>
      <c r="AG166" s="85" t="s">
        <v>1635</v>
      </c>
      <c r="AH166" s="80" t="b">
        <v>0</v>
      </c>
      <c r="AI166" s="80" t="s">
        <v>1642</v>
      </c>
      <c r="AJ166" s="80"/>
      <c r="AK166" s="85" t="s">
        <v>1635</v>
      </c>
      <c r="AL166" s="80" t="b">
        <v>0</v>
      </c>
      <c r="AM166" s="80">
        <v>1</v>
      </c>
      <c r="AN166" s="85" t="s">
        <v>1432</v>
      </c>
      <c r="AO166" s="85" t="s">
        <v>1672</v>
      </c>
      <c r="AP166" s="80" t="b">
        <v>0</v>
      </c>
      <c r="AQ166" s="85" t="s">
        <v>1432</v>
      </c>
      <c r="AR166" s="80" t="s">
        <v>179</v>
      </c>
      <c r="AS166" s="80">
        <v>0</v>
      </c>
      <c r="AT166" s="80">
        <v>0</v>
      </c>
      <c r="AU166" s="80"/>
      <c r="AV166" s="80"/>
      <c r="AW166" s="80"/>
      <c r="AX166" s="80"/>
      <c r="AY166" s="80"/>
      <c r="AZ166" s="80"/>
      <c r="BA166" s="80"/>
      <c r="BB166" s="80"/>
    </row>
    <row r="167" spans="1:54" x14ac:dyDescent="0.25">
      <c r="A167" s="65" t="s">
        <v>295</v>
      </c>
      <c r="B167" s="65" t="s">
        <v>356</v>
      </c>
      <c r="C167" s="66"/>
      <c r="D167" s="67"/>
      <c r="E167" s="68"/>
      <c r="F167" s="69"/>
      <c r="G167" s="66"/>
      <c r="H167" s="70"/>
      <c r="I167" s="71"/>
      <c r="J167" s="71"/>
      <c r="K167" s="36" t="s">
        <v>65</v>
      </c>
      <c r="L167" s="78">
        <v>167</v>
      </c>
      <c r="M167" s="78"/>
      <c r="N167" s="73"/>
      <c r="O167" s="80" t="s">
        <v>415</v>
      </c>
      <c r="P167" s="82">
        <v>44632.674502314818</v>
      </c>
      <c r="Q167" s="80" t="s">
        <v>492</v>
      </c>
      <c r="R167" s="83" t="str">
        <f>HYPERLINK("https://nursing.buffalo.edu/additional-info/alumni.html?utm_source=twitter&amp;utm_medium=social-organic&amp;utm_term=&amp;utm_content=555f92f0-dbbf-48af-adb3-1c541c014fac&amp;utm_campaign=son-social")</f>
        <v>https://nursing.buffalo.edu/additional-info/alumni.html?utm_source=twitter&amp;utm_medium=social-organic&amp;utm_term=&amp;utm_content=555f92f0-dbbf-48af-adb3-1c541c014fac&amp;utm_campaign=son-social</v>
      </c>
      <c r="S167" s="80" t="s">
        <v>632</v>
      </c>
      <c r="T167" s="85" t="s">
        <v>357</v>
      </c>
      <c r="U167" s="83" t="str">
        <f>HYPERLINK("https://pbs.twimg.com/media/FNqT0OFWUAAaFQ0.jpg")</f>
        <v>https://pbs.twimg.com/media/FNqT0OFWUAAaFQ0.jpg</v>
      </c>
      <c r="V167" s="83" t="str">
        <f>HYPERLINK("https://pbs.twimg.com/media/FNqT0OFWUAAaFQ0.jpg")</f>
        <v>https://pbs.twimg.com/media/FNqT0OFWUAAaFQ0.jpg</v>
      </c>
      <c r="W167" s="82">
        <v>44632.674502314818</v>
      </c>
      <c r="X167" s="88">
        <v>44632</v>
      </c>
      <c r="Y167" s="85" t="s">
        <v>836</v>
      </c>
      <c r="Z167" s="83" t="str">
        <f>HYPERLINK("https://twitter.com/bergren/status/1502678625761509380")</f>
        <v>https://twitter.com/bergren/status/1502678625761509380</v>
      </c>
      <c r="AA167" s="80"/>
      <c r="AB167" s="80"/>
      <c r="AC167" s="85" t="s">
        <v>1285</v>
      </c>
      <c r="AD167" s="80"/>
      <c r="AE167" s="80" t="b">
        <v>0</v>
      </c>
      <c r="AF167" s="80">
        <v>0</v>
      </c>
      <c r="AG167" s="85" t="s">
        <v>1635</v>
      </c>
      <c r="AH167" s="80" t="b">
        <v>0</v>
      </c>
      <c r="AI167" s="80" t="s">
        <v>1642</v>
      </c>
      <c r="AJ167" s="80"/>
      <c r="AK167" s="85" t="s">
        <v>1635</v>
      </c>
      <c r="AL167" s="80" t="b">
        <v>0</v>
      </c>
      <c r="AM167" s="80">
        <v>1</v>
      </c>
      <c r="AN167" s="85" t="s">
        <v>1434</v>
      </c>
      <c r="AO167" s="85" t="s">
        <v>1672</v>
      </c>
      <c r="AP167" s="80" t="b">
        <v>0</v>
      </c>
      <c r="AQ167" s="85" t="s">
        <v>1434</v>
      </c>
      <c r="AR167" s="80" t="s">
        <v>179</v>
      </c>
      <c r="AS167" s="80">
        <v>0</v>
      </c>
      <c r="AT167" s="80">
        <v>0</v>
      </c>
      <c r="AU167" s="80"/>
      <c r="AV167" s="80"/>
      <c r="AW167" s="80"/>
      <c r="AX167" s="80"/>
      <c r="AY167" s="80"/>
      <c r="AZ167" s="80"/>
      <c r="BA167" s="80"/>
      <c r="BB167" s="80"/>
    </row>
    <row r="168" spans="1:54" x14ac:dyDescent="0.25">
      <c r="A168" s="65" t="s">
        <v>296</v>
      </c>
      <c r="B168" s="65" t="s">
        <v>402</v>
      </c>
      <c r="C168" s="66"/>
      <c r="D168" s="67"/>
      <c r="E168" s="68"/>
      <c r="F168" s="69"/>
      <c r="G168" s="66"/>
      <c r="H168" s="70"/>
      <c r="I168" s="71"/>
      <c r="J168" s="71"/>
      <c r="K168" s="36" t="s">
        <v>65</v>
      </c>
      <c r="L168" s="78">
        <v>168</v>
      </c>
      <c r="M168" s="78"/>
      <c r="N168" s="73"/>
      <c r="O168" s="80" t="s">
        <v>414</v>
      </c>
      <c r="P168" s="82">
        <v>44632.683518518519</v>
      </c>
      <c r="Q168" s="80" t="s">
        <v>493</v>
      </c>
      <c r="R168" s="80"/>
      <c r="S168" s="80"/>
      <c r="T168" s="85" t="s">
        <v>695</v>
      </c>
      <c r="U168" s="83" t="str">
        <f>HYPERLINK("https://pbs.twimg.com/media/FNqSbpdWYAUvzSx.jpg")</f>
        <v>https://pbs.twimg.com/media/FNqSbpdWYAUvzSx.jpg</v>
      </c>
      <c r="V168" s="83" t="str">
        <f>HYPERLINK("https://pbs.twimg.com/media/FNqSbpdWYAUvzSx.jpg")</f>
        <v>https://pbs.twimg.com/media/FNqSbpdWYAUvzSx.jpg</v>
      </c>
      <c r="W168" s="82">
        <v>44632.683518518519</v>
      </c>
      <c r="X168" s="88">
        <v>44632</v>
      </c>
      <c r="Y168" s="85" t="s">
        <v>837</v>
      </c>
      <c r="Z168" s="83" t="str">
        <f>HYPERLINK("https://twitter.com/osmanfaran/status/1502681892650377216")</f>
        <v>https://twitter.com/osmanfaran/status/1502681892650377216</v>
      </c>
      <c r="AA168" s="80"/>
      <c r="AB168" s="80"/>
      <c r="AC168" s="85" t="s">
        <v>1286</v>
      </c>
      <c r="AD168" s="80"/>
      <c r="AE168" s="80" t="b">
        <v>0</v>
      </c>
      <c r="AF168" s="80">
        <v>0</v>
      </c>
      <c r="AG168" s="85" t="s">
        <v>1635</v>
      </c>
      <c r="AH168" s="80" t="b">
        <v>0</v>
      </c>
      <c r="AI168" s="80" t="s">
        <v>1642</v>
      </c>
      <c r="AJ168" s="80"/>
      <c r="AK168" s="85" t="s">
        <v>1635</v>
      </c>
      <c r="AL168" s="80" t="b">
        <v>0</v>
      </c>
      <c r="AM168" s="80">
        <v>5</v>
      </c>
      <c r="AN168" s="85" t="s">
        <v>1438</v>
      </c>
      <c r="AO168" s="85" t="s">
        <v>1673</v>
      </c>
      <c r="AP168" s="80" t="b">
        <v>0</v>
      </c>
      <c r="AQ168" s="85" t="s">
        <v>1438</v>
      </c>
      <c r="AR168" s="80" t="s">
        <v>179</v>
      </c>
      <c r="AS168" s="80">
        <v>0</v>
      </c>
      <c r="AT168" s="80">
        <v>0</v>
      </c>
      <c r="AU168" s="80"/>
      <c r="AV168" s="80"/>
      <c r="AW168" s="80"/>
      <c r="AX168" s="80"/>
      <c r="AY168" s="80"/>
      <c r="AZ168" s="80"/>
      <c r="BA168" s="80"/>
      <c r="BB168" s="80"/>
    </row>
    <row r="169" spans="1:54" x14ac:dyDescent="0.25">
      <c r="A169" s="65" t="s">
        <v>296</v>
      </c>
      <c r="B169" s="65" t="s">
        <v>385</v>
      </c>
      <c r="C169" s="66"/>
      <c r="D169" s="67"/>
      <c r="E169" s="68"/>
      <c r="F169" s="69"/>
      <c r="G169" s="66"/>
      <c r="H169" s="70"/>
      <c r="I169" s="71"/>
      <c r="J169" s="71"/>
      <c r="K169" s="36" t="s">
        <v>65</v>
      </c>
      <c r="L169" s="78">
        <v>169</v>
      </c>
      <c r="M169" s="78"/>
      <c r="N169" s="73"/>
      <c r="O169" s="80" t="s">
        <v>414</v>
      </c>
      <c r="P169" s="82">
        <v>44632.683518518519</v>
      </c>
      <c r="Q169" s="80" t="s">
        <v>493</v>
      </c>
      <c r="R169" s="80"/>
      <c r="S169" s="80"/>
      <c r="T169" s="85" t="s">
        <v>695</v>
      </c>
      <c r="U169" s="83" t="str">
        <f>HYPERLINK("https://pbs.twimg.com/media/FNqSbpdWYAUvzSx.jpg")</f>
        <v>https://pbs.twimg.com/media/FNqSbpdWYAUvzSx.jpg</v>
      </c>
      <c r="V169" s="83" t="str">
        <f>HYPERLINK("https://pbs.twimg.com/media/FNqSbpdWYAUvzSx.jpg")</f>
        <v>https://pbs.twimg.com/media/FNqSbpdWYAUvzSx.jpg</v>
      </c>
      <c r="W169" s="82">
        <v>44632.683518518519</v>
      </c>
      <c r="X169" s="88">
        <v>44632</v>
      </c>
      <c r="Y169" s="85" t="s">
        <v>837</v>
      </c>
      <c r="Z169" s="83" t="str">
        <f>HYPERLINK("https://twitter.com/osmanfaran/status/1502681892650377216")</f>
        <v>https://twitter.com/osmanfaran/status/1502681892650377216</v>
      </c>
      <c r="AA169" s="80"/>
      <c r="AB169" s="80"/>
      <c r="AC169" s="85" t="s">
        <v>1286</v>
      </c>
      <c r="AD169" s="80"/>
      <c r="AE169" s="80" t="b">
        <v>0</v>
      </c>
      <c r="AF169" s="80">
        <v>0</v>
      </c>
      <c r="AG169" s="85" t="s">
        <v>1635</v>
      </c>
      <c r="AH169" s="80" t="b">
        <v>0</v>
      </c>
      <c r="AI169" s="80" t="s">
        <v>1642</v>
      </c>
      <c r="AJ169" s="80"/>
      <c r="AK169" s="85" t="s">
        <v>1635</v>
      </c>
      <c r="AL169" s="80" t="b">
        <v>0</v>
      </c>
      <c r="AM169" s="80">
        <v>5</v>
      </c>
      <c r="AN169" s="85" t="s">
        <v>1438</v>
      </c>
      <c r="AO169" s="85" t="s">
        <v>1673</v>
      </c>
      <c r="AP169" s="80" t="b">
        <v>0</v>
      </c>
      <c r="AQ169" s="85" t="s">
        <v>1438</v>
      </c>
      <c r="AR169" s="80" t="s">
        <v>179</v>
      </c>
      <c r="AS169" s="80">
        <v>0</v>
      </c>
      <c r="AT169" s="80">
        <v>0</v>
      </c>
      <c r="AU169" s="80"/>
      <c r="AV169" s="80"/>
      <c r="AW169" s="80"/>
      <c r="AX169" s="80"/>
      <c r="AY169" s="80"/>
      <c r="AZ169" s="80"/>
      <c r="BA169" s="80"/>
      <c r="BB169" s="80"/>
    </row>
    <row r="170" spans="1:54" x14ac:dyDescent="0.25">
      <c r="A170" s="65" t="s">
        <v>296</v>
      </c>
      <c r="B170" s="65" t="s">
        <v>358</v>
      </c>
      <c r="C170" s="66"/>
      <c r="D170" s="67"/>
      <c r="E170" s="68"/>
      <c r="F170" s="69"/>
      <c r="G170" s="66"/>
      <c r="H170" s="70"/>
      <c r="I170" s="71"/>
      <c r="J170" s="71"/>
      <c r="K170" s="36" t="s">
        <v>65</v>
      </c>
      <c r="L170" s="78">
        <v>170</v>
      </c>
      <c r="M170" s="78"/>
      <c r="N170" s="73"/>
      <c r="O170" s="80" t="s">
        <v>415</v>
      </c>
      <c r="P170" s="82">
        <v>44632.683518518519</v>
      </c>
      <c r="Q170" s="80" t="s">
        <v>493</v>
      </c>
      <c r="R170" s="80"/>
      <c r="S170" s="80"/>
      <c r="T170" s="85" t="s">
        <v>695</v>
      </c>
      <c r="U170" s="83" t="str">
        <f>HYPERLINK("https://pbs.twimg.com/media/FNqSbpdWYAUvzSx.jpg")</f>
        <v>https://pbs.twimg.com/media/FNqSbpdWYAUvzSx.jpg</v>
      </c>
      <c r="V170" s="83" t="str">
        <f>HYPERLINK("https://pbs.twimg.com/media/FNqSbpdWYAUvzSx.jpg")</f>
        <v>https://pbs.twimg.com/media/FNqSbpdWYAUvzSx.jpg</v>
      </c>
      <c r="W170" s="82">
        <v>44632.683518518519</v>
      </c>
      <c r="X170" s="88">
        <v>44632</v>
      </c>
      <c r="Y170" s="85" t="s">
        <v>837</v>
      </c>
      <c r="Z170" s="83" t="str">
        <f>HYPERLINK("https://twitter.com/osmanfaran/status/1502681892650377216")</f>
        <v>https://twitter.com/osmanfaran/status/1502681892650377216</v>
      </c>
      <c r="AA170" s="80"/>
      <c r="AB170" s="80"/>
      <c r="AC170" s="85" t="s">
        <v>1286</v>
      </c>
      <c r="AD170" s="80"/>
      <c r="AE170" s="80" t="b">
        <v>0</v>
      </c>
      <c r="AF170" s="80">
        <v>0</v>
      </c>
      <c r="AG170" s="85" t="s">
        <v>1635</v>
      </c>
      <c r="AH170" s="80" t="b">
        <v>0</v>
      </c>
      <c r="AI170" s="80" t="s">
        <v>1642</v>
      </c>
      <c r="AJ170" s="80"/>
      <c r="AK170" s="85" t="s">
        <v>1635</v>
      </c>
      <c r="AL170" s="80" t="b">
        <v>0</v>
      </c>
      <c r="AM170" s="80">
        <v>5</v>
      </c>
      <c r="AN170" s="85" t="s">
        <v>1438</v>
      </c>
      <c r="AO170" s="85" t="s">
        <v>1673</v>
      </c>
      <c r="AP170" s="80" t="b">
        <v>0</v>
      </c>
      <c r="AQ170" s="85" t="s">
        <v>1438</v>
      </c>
      <c r="AR170" s="80" t="s">
        <v>179</v>
      </c>
      <c r="AS170" s="80">
        <v>0</v>
      </c>
      <c r="AT170" s="80">
        <v>0</v>
      </c>
      <c r="AU170" s="80"/>
      <c r="AV170" s="80"/>
      <c r="AW170" s="80"/>
      <c r="AX170" s="80"/>
      <c r="AY170" s="80"/>
      <c r="AZ170" s="80"/>
      <c r="BA170" s="80"/>
      <c r="BB170" s="80"/>
    </row>
    <row r="171" spans="1:54" x14ac:dyDescent="0.25">
      <c r="A171" s="65" t="s">
        <v>297</v>
      </c>
      <c r="B171" s="65" t="s">
        <v>402</v>
      </c>
      <c r="C171" s="66"/>
      <c r="D171" s="67"/>
      <c r="E171" s="68"/>
      <c r="F171" s="69"/>
      <c r="G171" s="66"/>
      <c r="H171" s="70"/>
      <c r="I171" s="71"/>
      <c r="J171" s="71"/>
      <c r="K171" s="36" t="s">
        <v>65</v>
      </c>
      <c r="L171" s="78">
        <v>171</v>
      </c>
      <c r="M171" s="78"/>
      <c r="N171" s="73"/>
      <c r="O171" s="80" t="s">
        <v>414</v>
      </c>
      <c r="P171" s="82">
        <v>44632.72074074074</v>
      </c>
      <c r="Q171" s="80" t="s">
        <v>493</v>
      </c>
      <c r="R171" s="80"/>
      <c r="S171" s="80"/>
      <c r="T171" s="85" t="s">
        <v>695</v>
      </c>
      <c r="U171" s="83" t="str">
        <f>HYPERLINK("https://pbs.twimg.com/media/FNqSbpdWYAUvzSx.jpg")</f>
        <v>https://pbs.twimg.com/media/FNqSbpdWYAUvzSx.jpg</v>
      </c>
      <c r="V171" s="83" t="str">
        <f>HYPERLINK("https://pbs.twimg.com/media/FNqSbpdWYAUvzSx.jpg")</f>
        <v>https://pbs.twimg.com/media/FNqSbpdWYAUvzSx.jpg</v>
      </c>
      <c r="W171" s="82">
        <v>44632.72074074074</v>
      </c>
      <c r="X171" s="88">
        <v>44632</v>
      </c>
      <c r="Y171" s="85" t="s">
        <v>838</v>
      </c>
      <c r="Z171" s="83" t="str">
        <f>HYPERLINK("https://twitter.com/cammill06830348/status/1502695383067148296")</f>
        <v>https://twitter.com/cammill06830348/status/1502695383067148296</v>
      </c>
      <c r="AA171" s="80"/>
      <c r="AB171" s="80"/>
      <c r="AC171" s="85" t="s">
        <v>1287</v>
      </c>
      <c r="AD171" s="80"/>
      <c r="AE171" s="80" t="b">
        <v>0</v>
      </c>
      <c r="AF171" s="80">
        <v>0</v>
      </c>
      <c r="AG171" s="85" t="s">
        <v>1635</v>
      </c>
      <c r="AH171" s="80" t="b">
        <v>0</v>
      </c>
      <c r="AI171" s="80" t="s">
        <v>1642</v>
      </c>
      <c r="AJ171" s="80"/>
      <c r="AK171" s="85" t="s">
        <v>1635</v>
      </c>
      <c r="AL171" s="80" t="b">
        <v>0</v>
      </c>
      <c r="AM171" s="80">
        <v>5</v>
      </c>
      <c r="AN171" s="85" t="s">
        <v>1438</v>
      </c>
      <c r="AO171" s="85" t="s">
        <v>1672</v>
      </c>
      <c r="AP171" s="80" t="b">
        <v>0</v>
      </c>
      <c r="AQ171" s="85" t="s">
        <v>1438</v>
      </c>
      <c r="AR171" s="80" t="s">
        <v>179</v>
      </c>
      <c r="AS171" s="80">
        <v>0</v>
      </c>
      <c r="AT171" s="80">
        <v>0</v>
      </c>
      <c r="AU171" s="80"/>
      <c r="AV171" s="80"/>
      <c r="AW171" s="80"/>
      <c r="AX171" s="80"/>
      <c r="AY171" s="80"/>
      <c r="AZ171" s="80"/>
      <c r="BA171" s="80"/>
      <c r="BB171" s="80"/>
    </row>
    <row r="172" spans="1:54" x14ac:dyDescent="0.25">
      <c r="A172" s="65" t="s">
        <v>297</v>
      </c>
      <c r="B172" s="65" t="s">
        <v>385</v>
      </c>
      <c r="C172" s="66"/>
      <c r="D172" s="67"/>
      <c r="E172" s="68"/>
      <c r="F172" s="69"/>
      <c r="G172" s="66"/>
      <c r="H172" s="70"/>
      <c r="I172" s="71"/>
      <c r="J172" s="71"/>
      <c r="K172" s="36" t="s">
        <v>65</v>
      </c>
      <c r="L172" s="78">
        <v>172</v>
      </c>
      <c r="M172" s="78"/>
      <c r="N172" s="73"/>
      <c r="O172" s="80" t="s">
        <v>414</v>
      </c>
      <c r="P172" s="82">
        <v>44632.72074074074</v>
      </c>
      <c r="Q172" s="80" t="s">
        <v>493</v>
      </c>
      <c r="R172" s="80"/>
      <c r="S172" s="80"/>
      <c r="T172" s="85" t="s">
        <v>695</v>
      </c>
      <c r="U172" s="83" t="str">
        <f>HYPERLINK("https://pbs.twimg.com/media/FNqSbpdWYAUvzSx.jpg")</f>
        <v>https://pbs.twimg.com/media/FNqSbpdWYAUvzSx.jpg</v>
      </c>
      <c r="V172" s="83" t="str">
        <f>HYPERLINK("https://pbs.twimg.com/media/FNqSbpdWYAUvzSx.jpg")</f>
        <v>https://pbs.twimg.com/media/FNqSbpdWYAUvzSx.jpg</v>
      </c>
      <c r="W172" s="82">
        <v>44632.72074074074</v>
      </c>
      <c r="X172" s="88">
        <v>44632</v>
      </c>
      <c r="Y172" s="85" t="s">
        <v>838</v>
      </c>
      <c r="Z172" s="83" t="str">
        <f>HYPERLINK("https://twitter.com/cammill06830348/status/1502695383067148296")</f>
        <v>https://twitter.com/cammill06830348/status/1502695383067148296</v>
      </c>
      <c r="AA172" s="80"/>
      <c r="AB172" s="80"/>
      <c r="AC172" s="85" t="s">
        <v>1287</v>
      </c>
      <c r="AD172" s="80"/>
      <c r="AE172" s="80" t="b">
        <v>0</v>
      </c>
      <c r="AF172" s="80">
        <v>0</v>
      </c>
      <c r="AG172" s="85" t="s">
        <v>1635</v>
      </c>
      <c r="AH172" s="80" t="b">
        <v>0</v>
      </c>
      <c r="AI172" s="80" t="s">
        <v>1642</v>
      </c>
      <c r="AJ172" s="80"/>
      <c r="AK172" s="85" t="s">
        <v>1635</v>
      </c>
      <c r="AL172" s="80" t="b">
        <v>0</v>
      </c>
      <c r="AM172" s="80">
        <v>5</v>
      </c>
      <c r="AN172" s="85" t="s">
        <v>1438</v>
      </c>
      <c r="AO172" s="85" t="s">
        <v>1672</v>
      </c>
      <c r="AP172" s="80" t="b">
        <v>0</v>
      </c>
      <c r="AQ172" s="85" t="s">
        <v>1438</v>
      </c>
      <c r="AR172" s="80" t="s">
        <v>179</v>
      </c>
      <c r="AS172" s="80">
        <v>0</v>
      </c>
      <c r="AT172" s="80">
        <v>0</v>
      </c>
      <c r="AU172" s="80"/>
      <c r="AV172" s="80"/>
      <c r="AW172" s="80"/>
      <c r="AX172" s="80"/>
      <c r="AY172" s="80"/>
      <c r="AZ172" s="80"/>
      <c r="BA172" s="80"/>
      <c r="BB172" s="80"/>
    </row>
    <row r="173" spans="1:54" x14ac:dyDescent="0.25">
      <c r="A173" s="65" t="s">
        <v>297</v>
      </c>
      <c r="B173" s="65" t="s">
        <v>358</v>
      </c>
      <c r="C173" s="66"/>
      <c r="D173" s="67"/>
      <c r="E173" s="68"/>
      <c r="F173" s="69"/>
      <c r="G173" s="66"/>
      <c r="H173" s="70"/>
      <c r="I173" s="71"/>
      <c r="J173" s="71"/>
      <c r="K173" s="36" t="s">
        <v>65</v>
      </c>
      <c r="L173" s="78">
        <v>173</v>
      </c>
      <c r="M173" s="78"/>
      <c r="N173" s="73"/>
      <c r="O173" s="80" t="s">
        <v>415</v>
      </c>
      <c r="P173" s="82">
        <v>44632.72074074074</v>
      </c>
      <c r="Q173" s="80" t="s">
        <v>493</v>
      </c>
      <c r="R173" s="80"/>
      <c r="S173" s="80"/>
      <c r="T173" s="85" t="s">
        <v>695</v>
      </c>
      <c r="U173" s="83" t="str">
        <f>HYPERLINK("https://pbs.twimg.com/media/FNqSbpdWYAUvzSx.jpg")</f>
        <v>https://pbs.twimg.com/media/FNqSbpdWYAUvzSx.jpg</v>
      </c>
      <c r="V173" s="83" t="str">
        <f>HYPERLINK("https://pbs.twimg.com/media/FNqSbpdWYAUvzSx.jpg")</f>
        <v>https://pbs.twimg.com/media/FNqSbpdWYAUvzSx.jpg</v>
      </c>
      <c r="W173" s="82">
        <v>44632.72074074074</v>
      </c>
      <c r="X173" s="88">
        <v>44632</v>
      </c>
      <c r="Y173" s="85" t="s">
        <v>838</v>
      </c>
      <c r="Z173" s="83" t="str">
        <f>HYPERLINK("https://twitter.com/cammill06830348/status/1502695383067148296")</f>
        <v>https://twitter.com/cammill06830348/status/1502695383067148296</v>
      </c>
      <c r="AA173" s="80"/>
      <c r="AB173" s="80"/>
      <c r="AC173" s="85" t="s">
        <v>1287</v>
      </c>
      <c r="AD173" s="80"/>
      <c r="AE173" s="80" t="b">
        <v>0</v>
      </c>
      <c r="AF173" s="80">
        <v>0</v>
      </c>
      <c r="AG173" s="85" t="s">
        <v>1635</v>
      </c>
      <c r="AH173" s="80" t="b">
        <v>0</v>
      </c>
      <c r="AI173" s="80" t="s">
        <v>1642</v>
      </c>
      <c r="AJ173" s="80"/>
      <c r="AK173" s="85" t="s">
        <v>1635</v>
      </c>
      <c r="AL173" s="80" t="b">
        <v>0</v>
      </c>
      <c r="AM173" s="80">
        <v>5</v>
      </c>
      <c r="AN173" s="85" t="s">
        <v>1438</v>
      </c>
      <c r="AO173" s="85" t="s">
        <v>1672</v>
      </c>
      <c r="AP173" s="80" t="b">
        <v>0</v>
      </c>
      <c r="AQ173" s="85" t="s">
        <v>1438</v>
      </c>
      <c r="AR173" s="80" t="s">
        <v>179</v>
      </c>
      <c r="AS173" s="80">
        <v>0</v>
      </c>
      <c r="AT173" s="80">
        <v>0</v>
      </c>
      <c r="AU173" s="80"/>
      <c r="AV173" s="80"/>
      <c r="AW173" s="80"/>
      <c r="AX173" s="80"/>
      <c r="AY173" s="80"/>
      <c r="AZ173" s="80"/>
      <c r="BA173" s="80"/>
      <c r="BB173" s="80"/>
    </row>
    <row r="174" spans="1:54" x14ac:dyDescent="0.25">
      <c r="A174" s="65" t="s">
        <v>298</v>
      </c>
      <c r="B174" s="65" t="s">
        <v>357</v>
      </c>
      <c r="C174" s="66"/>
      <c r="D174" s="67"/>
      <c r="E174" s="68"/>
      <c r="F174" s="69"/>
      <c r="G174" s="66"/>
      <c r="H174" s="70"/>
      <c r="I174" s="71"/>
      <c r="J174" s="71"/>
      <c r="K174" s="36" t="s">
        <v>65</v>
      </c>
      <c r="L174" s="78">
        <v>174</v>
      </c>
      <c r="M174" s="78"/>
      <c r="N174" s="73"/>
      <c r="O174" s="80" t="s">
        <v>415</v>
      </c>
      <c r="P174" s="82">
        <v>44627.709120370368</v>
      </c>
      <c r="Q174" s="80" t="s">
        <v>441</v>
      </c>
      <c r="R174" s="83" t="str">
        <f>HYPERLINK("https://financialaid.buffalo.edu/did-you-know/?utm_source=TWITTER&amp;utm_medium=social&amp;utm_term=20220307&amp;utm_content=100002956838777&amp;utm_campaign=General+Content&amp;linkId=100000113938382")</f>
        <v>https://financialaid.buffalo.edu/did-you-know/?utm_source=TWITTER&amp;utm_medium=social&amp;utm_term=20220307&amp;utm_content=100002956838777&amp;utm_campaign=General+Content&amp;linkId=100000113938382</v>
      </c>
      <c r="S174" s="80" t="s">
        <v>632</v>
      </c>
      <c r="T174" s="85" t="s">
        <v>357</v>
      </c>
      <c r="U174" s="83" t="str">
        <f>HYPERLINK("https://pbs.twimg.com/media/FNQs34JWYAEwXVa.jpg")</f>
        <v>https://pbs.twimg.com/media/FNQs34JWYAEwXVa.jpg</v>
      </c>
      <c r="V174" s="83" t="str">
        <f>HYPERLINK("https://pbs.twimg.com/media/FNQs34JWYAEwXVa.jpg")</f>
        <v>https://pbs.twimg.com/media/FNQs34JWYAEwXVa.jpg</v>
      </c>
      <c r="W174" s="82">
        <v>44627.709120370368</v>
      </c>
      <c r="X174" s="88">
        <v>44627</v>
      </c>
      <c r="Y174" s="85" t="s">
        <v>839</v>
      </c>
      <c r="Z174" s="83" t="str">
        <f>HYPERLINK("https://twitter.com/sukhdevsidhu3/status/1500879233375113218")</f>
        <v>https://twitter.com/sukhdevsidhu3/status/1500879233375113218</v>
      </c>
      <c r="AA174" s="80"/>
      <c r="AB174" s="80"/>
      <c r="AC174" s="85" t="s">
        <v>1288</v>
      </c>
      <c r="AD174" s="80"/>
      <c r="AE174" s="80" t="b">
        <v>0</v>
      </c>
      <c r="AF174" s="80">
        <v>0</v>
      </c>
      <c r="AG174" s="85" t="s">
        <v>1635</v>
      </c>
      <c r="AH174" s="80" t="b">
        <v>0</v>
      </c>
      <c r="AI174" s="80" t="s">
        <v>1642</v>
      </c>
      <c r="AJ174" s="80"/>
      <c r="AK174" s="85" t="s">
        <v>1635</v>
      </c>
      <c r="AL174" s="80" t="b">
        <v>0</v>
      </c>
      <c r="AM174" s="80">
        <v>6</v>
      </c>
      <c r="AN174" s="85" t="s">
        <v>1615</v>
      </c>
      <c r="AO174" s="85" t="s">
        <v>1673</v>
      </c>
      <c r="AP174" s="80" t="b">
        <v>0</v>
      </c>
      <c r="AQ174" s="85" t="s">
        <v>1615</v>
      </c>
      <c r="AR174" s="80" t="s">
        <v>179</v>
      </c>
      <c r="AS174" s="80">
        <v>0</v>
      </c>
      <c r="AT174" s="80">
        <v>0</v>
      </c>
      <c r="AU174" s="80"/>
      <c r="AV174" s="80"/>
      <c r="AW174" s="80"/>
      <c r="AX174" s="80"/>
      <c r="AY174" s="80"/>
      <c r="AZ174" s="80"/>
      <c r="BA174" s="80"/>
      <c r="BB174" s="80"/>
    </row>
    <row r="175" spans="1:54" x14ac:dyDescent="0.25">
      <c r="A175" s="65" t="s">
        <v>298</v>
      </c>
      <c r="B175" s="65" t="s">
        <v>357</v>
      </c>
      <c r="C175" s="66"/>
      <c r="D175" s="67"/>
      <c r="E175" s="68"/>
      <c r="F175" s="69"/>
      <c r="G175" s="66"/>
      <c r="H175" s="70"/>
      <c r="I175" s="71"/>
      <c r="J175" s="71"/>
      <c r="K175" s="36" t="s">
        <v>65</v>
      </c>
      <c r="L175" s="78">
        <v>175</v>
      </c>
      <c r="M175" s="78"/>
      <c r="N175" s="73"/>
      <c r="O175" s="80" t="s">
        <v>415</v>
      </c>
      <c r="P175" s="82">
        <v>44632.724976851852</v>
      </c>
      <c r="Q175" s="80" t="s">
        <v>494</v>
      </c>
      <c r="R175" s="83" t="str">
        <f>HYPERLINK("https://twitter.com/UBwomenshoops/status/1502693312439934980")</f>
        <v>https://twitter.com/UBwomenshoops/status/1502693312439934980</v>
      </c>
      <c r="S175" s="80" t="s">
        <v>633</v>
      </c>
      <c r="T175" s="85" t="s">
        <v>357</v>
      </c>
      <c r="U175" s="80"/>
      <c r="V175" s="83" t="str">
        <f>HYPERLINK("https://pbs.twimg.com/profile_images/1498255346845904898/BwAVxCMP_normal.jpg")</f>
        <v>https://pbs.twimg.com/profile_images/1498255346845904898/BwAVxCMP_normal.jpg</v>
      </c>
      <c r="W175" s="82">
        <v>44632.724976851852</v>
      </c>
      <c r="X175" s="88">
        <v>44632</v>
      </c>
      <c r="Y175" s="85" t="s">
        <v>840</v>
      </c>
      <c r="Z175" s="83" t="str">
        <f>HYPERLINK("https://twitter.com/sukhdevsidhu3/status/1502696915661570056")</f>
        <v>https://twitter.com/sukhdevsidhu3/status/1502696915661570056</v>
      </c>
      <c r="AA175" s="80"/>
      <c r="AB175" s="80"/>
      <c r="AC175" s="85" t="s">
        <v>1289</v>
      </c>
      <c r="AD175" s="80"/>
      <c r="AE175" s="80" t="b">
        <v>0</v>
      </c>
      <c r="AF175" s="80">
        <v>0</v>
      </c>
      <c r="AG175" s="85" t="s">
        <v>1635</v>
      </c>
      <c r="AH175" s="80" t="b">
        <v>1</v>
      </c>
      <c r="AI175" s="80" t="s">
        <v>1642</v>
      </c>
      <c r="AJ175" s="80"/>
      <c r="AK175" s="85" t="s">
        <v>1649</v>
      </c>
      <c r="AL175" s="80" t="b">
        <v>0</v>
      </c>
      <c r="AM175" s="80">
        <v>1</v>
      </c>
      <c r="AN175" s="85" t="s">
        <v>1625</v>
      </c>
      <c r="AO175" s="85" t="s">
        <v>1673</v>
      </c>
      <c r="AP175" s="80" t="b">
        <v>0</v>
      </c>
      <c r="AQ175" s="85" t="s">
        <v>1625</v>
      </c>
      <c r="AR175" s="80" t="s">
        <v>179</v>
      </c>
      <c r="AS175" s="80">
        <v>0</v>
      </c>
      <c r="AT175" s="80">
        <v>0</v>
      </c>
      <c r="AU175" s="80"/>
      <c r="AV175" s="80"/>
      <c r="AW175" s="80"/>
      <c r="AX175" s="80"/>
      <c r="AY175" s="80"/>
      <c r="AZ175" s="80"/>
      <c r="BA175" s="80"/>
      <c r="BB175" s="80"/>
    </row>
    <row r="176" spans="1:54" x14ac:dyDescent="0.25">
      <c r="A176" s="65" t="s">
        <v>299</v>
      </c>
      <c r="B176" s="65" t="s">
        <v>403</v>
      </c>
      <c r="C176" s="66"/>
      <c r="D176" s="67"/>
      <c r="E176" s="68"/>
      <c r="F176" s="69"/>
      <c r="G176" s="66"/>
      <c r="H176" s="70"/>
      <c r="I176" s="71"/>
      <c r="J176" s="71"/>
      <c r="K176" s="36" t="s">
        <v>65</v>
      </c>
      <c r="L176" s="78">
        <v>176</v>
      </c>
      <c r="M176" s="78"/>
      <c r="N176" s="73"/>
      <c r="O176" s="80" t="s">
        <v>414</v>
      </c>
      <c r="P176" s="82">
        <v>44632.744340277779</v>
      </c>
      <c r="Q176" s="80" t="s">
        <v>495</v>
      </c>
      <c r="R176" s="83" t="str">
        <f>HYPERLINK("https://arts-sciences.buffalo.edu/history/news-events/upcoming-events.html")</f>
        <v>https://arts-sciences.buffalo.edu/history/news-events/upcoming-events.html</v>
      </c>
      <c r="S176" s="80" t="s">
        <v>632</v>
      </c>
      <c r="T176" s="85" t="s">
        <v>357</v>
      </c>
      <c r="U176" s="83" t="str">
        <f>HYPERLINK("https://pbs.twimg.com/media/FNQ0FysXwAM7dEH.jpg")</f>
        <v>https://pbs.twimg.com/media/FNQ0FysXwAM7dEH.jpg</v>
      </c>
      <c r="V176" s="83" t="str">
        <f>HYPERLINK("https://pbs.twimg.com/media/FNQ0FysXwAM7dEH.jpg")</f>
        <v>https://pbs.twimg.com/media/FNQ0FysXwAM7dEH.jpg</v>
      </c>
      <c r="W176" s="82">
        <v>44632.744340277779</v>
      </c>
      <c r="X176" s="88">
        <v>44632</v>
      </c>
      <c r="Y176" s="85" t="s">
        <v>841</v>
      </c>
      <c r="Z176" s="83" t="str">
        <f>HYPERLINK("https://twitter.com/richardabailey/status/1502703934128939012")</f>
        <v>https://twitter.com/richardabailey/status/1502703934128939012</v>
      </c>
      <c r="AA176" s="80"/>
      <c r="AB176" s="80"/>
      <c r="AC176" s="85" t="s">
        <v>1290</v>
      </c>
      <c r="AD176" s="80"/>
      <c r="AE176" s="80" t="b">
        <v>0</v>
      </c>
      <c r="AF176" s="80">
        <v>0</v>
      </c>
      <c r="AG176" s="85" t="s">
        <v>1635</v>
      </c>
      <c r="AH176" s="80" t="b">
        <v>0</v>
      </c>
      <c r="AI176" s="80" t="s">
        <v>1642</v>
      </c>
      <c r="AJ176" s="80"/>
      <c r="AK176" s="85" t="s">
        <v>1635</v>
      </c>
      <c r="AL176" s="80" t="b">
        <v>0</v>
      </c>
      <c r="AM176" s="80">
        <v>1</v>
      </c>
      <c r="AN176" s="85" t="s">
        <v>1554</v>
      </c>
      <c r="AO176" s="85" t="s">
        <v>1683</v>
      </c>
      <c r="AP176" s="80" t="b">
        <v>0</v>
      </c>
      <c r="AQ176" s="85" t="s">
        <v>1554</v>
      </c>
      <c r="AR176" s="80" t="s">
        <v>179</v>
      </c>
      <c r="AS176" s="80">
        <v>0</v>
      </c>
      <c r="AT176" s="80">
        <v>0</v>
      </c>
      <c r="AU176" s="80"/>
      <c r="AV176" s="80"/>
      <c r="AW176" s="80"/>
      <c r="AX176" s="80"/>
      <c r="AY176" s="80"/>
      <c r="AZ176" s="80"/>
      <c r="BA176" s="80"/>
      <c r="BB176" s="80"/>
    </row>
    <row r="177" spans="1:54" x14ac:dyDescent="0.25">
      <c r="A177" s="65" t="s">
        <v>299</v>
      </c>
      <c r="B177" s="65" t="s">
        <v>374</v>
      </c>
      <c r="C177" s="66"/>
      <c r="D177" s="67"/>
      <c r="E177" s="68"/>
      <c r="F177" s="69"/>
      <c r="G177" s="66"/>
      <c r="H177" s="70"/>
      <c r="I177" s="71"/>
      <c r="J177" s="71"/>
      <c r="K177" s="36" t="s">
        <v>65</v>
      </c>
      <c r="L177" s="78">
        <v>177</v>
      </c>
      <c r="M177" s="78"/>
      <c r="N177" s="73"/>
      <c r="O177" s="80" t="s">
        <v>415</v>
      </c>
      <c r="P177" s="82">
        <v>44632.744340277779</v>
      </c>
      <c r="Q177" s="80" t="s">
        <v>495</v>
      </c>
      <c r="R177" s="83" t="str">
        <f>HYPERLINK("https://arts-sciences.buffalo.edu/history/news-events/upcoming-events.html")</f>
        <v>https://arts-sciences.buffalo.edu/history/news-events/upcoming-events.html</v>
      </c>
      <c r="S177" s="80" t="s">
        <v>632</v>
      </c>
      <c r="T177" s="85" t="s">
        <v>357</v>
      </c>
      <c r="U177" s="83" t="str">
        <f>HYPERLINK("https://pbs.twimg.com/media/FNQ0FysXwAM7dEH.jpg")</f>
        <v>https://pbs.twimg.com/media/FNQ0FysXwAM7dEH.jpg</v>
      </c>
      <c r="V177" s="83" t="str">
        <f>HYPERLINK("https://pbs.twimg.com/media/FNQ0FysXwAM7dEH.jpg")</f>
        <v>https://pbs.twimg.com/media/FNQ0FysXwAM7dEH.jpg</v>
      </c>
      <c r="W177" s="82">
        <v>44632.744340277779</v>
      </c>
      <c r="X177" s="88">
        <v>44632</v>
      </c>
      <c r="Y177" s="85" t="s">
        <v>841</v>
      </c>
      <c r="Z177" s="83" t="str">
        <f>HYPERLINK("https://twitter.com/richardabailey/status/1502703934128939012")</f>
        <v>https://twitter.com/richardabailey/status/1502703934128939012</v>
      </c>
      <c r="AA177" s="80"/>
      <c r="AB177" s="80"/>
      <c r="AC177" s="85" t="s">
        <v>1290</v>
      </c>
      <c r="AD177" s="80"/>
      <c r="AE177" s="80" t="b">
        <v>0</v>
      </c>
      <c r="AF177" s="80">
        <v>0</v>
      </c>
      <c r="AG177" s="85" t="s">
        <v>1635</v>
      </c>
      <c r="AH177" s="80" t="b">
        <v>0</v>
      </c>
      <c r="AI177" s="80" t="s">
        <v>1642</v>
      </c>
      <c r="AJ177" s="80"/>
      <c r="AK177" s="85" t="s">
        <v>1635</v>
      </c>
      <c r="AL177" s="80" t="b">
        <v>0</v>
      </c>
      <c r="AM177" s="80">
        <v>1</v>
      </c>
      <c r="AN177" s="85" t="s">
        <v>1554</v>
      </c>
      <c r="AO177" s="85" t="s">
        <v>1683</v>
      </c>
      <c r="AP177" s="80" t="b">
        <v>0</v>
      </c>
      <c r="AQ177" s="85" t="s">
        <v>1554</v>
      </c>
      <c r="AR177" s="80" t="s">
        <v>179</v>
      </c>
      <c r="AS177" s="80">
        <v>0</v>
      </c>
      <c r="AT177" s="80">
        <v>0</v>
      </c>
      <c r="AU177" s="80"/>
      <c r="AV177" s="80"/>
      <c r="AW177" s="80"/>
      <c r="AX177" s="80"/>
      <c r="AY177" s="80"/>
      <c r="AZ177" s="80"/>
      <c r="BA177" s="80"/>
      <c r="BB177" s="80"/>
    </row>
    <row r="178" spans="1:54" x14ac:dyDescent="0.25">
      <c r="A178" s="65" t="s">
        <v>300</v>
      </c>
      <c r="B178" s="65" t="s">
        <v>404</v>
      </c>
      <c r="C178" s="66"/>
      <c r="D178" s="67"/>
      <c r="E178" s="68"/>
      <c r="F178" s="69"/>
      <c r="G178" s="66"/>
      <c r="H178" s="70"/>
      <c r="I178" s="71"/>
      <c r="J178" s="71"/>
      <c r="K178" s="36" t="s">
        <v>65</v>
      </c>
      <c r="L178" s="78">
        <v>178</v>
      </c>
      <c r="M178" s="78"/>
      <c r="N178" s="73"/>
      <c r="O178" s="80" t="s">
        <v>416</v>
      </c>
      <c r="P178" s="82">
        <v>44632.748773148145</v>
      </c>
      <c r="Q178" s="80" t="s">
        <v>496</v>
      </c>
      <c r="R178" s="83" t="str">
        <f>HYPERLINK("https://twitter.com/theauricle_oto/status/1502303438721458177")</f>
        <v>https://twitter.com/theauricle_oto/status/1502303438721458177</v>
      </c>
      <c r="S178" s="80" t="s">
        <v>633</v>
      </c>
      <c r="T178" s="85" t="s">
        <v>696</v>
      </c>
      <c r="U178" s="80"/>
      <c r="V178" s="83" t="str">
        <f>HYPERLINK("https://pbs.twimg.com/profile_images/1257111020163813376/ZkXVIVDO_normal.jpg")</f>
        <v>https://pbs.twimg.com/profile_images/1257111020163813376/ZkXVIVDO_normal.jpg</v>
      </c>
      <c r="W178" s="82">
        <v>44632.748773148145</v>
      </c>
      <c r="X178" s="88">
        <v>44632</v>
      </c>
      <c r="Y178" s="85" t="s">
        <v>842</v>
      </c>
      <c r="Z178" s="83" t="str">
        <f>HYPERLINK("https://twitter.com/univbuffalooto/status/1502705540199329796")</f>
        <v>https://twitter.com/univbuffalooto/status/1502705540199329796</v>
      </c>
      <c r="AA178" s="80"/>
      <c r="AB178" s="80"/>
      <c r="AC178" s="85" t="s">
        <v>1291</v>
      </c>
      <c r="AD178" s="80"/>
      <c r="AE178" s="80" t="b">
        <v>0</v>
      </c>
      <c r="AF178" s="80">
        <v>3</v>
      </c>
      <c r="AG178" s="85" t="s">
        <v>1635</v>
      </c>
      <c r="AH178" s="80" t="b">
        <v>1</v>
      </c>
      <c r="AI178" s="80" t="s">
        <v>1642</v>
      </c>
      <c r="AJ178" s="80"/>
      <c r="AK178" s="85" t="s">
        <v>1650</v>
      </c>
      <c r="AL178" s="80" t="b">
        <v>0</v>
      </c>
      <c r="AM178" s="80">
        <v>0</v>
      </c>
      <c r="AN178" s="85" t="s">
        <v>1635</v>
      </c>
      <c r="AO178" s="85" t="s">
        <v>1671</v>
      </c>
      <c r="AP178" s="80" t="b">
        <v>0</v>
      </c>
      <c r="AQ178" s="85" t="s">
        <v>1291</v>
      </c>
      <c r="AR178" s="80" t="s">
        <v>179</v>
      </c>
      <c r="AS178" s="80">
        <v>0</v>
      </c>
      <c r="AT178" s="80">
        <v>0</v>
      </c>
      <c r="AU178" s="80" t="s">
        <v>1689</v>
      </c>
      <c r="AV178" s="80" t="s">
        <v>1691</v>
      </c>
      <c r="AW178" s="80" t="s">
        <v>1692</v>
      </c>
      <c r="AX178" s="80" t="s">
        <v>1695</v>
      </c>
      <c r="AY178" s="80" t="s">
        <v>1699</v>
      </c>
      <c r="AZ178" s="80" t="s">
        <v>1703</v>
      </c>
      <c r="BA178" s="80" t="s">
        <v>1706</v>
      </c>
      <c r="BB178" s="83" t="str">
        <f>HYPERLINK("https://api.twitter.com/1.1/geo/id/94965b2c45386f87.json")</f>
        <v>https://api.twitter.com/1.1/geo/id/94965b2c45386f87.json</v>
      </c>
    </row>
    <row r="179" spans="1:54" x14ac:dyDescent="0.25">
      <c r="A179" s="65" t="s">
        <v>300</v>
      </c>
      <c r="B179" s="65" t="s">
        <v>307</v>
      </c>
      <c r="C179" s="66"/>
      <c r="D179" s="67"/>
      <c r="E179" s="68"/>
      <c r="F179" s="69"/>
      <c r="G179" s="66"/>
      <c r="H179" s="70"/>
      <c r="I179" s="71"/>
      <c r="J179" s="71"/>
      <c r="K179" s="36" t="s">
        <v>65</v>
      </c>
      <c r="L179" s="78">
        <v>179</v>
      </c>
      <c r="M179" s="78"/>
      <c r="N179" s="73"/>
      <c r="O179" s="80" t="s">
        <v>414</v>
      </c>
      <c r="P179" s="82">
        <v>44629.062673611108</v>
      </c>
      <c r="Q179" s="80" t="s">
        <v>478</v>
      </c>
      <c r="R179" s="80"/>
      <c r="S179" s="80"/>
      <c r="T179" s="85" t="s">
        <v>668</v>
      </c>
      <c r="U179" s="83" t="str">
        <f>HYPERLINK("https://pbs.twimg.com/media/FNXo62eXoAEyQvR.jpg")</f>
        <v>https://pbs.twimg.com/media/FNXo62eXoAEyQvR.jpg</v>
      </c>
      <c r="V179" s="83" t="str">
        <f>HYPERLINK("https://pbs.twimg.com/media/FNXo62eXoAEyQvR.jpg")</f>
        <v>https://pbs.twimg.com/media/FNXo62eXoAEyQvR.jpg</v>
      </c>
      <c r="W179" s="82">
        <v>44629.062673611108</v>
      </c>
      <c r="X179" s="88">
        <v>44629</v>
      </c>
      <c r="Y179" s="85" t="s">
        <v>843</v>
      </c>
      <c r="Z179" s="83" t="str">
        <f>HYPERLINK("https://twitter.com/univbuffalooto/status/1501369741629345792")</f>
        <v>https://twitter.com/univbuffalooto/status/1501369741629345792</v>
      </c>
      <c r="AA179" s="80"/>
      <c r="AB179" s="80"/>
      <c r="AC179" s="85" t="s">
        <v>1292</v>
      </c>
      <c r="AD179" s="80"/>
      <c r="AE179" s="80" t="b">
        <v>0</v>
      </c>
      <c r="AF179" s="80">
        <v>0</v>
      </c>
      <c r="AG179" s="85" t="s">
        <v>1635</v>
      </c>
      <c r="AH179" s="80" t="b">
        <v>0</v>
      </c>
      <c r="AI179" s="80" t="s">
        <v>1642</v>
      </c>
      <c r="AJ179" s="80"/>
      <c r="AK179" s="85" t="s">
        <v>1635</v>
      </c>
      <c r="AL179" s="80" t="b">
        <v>0</v>
      </c>
      <c r="AM179" s="80">
        <v>2</v>
      </c>
      <c r="AN179" s="85" t="s">
        <v>1456</v>
      </c>
      <c r="AO179" s="85" t="s">
        <v>1671</v>
      </c>
      <c r="AP179" s="80" t="b">
        <v>0</v>
      </c>
      <c r="AQ179" s="85" t="s">
        <v>1456</v>
      </c>
      <c r="AR179" s="80" t="s">
        <v>179</v>
      </c>
      <c r="AS179" s="80">
        <v>0</v>
      </c>
      <c r="AT179" s="80">
        <v>0</v>
      </c>
      <c r="AU179" s="80"/>
      <c r="AV179" s="80"/>
      <c r="AW179" s="80"/>
      <c r="AX179" s="80"/>
      <c r="AY179" s="80"/>
      <c r="AZ179" s="80"/>
      <c r="BA179" s="80"/>
      <c r="BB179" s="80"/>
    </row>
    <row r="180" spans="1:54" x14ac:dyDescent="0.25">
      <c r="A180" s="65" t="s">
        <v>300</v>
      </c>
      <c r="B180" s="65" t="s">
        <v>307</v>
      </c>
      <c r="C180" s="66"/>
      <c r="D180" s="67"/>
      <c r="E180" s="68"/>
      <c r="F180" s="69"/>
      <c r="G180" s="66"/>
      <c r="H180" s="70"/>
      <c r="I180" s="71"/>
      <c r="J180" s="71"/>
      <c r="K180" s="36" t="s">
        <v>65</v>
      </c>
      <c r="L180" s="78">
        <v>180</v>
      </c>
      <c r="M180" s="78"/>
      <c r="N180" s="73"/>
      <c r="O180" s="80" t="s">
        <v>415</v>
      </c>
      <c r="P180" s="82">
        <v>44629.062673611108</v>
      </c>
      <c r="Q180" s="80" t="s">
        <v>478</v>
      </c>
      <c r="R180" s="80"/>
      <c r="S180" s="80"/>
      <c r="T180" s="85" t="s">
        <v>668</v>
      </c>
      <c r="U180" s="83" t="str">
        <f>HYPERLINK("https://pbs.twimg.com/media/FNXo62eXoAEyQvR.jpg")</f>
        <v>https://pbs.twimg.com/media/FNXo62eXoAEyQvR.jpg</v>
      </c>
      <c r="V180" s="83" t="str">
        <f>HYPERLINK("https://pbs.twimg.com/media/FNXo62eXoAEyQvR.jpg")</f>
        <v>https://pbs.twimg.com/media/FNXo62eXoAEyQvR.jpg</v>
      </c>
      <c r="W180" s="82">
        <v>44629.062673611108</v>
      </c>
      <c r="X180" s="88">
        <v>44629</v>
      </c>
      <c r="Y180" s="85" t="s">
        <v>843</v>
      </c>
      <c r="Z180" s="83" t="str">
        <f>HYPERLINK("https://twitter.com/univbuffalooto/status/1501369741629345792")</f>
        <v>https://twitter.com/univbuffalooto/status/1501369741629345792</v>
      </c>
      <c r="AA180" s="80"/>
      <c r="AB180" s="80"/>
      <c r="AC180" s="85" t="s">
        <v>1292</v>
      </c>
      <c r="AD180" s="80"/>
      <c r="AE180" s="80" t="b">
        <v>0</v>
      </c>
      <c r="AF180" s="80">
        <v>0</v>
      </c>
      <c r="AG180" s="85" t="s">
        <v>1635</v>
      </c>
      <c r="AH180" s="80" t="b">
        <v>0</v>
      </c>
      <c r="AI180" s="80" t="s">
        <v>1642</v>
      </c>
      <c r="AJ180" s="80"/>
      <c r="AK180" s="85" t="s">
        <v>1635</v>
      </c>
      <c r="AL180" s="80" t="b">
        <v>0</v>
      </c>
      <c r="AM180" s="80">
        <v>2</v>
      </c>
      <c r="AN180" s="85" t="s">
        <v>1456</v>
      </c>
      <c r="AO180" s="85" t="s">
        <v>1671</v>
      </c>
      <c r="AP180" s="80" t="b">
        <v>0</v>
      </c>
      <c r="AQ180" s="85" t="s">
        <v>1456</v>
      </c>
      <c r="AR180" s="80" t="s">
        <v>179</v>
      </c>
      <c r="AS180" s="80">
        <v>0</v>
      </c>
      <c r="AT180" s="80">
        <v>0</v>
      </c>
      <c r="AU180" s="80"/>
      <c r="AV180" s="80"/>
      <c r="AW180" s="80"/>
      <c r="AX180" s="80"/>
      <c r="AY180" s="80"/>
      <c r="AZ180" s="80"/>
      <c r="BA180" s="80"/>
      <c r="BB180" s="80"/>
    </row>
    <row r="181" spans="1:54" x14ac:dyDescent="0.25">
      <c r="A181" s="65" t="s">
        <v>300</v>
      </c>
      <c r="B181" s="65" t="s">
        <v>307</v>
      </c>
      <c r="C181" s="66"/>
      <c r="D181" s="67"/>
      <c r="E181" s="68"/>
      <c r="F181" s="69"/>
      <c r="G181" s="66"/>
      <c r="H181" s="70"/>
      <c r="I181" s="71"/>
      <c r="J181" s="71"/>
      <c r="K181" s="36" t="s">
        <v>65</v>
      </c>
      <c r="L181" s="78">
        <v>181</v>
      </c>
      <c r="M181" s="78"/>
      <c r="N181" s="73"/>
      <c r="O181" s="80" t="s">
        <v>416</v>
      </c>
      <c r="P181" s="82">
        <v>44632.748773148145</v>
      </c>
      <c r="Q181" s="80" t="s">
        <v>496</v>
      </c>
      <c r="R181" s="83" t="str">
        <f>HYPERLINK("https://twitter.com/theauricle_oto/status/1502303438721458177")</f>
        <v>https://twitter.com/theauricle_oto/status/1502303438721458177</v>
      </c>
      <c r="S181" s="80" t="s">
        <v>633</v>
      </c>
      <c r="T181" s="85" t="s">
        <v>696</v>
      </c>
      <c r="U181" s="80"/>
      <c r="V181" s="83" t="str">
        <f>HYPERLINK("https://pbs.twimg.com/profile_images/1257111020163813376/ZkXVIVDO_normal.jpg")</f>
        <v>https://pbs.twimg.com/profile_images/1257111020163813376/ZkXVIVDO_normal.jpg</v>
      </c>
      <c r="W181" s="82">
        <v>44632.748773148145</v>
      </c>
      <c r="X181" s="88">
        <v>44632</v>
      </c>
      <c r="Y181" s="85" t="s">
        <v>842</v>
      </c>
      <c r="Z181" s="83" t="str">
        <f>HYPERLINK("https://twitter.com/univbuffalooto/status/1502705540199329796")</f>
        <v>https://twitter.com/univbuffalooto/status/1502705540199329796</v>
      </c>
      <c r="AA181" s="80"/>
      <c r="AB181" s="80"/>
      <c r="AC181" s="85" t="s">
        <v>1291</v>
      </c>
      <c r="AD181" s="80"/>
      <c r="AE181" s="80" t="b">
        <v>0</v>
      </c>
      <c r="AF181" s="80">
        <v>3</v>
      </c>
      <c r="AG181" s="85" t="s">
        <v>1635</v>
      </c>
      <c r="AH181" s="80" t="b">
        <v>1</v>
      </c>
      <c r="AI181" s="80" t="s">
        <v>1642</v>
      </c>
      <c r="AJ181" s="80"/>
      <c r="AK181" s="85" t="s">
        <v>1650</v>
      </c>
      <c r="AL181" s="80" t="b">
        <v>0</v>
      </c>
      <c r="AM181" s="80">
        <v>0</v>
      </c>
      <c r="AN181" s="85" t="s">
        <v>1635</v>
      </c>
      <c r="AO181" s="85" t="s">
        <v>1671</v>
      </c>
      <c r="AP181" s="80" t="b">
        <v>0</v>
      </c>
      <c r="AQ181" s="85" t="s">
        <v>1291</v>
      </c>
      <c r="AR181" s="80" t="s">
        <v>179</v>
      </c>
      <c r="AS181" s="80">
        <v>0</v>
      </c>
      <c r="AT181" s="80">
        <v>0</v>
      </c>
      <c r="AU181" s="80" t="s">
        <v>1689</v>
      </c>
      <c r="AV181" s="80" t="s">
        <v>1691</v>
      </c>
      <c r="AW181" s="80" t="s">
        <v>1692</v>
      </c>
      <c r="AX181" s="80" t="s">
        <v>1695</v>
      </c>
      <c r="AY181" s="80" t="s">
        <v>1699</v>
      </c>
      <c r="AZ181" s="80" t="s">
        <v>1703</v>
      </c>
      <c r="BA181" s="80" t="s">
        <v>1706</v>
      </c>
      <c r="BB181" s="83" t="str">
        <f>HYPERLINK("https://api.twitter.com/1.1/geo/id/94965b2c45386f87.json")</f>
        <v>https://api.twitter.com/1.1/geo/id/94965b2c45386f87.json</v>
      </c>
    </row>
    <row r="182" spans="1:54" x14ac:dyDescent="0.25">
      <c r="A182" s="65" t="s">
        <v>301</v>
      </c>
      <c r="B182" s="65" t="s">
        <v>301</v>
      </c>
      <c r="C182" s="66"/>
      <c r="D182" s="67"/>
      <c r="E182" s="68"/>
      <c r="F182" s="69"/>
      <c r="G182" s="66"/>
      <c r="H182" s="70"/>
      <c r="I182" s="71"/>
      <c r="J182" s="71"/>
      <c r="K182" s="36" t="s">
        <v>65</v>
      </c>
      <c r="L182" s="78">
        <v>182</v>
      </c>
      <c r="M182" s="78"/>
      <c r="N182" s="73"/>
      <c r="O182" s="80" t="s">
        <v>179</v>
      </c>
      <c r="P182" s="82">
        <v>44628.626840277779</v>
      </c>
      <c r="Q182" s="80" t="s">
        <v>497</v>
      </c>
      <c r="R182" s="83" t="str">
        <f>HYPERLINK("https://admissions.buffalo.edu/visit/index.php?utm_source=social-media&amp;utm_medium=links&amp;utm_campaign=visit")</f>
        <v>https://admissions.buffalo.edu/visit/index.php?utm_source=social-media&amp;utm_medium=links&amp;utm_campaign=visit</v>
      </c>
      <c r="S182" s="80" t="s">
        <v>632</v>
      </c>
      <c r="T182" s="85" t="s">
        <v>357</v>
      </c>
      <c r="U182" s="83" t="str">
        <f>HYPERLINK("https://pbs.twimg.com/media/FNVgLN3XEAUcqkh.jpg")</f>
        <v>https://pbs.twimg.com/media/FNVgLN3XEAUcqkh.jpg</v>
      </c>
      <c r="V182" s="83" t="str">
        <f>HYPERLINK("https://pbs.twimg.com/media/FNVgLN3XEAUcqkh.jpg")</f>
        <v>https://pbs.twimg.com/media/FNVgLN3XEAUcqkh.jpg</v>
      </c>
      <c r="W182" s="82">
        <v>44628.626840277779</v>
      </c>
      <c r="X182" s="88">
        <v>44628</v>
      </c>
      <c r="Y182" s="85" t="s">
        <v>844</v>
      </c>
      <c r="Z182" s="83" t="str">
        <f>HYPERLINK("https://twitter.com/ubadmissions/status/1501211800305639432")</f>
        <v>https://twitter.com/ubadmissions/status/1501211800305639432</v>
      </c>
      <c r="AA182" s="80"/>
      <c r="AB182" s="80"/>
      <c r="AC182" s="85" t="s">
        <v>1293</v>
      </c>
      <c r="AD182" s="80"/>
      <c r="AE182" s="80" t="b">
        <v>0</v>
      </c>
      <c r="AF182" s="80">
        <v>3</v>
      </c>
      <c r="AG182" s="85" t="s">
        <v>1635</v>
      </c>
      <c r="AH182" s="80" t="b">
        <v>0</v>
      </c>
      <c r="AI182" s="80" t="s">
        <v>1642</v>
      </c>
      <c r="AJ182" s="80"/>
      <c r="AK182" s="85" t="s">
        <v>1635</v>
      </c>
      <c r="AL182" s="80" t="b">
        <v>0</v>
      </c>
      <c r="AM182" s="80">
        <v>0</v>
      </c>
      <c r="AN182" s="85" t="s">
        <v>1635</v>
      </c>
      <c r="AO182" s="85" t="s">
        <v>1679</v>
      </c>
      <c r="AP182" s="80" t="b">
        <v>0</v>
      </c>
      <c r="AQ182" s="85" t="s">
        <v>1293</v>
      </c>
      <c r="AR182" s="80" t="s">
        <v>179</v>
      </c>
      <c r="AS182" s="80">
        <v>0</v>
      </c>
      <c r="AT182" s="80">
        <v>0</v>
      </c>
      <c r="AU182" s="80"/>
      <c r="AV182" s="80"/>
      <c r="AW182" s="80"/>
      <c r="AX182" s="80"/>
      <c r="AY182" s="80"/>
      <c r="AZ182" s="80"/>
      <c r="BA182" s="80"/>
      <c r="BB182" s="80"/>
    </row>
    <row r="183" spans="1:54" x14ac:dyDescent="0.25">
      <c r="A183" s="65" t="s">
        <v>301</v>
      </c>
      <c r="B183" s="65" t="s">
        <v>301</v>
      </c>
      <c r="C183" s="66"/>
      <c r="D183" s="67"/>
      <c r="E183" s="68"/>
      <c r="F183" s="69"/>
      <c r="G183" s="66"/>
      <c r="H183" s="70"/>
      <c r="I183" s="71"/>
      <c r="J183" s="71"/>
      <c r="K183" s="36" t="s">
        <v>65</v>
      </c>
      <c r="L183" s="78">
        <v>183</v>
      </c>
      <c r="M183" s="78"/>
      <c r="N183" s="73"/>
      <c r="O183" s="80" t="s">
        <v>179</v>
      </c>
      <c r="P183" s="82">
        <v>44631.750034722223</v>
      </c>
      <c r="Q183" s="80" t="s">
        <v>498</v>
      </c>
      <c r="R183" s="83" t="str">
        <f>HYPERLINK("https://admissions.buffalo.edu/visit/index.php?utm_source=social-media&amp;utm_medium=links&amp;utm_campaign=visit#accepted")</f>
        <v>https://admissions.buffalo.edu/visit/index.php?utm_source=social-media&amp;utm_medium=links&amp;utm_campaign=visit#accepted</v>
      </c>
      <c r="S183" s="80" t="s">
        <v>632</v>
      </c>
      <c r="T183" s="85" t="s">
        <v>357</v>
      </c>
      <c r="U183" s="83" t="str">
        <f>HYPERLINK("https://pbs.twimg.com/media/FNlljOPXwAgSJPR.jpg")</f>
        <v>https://pbs.twimg.com/media/FNlljOPXwAgSJPR.jpg</v>
      </c>
      <c r="V183" s="83" t="str">
        <f>HYPERLINK("https://pbs.twimg.com/media/FNlljOPXwAgSJPR.jpg")</f>
        <v>https://pbs.twimg.com/media/FNlljOPXwAgSJPR.jpg</v>
      </c>
      <c r="W183" s="82">
        <v>44631.750034722223</v>
      </c>
      <c r="X183" s="88">
        <v>44631</v>
      </c>
      <c r="Y183" s="85" t="s">
        <v>845</v>
      </c>
      <c r="Z183" s="83" t="str">
        <f>HYPERLINK("https://twitter.com/ubadmissions/status/1502343609005355015")</f>
        <v>https://twitter.com/ubadmissions/status/1502343609005355015</v>
      </c>
      <c r="AA183" s="80"/>
      <c r="AB183" s="80"/>
      <c r="AC183" s="85" t="s">
        <v>1294</v>
      </c>
      <c r="AD183" s="80"/>
      <c r="AE183" s="80" t="b">
        <v>0</v>
      </c>
      <c r="AF183" s="80">
        <v>3</v>
      </c>
      <c r="AG183" s="85" t="s">
        <v>1635</v>
      </c>
      <c r="AH183" s="80" t="b">
        <v>0</v>
      </c>
      <c r="AI183" s="80" t="s">
        <v>1642</v>
      </c>
      <c r="AJ183" s="80"/>
      <c r="AK183" s="85" t="s">
        <v>1635</v>
      </c>
      <c r="AL183" s="80" t="b">
        <v>0</v>
      </c>
      <c r="AM183" s="80">
        <v>0</v>
      </c>
      <c r="AN183" s="85" t="s">
        <v>1635</v>
      </c>
      <c r="AO183" s="85" t="s">
        <v>1679</v>
      </c>
      <c r="AP183" s="80" t="b">
        <v>0</v>
      </c>
      <c r="AQ183" s="85" t="s">
        <v>1294</v>
      </c>
      <c r="AR183" s="80" t="s">
        <v>179</v>
      </c>
      <c r="AS183" s="80">
        <v>0</v>
      </c>
      <c r="AT183" s="80">
        <v>0</v>
      </c>
      <c r="AU183" s="80"/>
      <c r="AV183" s="80"/>
      <c r="AW183" s="80"/>
      <c r="AX183" s="80"/>
      <c r="AY183" s="80"/>
      <c r="AZ183" s="80"/>
      <c r="BA183" s="80"/>
      <c r="BB183" s="80"/>
    </row>
    <row r="184" spans="1:54" x14ac:dyDescent="0.25">
      <c r="A184" s="65" t="s">
        <v>301</v>
      </c>
      <c r="B184" s="65" t="s">
        <v>301</v>
      </c>
      <c r="C184" s="66"/>
      <c r="D184" s="67"/>
      <c r="E184" s="68"/>
      <c r="F184" s="69"/>
      <c r="G184" s="66"/>
      <c r="H184" s="70"/>
      <c r="I184" s="71"/>
      <c r="J184" s="71"/>
      <c r="K184" s="36" t="s">
        <v>65</v>
      </c>
      <c r="L184" s="78">
        <v>184</v>
      </c>
      <c r="M184" s="78"/>
      <c r="N184" s="73"/>
      <c r="O184" s="80" t="s">
        <v>179</v>
      </c>
      <c r="P184" s="82">
        <v>44632.756736111114</v>
      </c>
      <c r="Q184" s="80" t="s">
        <v>499</v>
      </c>
      <c r="R184" s="83" t="str">
        <f>HYPERLINK("https://twitter.com/ubwomenshoops/status/1502707861029326854")</f>
        <v>https://twitter.com/ubwomenshoops/status/1502707861029326854</v>
      </c>
      <c r="S184" s="80" t="s">
        <v>633</v>
      </c>
      <c r="T184" s="85" t="s">
        <v>692</v>
      </c>
      <c r="U184" s="80"/>
      <c r="V184" s="83" t="str">
        <f>HYPERLINK("https://pbs.twimg.com/profile_images/1217528247266807810/N454u4A8_normal.jpg")</f>
        <v>https://pbs.twimg.com/profile_images/1217528247266807810/N454u4A8_normal.jpg</v>
      </c>
      <c r="W184" s="82">
        <v>44632.756736111114</v>
      </c>
      <c r="X184" s="88">
        <v>44632</v>
      </c>
      <c r="Y184" s="85" t="s">
        <v>846</v>
      </c>
      <c r="Z184" s="83" t="str">
        <f>HYPERLINK("https://twitter.com/ubadmissions/status/1502708425624596483")</f>
        <v>https://twitter.com/ubadmissions/status/1502708425624596483</v>
      </c>
      <c r="AA184" s="80"/>
      <c r="AB184" s="80"/>
      <c r="AC184" s="85" t="s">
        <v>1295</v>
      </c>
      <c r="AD184" s="80"/>
      <c r="AE184" s="80" t="b">
        <v>0</v>
      </c>
      <c r="AF184" s="80">
        <v>2</v>
      </c>
      <c r="AG184" s="85" t="s">
        <v>1635</v>
      </c>
      <c r="AH184" s="80" t="b">
        <v>1</v>
      </c>
      <c r="AI184" s="80" t="s">
        <v>1642</v>
      </c>
      <c r="AJ184" s="80"/>
      <c r="AK184" s="85" t="s">
        <v>1651</v>
      </c>
      <c r="AL184" s="80" t="b">
        <v>0</v>
      </c>
      <c r="AM184" s="80">
        <v>0</v>
      </c>
      <c r="AN184" s="85" t="s">
        <v>1635</v>
      </c>
      <c r="AO184" s="85" t="s">
        <v>1671</v>
      </c>
      <c r="AP184" s="80" t="b">
        <v>0</v>
      </c>
      <c r="AQ184" s="85" t="s">
        <v>1295</v>
      </c>
      <c r="AR184" s="80" t="s">
        <v>179</v>
      </c>
      <c r="AS184" s="80">
        <v>0</v>
      </c>
      <c r="AT184" s="80">
        <v>0</v>
      </c>
      <c r="AU184" s="80"/>
      <c r="AV184" s="80"/>
      <c r="AW184" s="80"/>
      <c r="AX184" s="80"/>
      <c r="AY184" s="80"/>
      <c r="AZ184" s="80"/>
      <c r="BA184" s="80"/>
      <c r="BB184" s="80"/>
    </row>
    <row r="185" spans="1:54" x14ac:dyDescent="0.25">
      <c r="A185" s="65" t="s">
        <v>302</v>
      </c>
      <c r="B185" s="65" t="s">
        <v>405</v>
      </c>
      <c r="C185" s="66"/>
      <c r="D185" s="67"/>
      <c r="E185" s="68"/>
      <c r="F185" s="69"/>
      <c r="G185" s="66"/>
      <c r="H185" s="70"/>
      <c r="I185" s="71"/>
      <c r="J185" s="71"/>
      <c r="K185" s="36" t="s">
        <v>65</v>
      </c>
      <c r="L185" s="78">
        <v>185</v>
      </c>
      <c r="M185" s="78"/>
      <c r="N185" s="73"/>
      <c r="O185" s="80" t="s">
        <v>414</v>
      </c>
      <c r="P185" s="82">
        <v>44632.759039351855</v>
      </c>
      <c r="Q185" s="80" t="s">
        <v>500</v>
      </c>
      <c r="R185" s="80"/>
      <c r="S185" s="80"/>
      <c r="T185" s="85" t="s">
        <v>697</v>
      </c>
      <c r="U185" s="80"/>
      <c r="V185" s="83" t="str">
        <f>HYPERLINK("https://pbs.twimg.com/profile_images/1301011136784068608/Xh94ZbrD_normal.jpg")</f>
        <v>https://pbs.twimg.com/profile_images/1301011136784068608/Xh94ZbrD_normal.jpg</v>
      </c>
      <c r="W185" s="82">
        <v>44632.759039351855</v>
      </c>
      <c r="X185" s="88">
        <v>44632</v>
      </c>
      <c r="Y185" s="85" t="s">
        <v>847</v>
      </c>
      <c r="Z185" s="83" t="str">
        <f>HYPERLINK("https://twitter.com/jsexton9/status/1502709260333068296")</f>
        <v>https://twitter.com/jsexton9/status/1502709260333068296</v>
      </c>
      <c r="AA185" s="80"/>
      <c r="AB185" s="80"/>
      <c r="AC185" s="85" t="s">
        <v>1296</v>
      </c>
      <c r="AD185" s="80"/>
      <c r="AE185" s="80" t="b">
        <v>0</v>
      </c>
      <c r="AF185" s="80">
        <v>0</v>
      </c>
      <c r="AG185" s="85" t="s">
        <v>1635</v>
      </c>
      <c r="AH185" s="80" t="b">
        <v>0</v>
      </c>
      <c r="AI185" s="80" t="s">
        <v>1642</v>
      </c>
      <c r="AJ185" s="80"/>
      <c r="AK185" s="85" t="s">
        <v>1635</v>
      </c>
      <c r="AL185" s="80" t="b">
        <v>0</v>
      </c>
      <c r="AM185" s="80">
        <v>7</v>
      </c>
      <c r="AN185" s="85" t="s">
        <v>1537</v>
      </c>
      <c r="AO185" s="85" t="s">
        <v>1672</v>
      </c>
      <c r="AP185" s="80" t="b">
        <v>0</v>
      </c>
      <c r="AQ185" s="85" t="s">
        <v>1537</v>
      </c>
      <c r="AR185" s="80" t="s">
        <v>179</v>
      </c>
      <c r="AS185" s="80">
        <v>0</v>
      </c>
      <c r="AT185" s="80">
        <v>0</v>
      </c>
      <c r="AU185" s="80"/>
      <c r="AV185" s="80"/>
      <c r="AW185" s="80"/>
      <c r="AX185" s="80"/>
      <c r="AY185" s="80"/>
      <c r="AZ185" s="80"/>
      <c r="BA185" s="80"/>
      <c r="BB185" s="80"/>
    </row>
    <row r="186" spans="1:54" x14ac:dyDescent="0.25">
      <c r="A186" s="65" t="s">
        <v>302</v>
      </c>
      <c r="B186" s="65" t="s">
        <v>402</v>
      </c>
      <c r="C186" s="66"/>
      <c r="D186" s="67"/>
      <c r="E186" s="68"/>
      <c r="F186" s="69"/>
      <c r="G186" s="66"/>
      <c r="H186" s="70"/>
      <c r="I186" s="71"/>
      <c r="J186" s="71"/>
      <c r="K186" s="36" t="s">
        <v>65</v>
      </c>
      <c r="L186" s="78">
        <v>186</v>
      </c>
      <c r="M186" s="78"/>
      <c r="N186" s="73"/>
      <c r="O186" s="80" t="s">
        <v>414</v>
      </c>
      <c r="P186" s="82">
        <v>44632.759039351855</v>
      </c>
      <c r="Q186" s="80" t="s">
        <v>500</v>
      </c>
      <c r="R186" s="80"/>
      <c r="S186" s="80"/>
      <c r="T186" s="85" t="s">
        <v>697</v>
      </c>
      <c r="U186" s="80"/>
      <c r="V186" s="83" t="str">
        <f>HYPERLINK("https://pbs.twimg.com/profile_images/1301011136784068608/Xh94ZbrD_normal.jpg")</f>
        <v>https://pbs.twimg.com/profile_images/1301011136784068608/Xh94ZbrD_normal.jpg</v>
      </c>
      <c r="W186" s="82">
        <v>44632.759039351855</v>
      </c>
      <c r="X186" s="88">
        <v>44632</v>
      </c>
      <c r="Y186" s="85" t="s">
        <v>847</v>
      </c>
      <c r="Z186" s="83" t="str">
        <f>HYPERLINK("https://twitter.com/jsexton9/status/1502709260333068296")</f>
        <v>https://twitter.com/jsexton9/status/1502709260333068296</v>
      </c>
      <c r="AA186" s="80"/>
      <c r="AB186" s="80"/>
      <c r="AC186" s="85" t="s">
        <v>1296</v>
      </c>
      <c r="AD186" s="80"/>
      <c r="AE186" s="80" t="b">
        <v>0</v>
      </c>
      <c r="AF186" s="80">
        <v>0</v>
      </c>
      <c r="AG186" s="85" t="s">
        <v>1635</v>
      </c>
      <c r="AH186" s="80" t="b">
        <v>0</v>
      </c>
      <c r="AI186" s="80" t="s">
        <v>1642</v>
      </c>
      <c r="AJ186" s="80"/>
      <c r="AK186" s="85" t="s">
        <v>1635</v>
      </c>
      <c r="AL186" s="80" t="b">
        <v>0</v>
      </c>
      <c r="AM186" s="80">
        <v>7</v>
      </c>
      <c r="AN186" s="85" t="s">
        <v>1537</v>
      </c>
      <c r="AO186" s="85" t="s">
        <v>1672</v>
      </c>
      <c r="AP186" s="80" t="b">
        <v>0</v>
      </c>
      <c r="AQ186" s="85" t="s">
        <v>1537</v>
      </c>
      <c r="AR186" s="80" t="s">
        <v>179</v>
      </c>
      <c r="AS186" s="80">
        <v>0</v>
      </c>
      <c r="AT186" s="80">
        <v>0</v>
      </c>
      <c r="AU186" s="80"/>
      <c r="AV186" s="80"/>
      <c r="AW186" s="80"/>
      <c r="AX186" s="80"/>
      <c r="AY186" s="80"/>
      <c r="AZ186" s="80"/>
      <c r="BA186" s="80"/>
      <c r="BB186" s="80"/>
    </row>
    <row r="187" spans="1:54" x14ac:dyDescent="0.25">
      <c r="A187" s="65" t="s">
        <v>302</v>
      </c>
      <c r="B187" s="65" t="s">
        <v>385</v>
      </c>
      <c r="C187" s="66"/>
      <c r="D187" s="67"/>
      <c r="E187" s="68"/>
      <c r="F187" s="69"/>
      <c r="G187" s="66"/>
      <c r="H187" s="70"/>
      <c r="I187" s="71"/>
      <c r="J187" s="71"/>
      <c r="K187" s="36" t="s">
        <v>65</v>
      </c>
      <c r="L187" s="78">
        <v>187</v>
      </c>
      <c r="M187" s="78"/>
      <c r="N187" s="73"/>
      <c r="O187" s="80" t="s">
        <v>414</v>
      </c>
      <c r="P187" s="82">
        <v>44632.759039351855</v>
      </c>
      <c r="Q187" s="80" t="s">
        <v>500</v>
      </c>
      <c r="R187" s="80"/>
      <c r="S187" s="80"/>
      <c r="T187" s="85" t="s">
        <v>697</v>
      </c>
      <c r="U187" s="80"/>
      <c r="V187" s="83" t="str">
        <f>HYPERLINK("https://pbs.twimg.com/profile_images/1301011136784068608/Xh94ZbrD_normal.jpg")</f>
        <v>https://pbs.twimg.com/profile_images/1301011136784068608/Xh94ZbrD_normal.jpg</v>
      </c>
      <c r="W187" s="82">
        <v>44632.759039351855</v>
      </c>
      <c r="X187" s="88">
        <v>44632</v>
      </c>
      <c r="Y187" s="85" t="s">
        <v>847</v>
      </c>
      <c r="Z187" s="83" t="str">
        <f>HYPERLINK("https://twitter.com/jsexton9/status/1502709260333068296")</f>
        <v>https://twitter.com/jsexton9/status/1502709260333068296</v>
      </c>
      <c r="AA187" s="80"/>
      <c r="AB187" s="80"/>
      <c r="AC187" s="85" t="s">
        <v>1296</v>
      </c>
      <c r="AD187" s="80"/>
      <c r="AE187" s="80" t="b">
        <v>0</v>
      </c>
      <c r="AF187" s="80">
        <v>0</v>
      </c>
      <c r="AG187" s="85" t="s">
        <v>1635</v>
      </c>
      <c r="AH187" s="80" t="b">
        <v>0</v>
      </c>
      <c r="AI187" s="80" t="s">
        <v>1642</v>
      </c>
      <c r="AJ187" s="80"/>
      <c r="AK187" s="85" t="s">
        <v>1635</v>
      </c>
      <c r="AL187" s="80" t="b">
        <v>0</v>
      </c>
      <c r="AM187" s="80">
        <v>7</v>
      </c>
      <c r="AN187" s="85" t="s">
        <v>1537</v>
      </c>
      <c r="AO187" s="85" t="s">
        <v>1672</v>
      </c>
      <c r="AP187" s="80" t="b">
        <v>0</v>
      </c>
      <c r="AQ187" s="85" t="s">
        <v>1537</v>
      </c>
      <c r="AR187" s="80" t="s">
        <v>179</v>
      </c>
      <c r="AS187" s="80">
        <v>0</v>
      </c>
      <c r="AT187" s="80">
        <v>0</v>
      </c>
      <c r="AU187" s="80"/>
      <c r="AV187" s="80"/>
      <c r="AW187" s="80"/>
      <c r="AX187" s="80"/>
      <c r="AY187" s="80"/>
      <c r="AZ187" s="80"/>
      <c r="BA187" s="80"/>
      <c r="BB187" s="80"/>
    </row>
    <row r="188" spans="1:54" x14ac:dyDescent="0.25">
      <c r="A188" s="65" t="s">
        <v>302</v>
      </c>
      <c r="B188" s="65" t="s">
        <v>372</v>
      </c>
      <c r="C188" s="66"/>
      <c r="D188" s="67"/>
      <c r="E188" s="68"/>
      <c r="F188" s="69"/>
      <c r="G188" s="66"/>
      <c r="H188" s="70"/>
      <c r="I188" s="71"/>
      <c r="J188" s="71"/>
      <c r="K188" s="36" t="s">
        <v>65</v>
      </c>
      <c r="L188" s="78">
        <v>188</v>
      </c>
      <c r="M188" s="78"/>
      <c r="N188" s="73"/>
      <c r="O188" s="80" t="s">
        <v>415</v>
      </c>
      <c r="P188" s="82">
        <v>44632.759039351855</v>
      </c>
      <c r="Q188" s="80" t="s">
        <v>500</v>
      </c>
      <c r="R188" s="80"/>
      <c r="S188" s="80"/>
      <c r="T188" s="85" t="s">
        <v>697</v>
      </c>
      <c r="U188" s="80"/>
      <c r="V188" s="83" t="str">
        <f>HYPERLINK("https://pbs.twimg.com/profile_images/1301011136784068608/Xh94ZbrD_normal.jpg")</f>
        <v>https://pbs.twimg.com/profile_images/1301011136784068608/Xh94ZbrD_normal.jpg</v>
      </c>
      <c r="W188" s="82">
        <v>44632.759039351855</v>
      </c>
      <c r="X188" s="88">
        <v>44632</v>
      </c>
      <c r="Y188" s="85" t="s">
        <v>847</v>
      </c>
      <c r="Z188" s="83" t="str">
        <f>HYPERLINK("https://twitter.com/jsexton9/status/1502709260333068296")</f>
        <v>https://twitter.com/jsexton9/status/1502709260333068296</v>
      </c>
      <c r="AA188" s="80"/>
      <c r="AB188" s="80"/>
      <c r="AC188" s="85" t="s">
        <v>1296</v>
      </c>
      <c r="AD188" s="80"/>
      <c r="AE188" s="80" t="b">
        <v>0</v>
      </c>
      <c r="AF188" s="80">
        <v>0</v>
      </c>
      <c r="AG188" s="85" t="s">
        <v>1635</v>
      </c>
      <c r="AH188" s="80" t="b">
        <v>0</v>
      </c>
      <c r="AI188" s="80" t="s">
        <v>1642</v>
      </c>
      <c r="AJ188" s="80"/>
      <c r="AK188" s="85" t="s">
        <v>1635</v>
      </c>
      <c r="AL188" s="80" t="b">
        <v>0</v>
      </c>
      <c r="AM188" s="80">
        <v>7</v>
      </c>
      <c r="AN188" s="85" t="s">
        <v>1537</v>
      </c>
      <c r="AO188" s="85" t="s">
        <v>1672</v>
      </c>
      <c r="AP188" s="80" t="b">
        <v>0</v>
      </c>
      <c r="AQ188" s="85" t="s">
        <v>1537</v>
      </c>
      <c r="AR188" s="80" t="s">
        <v>179</v>
      </c>
      <c r="AS188" s="80">
        <v>0</v>
      </c>
      <c r="AT188" s="80">
        <v>0</v>
      </c>
      <c r="AU188" s="80"/>
      <c r="AV188" s="80"/>
      <c r="AW188" s="80"/>
      <c r="AX188" s="80"/>
      <c r="AY188" s="80"/>
      <c r="AZ188" s="80"/>
      <c r="BA188" s="80"/>
      <c r="BB188" s="80"/>
    </row>
    <row r="189" spans="1:54" x14ac:dyDescent="0.25">
      <c r="A189" s="65" t="s">
        <v>303</v>
      </c>
      <c r="B189" s="65" t="s">
        <v>405</v>
      </c>
      <c r="C189" s="66"/>
      <c r="D189" s="67"/>
      <c r="E189" s="68"/>
      <c r="F189" s="69"/>
      <c r="G189" s="66"/>
      <c r="H189" s="70"/>
      <c r="I189" s="71"/>
      <c r="J189" s="71"/>
      <c r="K189" s="36" t="s">
        <v>65</v>
      </c>
      <c r="L189" s="78">
        <v>189</v>
      </c>
      <c r="M189" s="78"/>
      <c r="N189" s="73"/>
      <c r="O189" s="80" t="s">
        <v>414</v>
      </c>
      <c r="P189" s="82">
        <v>44632.763078703705</v>
      </c>
      <c r="Q189" s="80" t="s">
        <v>500</v>
      </c>
      <c r="R189" s="80"/>
      <c r="S189" s="80"/>
      <c r="T189" s="85" t="s">
        <v>697</v>
      </c>
      <c r="U189" s="80"/>
      <c r="V189" s="83" t="str">
        <f>HYPERLINK("https://pbs.twimg.com/profile_images/1484362841968709635/ExIaVCG7_normal.jpg")</f>
        <v>https://pbs.twimg.com/profile_images/1484362841968709635/ExIaVCG7_normal.jpg</v>
      </c>
      <c r="W189" s="82">
        <v>44632.763078703705</v>
      </c>
      <c r="X189" s="88">
        <v>44632</v>
      </c>
      <c r="Y189" s="85" t="s">
        <v>848</v>
      </c>
      <c r="Z189" s="83" t="str">
        <f>HYPERLINK("https://twitter.com/bronxbuddy/status/1502710725214707724")</f>
        <v>https://twitter.com/bronxbuddy/status/1502710725214707724</v>
      </c>
      <c r="AA189" s="80"/>
      <c r="AB189" s="80"/>
      <c r="AC189" s="85" t="s">
        <v>1297</v>
      </c>
      <c r="AD189" s="80"/>
      <c r="AE189" s="80" t="b">
        <v>0</v>
      </c>
      <c r="AF189" s="80">
        <v>0</v>
      </c>
      <c r="AG189" s="85" t="s">
        <v>1635</v>
      </c>
      <c r="AH189" s="80" t="b">
        <v>0</v>
      </c>
      <c r="AI189" s="80" t="s">
        <v>1642</v>
      </c>
      <c r="AJ189" s="80"/>
      <c r="AK189" s="85" t="s">
        <v>1635</v>
      </c>
      <c r="AL189" s="80" t="b">
        <v>0</v>
      </c>
      <c r="AM189" s="80">
        <v>7</v>
      </c>
      <c r="AN189" s="85" t="s">
        <v>1537</v>
      </c>
      <c r="AO189" s="85" t="s">
        <v>1678</v>
      </c>
      <c r="AP189" s="80" t="b">
        <v>0</v>
      </c>
      <c r="AQ189" s="85" t="s">
        <v>1537</v>
      </c>
      <c r="AR189" s="80" t="s">
        <v>179</v>
      </c>
      <c r="AS189" s="80">
        <v>0</v>
      </c>
      <c r="AT189" s="80">
        <v>0</v>
      </c>
      <c r="AU189" s="80"/>
      <c r="AV189" s="80"/>
      <c r="AW189" s="80"/>
      <c r="AX189" s="80"/>
      <c r="AY189" s="80"/>
      <c r="AZ189" s="80"/>
      <c r="BA189" s="80"/>
      <c r="BB189" s="80"/>
    </row>
    <row r="190" spans="1:54" x14ac:dyDescent="0.25">
      <c r="A190" s="65" t="s">
        <v>303</v>
      </c>
      <c r="B190" s="65" t="s">
        <v>402</v>
      </c>
      <c r="C190" s="66"/>
      <c r="D190" s="67"/>
      <c r="E190" s="68"/>
      <c r="F190" s="69"/>
      <c r="G190" s="66"/>
      <c r="H190" s="70"/>
      <c r="I190" s="71"/>
      <c r="J190" s="71"/>
      <c r="K190" s="36" t="s">
        <v>65</v>
      </c>
      <c r="L190" s="78">
        <v>190</v>
      </c>
      <c r="M190" s="78"/>
      <c r="N190" s="73"/>
      <c r="O190" s="80" t="s">
        <v>414</v>
      </c>
      <c r="P190" s="82">
        <v>44632.763078703705</v>
      </c>
      <c r="Q190" s="80" t="s">
        <v>500</v>
      </c>
      <c r="R190" s="80"/>
      <c r="S190" s="80"/>
      <c r="T190" s="85" t="s">
        <v>697</v>
      </c>
      <c r="U190" s="80"/>
      <c r="V190" s="83" t="str">
        <f>HYPERLINK("https://pbs.twimg.com/profile_images/1484362841968709635/ExIaVCG7_normal.jpg")</f>
        <v>https://pbs.twimg.com/profile_images/1484362841968709635/ExIaVCG7_normal.jpg</v>
      </c>
      <c r="W190" s="82">
        <v>44632.763078703705</v>
      </c>
      <c r="X190" s="88">
        <v>44632</v>
      </c>
      <c r="Y190" s="85" t="s">
        <v>848</v>
      </c>
      <c r="Z190" s="83" t="str">
        <f>HYPERLINK("https://twitter.com/bronxbuddy/status/1502710725214707724")</f>
        <v>https://twitter.com/bronxbuddy/status/1502710725214707724</v>
      </c>
      <c r="AA190" s="80"/>
      <c r="AB190" s="80"/>
      <c r="AC190" s="85" t="s">
        <v>1297</v>
      </c>
      <c r="AD190" s="80"/>
      <c r="AE190" s="80" t="b">
        <v>0</v>
      </c>
      <c r="AF190" s="80">
        <v>0</v>
      </c>
      <c r="AG190" s="85" t="s">
        <v>1635</v>
      </c>
      <c r="AH190" s="80" t="b">
        <v>0</v>
      </c>
      <c r="AI190" s="80" t="s">
        <v>1642</v>
      </c>
      <c r="AJ190" s="80"/>
      <c r="AK190" s="85" t="s">
        <v>1635</v>
      </c>
      <c r="AL190" s="80" t="b">
        <v>0</v>
      </c>
      <c r="AM190" s="80">
        <v>7</v>
      </c>
      <c r="AN190" s="85" t="s">
        <v>1537</v>
      </c>
      <c r="AO190" s="85" t="s">
        <v>1678</v>
      </c>
      <c r="AP190" s="80" t="b">
        <v>0</v>
      </c>
      <c r="AQ190" s="85" t="s">
        <v>1537</v>
      </c>
      <c r="AR190" s="80" t="s">
        <v>179</v>
      </c>
      <c r="AS190" s="80">
        <v>0</v>
      </c>
      <c r="AT190" s="80">
        <v>0</v>
      </c>
      <c r="AU190" s="80"/>
      <c r="AV190" s="80"/>
      <c r="AW190" s="80"/>
      <c r="AX190" s="80"/>
      <c r="AY190" s="80"/>
      <c r="AZ190" s="80"/>
      <c r="BA190" s="80"/>
      <c r="BB190" s="80"/>
    </row>
    <row r="191" spans="1:54" x14ac:dyDescent="0.25">
      <c r="A191" s="65" t="s">
        <v>303</v>
      </c>
      <c r="B191" s="65" t="s">
        <v>385</v>
      </c>
      <c r="C191" s="66"/>
      <c r="D191" s="67"/>
      <c r="E191" s="68"/>
      <c r="F191" s="69"/>
      <c r="G191" s="66"/>
      <c r="H191" s="70"/>
      <c r="I191" s="71"/>
      <c r="J191" s="71"/>
      <c r="K191" s="36" t="s">
        <v>65</v>
      </c>
      <c r="L191" s="78">
        <v>191</v>
      </c>
      <c r="M191" s="78"/>
      <c r="N191" s="73"/>
      <c r="O191" s="80" t="s">
        <v>414</v>
      </c>
      <c r="P191" s="82">
        <v>44632.763078703705</v>
      </c>
      <c r="Q191" s="80" t="s">
        <v>500</v>
      </c>
      <c r="R191" s="80"/>
      <c r="S191" s="80"/>
      <c r="T191" s="85" t="s">
        <v>697</v>
      </c>
      <c r="U191" s="80"/>
      <c r="V191" s="83" t="str">
        <f>HYPERLINK("https://pbs.twimg.com/profile_images/1484362841968709635/ExIaVCG7_normal.jpg")</f>
        <v>https://pbs.twimg.com/profile_images/1484362841968709635/ExIaVCG7_normal.jpg</v>
      </c>
      <c r="W191" s="82">
        <v>44632.763078703705</v>
      </c>
      <c r="X191" s="88">
        <v>44632</v>
      </c>
      <c r="Y191" s="85" t="s">
        <v>848</v>
      </c>
      <c r="Z191" s="83" t="str">
        <f>HYPERLINK("https://twitter.com/bronxbuddy/status/1502710725214707724")</f>
        <v>https://twitter.com/bronxbuddy/status/1502710725214707724</v>
      </c>
      <c r="AA191" s="80"/>
      <c r="AB191" s="80"/>
      <c r="AC191" s="85" t="s">
        <v>1297</v>
      </c>
      <c r="AD191" s="80"/>
      <c r="AE191" s="80" t="b">
        <v>0</v>
      </c>
      <c r="AF191" s="80">
        <v>0</v>
      </c>
      <c r="AG191" s="85" t="s">
        <v>1635</v>
      </c>
      <c r="AH191" s="80" t="b">
        <v>0</v>
      </c>
      <c r="AI191" s="80" t="s">
        <v>1642</v>
      </c>
      <c r="AJ191" s="80"/>
      <c r="AK191" s="85" t="s">
        <v>1635</v>
      </c>
      <c r="AL191" s="80" t="b">
        <v>0</v>
      </c>
      <c r="AM191" s="80">
        <v>7</v>
      </c>
      <c r="AN191" s="85" t="s">
        <v>1537</v>
      </c>
      <c r="AO191" s="85" t="s">
        <v>1678</v>
      </c>
      <c r="AP191" s="80" t="b">
        <v>0</v>
      </c>
      <c r="AQ191" s="85" t="s">
        <v>1537</v>
      </c>
      <c r="AR191" s="80" t="s">
        <v>179</v>
      </c>
      <c r="AS191" s="80">
        <v>0</v>
      </c>
      <c r="AT191" s="80">
        <v>0</v>
      </c>
      <c r="AU191" s="80"/>
      <c r="AV191" s="80"/>
      <c r="AW191" s="80"/>
      <c r="AX191" s="80"/>
      <c r="AY191" s="80"/>
      <c r="AZ191" s="80"/>
      <c r="BA191" s="80"/>
      <c r="BB191" s="80"/>
    </row>
    <row r="192" spans="1:54" x14ac:dyDescent="0.25">
      <c r="A192" s="65" t="s">
        <v>303</v>
      </c>
      <c r="B192" s="65" t="s">
        <v>372</v>
      </c>
      <c r="C192" s="66"/>
      <c r="D192" s="67"/>
      <c r="E192" s="68"/>
      <c r="F192" s="69"/>
      <c r="G192" s="66"/>
      <c r="H192" s="70"/>
      <c r="I192" s="71"/>
      <c r="J192" s="71"/>
      <c r="K192" s="36" t="s">
        <v>65</v>
      </c>
      <c r="L192" s="78">
        <v>192</v>
      </c>
      <c r="M192" s="78"/>
      <c r="N192" s="73"/>
      <c r="O192" s="80" t="s">
        <v>415</v>
      </c>
      <c r="P192" s="82">
        <v>44632.763078703705</v>
      </c>
      <c r="Q192" s="80" t="s">
        <v>500</v>
      </c>
      <c r="R192" s="80"/>
      <c r="S192" s="80"/>
      <c r="T192" s="85" t="s">
        <v>697</v>
      </c>
      <c r="U192" s="80"/>
      <c r="V192" s="83" t="str">
        <f>HYPERLINK("https://pbs.twimg.com/profile_images/1484362841968709635/ExIaVCG7_normal.jpg")</f>
        <v>https://pbs.twimg.com/profile_images/1484362841968709635/ExIaVCG7_normal.jpg</v>
      </c>
      <c r="W192" s="82">
        <v>44632.763078703705</v>
      </c>
      <c r="X192" s="88">
        <v>44632</v>
      </c>
      <c r="Y192" s="85" t="s">
        <v>848</v>
      </c>
      <c r="Z192" s="83" t="str">
        <f>HYPERLINK("https://twitter.com/bronxbuddy/status/1502710725214707724")</f>
        <v>https://twitter.com/bronxbuddy/status/1502710725214707724</v>
      </c>
      <c r="AA192" s="80"/>
      <c r="AB192" s="80"/>
      <c r="AC192" s="85" t="s">
        <v>1297</v>
      </c>
      <c r="AD192" s="80"/>
      <c r="AE192" s="80" t="b">
        <v>0</v>
      </c>
      <c r="AF192" s="80">
        <v>0</v>
      </c>
      <c r="AG192" s="85" t="s">
        <v>1635</v>
      </c>
      <c r="AH192" s="80" t="b">
        <v>0</v>
      </c>
      <c r="AI192" s="80" t="s">
        <v>1642</v>
      </c>
      <c r="AJ192" s="80"/>
      <c r="AK192" s="85" t="s">
        <v>1635</v>
      </c>
      <c r="AL192" s="80" t="b">
        <v>0</v>
      </c>
      <c r="AM192" s="80">
        <v>7</v>
      </c>
      <c r="AN192" s="85" t="s">
        <v>1537</v>
      </c>
      <c r="AO192" s="85" t="s">
        <v>1678</v>
      </c>
      <c r="AP192" s="80" t="b">
        <v>0</v>
      </c>
      <c r="AQ192" s="85" t="s">
        <v>1537</v>
      </c>
      <c r="AR192" s="80" t="s">
        <v>179</v>
      </c>
      <c r="AS192" s="80">
        <v>0</v>
      </c>
      <c r="AT192" s="80">
        <v>0</v>
      </c>
      <c r="AU192" s="80"/>
      <c r="AV192" s="80"/>
      <c r="AW192" s="80"/>
      <c r="AX192" s="80"/>
      <c r="AY192" s="80"/>
      <c r="AZ192" s="80"/>
      <c r="BA192" s="80"/>
      <c r="BB192" s="80"/>
    </row>
    <row r="193" spans="1:54" x14ac:dyDescent="0.25">
      <c r="A193" s="65" t="s">
        <v>284</v>
      </c>
      <c r="B193" s="65" t="s">
        <v>396</v>
      </c>
      <c r="C193" s="66"/>
      <c r="D193" s="67"/>
      <c r="E193" s="68"/>
      <c r="F193" s="69"/>
      <c r="G193" s="66"/>
      <c r="H193" s="70"/>
      <c r="I193" s="71"/>
      <c r="J193" s="71"/>
      <c r="K193" s="36" t="s">
        <v>65</v>
      </c>
      <c r="L193" s="78">
        <v>193</v>
      </c>
      <c r="M193" s="78"/>
      <c r="N193" s="73"/>
      <c r="O193" s="80" t="s">
        <v>416</v>
      </c>
      <c r="P193" s="82">
        <v>44627.563391203701</v>
      </c>
      <c r="Q193" s="80" t="s">
        <v>501</v>
      </c>
      <c r="R193" s="83" t="str">
        <f>HYPERLINK("https://sunycpd.eventsair.com/bsdc22/session-2")</f>
        <v>https://sunycpd.eventsair.com/bsdc22/session-2</v>
      </c>
      <c r="S193" s="80" t="s">
        <v>651</v>
      </c>
      <c r="T193" s="85" t="s">
        <v>690</v>
      </c>
      <c r="U193" s="83" t="str">
        <f>HYPERLINK("https://pbs.twimg.com/media/FNQBYwCXwAQ70SN.jpg")</f>
        <v>https://pbs.twimg.com/media/FNQBYwCXwAQ70SN.jpg</v>
      </c>
      <c r="V193" s="83" t="str">
        <f>HYPERLINK("https://pbs.twimg.com/media/FNQBYwCXwAQ70SN.jpg")</f>
        <v>https://pbs.twimg.com/media/FNQBYwCXwAQ70SN.jpg</v>
      </c>
      <c r="W193" s="82">
        <v>44627.563391203701</v>
      </c>
      <c r="X193" s="88">
        <v>44627</v>
      </c>
      <c r="Y193" s="85" t="s">
        <v>849</v>
      </c>
      <c r="Z193" s="83" t="str">
        <f>HYPERLINK("https://twitter.com/ubschoolofmgt/status/1500826420674801669")</f>
        <v>https://twitter.com/ubschoolofmgt/status/1500826420674801669</v>
      </c>
      <c r="AA193" s="80"/>
      <c r="AB193" s="80"/>
      <c r="AC193" s="85" t="s">
        <v>1298</v>
      </c>
      <c r="AD193" s="80"/>
      <c r="AE193" s="80" t="b">
        <v>0</v>
      </c>
      <c r="AF193" s="80">
        <v>1</v>
      </c>
      <c r="AG193" s="85" t="s">
        <v>1635</v>
      </c>
      <c r="AH193" s="80" t="b">
        <v>0</v>
      </c>
      <c r="AI193" s="80" t="s">
        <v>1642</v>
      </c>
      <c r="AJ193" s="80"/>
      <c r="AK193" s="85" t="s">
        <v>1635</v>
      </c>
      <c r="AL193" s="80" t="b">
        <v>0</v>
      </c>
      <c r="AM193" s="80">
        <v>0</v>
      </c>
      <c r="AN193" s="85" t="s">
        <v>1635</v>
      </c>
      <c r="AO193" s="85" t="s">
        <v>1672</v>
      </c>
      <c r="AP193" s="80" t="b">
        <v>0</v>
      </c>
      <c r="AQ193" s="85" t="s">
        <v>1298</v>
      </c>
      <c r="AR193" s="80" t="s">
        <v>179</v>
      </c>
      <c r="AS193" s="80">
        <v>0</v>
      </c>
      <c r="AT193" s="80">
        <v>0</v>
      </c>
      <c r="AU193" s="80"/>
      <c r="AV193" s="80"/>
      <c r="AW193" s="80"/>
      <c r="AX193" s="80"/>
      <c r="AY193" s="80"/>
      <c r="AZ193" s="80"/>
      <c r="BA193" s="80"/>
      <c r="BB193" s="80"/>
    </row>
    <row r="194" spans="1:54" x14ac:dyDescent="0.25">
      <c r="A194" s="65" t="s">
        <v>304</v>
      </c>
      <c r="B194" s="65" t="s">
        <v>396</v>
      </c>
      <c r="C194" s="66"/>
      <c r="D194" s="67"/>
      <c r="E194" s="68"/>
      <c r="F194" s="69"/>
      <c r="G194" s="66"/>
      <c r="H194" s="70"/>
      <c r="I194" s="71"/>
      <c r="J194" s="71"/>
      <c r="K194" s="36" t="s">
        <v>65</v>
      </c>
      <c r="L194" s="78">
        <v>194</v>
      </c>
      <c r="M194" s="78"/>
      <c r="N194" s="73"/>
      <c r="O194" s="80" t="s">
        <v>416</v>
      </c>
      <c r="P194" s="82">
        <v>44621.709837962961</v>
      </c>
      <c r="Q194" s="80" t="s">
        <v>463</v>
      </c>
      <c r="R194" s="83" t="str">
        <f>HYPERLINK("https://engineering.buffalo.edu/home/news/seas.host.html/content/shared/engineering/home/articles/news-articles/2022/three-seas-students-receive-suny-great-awards.detail.html")</f>
        <v>https://engineering.buffalo.edu/home/news/seas.host.html/content/shared/engineering/home/articles/news-articles/2022/three-seas-students-receive-suny-great-awards.detail.html</v>
      </c>
      <c r="S194" s="80" t="s">
        <v>632</v>
      </c>
      <c r="T194" s="85" t="s">
        <v>357</v>
      </c>
      <c r="U194" s="83" t="str">
        <f>HYPERLINK("https://pbs.twimg.com/media/FMx4ZUNXIAsJZx0.jpg")</f>
        <v>https://pbs.twimg.com/media/FMx4ZUNXIAsJZx0.jpg</v>
      </c>
      <c r="V194" s="83" t="str">
        <f>HYPERLINK("https://pbs.twimg.com/media/FMx4ZUNXIAsJZx0.jpg")</f>
        <v>https://pbs.twimg.com/media/FMx4ZUNXIAsJZx0.jpg</v>
      </c>
      <c r="W194" s="82">
        <v>44621.709837962961</v>
      </c>
      <c r="X194" s="88">
        <v>44621</v>
      </c>
      <c r="Y194" s="85" t="s">
        <v>850</v>
      </c>
      <c r="Z194" s="83" t="str">
        <f>HYPERLINK("https://twitter.com/ubengineering/status/1498705165825855490")</f>
        <v>https://twitter.com/ubengineering/status/1498705165825855490</v>
      </c>
      <c r="AA194" s="80"/>
      <c r="AB194" s="80"/>
      <c r="AC194" s="85" t="s">
        <v>1299</v>
      </c>
      <c r="AD194" s="80"/>
      <c r="AE194" s="80" t="b">
        <v>0</v>
      </c>
      <c r="AF194" s="80">
        <v>3</v>
      </c>
      <c r="AG194" s="85" t="s">
        <v>1635</v>
      </c>
      <c r="AH194" s="80" t="b">
        <v>0</v>
      </c>
      <c r="AI194" s="80" t="s">
        <v>1642</v>
      </c>
      <c r="AJ194" s="80"/>
      <c r="AK194" s="85" t="s">
        <v>1635</v>
      </c>
      <c r="AL194" s="80" t="b">
        <v>0</v>
      </c>
      <c r="AM194" s="80">
        <v>2</v>
      </c>
      <c r="AN194" s="85" t="s">
        <v>1635</v>
      </c>
      <c r="AO194" s="85" t="s">
        <v>1672</v>
      </c>
      <c r="AP194" s="80" t="b">
        <v>0</v>
      </c>
      <c r="AQ194" s="85" t="s">
        <v>1299</v>
      </c>
      <c r="AR194" s="80" t="s">
        <v>415</v>
      </c>
      <c r="AS194" s="80">
        <v>0</v>
      </c>
      <c r="AT194" s="80">
        <v>0</v>
      </c>
      <c r="AU194" s="80"/>
      <c r="AV194" s="80"/>
      <c r="AW194" s="80"/>
      <c r="AX194" s="80"/>
      <c r="AY194" s="80"/>
      <c r="AZ194" s="80"/>
      <c r="BA194" s="80"/>
      <c r="BB194" s="80"/>
    </row>
    <row r="195" spans="1:54" x14ac:dyDescent="0.25">
      <c r="A195" s="65" t="s">
        <v>267</v>
      </c>
      <c r="B195" s="65" t="s">
        <v>304</v>
      </c>
      <c r="C195" s="66"/>
      <c r="D195" s="67"/>
      <c r="E195" s="68"/>
      <c r="F195" s="69"/>
      <c r="G195" s="66"/>
      <c r="H195" s="70"/>
      <c r="I195" s="71"/>
      <c r="J195" s="71"/>
      <c r="K195" s="36" t="s">
        <v>66</v>
      </c>
      <c r="L195" s="78">
        <v>195</v>
      </c>
      <c r="M195" s="78"/>
      <c r="N195" s="73"/>
      <c r="O195" s="80" t="s">
        <v>416</v>
      </c>
      <c r="P195" s="82">
        <v>44627.781111111108</v>
      </c>
      <c r="Q195" s="80" t="s">
        <v>464</v>
      </c>
      <c r="R195" s="83" t="str">
        <f>HYPERLINK("https://www.buffalo.edu/baldycenter/multimedia/blog/21-22-posts.html#Joe-Atkinson")</f>
        <v>https://www.buffalo.edu/baldycenter/multimedia/blog/21-22-posts.html#Joe-Atkinson</v>
      </c>
      <c r="S195" s="80" t="s">
        <v>632</v>
      </c>
      <c r="T195" s="85" t="s">
        <v>357</v>
      </c>
      <c r="U195" s="80"/>
      <c r="V195" s="83" t="str">
        <f>HYPERLINK("https://pbs.twimg.com/profile_images/1494773082208321536/hjo98llr_normal.jpg")</f>
        <v>https://pbs.twimg.com/profile_images/1494773082208321536/hjo98llr_normal.jpg</v>
      </c>
      <c r="W195" s="82">
        <v>44627.781111111108</v>
      </c>
      <c r="X195" s="88">
        <v>44627</v>
      </c>
      <c r="Y195" s="85" t="s">
        <v>851</v>
      </c>
      <c r="Z195" s="83" t="str">
        <f>HYPERLINK("https://twitter.com/baldycenter/status/1500905320616452097")</f>
        <v>https://twitter.com/baldycenter/status/1500905320616452097</v>
      </c>
      <c r="AA195" s="80"/>
      <c r="AB195" s="80"/>
      <c r="AC195" s="85" t="s">
        <v>1300</v>
      </c>
      <c r="AD195" s="80"/>
      <c r="AE195" s="80" t="b">
        <v>0</v>
      </c>
      <c r="AF195" s="80">
        <v>4</v>
      </c>
      <c r="AG195" s="85" t="s">
        <v>1635</v>
      </c>
      <c r="AH195" s="80" t="b">
        <v>0</v>
      </c>
      <c r="AI195" s="80" t="s">
        <v>1642</v>
      </c>
      <c r="AJ195" s="80"/>
      <c r="AK195" s="85" t="s">
        <v>1635</v>
      </c>
      <c r="AL195" s="80" t="b">
        <v>0</v>
      </c>
      <c r="AM195" s="80">
        <v>2</v>
      </c>
      <c r="AN195" s="85" t="s">
        <v>1635</v>
      </c>
      <c r="AO195" s="85" t="s">
        <v>1671</v>
      </c>
      <c r="AP195" s="80" t="b">
        <v>0</v>
      </c>
      <c r="AQ195" s="85" t="s">
        <v>1300</v>
      </c>
      <c r="AR195" s="80" t="s">
        <v>179</v>
      </c>
      <c r="AS195" s="80">
        <v>0</v>
      </c>
      <c r="AT195" s="80">
        <v>0</v>
      </c>
      <c r="AU195" s="80"/>
      <c r="AV195" s="80"/>
      <c r="AW195" s="80"/>
      <c r="AX195" s="80"/>
      <c r="AY195" s="80"/>
      <c r="AZ195" s="80"/>
      <c r="BA195" s="80"/>
      <c r="BB195" s="80"/>
    </row>
    <row r="196" spans="1:54" x14ac:dyDescent="0.25">
      <c r="A196" s="65" t="s">
        <v>304</v>
      </c>
      <c r="B196" s="65" t="s">
        <v>267</v>
      </c>
      <c r="C196" s="66"/>
      <c r="D196" s="67"/>
      <c r="E196" s="68"/>
      <c r="F196" s="69"/>
      <c r="G196" s="66"/>
      <c r="H196" s="70"/>
      <c r="I196" s="71"/>
      <c r="J196" s="71"/>
      <c r="K196" s="36" t="s">
        <v>66</v>
      </c>
      <c r="L196" s="78">
        <v>196</v>
      </c>
      <c r="M196" s="78"/>
      <c r="N196" s="73"/>
      <c r="O196" s="80" t="s">
        <v>415</v>
      </c>
      <c r="P196" s="82">
        <v>44629.576898148145</v>
      </c>
      <c r="Q196" s="80" t="s">
        <v>464</v>
      </c>
      <c r="R196" s="83" t="str">
        <f>HYPERLINK("https://www.buffalo.edu/baldycenter/multimedia/blog/21-22-posts.html#Joe-Atkinson")</f>
        <v>https://www.buffalo.edu/baldycenter/multimedia/blog/21-22-posts.html#Joe-Atkinson</v>
      </c>
      <c r="S196" s="80" t="s">
        <v>632</v>
      </c>
      <c r="T196" s="85" t="s">
        <v>357</v>
      </c>
      <c r="U196" s="80"/>
      <c r="V196" s="83" t="str">
        <f>HYPERLINK("https://pbs.twimg.com/profile_images/1272985762523471872/3YZZE5LD_normal.jpg")</f>
        <v>https://pbs.twimg.com/profile_images/1272985762523471872/3YZZE5LD_normal.jpg</v>
      </c>
      <c r="W196" s="82">
        <v>44629.576898148145</v>
      </c>
      <c r="X196" s="88">
        <v>44629</v>
      </c>
      <c r="Y196" s="85" t="s">
        <v>852</v>
      </c>
      <c r="Z196" s="83" t="str">
        <f>HYPERLINK("https://twitter.com/ubengineering/status/1501556091611762690")</f>
        <v>https://twitter.com/ubengineering/status/1501556091611762690</v>
      </c>
      <c r="AA196" s="80"/>
      <c r="AB196" s="80"/>
      <c r="AC196" s="85" t="s">
        <v>1301</v>
      </c>
      <c r="AD196" s="80"/>
      <c r="AE196" s="80" t="b">
        <v>0</v>
      </c>
      <c r="AF196" s="80">
        <v>0</v>
      </c>
      <c r="AG196" s="85" t="s">
        <v>1635</v>
      </c>
      <c r="AH196" s="80" t="b">
        <v>0</v>
      </c>
      <c r="AI196" s="80" t="s">
        <v>1642</v>
      </c>
      <c r="AJ196" s="80"/>
      <c r="AK196" s="85" t="s">
        <v>1635</v>
      </c>
      <c r="AL196" s="80" t="b">
        <v>0</v>
      </c>
      <c r="AM196" s="80">
        <v>2</v>
      </c>
      <c r="AN196" s="85" t="s">
        <v>1300</v>
      </c>
      <c r="AO196" s="85" t="s">
        <v>1672</v>
      </c>
      <c r="AP196" s="80" t="b">
        <v>0</v>
      </c>
      <c r="AQ196" s="85" t="s">
        <v>1300</v>
      </c>
      <c r="AR196" s="80" t="s">
        <v>179</v>
      </c>
      <c r="AS196" s="80">
        <v>0</v>
      </c>
      <c r="AT196" s="80">
        <v>0</v>
      </c>
      <c r="AU196" s="80"/>
      <c r="AV196" s="80"/>
      <c r="AW196" s="80"/>
      <c r="AX196" s="80"/>
      <c r="AY196" s="80"/>
      <c r="AZ196" s="80"/>
      <c r="BA196" s="80"/>
      <c r="BB196" s="80"/>
    </row>
    <row r="197" spans="1:54" x14ac:dyDescent="0.25">
      <c r="A197" s="65" t="s">
        <v>305</v>
      </c>
      <c r="B197" s="65" t="s">
        <v>385</v>
      </c>
      <c r="C197" s="66"/>
      <c r="D197" s="67"/>
      <c r="E197" s="68"/>
      <c r="F197" s="69"/>
      <c r="G197" s="66"/>
      <c r="H197" s="70"/>
      <c r="I197" s="71"/>
      <c r="J197" s="71"/>
      <c r="K197" s="36" t="s">
        <v>65</v>
      </c>
      <c r="L197" s="78">
        <v>197</v>
      </c>
      <c r="M197" s="78"/>
      <c r="N197" s="73"/>
      <c r="O197" s="80" t="s">
        <v>414</v>
      </c>
      <c r="P197" s="82">
        <v>44632.78806712963</v>
      </c>
      <c r="Q197" s="80" t="s">
        <v>502</v>
      </c>
      <c r="R197" s="83" t="str">
        <f>HYPERLINK("https://twitter.com/UBAthletics/status/1502708562472148997")</f>
        <v>https://twitter.com/UBAthletics/status/1502708562472148997</v>
      </c>
      <c r="S197" s="80" t="s">
        <v>633</v>
      </c>
      <c r="T197" s="85" t="s">
        <v>698</v>
      </c>
      <c r="U197" s="80"/>
      <c r="V197" s="83" t="str">
        <f>HYPERLINK("https://pbs.twimg.com/profile_images/1453489963383861248/rqlE9DoN_normal.jpg")</f>
        <v>https://pbs.twimg.com/profile_images/1453489963383861248/rqlE9DoN_normal.jpg</v>
      </c>
      <c r="W197" s="82">
        <v>44632.78806712963</v>
      </c>
      <c r="X197" s="88">
        <v>44632</v>
      </c>
      <c r="Y197" s="85" t="s">
        <v>853</v>
      </c>
      <c r="Z197" s="83" t="str">
        <f>HYPERLINK("https://twitter.com/jesuslife12/status/1502719778481389572")</f>
        <v>https://twitter.com/jesuslife12/status/1502719778481389572</v>
      </c>
      <c r="AA197" s="80"/>
      <c r="AB197" s="80"/>
      <c r="AC197" s="85" t="s">
        <v>1302</v>
      </c>
      <c r="AD197" s="80"/>
      <c r="AE197" s="80" t="b">
        <v>0</v>
      </c>
      <c r="AF197" s="80">
        <v>0</v>
      </c>
      <c r="AG197" s="85" t="s">
        <v>1635</v>
      </c>
      <c r="AH197" s="80" t="b">
        <v>1</v>
      </c>
      <c r="AI197" s="80" t="s">
        <v>1642</v>
      </c>
      <c r="AJ197" s="80"/>
      <c r="AK197" s="85" t="s">
        <v>1652</v>
      </c>
      <c r="AL197" s="80" t="b">
        <v>0</v>
      </c>
      <c r="AM197" s="80">
        <v>8</v>
      </c>
      <c r="AN197" s="85" t="s">
        <v>1581</v>
      </c>
      <c r="AO197" s="85" t="s">
        <v>1672</v>
      </c>
      <c r="AP197" s="80" t="b">
        <v>0</v>
      </c>
      <c r="AQ197" s="85" t="s">
        <v>1581</v>
      </c>
      <c r="AR197" s="80" t="s">
        <v>179</v>
      </c>
      <c r="AS197" s="80">
        <v>0</v>
      </c>
      <c r="AT197" s="80">
        <v>0</v>
      </c>
      <c r="AU197" s="80"/>
      <c r="AV197" s="80"/>
      <c r="AW197" s="80"/>
      <c r="AX197" s="80"/>
      <c r="AY197" s="80"/>
      <c r="AZ197" s="80"/>
      <c r="BA197" s="80"/>
      <c r="BB197" s="80"/>
    </row>
    <row r="198" spans="1:54" x14ac:dyDescent="0.25">
      <c r="A198" s="65" t="s">
        <v>305</v>
      </c>
      <c r="B198" s="65" t="s">
        <v>357</v>
      </c>
      <c r="C198" s="66"/>
      <c r="D198" s="67"/>
      <c r="E198" s="68"/>
      <c r="F198" s="69"/>
      <c r="G198" s="66"/>
      <c r="H198" s="70"/>
      <c r="I198" s="71"/>
      <c r="J198" s="71"/>
      <c r="K198" s="36" t="s">
        <v>65</v>
      </c>
      <c r="L198" s="78">
        <v>198</v>
      </c>
      <c r="M198" s="78"/>
      <c r="N198" s="73"/>
      <c r="O198" s="80" t="s">
        <v>415</v>
      </c>
      <c r="P198" s="82">
        <v>44632.78806712963</v>
      </c>
      <c r="Q198" s="80" t="s">
        <v>502</v>
      </c>
      <c r="R198" s="83" t="str">
        <f>HYPERLINK("https://twitter.com/UBAthletics/status/1502708562472148997")</f>
        <v>https://twitter.com/UBAthletics/status/1502708562472148997</v>
      </c>
      <c r="S198" s="80" t="s">
        <v>633</v>
      </c>
      <c r="T198" s="85" t="s">
        <v>698</v>
      </c>
      <c r="U198" s="80"/>
      <c r="V198" s="83" t="str">
        <f>HYPERLINK("https://pbs.twimg.com/profile_images/1453489963383861248/rqlE9DoN_normal.jpg")</f>
        <v>https://pbs.twimg.com/profile_images/1453489963383861248/rqlE9DoN_normal.jpg</v>
      </c>
      <c r="W198" s="82">
        <v>44632.78806712963</v>
      </c>
      <c r="X198" s="88">
        <v>44632</v>
      </c>
      <c r="Y198" s="85" t="s">
        <v>853</v>
      </c>
      <c r="Z198" s="83" t="str">
        <f>HYPERLINK("https://twitter.com/jesuslife12/status/1502719778481389572")</f>
        <v>https://twitter.com/jesuslife12/status/1502719778481389572</v>
      </c>
      <c r="AA198" s="80"/>
      <c r="AB198" s="80"/>
      <c r="AC198" s="85" t="s">
        <v>1302</v>
      </c>
      <c r="AD198" s="80"/>
      <c r="AE198" s="80" t="b">
        <v>0</v>
      </c>
      <c r="AF198" s="80">
        <v>0</v>
      </c>
      <c r="AG198" s="85" t="s">
        <v>1635</v>
      </c>
      <c r="AH198" s="80" t="b">
        <v>1</v>
      </c>
      <c r="AI198" s="80" t="s">
        <v>1642</v>
      </c>
      <c r="AJ198" s="80"/>
      <c r="AK198" s="85" t="s">
        <v>1652</v>
      </c>
      <c r="AL198" s="80" t="b">
        <v>0</v>
      </c>
      <c r="AM198" s="80">
        <v>8</v>
      </c>
      <c r="AN198" s="85" t="s">
        <v>1581</v>
      </c>
      <c r="AO198" s="85" t="s">
        <v>1672</v>
      </c>
      <c r="AP198" s="80" t="b">
        <v>0</v>
      </c>
      <c r="AQ198" s="85" t="s">
        <v>1581</v>
      </c>
      <c r="AR198" s="80" t="s">
        <v>179</v>
      </c>
      <c r="AS198" s="80">
        <v>0</v>
      </c>
      <c r="AT198" s="80">
        <v>0</v>
      </c>
      <c r="AU198" s="80"/>
      <c r="AV198" s="80"/>
      <c r="AW198" s="80"/>
      <c r="AX198" s="80"/>
      <c r="AY198" s="80"/>
      <c r="AZ198" s="80"/>
      <c r="BA198" s="80"/>
      <c r="BB198" s="80"/>
    </row>
    <row r="199" spans="1:54" x14ac:dyDescent="0.25">
      <c r="A199" s="65" t="s">
        <v>306</v>
      </c>
      <c r="B199" s="65" t="s">
        <v>306</v>
      </c>
      <c r="C199" s="66"/>
      <c r="D199" s="67"/>
      <c r="E199" s="68"/>
      <c r="F199" s="69"/>
      <c r="G199" s="66"/>
      <c r="H199" s="70"/>
      <c r="I199" s="71"/>
      <c r="J199" s="71"/>
      <c r="K199" s="36" t="s">
        <v>65</v>
      </c>
      <c r="L199" s="78">
        <v>199</v>
      </c>
      <c r="M199" s="78"/>
      <c r="N199" s="73"/>
      <c r="O199" s="80" t="s">
        <v>179</v>
      </c>
      <c r="P199" s="82">
        <v>44631.847037037034</v>
      </c>
      <c r="Q199" s="80" t="s">
        <v>503</v>
      </c>
      <c r="R199" s="83" t="str">
        <f>HYPERLINK("https://twitter.com/UBwomenshoops/status/1502367244831150087")</f>
        <v>https://twitter.com/UBwomenshoops/status/1502367244831150087</v>
      </c>
      <c r="S199" s="80" t="s">
        <v>633</v>
      </c>
      <c r="T199" s="85" t="s">
        <v>357</v>
      </c>
      <c r="U199" s="80"/>
      <c r="V199" s="83" t="str">
        <f>HYPERLINK("https://pbs.twimg.com/profile_images/505444947906932736/jfAntq6T_normal.jpeg")</f>
        <v>https://pbs.twimg.com/profile_images/505444947906932736/jfAntq6T_normal.jpeg</v>
      </c>
      <c r="W199" s="82">
        <v>44631.847037037034</v>
      </c>
      <c r="X199" s="88">
        <v>44631</v>
      </c>
      <c r="Y199" s="85" t="s">
        <v>854</v>
      </c>
      <c r="Z199" s="83" t="str">
        <f>HYPERLINK("https://twitter.com/ubnewssource/status/1502378760775086087")</f>
        <v>https://twitter.com/ubnewssource/status/1502378760775086087</v>
      </c>
      <c r="AA199" s="80"/>
      <c r="AB199" s="80"/>
      <c r="AC199" s="85" t="s">
        <v>1303</v>
      </c>
      <c r="AD199" s="80"/>
      <c r="AE199" s="80" t="b">
        <v>0</v>
      </c>
      <c r="AF199" s="80">
        <v>5</v>
      </c>
      <c r="AG199" s="85" t="s">
        <v>1635</v>
      </c>
      <c r="AH199" s="80" t="b">
        <v>1</v>
      </c>
      <c r="AI199" s="80" t="s">
        <v>1643</v>
      </c>
      <c r="AJ199" s="80"/>
      <c r="AK199" s="85" t="s">
        <v>1653</v>
      </c>
      <c r="AL199" s="80" t="b">
        <v>0</v>
      </c>
      <c r="AM199" s="80">
        <v>0</v>
      </c>
      <c r="AN199" s="85" t="s">
        <v>1635</v>
      </c>
      <c r="AO199" s="85" t="s">
        <v>1672</v>
      </c>
      <c r="AP199" s="80" t="b">
        <v>0</v>
      </c>
      <c r="AQ199" s="85" t="s">
        <v>1303</v>
      </c>
      <c r="AR199" s="80" t="s">
        <v>179</v>
      </c>
      <c r="AS199" s="80">
        <v>0</v>
      </c>
      <c r="AT199" s="80">
        <v>0</v>
      </c>
      <c r="AU199" s="80"/>
      <c r="AV199" s="80"/>
      <c r="AW199" s="80"/>
      <c r="AX199" s="80"/>
      <c r="AY199" s="80"/>
      <c r="AZ199" s="80"/>
      <c r="BA199" s="80"/>
      <c r="BB199" s="80"/>
    </row>
    <row r="200" spans="1:54" x14ac:dyDescent="0.25">
      <c r="A200" s="65" t="s">
        <v>306</v>
      </c>
      <c r="B200" s="65" t="s">
        <v>357</v>
      </c>
      <c r="C200" s="66"/>
      <c r="D200" s="67"/>
      <c r="E200" s="68"/>
      <c r="F200" s="69"/>
      <c r="G200" s="66"/>
      <c r="H200" s="70"/>
      <c r="I200" s="71"/>
      <c r="J200" s="71"/>
      <c r="K200" s="36" t="s">
        <v>65</v>
      </c>
      <c r="L200" s="78">
        <v>200</v>
      </c>
      <c r="M200" s="78"/>
      <c r="N200" s="73"/>
      <c r="O200" s="80" t="s">
        <v>415</v>
      </c>
      <c r="P200" s="82">
        <v>44631.946747685186</v>
      </c>
      <c r="Q200" s="80" t="s">
        <v>504</v>
      </c>
      <c r="R200" s="83" t="str">
        <f>HYPERLINK("https://www.buffalo.edu/ubnow/stories/2022/03/true-blue-club.html?utm_source=TWITTER&amp;utm_medium=social&amp;utm_term=20220311&amp;utm_content=100002967585037&amp;utm_campaign=UB+True+Blue&amp;linkId=100000114683785")</f>
        <v>https://www.buffalo.edu/ubnow/stories/2022/03/true-blue-club.html?utm_source=TWITTER&amp;utm_medium=social&amp;utm_term=20220311&amp;utm_content=100002967585037&amp;utm_campaign=UB+True+Blue&amp;linkId=100000114683785</v>
      </c>
      <c r="S200" s="80" t="s">
        <v>632</v>
      </c>
      <c r="T200" s="85" t="s">
        <v>699</v>
      </c>
      <c r="U200" s="80"/>
      <c r="V200" s="83" t="str">
        <f>HYPERLINK("https://pbs.twimg.com/profile_images/505444947906932736/jfAntq6T_normal.jpeg")</f>
        <v>https://pbs.twimg.com/profile_images/505444947906932736/jfAntq6T_normal.jpeg</v>
      </c>
      <c r="W200" s="82">
        <v>44631.946747685186</v>
      </c>
      <c r="X200" s="88">
        <v>44631</v>
      </c>
      <c r="Y200" s="85" t="s">
        <v>855</v>
      </c>
      <c r="Z200" s="83" t="str">
        <f>HYPERLINK("https://twitter.com/ubnewssource/status/1502414896553734144")</f>
        <v>https://twitter.com/ubnewssource/status/1502414896553734144</v>
      </c>
      <c r="AA200" s="80"/>
      <c r="AB200" s="80"/>
      <c r="AC200" s="85" t="s">
        <v>1304</v>
      </c>
      <c r="AD200" s="80"/>
      <c r="AE200" s="80" t="b">
        <v>0</v>
      </c>
      <c r="AF200" s="80">
        <v>0</v>
      </c>
      <c r="AG200" s="85" t="s">
        <v>1635</v>
      </c>
      <c r="AH200" s="80" t="b">
        <v>0</v>
      </c>
      <c r="AI200" s="80" t="s">
        <v>1642</v>
      </c>
      <c r="AJ200" s="80"/>
      <c r="AK200" s="85" t="s">
        <v>1635</v>
      </c>
      <c r="AL200" s="80" t="b">
        <v>0</v>
      </c>
      <c r="AM200" s="80">
        <v>4</v>
      </c>
      <c r="AN200" s="85" t="s">
        <v>1621</v>
      </c>
      <c r="AO200" s="85" t="s">
        <v>1671</v>
      </c>
      <c r="AP200" s="80" t="b">
        <v>0</v>
      </c>
      <c r="AQ200" s="85" t="s">
        <v>1621</v>
      </c>
      <c r="AR200" s="80" t="s">
        <v>179</v>
      </c>
      <c r="AS200" s="80">
        <v>0</v>
      </c>
      <c r="AT200" s="80">
        <v>0</v>
      </c>
      <c r="AU200" s="80"/>
      <c r="AV200" s="80"/>
      <c r="AW200" s="80"/>
      <c r="AX200" s="80"/>
      <c r="AY200" s="80"/>
      <c r="AZ200" s="80"/>
      <c r="BA200" s="80"/>
      <c r="BB200" s="80"/>
    </row>
    <row r="201" spans="1:54" x14ac:dyDescent="0.25">
      <c r="A201" s="65" t="s">
        <v>306</v>
      </c>
      <c r="B201" s="65" t="s">
        <v>405</v>
      </c>
      <c r="C201" s="66"/>
      <c r="D201" s="67"/>
      <c r="E201" s="68"/>
      <c r="F201" s="69"/>
      <c r="G201" s="66"/>
      <c r="H201" s="70"/>
      <c r="I201" s="71"/>
      <c r="J201" s="71"/>
      <c r="K201" s="36" t="s">
        <v>65</v>
      </c>
      <c r="L201" s="78">
        <v>201</v>
      </c>
      <c r="M201" s="78"/>
      <c r="N201" s="73"/>
      <c r="O201" s="80" t="s">
        <v>414</v>
      </c>
      <c r="P201" s="82">
        <v>44632.758680555555</v>
      </c>
      <c r="Q201" s="80" t="s">
        <v>500</v>
      </c>
      <c r="R201" s="80"/>
      <c r="S201" s="80"/>
      <c r="T201" s="85" t="s">
        <v>697</v>
      </c>
      <c r="U201" s="80"/>
      <c r="V201" s="83" t="str">
        <f>HYPERLINK("https://pbs.twimg.com/profile_images/505444947906932736/jfAntq6T_normal.jpeg")</f>
        <v>https://pbs.twimg.com/profile_images/505444947906932736/jfAntq6T_normal.jpeg</v>
      </c>
      <c r="W201" s="82">
        <v>44632.758680555555</v>
      </c>
      <c r="X201" s="88">
        <v>44632</v>
      </c>
      <c r="Y201" s="85" t="s">
        <v>856</v>
      </c>
      <c r="Z201" s="83" t="str">
        <f>HYPERLINK("https://twitter.com/ubnewssource/status/1502709129990885379")</f>
        <v>https://twitter.com/ubnewssource/status/1502709129990885379</v>
      </c>
      <c r="AA201" s="80"/>
      <c r="AB201" s="80"/>
      <c r="AC201" s="85" t="s">
        <v>1305</v>
      </c>
      <c r="AD201" s="80"/>
      <c r="AE201" s="80" t="b">
        <v>0</v>
      </c>
      <c r="AF201" s="80">
        <v>0</v>
      </c>
      <c r="AG201" s="85" t="s">
        <v>1635</v>
      </c>
      <c r="AH201" s="80" t="b">
        <v>0</v>
      </c>
      <c r="AI201" s="80" t="s">
        <v>1642</v>
      </c>
      <c r="AJ201" s="80"/>
      <c r="AK201" s="85" t="s">
        <v>1635</v>
      </c>
      <c r="AL201" s="80" t="b">
        <v>0</v>
      </c>
      <c r="AM201" s="80">
        <v>7</v>
      </c>
      <c r="AN201" s="85" t="s">
        <v>1537</v>
      </c>
      <c r="AO201" s="85" t="s">
        <v>1671</v>
      </c>
      <c r="AP201" s="80" t="b">
        <v>0</v>
      </c>
      <c r="AQ201" s="85" t="s">
        <v>1537</v>
      </c>
      <c r="AR201" s="80" t="s">
        <v>179</v>
      </c>
      <c r="AS201" s="80">
        <v>0</v>
      </c>
      <c r="AT201" s="80">
        <v>0</v>
      </c>
      <c r="AU201" s="80"/>
      <c r="AV201" s="80"/>
      <c r="AW201" s="80"/>
      <c r="AX201" s="80"/>
      <c r="AY201" s="80"/>
      <c r="AZ201" s="80"/>
      <c r="BA201" s="80"/>
      <c r="BB201" s="80"/>
    </row>
    <row r="202" spans="1:54" x14ac:dyDescent="0.25">
      <c r="A202" s="65" t="s">
        <v>306</v>
      </c>
      <c r="B202" s="65" t="s">
        <v>402</v>
      </c>
      <c r="C202" s="66"/>
      <c r="D202" s="67"/>
      <c r="E202" s="68"/>
      <c r="F202" s="69"/>
      <c r="G202" s="66"/>
      <c r="H202" s="70"/>
      <c r="I202" s="71"/>
      <c r="J202" s="71"/>
      <c r="K202" s="36" t="s">
        <v>65</v>
      </c>
      <c r="L202" s="78">
        <v>202</v>
      </c>
      <c r="M202" s="78"/>
      <c r="N202" s="73"/>
      <c r="O202" s="80" t="s">
        <v>414</v>
      </c>
      <c r="P202" s="82">
        <v>44632.758680555555</v>
      </c>
      <c r="Q202" s="80" t="s">
        <v>500</v>
      </c>
      <c r="R202" s="80"/>
      <c r="S202" s="80"/>
      <c r="T202" s="85" t="s">
        <v>697</v>
      </c>
      <c r="U202" s="80"/>
      <c r="V202" s="83" t="str">
        <f>HYPERLINK("https://pbs.twimg.com/profile_images/505444947906932736/jfAntq6T_normal.jpeg")</f>
        <v>https://pbs.twimg.com/profile_images/505444947906932736/jfAntq6T_normal.jpeg</v>
      </c>
      <c r="W202" s="82">
        <v>44632.758680555555</v>
      </c>
      <c r="X202" s="88">
        <v>44632</v>
      </c>
      <c r="Y202" s="85" t="s">
        <v>856</v>
      </c>
      <c r="Z202" s="83" t="str">
        <f>HYPERLINK("https://twitter.com/ubnewssource/status/1502709129990885379")</f>
        <v>https://twitter.com/ubnewssource/status/1502709129990885379</v>
      </c>
      <c r="AA202" s="80"/>
      <c r="AB202" s="80"/>
      <c r="AC202" s="85" t="s">
        <v>1305</v>
      </c>
      <c r="AD202" s="80"/>
      <c r="AE202" s="80" t="b">
        <v>0</v>
      </c>
      <c r="AF202" s="80">
        <v>0</v>
      </c>
      <c r="AG202" s="85" t="s">
        <v>1635</v>
      </c>
      <c r="AH202" s="80" t="b">
        <v>0</v>
      </c>
      <c r="AI202" s="80" t="s">
        <v>1642</v>
      </c>
      <c r="AJ202" s="80"/>
      <c r="AK202" s="85" t="s">
        <v>1635</v>
      </c>
      <c r="AL202" s="80" t="b">
        <v>0</v>
      </c>
      <c r="AM202" s="80">
        <v>7</v>
      </c>
      <c r="AN202" s="85" t="s">
        <v>1537</v>
      </c>
      <c r="AO202" s="85" t="s">
        <v>1671</v>
      </c>
      <c r="AP202" s="80" t="b">
        <v>0</v>
      </c>
      <c r="AQ202" s="85" t="s">
        <v>1537</v>
      </c>
      <c r="AR202" s="80" t="s">
        <v>179</v>
      </c>
      <c r="AS202" s="80">
        <v>0</v>
      </c>
      <c r="AT202" s="80">
        <v>0</v>
      </c>
      <c r="AU202" s="80"/>
      <c r="AV202" s="80"/>
      <c r="AW202" s="80"/>
      <c r="AX202" s="80"/>
      <c r="AY202" s="80"/>
      <c r="AZ202" s="80"/>
      <c r="BA202" s="80"/>
      <c r="BB202" s="80"/>
    </row>
    <row r="203" spans="1:54" x14ac:dyDescent="0.25">
      <c r="A203" s="65" t="s">
        <v>306</v>
      </c>
      <c r="B203" s="65" t="s">
        <v>385</v>
      </c>
      <c r="C203" s="66"/>
      <c r="D203" s="67"/>
      <c r="E203" s="68"/>
      <c r="F203" s="69"/>
      <c r="G203" s="66"/>
      <c r="H203" s="70"/>
      <c r="I203" s="71"/>
      <c r="J203" s="71"/>
      <c r="K203" s="36" t="s">
        <v>65</v>
      </c>
      <c r="L203" s="78">
        <v>203</v>
      </c>
      <c r="M203" s="78"/>
      <c r="N203" s="73"/>
      <c r="O203" s="80" t="s">
        <v>414</v>
      </c>
      <c r="P203" s="82">
        <v>44632.758680555555</v>
      </c>
      <c r="Q203" s="80" t="s">
        <v>500</v>
      </c>
      <c r="R203" s="80"/>
      <c r="S203" s="80"/>
      <c r="T203" s="85" t="s">
        <v>697</v>
      </c>
      <c r="U203" s="80"/>
      <c r="V203" s="83" t="str">
        <f>HYPERLINK("https://pbs.twimg.com/profile_images/505444947906932736/jfAntq6T_normal.jpeg")</f>
        <v>https://pbs.twimg.com/profile_images/505444947906932736/jfAntq6T_normal.jpeg</v>
      </c>
      <c r="W203" s="82">
        <v>44632.758680555555</v>
      </c>
      <c r="X203" s="88">
        <v>44632</v>
      </c>
      <c r="Y203" s="85" t="s">
        <v>856</v>
      </c>
      <c r="Z203" s="83" t="str">
        <f>HYPERLINK("https://twitter.com/ubnewssource/status/1502709129990885379")</f>
        <v>https://twitter.com/ubnewssource/status/1502709129990885379</v>
      </c>
      <c r="AA203" s="80"/>
      <c r="AB203" s="80"/>
      <c r="AC203" s="85" t="s">
        <v>1305</v>
      </c>
      <c r="AD203" s="80"/>
      <c r="AE203" s="80" t="b">
        <v>0</v>
      </c>
      <c r="AF203" s="80">
        <v>0</v>
      </c>
      <c r="AG203" s="85" t="s">
        <v>1635</v>
      </c>
      <c r="AH203" s="80" t="b">
        <v>0</v>
      </c>
      <c r="AI203" s="80" t="s">
        <v>1642</v>
      </c>
      <c r="AJ203" s="80"/>
      <c r="AK203" s="85" t="s">
        <v>1635</v>
      </c>
      <c r="AL203" s="80" t="b">
        <v>0</v>
      </c>
      <c r="AM203" s="80">
        <v>7</v>
      </c>
      <c r="AN203" s="85" t="s">
        <v>1537</v>
      </c>
      <c r="AO203" s="85" t="s">
        <v>1671</v>
      </c>
      <c r="AP203" s="80" t="b">
        <v>0</v>
      </c>
      <c r="AQ203" s="85" t="s">
        <v>1537</v>
      </c>
      <c r="AR203" s="80" t="s">
        <v>179</v>
      </c>
      <c r="AS203" s="80">
        <v>0</v>
      </c>
      <c r="AT203" s="80">
        <v>0</v>
      </c>
      <c r="AU203" s="80"/>
      <c r="AV203" s="80"/>
      <c r="AW203" s="80"/>
      <c r="AX203" s="80"/>
      <c r="AY203" s="80"/>
      <c r="AZ203" s="80"/>
      <c r="BA203" s="80"/>
      <c r="BB203" s="80"/>
    </row>
    <row r="204" spans="1:54" x14ac:dyDescent="0.25">
      <c r="A204" s="65" t="s">
        <v>306</v>
      </c>
      <c r="B204" s="65" t="s">
        <v>372</v>
      </c>
      <c r="C204" s="66"/>
      <c r="D204" s="67"/>
      <c r="E204" s="68"/>
      <c r="F204" s="69"/>
      <c r="G204" s="66"/>
      <c r="H204" s="70"/>
      <c r="I204" s="71"/>
      <c r="J204" s="71"/>
      <c r="K204" s="36" t="s">
        <v>65</v>
      </c>
      <c r="L204" s="78">
        <v>204</v>
      </c>
      <c r="M204" s="78"/>
      <c r="N204" s="73"/>
      <c r="O204" s="80" t="s">
        <v>415</v>
      </c>
      <c r="P204" s="82">
        <v>44632.758680555555</v>
      </c>
      <c r="Q204" s="80" t="s">
        <v>500</v>
      </c>
      <c r="R204" s="80"/>
      <c r="S204" s="80"/>
      <c r="T204" s="85" t="s">
        <v>697</v>
      </c>
      <c r="U204" s="80"/>
      <c r="V204" s="83" t="str">
        <f>HYPERLINK("https://pbs.twimg.com/profile_images/505444947906932736/jfAntq6T_normal.jpeg")</f>
        <v>https://pbs.twimg.com/profile_images/505444947906932736/jfAntq6T_normal.jpeg</v>
      </c>
      <c r="W204" s="82">
        <v>44632.758680555555</v>
      </c>
      <c r="X204" s="88">
        <v>44632</v>
      </c>
      <c r="Y204" s="85" t="s">
        <v>856</v>
      </c>
      <c r="Z204" s="83" t="str">
        <f>HYPERLINK("https://twitter.com/ubnewssource/status/1502709129990885379")</f>
        <v>https://twitter.com/ubnewssource/status/1502709129990885379</v>
      </c>
      <c r="AA204" s="80"/>
      <c r="AB204" s="80"/>
      <c r="AC204" s="85" t="s">
        <v>1305</v>
      </c>
      <c r="AD204" s="80"/>
      <c r="AE204" s="80" t="b">
        <v>0</v>
      </c>
      <c r="AF204" s="80">
        <v>0</v>
      </c>
      <c r="AG204" s="85" t="s">
        <v>1635</v>
      </c>
      <c r="AH204" s="80" t="b">
        <v>0</v>
      </c>
      <c r="AI204" s="80" t="s">
        <v>1642</v>
      </c>
      <c r="AJ204" s="80"/>
      <c r="AK204" s="85" t="s">
        <v>1635</v>
      </c>
      <c r="AL204" s="80" t="b">
        <v>0</v>
      </c>
      <c r="AM204" s="80">
        <v>7</v>
      </c>
      <c r="AN204" s="85" t="s">
        <v>1537</v>
      </c>
      <c r="AO204" s="85" t="s">
        <v>1671</v>
      </c>
      <c r="AP204" s="80" t="b">
        <v>0</v>
      </c>
      <c r="AQ204" s="85" t="s">
        <v>1537</v>
      </c>
      <c r="AR204" s="80" t="s">
        <v>179</v>
      </c>
      <c r="AS204" s="80">
        <v>0</v>
      </c>
      <c r="AT204" s="80">
        <v>0</v>
      </c>
      <c r="AU204" s="80"/>
      <c r="AV204" s="80"/>
      <c r="AW204" s="80"/>
      <c r="AX204" s="80"/>
      <c r="AY204" s="80"/>
      <c r="AZ204" s="80"/>
      <c r="BA204" s="80"/>
      <c r="BB204" s="80"/>
    </row>
    <row r="205" spans="1:54" x14ac:dyDescent="0.25">
      <c r="A205" s="65" t="s">
        <v>306</v>
      </c>
      <c r="B205" s="65" t="s">
        <v>357</v>
      </c>
      <c r="C205" s="66"/>
      <c r="D205" s="67"/>
      <c r="E205" s="68"/>
      <c r="F205" s="69"/>
      <c r="G205" s="66"/>
      <c r="H205" s="70"/>
      <c r="I205" s="71"/>
      <c r="J205" s="71"/>
      <c r="K205" s="36" t="s">
        <v>65</v>
      </c>
      <c r="L205" s="78">
        <v>205</v>
      </c>
      <c r="M205" s="78"/>
      <c r="N205" s="73"/>
      <c r="O205" s="80" t="s">
        <v>415</v>
      </c>
      <c r="P205" s="82">
        <v>44632.796203703707</v>
      </c>
      <c r="Q205" s="80" t="s">
        <v>505</v>
      </c>
      <c r="R205" s="80"/>
      <c r="S205" s="80"/>
      <c r="T205" s="85" t="s">
        <v>700</v>
      </c>
      <c r="U205" s="83" t="str">
        <f>HYPERLINK("https://pbs.twimg.com/media/FNq-K9kWUAII3TB.jpg")</f>
        <v>https://pbs.twimg.com/media/FNq-K9kWUAII3TB.jpg</v>
      </c>
      <c r="V205" s="83" t="str">
        <f>HYPERLINK("https://pbs.twimg.com/media/FNq-K9kWUAII3TB.jpg")</f>
        <v>https://pbs.twimg.com/media/FNq-K9kWUAII3TB.jpg</v>
      </c>
      <c r="W205" s="82">
        <v>44632.796203703707</v>
      </c>
      <c r="X205" s="88">
        <v>44632</v>
      </c>
      <c r="Y205" s="85" t="s">
        <v>857</v>
      </c>
      <c r="Z205" s="83" t="str">
        <f>HYPERLINK("https://twitter.com/ubnewssource/status/1502722728687808519")</f>
        <v>https://twitter.com/ubnewssource/status/1502722728687808519</v>
      </c>
      <c r="AA205" s="80"/>
      <c r="AB205" s="80"/>
      <c r="AC205" s="85" t="s">
        <v>1306</v>
      </c>
      <c r="AD205" s="80"/>
      <c r="AE205" s="80" t="b">
        <v>0</v>
      </c>
      <c r="AF205" s="80">
        <v>0</v>
      </c>
      <c r="AG205" s="85" t="s">
        <v>1635</v>
      </c>
      <c r="AH205" s="80" t="b">
        <v>0</v>
      </c>
      <c r="AI205" s="80" t="s">
        <v>1642</v>
      </c>
      <c r="AJ205" s="80"/>
      <c r="AK205" s="85" t="s">
        <v>1635</v>
      </c>
      <c r="AL205" s="80" t="b">
        <v>0</v>
      </c>
      <c r="AM205" s="80">
        <v>40</v>
      </c>
      <c r="AN205" s="85" t="s">
        <v>1627</v>
      </c>
      <c r="AO205" s="85" t="s">
        <v>1671</v>
      </c>
      <c r="AP205" s="80" t="b">
        <v>0</v>
      </c>
      <c r="AQ205" s="85" t="s">
        <v>1627</v>
      </c>
      <c r="AR205" s="80" t="s">
        <v>179</v>
      </c>
      <c r="AS205" s="80">
        <v>0</v>
      </c>
      <c r="AT205" s="80">
        <v>0</v>
      </c>
      <c r="AU205" s="80"/>
      <c r="AV205" s="80"/>
      <c r="AW205" s="80"/>
      <c r="AX205" s="80"/>
      <c r="AY205" s="80"/>
      <c r="AZ205" s="80"/>
      <c r="BA205" s="80"/>
      <c r="BB205" s="80"/>
    </row>
    <row r="206" spans="1:54" x14ac:dyDescent="0.25">
      <c r="A206" s="65" t="s">
        <v>307</v>
      </c>
      <c r="B206" s="65" t="s">
        <v>282</v>
      </c>
      <c r="C206" s="66"/>
      <c r="D206" s="67"/>
      <c r="E206" s="68"/>
      <c r="F206" s="69"/>
      <c r="G206" s="66"/>
      <c r="H206" s="70"/>
      <c r="I206" s="71"/>
      <c r="J206" s="71"/>
      <c r="K206" s="36" t="s">
        <v>65</v>
      </c>
      <c r="L206" s="78">
        <v>206</v>
      </c>
      <c r="M206" s="78"/>
      <c r="N206" s="73"/>
      <c r="O206" s="80" t="s">
        <v>415</v>
      </c>
      <c r="P206" s="82">
        <v>44630.83489583333</v>
      </c>
      <c r="Q206" s="80" t="s">
        <v>506</v>
      </c>
      <c r="R206" s="83" t="str">
        <f>HYPERLINK("https://mailchi.mp/buffalo/2022-ctsi-annual-forum-one-week-away")</f>
        <v>https://mailchi.mp/buffalo/2022-ctsi-annual-forum-one-week-away</v>
      </c>
      <c r="S206" s="80" t="s">
        <v>647</v>
      </c>
      <c r="T206" s="85" t="s">
        <v>357</v>
      </c>
      <c r="U206" s="83" t="str">
        <f>HYPERLINK("https://pbs.twimg.com/media/FNcW9NZXoAE020T.jpg")</f>
        <v>https://pbs.twimg.com/media/FNcW9NZXoAE020T.jpg</v>
      </c>
      <c r="V206" s="83" t="str">
        <f>HYPERLINK("https://pbs.twimg.com/media/FNcW9NZXoAE020T.jpg")</f>
        <v>https://pbs.twimg.com/media/FNcW9NZXoAE020T.jpg</v>
      </c>
      <c r="W206" s="82">
        <v>44630.83489583333</v>
      </c>
      <c r="X206" s="88">
        <v>44630</v>
      </c>
      <c r="Y206" s="85" t="s">
        <v>858</v>
      </c>
      <c r="Z206" s="83" t="str">
        <f>HYPERLINK("https://twitter.com/jacobs_med_ub/status/1502011973940228100")</f>
        <v>https://twitter.com/jacobs_med_ub/status/1502011973940228100</v>
      </c>
      <c r="AA206" s="80"/>
      <c r="AB206" s="80"/>
      <c r="AC206" s="85" t="s">
        <v>1307</v>
      </c>
      <c r="AD206" s="80"/>
      <c r="AE206" s="80" t="b">
        <v>0</v>
      </c>
      <c r="AF206" s="80">
        <v>0</v>
      </c>
      <c r="AG206" s="85" t="s">
        <v>1635</v>
      </c>
      <c r="AH206" s="80" t="b">
        <v>0</v>
      </c>
      <c r="AI206" s="80" t="s">
        <v>1642</v>
      </c>
      <c r="AJ206" s="80"/>
      <c r="AK206" s="85" t="s">
        <v>1635</v>
      </c>
      <c r="AL206" s="80" t="b">
        <v>0</v>
      </c>
      <c r="AM206" s="80">
        <v>1</v>
      </c>
      <c r="AN206" s="85" t="s">
        <v>1310</v>
      </c>
      <c r="AO206" s="85" t="s">
        <v>1672</v>
      </c>
      <c r="AP206" s="80" t="b">
        <v>0</v>
      </c>
      <c r="AQ206" s="85" t="s">
        <v>1310</v>
      </c>
      <c r="AR206" s="80" t="s">
        <v>179</v>
      </c>
      <c r="AS206" s="80">
        <v>0</v>
      </c>
      <c r="AT206" s="80">
        <v>0</v>
      </c>
      <c r="AU206" s="80"/>
      <c r="AV206" s="80"/>
      <c r="AW206" s="80"/>
      <c r="AX206" s="80"/>
      <c r="AY206" s="80"/>
      <c r="AZ206" s="80"/>
      <c r="BA206" s="80"/>
      <c r="BB206" s="80"/>
    </row>
    <row r="207" spans="1:54" x14ac:dyDescent="0.25">
      <c r="A207" s="65" t="s">
        <v>282</v>
      </c>
      <c r="B207" s="65" t="s">
        <v>282</v>
      </c>
      <c r="C207" s="66"/>
      <c r="D207" s="67"/>
      <c r="E207" s="68"/>
      <c r="F207" s="69"/>
      <c r="G207" s="66"/>
      <c r="H207" s="70"/>
      <c r="I207" s="71"/>
      <c r="J207" s="71"/>
      <c r="K207" s="36" t="s">
        <v>65</v>
      </c>
      <c r="L207" s="78">
        <v>207</v>
      </c>
      <c r="M207" s="78"/>
      <c r="N207" s="73"/>
      <c r="O207" s="80" t="s">
        <v>179</v>
      </c>
      <c r="P207" s="82">
        <v>44627.634074074071</v>
      </c>
      <c r="Q207" s="80" t="s">
        <v>507</v>
      </c>
      <c r="R207" s="83" t="str">
        <f>HYPERLINK("http://www.buffalo.edu/ctsi/cores/workforce-development/career-competency-workshops/health-inequities.html")</f>
        <v>http://www.buffalo.edu/ctsi/cores/workforce-development/career-competency-workshops/health-inequities.html</v>
      </c>
      <c r="S207" s="80" t="s">
        <v>632</v>
      </c>
      <c r="T207" s="85" t="s">
        <v>357</v>
      </c>
      <c r="U207" s="83" t="str">
        <f>HYPERLINK("https://pbs.twimg.com/media/FNQY6iJXsAINen9.jpg")</f>
        <v>https://pbs.twimg.com/media/FNQY6iJXsAINen9.jpg</v>
      </c>
      <c r="V207" s="83" t="str">
        <f>HYPERLINK("https://pbs.twimg.com/media/FNQY6iJXsAINen9.jpg")</f>
        <v>https://pbs.twimg.com/media/FNQY6iJXsAINen9.jpg</v>
      </c>
      <c r="W207" s="82">
        <v>44627.634074074071</v>
      </c>
      <c r="X207" s="88">
        <v>44627</v>
      </c>
      <c r="Y207" s="85" t="s">
        <v>859</v>
      </c>
      <c r="Z207" s="83" t="str">
        <f>HYPERLINK("https://twitter.com/ubuffaloctsi/status/1500852035402485762")</f>
        <v>https://twitter.com/ubuffaloctsi/status/1500852035402485762</v>
      </c>
      <c r="AA207" s="80"/>
      <c r="AB207" s="80"/>
      <c r="AC207" s="85" t="s">
        <v>1308</v>
      </c>
      <c r="AD207" s="80"/>
      <c r="AE207" s="80" t="b">
        <v>0</v>
      </c>
      <c r="AF207" s="80">
        <v>1</v>
      </c>
      <c r="AG207" s="85" t="s">
        <v>1635</v>
      </c>
      <c r="AH207" s="80" t="b">
        <v>0</v>
      </c>
      <c r="AI207" s="80" t="s">
        <v>1642</v>
      </c>
      <c r="AJ207" s="80"/>
      <c r="AK207" s="85" t="s">
        <v>1635</v>
      </c>
      <c r="AL207" s="80" t="b">
        <v>0</v>
      </c>
      <c r="AM207" s="80">
        <v>0</v>
      </c>
      <c r="AN207" s="85" t="s">
        <v>1635</v>
      </c>
      <c r="AO207" s="85" t="s">
        <v>1672</v>
      </c>
      <c r="AP207" s="80" t="b">
        <v>0</v>
      </c>
      <c r="AQ207" s="85" t="s">
        <v>1308</v>
      </c>
      <c r="AR207" s="80" t="s">
        <v>179</v>
      </c>
      <c r="AS207" s="80">
        <v>0</v>
      </c>
      <c r="AT207" s="80">
        <v>0</v>
      </c>
      <c r="AU207" s="80"/>
      <c r="AV207" s="80"/>
      <c r="AW207" s="80"/>
      <c r="AX207" s="80"/>
      <c r="AY207" s="80"/>
      <c r="AZ207" s="80"/>
      <c r="BA207" s="80"/>
      <c r="BB207" s="80"/>
    </row>
    <row r="208" spans="1:54" x14ac:dyDescent="0.25">
      <c r="A208" s="65" t="s">
        <v>282</v>
      </c>
      <c r="B208" s="65" t="s">
        <v>282</v>
      </c>
      <c r="C208" s="66"/>
      <c r="D208" s="67"/>
      <c r="E208" s="68"/>
      <c r="F208" s="69"/>
      <c r="G208" s="66"/>
      <c r="H208" s="70"/>
      <c r="I208" s="71"/>
      <c r="J208" s="71"/>
      <c r="K208" s="36" t="s">
        <v>65</v>
      </c>
      <c r="L208" s="78">
        <v>208</v>
      </c>
      <c r="M208" s="78"/>
      <c r="N208" s="73"/>
      <c r="O208" s="80" t="s">
        <v>179</v>
      </c>
      <c r="P208" s="82">
        <v>44628.957916666666</v>
      </c>
      <c r="Q208" s="80" t="s">
        <v>508</v>
      </c>
      <c r="R208" s="83" t="str">
        <f>HYPERLINK("https://mailchi.mp/buffalo/buffalo-research-news-march-april-2022")</f>
        <v>https://mailchi.mp/buffalo/buffalo-research-news-march-april-2022</v>
      </c>
      <c r="S208" s="80" t="s">
        <v>647</v>
      </c>
      <c r="T208" s="85" t="s">
        <v>357</v>
      </c>
      <c r="U208" s="83" t="str">
        <f>HYPERLINK("https://pbs.twimg.com/media/FNXNTITXEAQaB7o.jpg")</f>
        <v>https://pbs.twimg.com/media/FNXNTITXEAQaB7o.jpg</v>
      </c>
      <c r="V208" s="83" t="str">
        <f>HYPERLINK("https://pbs.twimg.com/media/FNXNTITXEAQaB7o.jpg")</f>
        <v>https://pbs.twimg.com/media/FNXNTITXEAQaB7o.jpg</v>
      </c>
      <c r="W208" s="82">
        <v>44628.957916666666</v>
      </c>
      <c r="X208" s="88">
        <v>44628</v>
      </c>
      <c r="Y208" s="85" t="s">
        <v>860</v>
      </c>
      <c r="Z208" s="83" t="str">
        <f>HYPERLINK("https://twitter.com/ubuffaloctsi/status/1501331781340971012")</f>
        <v>https://twitter.com/ubuffaloctsi/status/1501331781340971012</v>
      </c>
      <c r="AA208" s="80"/>
      <c r="AB208" s="80"/>
      <c r="AC208" s="85" t="s">
        <v>1309</v>
      </c>
      <c r="AD208" s="80"/>
      <c r="AE208" s="80" t="b">
        <v>0</v>
      </c>
      <c r="AF208" s="80">
        <v>0</v>
      </c>
      <c r="AG208" s="85" t="s">
        <v>1635</v>
      </c>
      <c r="AH208" s="80" t="b">
        <v>0</v>
      </c>
      <c r="AI208" s="80" t="s">
        <v>1642</v>
      </c>
      <c r="AJ208" s="80"/>
      <c r="AK208" s="85" t="s">
        <v>1635</v>
      </c>
      <c r="AL208" s="80" t="b">
        <v>0</v>
      </c>
      <c r="AM208" s="80">
        <v>0</v>
      </c>
      <c r="AN208" s="85" t="s">
        <v>1635</v>
      </c>
      <c r="AO208" s="85" t="s">
        <v>1684</v>
      </c>
      <c r="AP208" s="80" t="b">
        <v>0</v>
      </c>
      <c r="AQ208" s="85" t="s">
        <v>1309</v>
      </c>
      <c r="AR208" s="80" t="s">
        <v>179</v>
      </c>
      <c r="AS208" s="80">
        <v>0</v>
      </c>
      <c r="AT208" s="80">
        <v>0</v>
      </c>
      <c r="AU208" s="80"/>
      <c r="AV208" s="80"/>
      <c r="AW208" s="80"/>
      <c r="AX208" s="80"/>
      <c r="AY208" s="80"/>
      <c r="AZ208" s="80"/>
      <c r="BA208" s="80"/>
      <c r="BB208" s="80"/>
    </row>
    <row r="209" spans="1:54" x14ac:dyDescent="0.25">
      <c r="A209" s="65" t="s">
        <v>282</v>
      </c>
      <c r="B209" s="65" t="s">
        <v>282</v>
      </c>
      <c r="C209" s="66"/>
      <c r="D209" s="67"/>
      <c r="E209" s="68"/>
      <c r="F209" s="69"/>
      <c r="G209" s="66"/>
      <c r="H209" s="70"/>
      <c r="I209" s="71"/>
      <c r="J209" s="71"/>
      <c r="K209" s="36" t="s">
        <v>65</v>
      </c>
      <c r="L209" s="78">
        <v>209</v>
      </c>
      <c r="M209" s="78"/>
      <c r="N209" s="73"/>
      <c r="O209" s="80" t="s">
        <v>179</v>
      </c>
      <c r="P209" s="82">
        <v>44629.958124999997</v>
      </c>
      <c r="Q209" s="80" t="s">
        <v>506</v>
      </c>
      <c r="R209" s="83" t="str">
        <f>HYPERLINK("https://mailchi.mp/buffalo/2022-ctsi-annual-forum-one-week-away")</f>
        <v>https://mailchi.mp/buffalo/2022-ctsi-annual-forum-one-week-away</v>
      </c>
      <c r="S209" s="80" t="s">
        <v>647</v>
      </c>
      <c r="T209" s="85" t="s">
        <v>357</v>
      </c>
      <c r="U209" s="83" t="str">
        <f>HYPERLINK("https://pbs.twimg.com/media/FNcW9NZXoAE020T.jpg")</f>
        <v>https://pbs.twimg.com/media/FNcW9NZXoAE020T.jpg</v>
      </c>
      <c r="V209" s="83" t="str">
        <f>HYPERLINK("https://pbs.twimg.com/media/FNcW9NZXoAE020T.jpg")</f>
        <v>https://pbs.twimg.com/media/FNcW9NZXoAE020T.jpg</v>
      </c>
      <c r="W209" s="82">
        <v>44629.958124999997</v>
      </c>
      <c r="X209" s="88">
        <v>44629</v>
      </c>
      <c r="Y209" s="85" t="s">
        <v>861</v>
      </c>
      <c r="Z209" s="83" t="str">
        <f>HYPERLINK("https://twitter.com/ubuffaloctsi/status/1501694243592617985")</f>
        <v>https://twitter.com/ubuffaloctsi/status/1501694243592617985</v>
      </c>
      <c r="AA209" s="80"/>
      <c r="AB209" s="80"/>
      <c r="AC209" s="85" t="s">
        <v>1310</v>
      </c>
      <c r="AD209" s="80"/>
      <c r="AE209" s="80" t="b">
        <v>0</v>
      </c>
      <c r="AF209" s="80">
        <v>2</v>
      </c>
      <c r="AG209" s="85" t="s">
        <v>1635</v>
      </c>
      <c r="AH209" s="80" t="b">
        <v>0</v>
      </c>
      <c r="AI209" s="80" t="s">
        <v>1642</v>
      </c>
      <c r="AJ209" s="80"/>
      <c r="AK209" s="85" t="s">
        <v>1635</v>
      </c>
      <c r="AL209" s="80" t="b">
        <v>0</v>
      </c>
      <c r="AM209" s="80">
        <v>1</v>
      </c>
      <c r="AN209" s="85" t="s">
        <v>1635</v>
      </c>
      <c r="AO209" s="85" t="s">
        <v>1684</v>
      </c>
      <c r="AP209" s="80" t="b">
        <v>0</v>
      </c>
      <c r="AQ209" s="85" t="s">
        <v>1310</v>
      </c>
      <c r="AR209" s="80" t="s">
        <v>179</v>
      </c>
      <c r="AS209" s="80">
        <v>0</v>
      </c>
      <c r="AT209" s="80">
        <v>0</v>
      </c>
      <c r="AU209" s="80"/>
      <c r="AV209" s="80"/>
      <c r="AW209" s="80"/>
      <c r="AX209" s="80"/>
      <c r="AY209" s="80"/>
      <c r="AZ209" s="80"/>
      <c r="BA209" s="80"/>
      <c r="BB209" s="80"/>
    </row>
    <row r="210" spans="1:54" x14ac:dyDescent="0.25">
      <c r="A210" s="65" t="s">
        <v>282</v>
      </c>
      <c r="B210" s="65" t="s">
        <v>282</v>
      </c>
      <c r="C210" s="66"/>
      <c r="D210" s="67"/>
      <c r="E210" s="68"/>
      <c r="F210" s="69"/>
      <c r="G210" s="66"/>
      <c r="H210" s="70"/>
      <c r="I210" s="71"/>
      <c r="J210" s="71"/>
      <c r="K210" s="36" t="s">
        <v>65</v>
      </c>
      <c r="L210" s="78">
        <v>210</v>
      </c>
      <c r="M210" s="78"/>
      <c r="N210" s="73"/>
      <c r="O210" s="80" t="s">
        <v>179</v>
      </c>
      <c r="P210" s="82">
        <v>44630.533194444448</v>
      </c>
      <c r="Q210" s="80" t="s">
        <v>509</v>
      </c>
      <c r="R210" s="83" t="str">
        <f>HYPERLINK("https://www.facebook.com/ourcurlsinc.org/live_videos/")</f>
        <v>https://www.facebook.com/ourcurlsinc.org/live_videos/</v>
      </c>
      <c r="S210" s="80" t="s">
        <v>652</v>
      </c>
      <c r="T210" s="85" t="s">
        <v>357</v>
      </c>
      <c r="U210" s="83" t="str">
        <f>HYPERLINK("https://pbs.twimg.com/media/FNfTziEXoAU-h0h.jpg")</f>
        <v>https://pbs.twimg.com/media/FNfTziEXoAU-h0h.jpg</v>
      </c>
      <c r="V210" s="83" t="str">
        <f>HYPERLINK("https://pbs.twimg.com/media/FNfTziEXoAU-h0h.jpg")</f>
        <v>https://pbs.twimg.com/media/FNfTziEXoAU-h0h.jpg</v>
      </c>
      <c r="W210" s="82">
        <v>44630.533194444448</v>
      </c>
      <c r="X210" s="88">
        <v>44630</v>
      </c>
      <c r="Y210" s="85" t="s">
        <v>862</v>
      </c>
      <c r="Z210" s="83" t="str">
        <f>HYPERLINK("https://twitter.com/ubuffaloctsi/status/1501902641286324229")</f>
        <v>https://twitter.com/ubuffaloctsi/status/1501902641286324229</v>
      </c>
      <c r="AA210" s="80"/>
      <c r="AB210" s="80"/>
      <c r="AC210" s="85" t="s">
        <v>1311</v>
      </c>
      <c r="AD210" s="80"/>
      <c r="AE210" s="80" t="b">
        <v>0</v>
      </c>
      <c r="AF210" s="80">
        <v>0</v>
      </c>
      <c r="AG210" s="85" t="s">
        <v>1635</v>
      </c>
      <c r="AH210" s="80" t="b">
        <v>0</v>
      </c>
      <c r="AI210" s="80" t="s">
        <v>1642</v>
      </c>
      <c r="AJ210" s="80"/>
      <c r="AK210" s="85" t="s">
        <v>1635</v>
      </c>
      <c r="AL210" s="80" t="b">
        <v>0</v>
      </c>
      <c r="AM210" s="80">
        <v>0</v>
      </c>
      <c r="AN210" s="85" t="s">
        <v>1635</v>
      </c>
      <c r="AO210" s="85" t="s">
        <v>1672</v>
      </c>
      <c r="AP210" s="80" t="b">
        <v>0</v>
      </c>
      <c r="AQ210" s="85" t="s">
        <v>1311</v>
      </c>
      <c r="AR210" s="80" t="s">
        <v>179</v>
      </c>
      <c r="AS210" s="80">
        <v>0</v>
      </c>
      <c r="AT210" s="80">
        <v>0</v>
      </c>
      <c r="AU210" s="80"/>
      <c r="AV210" s="80"/>
      <c r="AW210" s="80"/>
      <c r="AX210" s="80"/>
      <c r="AY210" s="80"/>
      <c r="AZ210" s="80"/>
      <c r="BA210" s="80"/>
      <c r="BB210" s="80"/>
    </row>
    <row r="211" spans="1:54" x14ac:dyDescent="0.25">
      <c r="A211" s="65" t="s">
        <v>282</v>
      </c>
      <c r="B211" s="65" t="s">
        <v>282</v>
      </c>
      <c r="C211" s="66"/>
      <c r="D211" s="67"/>
      <c r="E211" s="68"/>
      <c r="F211" s="69"/>
      <c r="G211" s="66"/>
      <c r="H211" s="70"/>
      <c r="I211" s="71"/>
      <c r="J211" s="71"/>
      <c r="K211" s="36" t="s">
        <v>65</v>
      </c>
      <c r="L211" s="78">
        <v>211</v>
      </c>
      <c r="M211" s="78"/>
      <c r="N211" s="73"/>
      <c r="O211" s="80" t="s">
        <v>179</v>
      </c>
      <c r="P211" s="82">
        <v>44631.631793981483</v>
      </c>
      <c r="Q211" s="80" t="s">
        <v>510</v>
      </c>
      <c r="R211" s="83" t="str">
        <f>HYPERLINK("http://www.buffalo.edu/ctsi/ctsi-news.host.html/content/shared/www/ctsi/articles/academic_articles/paths-to-achieving-health-equity.detail.html")</f>
        <v>http://www.buffalo.edu/ctsi/ctsi-news.host.html/content/shared/www/ctsi/articles/academic_articles/paths-to-achieving-health-equity.detail.html</v>
      </c>
      <c r="S211" s="80" t="s">
        <v>632</v>
      </c>
      <c r="T211" s="85" t="s">
        <v>357</v>
      </c>
      <c r="U211" s="83" t="str">
        <f>HYPERLINK("https://pbs.twimg.com/media/FNk-Sa9WQAMqR83.jpg")</f>
        <v>https://pbs.twimg.com/media/FNk-Sa9WQAMqR83.jpg</v>
      </c>
      <c r="V211" s="83" t="str">
        <f>HYPERLINK("https://pbs.twimg.com/media/FNk-Sa9WQAMqR83.jpg")</f>
        <v>https://pbs.twimg.com/media/FNk-Sa9WQAMqR83.jpg</v>
      </c>
      <c r="W211" s="82">
        <v>44631.631793981483</v>
      </c>
      <c r="X211" s="88">
        <v>44631</v>
      </c>
      <c r="Y211" s="85" t="s">
        <v>863</v>
      </c>
      <c r="Z211" s="83" t="str">
        <f>HYPERLINK("https://twitter.com/ubuffaloctsi/status/1502300761547542530")</f>
        <v>https://twitter.com/ubuffaloctsi/status/1502300761547542530</v>
      </c>
      <c r="AA211" s="80"/>
      <c r="AB211" s="80"/>
      <c r="AC211" s="85" t="s">
        <v>1312</v>
      </c>
      <c r="AD211" s="80"/>
      <c r="AE211" s="80" t="b">
        <v>0</v>
      </c>
      <c r="AF211" s="80">
        <v>2</v>
      </c>
      <c r="AG211" s="85" t="s">
        <v>1635</v>
      </c>
      <c r="AH211" s="80" t="b">
        <v>0</v>
      </c>
      <c r="AI211" s="80" t="s">
        <v>1642</v>
      </c>
      <c r="AJ211" s="80"/>
      <c r="AK211" s="85" t="s">
        <v>1635</v>
      </c>
      <c r="AL211" s="80" t="b">
        <v>0</v>
      </c>
      <c r="AM211" s="80">
        <v>0</v>
      </c>
      <c r="AN211" s="85" t="s">
        <v>1635</v>
      </c>
      <c r="AO211" s="85" t="s">
        <v>1672</v>
      </c>
      <c r="AP211" s="80" t="b">
        <v>0</v>
      </c>
      <c r="AQ211" s="85" t="s">
        <v>1312</v>
      </c>
      <c r="AR211" s="80" t="s">
        <v>179</v>
      </c>
      <c r="AS211" s="80">
        <v>0</v>
      </c>
      <c r="AT211" s="80">
        <v>0</v>
      </c>
      <c r="AU211" s="80"/>
      <c r="AV211" s="80"/>
      <c r="AW211" s="80"/>
      <c r="AX211" s="80"/>
      <c r="AY211" s="80"/>
      <c r="AZ211" s="80"/>
      <c r="BA211" s="80"/>
      <c r="BB211" s="80"/>
    </row>
    <row r="212" spans="1:54" x14ac:dyDescent="0.25">
      <c r="A212" s="65" t="s">
        <v>308</v>
      </c>
      <c r="B212" s="65" t="s">
        <v>282</v>
      </c>
      <c r="C212" s="66"/>
      <c r="D212" s="67"/>
      <c r="E212" s="68"/>
      <c r="F212" s="69"/>
      <c r="G212" s="66"/>
      <c r="H212" s="70"/>
      <c r="I212" s="71"/>
      <c r="J212" s="71"/>
      <c r="K212" s="36" t="s">
        <v>65</v>
      </c>
      <c r="L212" s="78">
        <v>212</v>
      </c>
      <c r="M212" s="78"/>
      <c r="N212" s="73"/>
      <c r="O212" s="80" t="s">
        <v>416</v>
      </c>
      <c r="P212" s="82">
        <v>44630.12767361111</v>
      </c>
      <c r="Q212" s="80" t="s">
        <v>511</v>
      </c>
      <c r="R212" s="80"/>
      <c r="S212" s="80"/>
      <c r="T212" s="85" t="s">
        <v>357</v>
      </c>
      <c r="U212" s="83" t="str">
        <f>HYPERLINK("https://pbs.twimg.com/media/FNdO1rtXIAQR_FS.jpg")</f>
        <v>https://pbs.twimg.com/media/FNdO1rtXIAQR_FS.jpg</v>
      </c>
      <c r="V212" s="83" t="str">
        <f>HYPERLINK("https://pbs.twimg.com/media/FNdO1rtXIAQR_FS.jpg")</f>
        <v>https://pbs.twimg.com/media/FNdO1rtXIAQR_FS.jpg</v>
      </c>
      <c r="W212" s="82">
        <v>44630.12767361111</v>
      </c>
      <c r="X212" s="88">
        <v>44630</v>
      </c>
      <c r="Y212" s="85" t="s">
        <v>864</v>
      </c>
      <c r="Z212" s="83" t="str">
        <f>HYPERLINK("https://twitter.com/ubstem/status/1501755686358814729")</f>
        <v>https://twitter.com/ubstem/status/1501755686358814729</v>
      </c>
      <c r="AA212" s="80"/>
      <c r="AB212" s="80"/>
      <c r="AC212" s="85" t="s">
        <v>1313</v>
      </c>
      <c r="AD212" s="80"/>
      <c r="AE212" s="80" t="b">
        <v>0</v>
      </c>
      <c r="AF212" s="80">
        <v>0</v>
      </c>
      <c r="AG212" s="85" t="s">
        <v>1635</v>
      </c>
      <c r="AH212" s="80" t="b">
        <v>0</v>
      </c>
      <c r="AI212" s="80" t="s">
        <v>1642</v>
      </c>
      <c r="AJ212" s="80"/>
      <c r="AK212" s="85" t="s">
        <v>1635</v>
      </c>
      <c r="AL212" s="80" t="b">
        <v>0</v>
      </c>
      <c r="AM212" s="80">
        <v>0</v>
      </c>
      <c r="AN212" s="85" t="s">
        <v>1635</v>
      </c>
      <c r="AO212" s="85" t="s">
        <v>1680</v>
      </c>
      <c r="AP212" s="80" t="b">
        <v>0</v>
      </c>
      <c r="AQ212" s="85" t="s">
        <v>1313</v>
      </c>
      <c r="AR212" s="80" t="s">
        <v>179</v>
      </c>
      <c r="AS212" s="80">
        <v>0</v>
      </c>
      <c r="AT212" s="80">
        <v>0</v>
      </c>
      <c r="AU212" s="80"/>
      <c r="AV212" s="80"/>
      <c r="AW212" s="80"/>
      <c r="AX212" s="80"/>
      <c r="AY212" s="80"/>
      <c r="AZ212" s="80"/>
      <c r="BA212" s="80"/>
      <c r="BB212" s="80"/>
    </row>
    <row r="213" spans="1:54" x14ac:dyDescent="0.25">
      <c r="A213" s="65" t="s">
        <v>308</v>
      </c>
      <c r="B213" s="65" t="s">
        <v>357</v>
      </c>
      <c r="C213" s="66"/>
      <c r="D213" s="67"/>
      <c r="E213" s="68"/>
      <c r="F213" s="69"/>
      <c r="G213" s="66"/>
      <c r="H213" s="70"/>
      <c r="I213" s="71"/>
      <c r="J213" s="71"/>
      <c r="K213" s="36" t="s">
        <v>65</v>
      </c>
      <c r="L213" s="78">
        <v>213</v>
      </c>
      <c r="M213" s="78"/>
      <c r="N213" s="73"/>
      <c r="O213" s="80" t="s">
        <v>415</v>
      </c>
      <c r="P213" s="82">
        <v>44632.797025462962</v>
      </c>
      <c r="Q213" s="80" t="s">
        <v>505</v>
      </c>
      <c r="R213" s="80"/>
      <c r="S213" s="80"/>
      <c r="T213" s="85" t="s">
        <v>700</v>
      </c>
      <c r="U213" s="83" t="str">
        <f>HYPERLINK("https://pbs.twimg.com/media/FNq-K9kWUAII3TB.jpg")</f>
        <v>https://pbs.twimg.com/media/FNq-K9kWUAII3TB.jpg</v>
      </c>
      <c r="V213" s="83" t="str">
        <f>HYPERLINK("https://pbs.twimg.com/media/FNq-K9kWUAII3TB.jpg")</f>
        <v>https://pbs.twimg.com/media/FNq-K9kWUAII3TB.jpg</v>
      </c>
      <c r="W213" s="82">
        <v>44632.797025462962</v>
      </c>
      <c r="X213" s="88">
        <v>44632</v>
      </c>
      <c r="Y213" s="85" t="s">
        <v>865</v>
      </c>
      <c r="Z213" s="83" t="str">
        <f>HYPERLINK("https://twitter.com/ubstem/status/1502723024881078273")</f>
        <v>https://twitter.com/ubstem/status/1502723024881078273</v>
      </c>
      <c r="AA213" s="80"/>
      <c r="AB213" s="80"/>
      <c r="AC213" s="85" t="s">
        <v>1314</v>
      </c>
      <c r="AD213" s="80"/>
      <c r="AE213" s="80" t="b">
        <v>0</v>
      </c>
      <c r="AF213" s="80">
        <v>0</v>
      </c>
      <c r="AG213" s="85" t="s">
        <v>1635</v>
      </c>
      <c r="AH213" s="80" t="b">
        <v>0</v>
      </c>
      <c r="AI213" s="80" t="s">
        <v>1642</v>
      </c>
      <c r="AJ213" s="80"/>
      <c r="AK213" s="85" t="s">
        <v>1635</v>
      </c>
      <c r="AL213" s="80" t="b">
        <v>0</v>
      </c>
      <c r="AM213" s="80">
        <v>40</v>
      </c>
      <c r="AN213" s="85" t="s">
        <v>1627</v>
      </c>
      <c r="AO213" s="85" t="s">
        <v>1673</v>
      </c>
      <c r="AP213" s="80" t="b">
        <v>0</v>
      </c>
      <c r="AQ213" s="85" t="s">
        <v>1627</v>
      </c>
      <c r="AR213" s="80" t="s">
        <v>179</v>
      </c>
      <c r="AS213" s="80">
        <v>0</v>
      </c>
      <c r="AT213" s="80">
        <v>0</v>
      </c>
      <c r="AU213" s="80"/>
      <c r="AV213" s="80"/>
      <c r="AW213" s="80"/>
      <c r="AX213" s="80"/>
      <c r="AY213" s="80"/>
      <c r="AZ213" s="80"/>
      <c r="BA213" s="80"/>
      <c r="BB213" s="80"/>
    </row>
    <row r="214" spans="1:54" x14ac:dyDescent="0.25">
      <c r="A214" s="65" t="s">
        <v>309</v>
      </c>
      <c r="B214" s="65" t="s">
        <v>357</v>
      </c>
      <c r="C214" s="66"/>
      <c r="D214" s="67"/>
      <c r="E214" s="68"/>
      <c r="F214" s="69"/>
      <c r="G214" s="66"/>
      <c r="H214" s="70"/>
      <c r="I214" s="71"/>
      <c r="J214" s="71"/>
      <c r="K214" s="36" t="s">
        <v>65</v>
      </c>
      <c r="L214" s="78">
        <v>214</v>
      </c>
      <c r="M214" s="78"/>
      <c r="N214" s="73"/>
      <c r="O214" s="80" t="s">
        <v>415</v>
      </c>
      <c r="P214" s="82">
        <v>44632.797071759262</v>
      </c>
      <c r="Q214" s="80" t="s">
        <v>505</v>
      </c>
      <c r="R214" s="80"/>
      <c r="S214" s="80"/>
      <c r="T214" s="85" t="s">
        <v>700</v>
      </c>
      <c r="U214" s="83" t="str">
        <f>HYPERLINK("https://pbs.twimg.com/media/FNq-K9kWUAII3TB.jpg")</f>
        <v>https://pbs.twimg.com/media/FNq-K9kWUAII3TB.jpg</v>
      </c>
      <c r="V214" s="83" t="str">
        <f>HYPERLINK("https://pbs.twimg.com/media/FNq-K9kWUAII3TB.jpg")</f>
        <v>https://pbs.twimg.com/media/FNq-K9kWUAII3TB.jpg</v>
      </c>
      <c r="W214" s="82">
        <v>44632.797071759262</v>
      </c>
      <c r="X214" s="88">
        <v>44632</v>
      </c>
      <c r="Y214" s="85" t="s">
        <v>866</v>
      </c>
      <c r="Z214" s="83" t="str">
        <f>HYPERLINK("https://twitter.com/jdubclt/status/1502723041708621824")</f>
        <v>https://twitter.com/jdubclt/status/1502723041708621824</v>
      </c>
      <c r="AA214" s="80"/>
      <c r="AB214" s="80"/>
      <c r="AC214" s="85" t="s">
        <v>1315</v>
      </c>
      <c r="AD214" s="80"/>
      <c r="AE214" s="80" t="b">
        <v>0</v>
      </c>
      <c r="AF214" s="80">
        <v>0</v>
      </c>
      <c r="AG214" s="85" t="s">
        <v>1635</v>
      </c>
      <c r="AH214" s="80" t="b">
        <v>0</v>
      </c>
      <c r="AI214" s="80" t="s">
        <v>1642</v>
      </c>
      <c r="AJ214" s="80"/>
      <c r="AK214" s="85" t="s">
        <v>1635</v>
      </c>
      <c r="AL214" s="80" t="b">
        <v>0</v>
      </c>
      <c r="AM214" s="80">
        <v>40</v>
      </c>
      <c r="AN214" s="85" t="s">
        <v>1627</v>
      </c>
      <c r="AO214" s="85" t="s">
        <v>1671</v>
      </c>
      <c r="AP214" s="80" t="b">
        <v>0</v>
      </c>
      <c r="AQ214" s="85" t="s">
        <v>1627</v>
      </c>
      <c r="AR214" s="80" t="s">
        <v>179</v>
      </c>
      <c r="AS214" s="80">
        <v>0</v>
      </c>
      <c r="AT214" s="80">
        <v>0</v>
      </c>
      <c r="AU214" s="80"/>
      <c r="AV214" s="80"/>
      <c r="AW214" s="80"/>
      <c r="AX214" s="80"/>
      <c r="AY214" s="80"/>
      <c r="AZ214" s="80"/>
      <c r="BA214" s="80"/>
      <c r="BB214" s="80"/>
    </row>
    <row r="215" spans="1:54" x14ac:dyDescent="0.25">
      <c r="A215" s="65" t="s">
        <v>310</v>
      </c>
      <c r="B215" s="65" t="s">
        <v>358</v>
      </c>
      <c r="C215" s="66"/>
      <c r="D215" s="67"/>
      <c r="E215" s="68"/>
      <c r="F215" s="69"/>
      <c r="G215" s="66"/>
      <c r="H215" s="70"/>
      <c r="I215" s="71"/>
      <c r="J215" s="71"/>
      <c r="K215" s="36" t="s">
        <v>65</v>
      </c>
      <c r="L215" s="78">
        <v>215</v>
      </c>
      <c r="M215" s="78"/>
      <c r="N215" s="73"/>
      <c r="O215" s="80" t="s">
        <v>414</v>
      </c>
      <c r="P215" s="82">
        <v>44632.7971875</v>
      </c>
      <c r="Q215" s="80" t="s">
        <v>512</v>
      </c>
      <c r="R215" s="80"/>
      <c r="S215" s="80"/>
      <c r="T215" s="85" t="s">
        <v>699</v>
      </c>
      <c r="U215" s="83" t="str">
        <f>HYPERLINK("https://pbs.twimg.com/media/FNq-D36WUAAfRRt.jpg")</f>
        <v>https://pbs.twimg.com/media/FNq-D36WUAAfRRt.jpg</v>
      </c>
      <c r="V215" s="83" t="str">
        <f>HYPERLINK("https://pbs.twimg.com/media/FNq-D36WUAAfRRt.jpg")</f>
        <v>https://pbs.twimg.com/media/FNq-D36WUAAfRRt.jpg</v>
      </c>
      <c r="W215" s="82">
        <v>44632.7971875</v>
      </c>
      <c r="X215" s="88">
        <v>44632</v>
      </c>
      <c r="Y215" s="85" t="s">
        <v>867</v>
      </c>
      <c r="Z215" s="83" t="str">
        <f>HYPERLINK("https://twitter.com/braddigan89/status/1502723085375520769")</f>
        <v>https://twitter.com/braddigan89/status/1502723085375520769</v>
      </c>
      <c r="AA215" s="80"/>
      <c r="AB215" s="80"/>
      <c r="AC215" s="85" t="s">
        <v>1316</v>
      </c>
      <c r="AD215" s="80"/>
      <c r="AE215" s="80" t="b">
        <v>0</v>
      </c>
      <c r="AF215" s="80">
        <v>0</v>
      </c>
      <c r="AG215" s="85" t="s">
        <v>1635</v>
      </c>
      <c r="AH215" s="80" t="b">
        <v>0</v>
      </c>
      <c r="AI215" s="80" t="s">
        <v>1642</v>
      </c>
      <c r="AJ215" s="80"/>
      <c r="AK215" s="85" t="s">
        <v>1635</v>
      </c>
      <c r="AL215" s="80" t="b">
        <v>0</v>
      </c>
      <c r="AM215" s="80">
        <v>3</v>
      </c>
      <c r="AN215" s="85" t="s">
        <v>1365</v>
      </c>
      <c r="AO215" s="85" t="s">
        <v>1671</v>
      </c>
      <c r="AP215" s="80" t="b">
        <v>0</v>
      </c>
      <c r="AQ215" s="85" t="s">
        <v>1365</v>
      </c>
      <c r="AR215" s="80" t="s">
        <v>179</v>
      </c>
      <c r="AS215" s="80">
        <v>0</v>
      </c>
      <c r="AT215" s="80">
        <v>0</v>
      </c>
      <c r="AU215" s="80"/>
      <c r="AV215" s="80"/>
      <c r="AW215" s="80"/>
      <c r="AX215" s="80"/>
      <c r="AY215" s="80"/>
      <c r="AZ215" s="80"/>
      <c r="BA215" s="80"/>
      <c r="BB215" s="80"/>
    </row>
    <row r="216" spans="1:54" x14ac:dyDescent="0.25">
      <c r="A216" s="65" t="s">
        <v>310</v>
      </c>
      <c r="B216" s="65" t="s">
        <v>357</v>
      </c>
      <c r="C216" s="66"/>
      <c r="D216" s="67"/>
      <c r="E216" s="68"/>
      <c r="F216" s="69"/>
      <c r="G216" s="66"/>
      <c r="H216" s="70"/>
      <c r="I216" s="71"/>
      <c r="J216" s="71"/>
      <c r="K216" s="36" t="s">
        <v>65</v>
      </c>
      <c r="L216" s="78">
        <v>216</v>
      </c>
      <c r="M216" s="78"/>
      <c r="N216" s="73"/>
      <c r="O216" s="80" t="s">
        <v>414</v>
      </c>
      <c r="P216" s="82">
        <v>44632.7971875</v>
      </c>
      <c r="Q216" s="80" t="s">
        <v>512</v>
      </c>
      <c r="R216" s="80"/>
      <c r="S216" s="80"/>
      <c r="T216" s="85" t="s">
        <v>699</v>
      </c>
      <c r="U216" s="83" t="str">
        <f>HYPERLINK("https://pbs.twimg.com/media/FNq-D36WUAAfRRt.jpg")</f>
        <v>https://pbs.twimg.com/media/FNq-D36WUAAfRRt.jpg</v>
      </c>
      <c r="V216" s="83" t="str">
        <f>HYPERLINK("https://pbs.twimg.com/media/FNq-D36WUAAfRRt.jpg")</f>
        <v>https://pbs.twimg.com/media/FNq-D36WUAAfRRt.jpg</v>
      </c>
      <c r="W216" s="82">
        <v>44632.7971875</v>
      </c>
      <c r="X216" s="88">
        <v>44632</v>
      </c>
      <c r="Y216" s="85" t="s">
        <v>867</v>
      </c>
      <c r="Z216" s="83" t="str">
        <f>HYPERLINK("https://twitter.com/braddigan89/status/1502723085375520769")</f>
        <v>https://twitter.com/braddigan89/status/1502723085375520769</v>
      </c>
      <c r="AA216" s="80"/>
      <c r="AB216" s="80"/>
      <c r="AC216" s="85" t="s">
        <v>1316</v>
      </c>
      <c r="AD216" s="80"/>
      <c r="AE216" s="80" t="b">
        <v>0</v>
      </c>
      <c r="AF216" s="80">
        <v>0</v>
      </c>
      <c r="AG216" s="85" t="s">
        <v>1635</v>
      </c>
      <c r="AH216" s="80" t="b">
        <v>0</v>
      </c>
      <c r="AI216" s="80" t="s">
        <v>1642</v>
      </c>
      <c r="AJ216" s="80"/>
      <c r="AK216" s="85" t="s">
        <v>1635</v>
      </c>
      <c r="AL216" s="80" t="b">
        <v>0</v>
      </c>
      <c r="AM216" s="80">
        <v>3</v>
      </c>
      <c r="AN216" s="85" t="s">
        <v>1365</v>
      </c>
      <c r="AO216" s="85" t="s">
        <v>1671</v>
      </c>
      <c r="AP216" s="80" t="b">
        <v>0</v>
      </c>
      <c r="AQ216" s="85" t="s">
        <v>1365</v>
      </c>
      <c r="AR216" s="80" t="s">
        <v>179</v>
      </c>
      <c r="AS216" s="80">
        <v>0</v>
      </c>
      <c r="AT216" s="80">
        <v>0</v>
      </c>
      <c r="AU216" s="80"/>
      <c r="AV216" s="80"/>
      <c r="AW216" s="80"/>
      <c r="AX216" s="80"/>
      <c r="AY216" s="80"/>
      <c r="AZ216" s="80"/>
      <c r="BA216" s="80"/>
      <c r="BB216" s="80"/>
    </row>
    <row r="217" spans="1:54" x14ac:dyDescent="0.25">
      <c r="A217" s="65" t="s">
        <v>310</v>
      </c>
      <c r="B217" s="65" t="s">
        <v>385</v>
      </c>
      <c r="C217" s="66"/>
      <c r="D217" s="67"/>
      <c r="E217" s="68"/>
      <c r="F217" s="69"/>
      <c r="G217" s="66"/>
      <c r="H217" s="70"/>
      <c r="I217" s="71"/>
      <c r="J217" s="71"/>
      <c r="K217" s="36" t="s">
        <v>65</v>
      </c>
      <c r="L217" s="78">
        <v>217</v>
      </c>
      <c r="M217" s="78"/>
      <c r="N217" s="73"/>
      <c r="O217" s="80" t="s">
        <v>414</v>
      </c>
      <c r="P217" s="82">
        <v>44632.7971875</v>
      </c>
      <c r="Q217" s="80" t="s">
        <v>512</v>
      </c>
      <c r="R217" s="80"/>
      <c r="S217" s="80"/>
      <c r="T217" s="85" t="s">
        <v>699</v>
      </c>
      <c r="U217" s="83" t="str">
        <f>HYPERLINK("https://pbs.twimg.com/media/FNq-D36WUAAfRRt.jpg")</f>
        <v>https://pbs.twimg.com/media/FNq-D36WUAAfRRt.jpg</v>
      </c>
      <c r="V217" s="83" t="str">
        <f>HYPERLINK("https://pbs.twimg.com/media/FNq-D36WUAAfRRt.jpg")</f>
        <v>https://pbs.twimg.com/media/FNq-D36WUAAfRRt.jpg</v>
      </c>
      <c r="W217" s="82">
        <v>44632.7971875</v>
      </c>
      <c r="X217" s="88">
        <v>44632</v>
      </c>
      <c r="Y217" s="85" t="s">
        <v>867</v>
      </c>
      <c r="Z217" s="83" t="str">
        <f>HYPERLINK("https://twitter.com/braddigan89/status/1502723085375520769")</f>
        <v>https://twitter.com/braddigan89/status/1502723085375520769</v>
      </c>
      <c r="AA217" s="80"/>
      <c r="AB217" s="80"/>
      <c r="AC217" s="85" t="s">
        <v>1316</v>
      </c>
      <c r="AD217" s="80"/>
      <c r="AE217" s="80" t="b">
        <v>0</v>
      </c>
      <c r="AF217" s="80">
        <v>0</v>
      </c>
      <c r="AG217" s="85" t="s">
        <v>1635</v>
      </c>
      <c r="AH217" s="80" t="b">
        <v>0</v>
      </c>
      <c r="AI217" s="80" t="s">
        <v>1642</v>
      </c>
      <c r="AJ217" s="80"/>
      <c r="AK217" s="85" t="s">
        <v>1635</v>
      </c>
      <c r="AL217" s="80" t="b">
        <v>0</v>
      </c>
      <c r="AM217" s="80">
        <v>3</v>
      </c>
      <c r="AN217" s="85" t="s">
        <v>1365</v>
      </c>
      <c r="AO217" s="85" t="s">
        <v>1671</v>
      </c>
      <c r="AP217" s="80" t="b">
        <v>0</v>
      </c>
      <c r="AQ217" s="85" t="s">
        <v>1365</v>
      </c>
      <c r="AR217" s="80" t="s">
        <v>179</v>
      </c>
      <c r="AS217" s="80">
        <v>0</v>
      </c>
      <c r="AT217" s="80">
        <v>0</v>
      </c>
      <c r="AU217" s="80"/>
      <c r="AV217" s="80"/>
      <c r="AW217" s="80"/>
      <c r="AX217" s="80"/>
      <c r="AY217" s="80"/>
      <c r="AZ217" s="80"/>
      <c r="BA217" s="80"/>
      <c r="BB217" s="80"/>
    </row>
    <row r="218" spans="1:54" x14ac:dyDescent="0.25">
      <c r="A218" s="65" t="s">
        <v>310</v>
      </c>
      <c r="B218" s="65" t="s">
        <v>339</v>
      </c>
      <c r="C218" s="66"/>
      <c r="D218" s="67"/>
      <c r="E218" s="68"/>
      <c r="F218" s="69"/>
      <c r="G218" s="66"/>
      <c r="H218" s="70"/>
      <c r="I218" s="71"/>
      <c r="J218" s="71"/>
      <c r="K218" s="36" t="s">
        <v>65</v>
      </c>
      <c r="L218" s="78">
        <v>218</v>
      </c>
      <c r="M218" s="78"/>
      <c r="N218" s="73"/>
      <c r="O218" s="80" t="s">
        <v>415</v>
      </c>
      <c r="P218" s="82">
        <v>44632.7971875</v>
      </c>
      <c r="Q218" s="80" t="s">
        <v>512</v>
      </c>
      <c r="R218" s="80"/>
      <c r="S218" s="80"/>
      <c r="T218" s="85" t="s">
        <v>699</v>
      </c>
      <c r="U218" s="83" t="str">
        <f>HYPERLINK("https://pbs.twimg.com/media/FNq-D36WUAAfRRt.jpg")</f>
        <v>https://pbs.twimg.com/media/FNq-D36WUAAfRRt.jpg</v>
      </c>
      <c r="V218" s="83" t="str">
        <f>HYPERLINK("https://pbs.twimg.com/media/FNq-D36WUAAfRRt.jpg")</f>
        <v>https://pbs.twimg.com/media/FNq-D36WUAAfRRt.jpg</v>
      </c>
      <c r="W218" s="82">
        <v>44632.7971875</v>
      </c>
      <c r="X218" s="88">
        <v>44632</v>
      </c>
      <c r="Y218" s="85" t="s">
        <v>867</v>
      </c>
      <c r="Z218" s="83" t="str">
        <f>HYPERLINK("https://twitter.com/braddigan89/status/1502723085375520769")</f>
        <v>https://twitter.com/braddigan89/status/1502723085375520769</v>
      </c>
      <c r="AA218" s="80"/>
      <c r="AB218" s="80"/>
      <c r="AC218" s="85" t="s">
        <v>1316</v>
      </c>
      <c r="AD218" s="80"/>
      <c r="AE218" s="80" t="b">
        <v>0</v>
      </c>
      <c r="AF218" s="80">
        <v>0</v>
      </c>
      <c r="AG218" s="85" t="s">
        <v>1635</v>
      </c>
      <c r="AH218" s="80" t="b">
        <v>0</v>
      </c>
      <c r="AI218" s="80" t="s">
        <v>1642</v>
      </c>
      <c r="AJ218" s="80"/>
      <c r="AK218" s="85" t="s">
        <v>1635</v>
      </c>
      <c r="AL218" s="80" t="b">
        <v>0</v>
      </c>
      <c r="AM218" s="80">
        <v>3</v>
      </c>
      <c r="AN218" s="85" t="s">
        <v>1365</v>
      </c>
      <c r="AO218" s="85" t="s">
        <v>1671</v>
      </c>
      <c r="AP218" s="80" t="b">
        <v>0</v>
      </c>
      <c r="AQ218" s="85" t="s">
        <v>1365</v>
      </c>
      <c r="AR218" s="80" t="s">
        <v>179</v>
      </c>
      <c r="AS218" s="80">
        <v>0</v>
      </c>
      <c r="AT218" s="80">
        <v>0</v>
      </c>
      <c r="AU218" s="80"/>
      <c r="AV218" s="80"/>
      <c r="AW218" s="80"/>
      <c r="AX218" s="80"/>
      <c r="AY218" s="80"/>
      <c r="AZ218" s="80"/>
      <c r="BA218" s="80"/>
      <c r="BB218" s="80"/>
    </row>
    <row r="219" spans="1:54" x14ac:dyDescent="0.25">
      <c r="A219" s="65" t="s">
        <v>311</v>
      </c>
      <c r="B219" s="65" t="s">
        <v>358</v>
      </c>
      <c r="C219" s="66"/>
      <c r="D219" s="67"/>
      <c r="E219" s="68"/>
      <c r="F219" s="69"/>
      <c r="G219" s="66"/>
      <c r="H219" s="70"/>
      <c r="I219" s="71"/>
      <c r="J219" s="71"/>
      <c r="K219" s="36" t="s">
        <v>65</v>
      </c>
      <c r="L219" s="78">
        <v>219</v>
      </c>
      <c r="M219" s="78"/>
      <c r="N219" s="73"/>
      <c r="O219" s="80" t="s">
        <v>414</v>
      </c>
      <c r="P219" s="82">
        <v>44632.799942129626</v>
      </c>
      <c r="Q219" s="80" t="s">
        <v>512</v>
      </c>
      <c r="R219" s="80"/>
      <c r="S219" s="80"/>
      <c r="T219" s="85" t="s">
        <v>699</v>
      </c>
      <c r="U219" s="83" t="str">
        <f>HYPERLINK("https://pbs.twimg.com/media/FNq-D36WUAAfRRt.jpg")</f>
        <v>https://pbs.twimg.com/media/FNq-D36WUAAfRRt.jpg</v>
      </c>
      <c r="V219" s="83" t="str">
        <f>HYPERLINK("https://pbs.twimg.com/media/FNq-D36WUAAfRRt.jpg")</f>
        <v>https://pbs.twimg.com/media/FNq-D36WUAAfRRt.jpg</v>
      </c>
      <c r="W219" s="82">
        <v>44632.799942129626</v>
      </c>
      <c r="X219" s="88">
        <v>44632</v>
      </c>
      <c r="Y219" s="85" t="s">
        <v>868</v>
      </c>
      <c r="Z219" s="83" t="str">
        <f>HYPERLINK("https://twitter.com/matthewk112358/status/1502724085255704580")</f>
        <v>https://twitter.com/matthewk112358/status/1502724085255704580</v>
      </c>
      <c r="AA219" s="80"/>
      <c r="AB219" s="80"/>
      <c r="AC219" s="85" t="s">
        <v>1317</v>
      </c>
      <c r="AD219" s="80"/>
      <c r="AE219" s="80" t="b">
        <v>0</v>
      </c>
      <c r="AF219" s="80">
        <v>0</v>
      </c>
      <c r="AG219" s="85" t="s">
        <v>1635</v>
      </c>
      <c r="AH219" s="80" t="b">
        <v>0</v>
      </c>
      <c r="AI219" s="80" t="s">
        <v>1642</v>
      </c>
      <c r="AJ219" s="80"/>
      <c r="AK219" s="85" t="s">
        <v>1635</v>
      </c>
      <c r="AL219" s="80" t="b">
        <v>0</v>
      </c>
      <c r="AM219" s="80">
        <v>3</v>
      </c>
      <c r="AN219" s="85" t="s">
        <v>1365</v>
      </c>
      <c r="AO219" s="85" t="s">
        <v>1671</v>
      </c>
      <c r="AP219" s="80" t="b">
        <v>0</v>
      </c>
      <c r="AQ219" s="85" t="s">
        <v>1365</v>
      </c>
      <c r="AR219" s="80" t="s">
        <v>179</v>
      </c>
      <c r="AS219" s="80">
        <v>0</v>
      </c>
      <c r="AT219" s="80">
        <v>0</v>
      </c>
      <c r="AU219" s="80"/>
      <c r="AV219" s="80"/>
      <c r="AW219" s="80"/>
      <c r="AX219" s="80"/>
      <c r="AY219" s="80"/>
      <c r="AZ219" s="80"/>
      <c r="BA219" s="80"/>
      <c r="BB219" s="80"/>
    </row>
    <row r="220" spans="1:54" x14ac:dyDescent="0.25">
      <c r="A220" s="65" t="s">
        <v>311</v>
      </c>
      <c r="B220" s="65" t="s">
        <v>357</v>
      </c>
      <c r="C220" s="66"/>
      <c r="D220" s="67"/>
      <c r="E220" s="68"/>
      <c r="F220" s="69"/>
      <c r="G220" s="66"/>
      <c r="H220" s="70"/>
      <c r="I220" s="71"/>
      <c r="J220" s="71"/>
      <c r="K220" s="36" t="s">
        <v>65</v>
      </c>
      <c r="L220" s="78">
        <v>220</v>
      </c>
      <c r="M220" s="78"/>
      <c r="N220" s="73"/>
      <c r="O220" s="80" t="s">
        <v>414</v>
      </c>
      <c r="P220" s="82">
        <v>44632.799942129626</v>
      </c>
      <c r="Q220" s="80" t="s">
        <v>512</v>
      </c>
      <c r="R220" s="80"/>
      <c r="S220" s="80"/>
      <c r="T220" s="85" t="s">
        <v>699</v>
      </c>
      <c r="U220" s="83" t="str">
        <f>HYPERLINK("https://pbs.twimg.com/media/FNq-D36WUAAfRRt.jpg")</f>
        <v>https://pbs.twimg.com/media/FNq-D36WUAAfRRt.jpg</v>
      </c>
      <c r="V220" s="83" t="str">
        <f>HYPERLINK("https://pbs.twimg.com/media/FNq-D36WUAAfRRt.jpg")</f>
        <v>https://pbs.twimg.com/media/FNq-D36WUAAfRRt.jpg</v>
      </c>
      <c r="W220" s="82">
        <v>44632.799942129626</v>
      </c>
      <c r="X220" s="88">
        <v>44632</v>
      </c>
      <c r="Y220" s="85" t="s">
        <v>868</v>
      </c>
      <c r="Z220" s="83" t="str">
        <f>HYPERLINK("https://twitter.com/matthewk112358/status/1502724085255704580")</f>
        <v>https://twitter.com/matthewk112358/status/1502724085255704580</v>
      </c>
      <c r="AA220" s="80"/>
      <c r="AB220" s="80"/>
      <c r="AC220" s="85" t="s">
        <v>1317</v>
      </c>
      <c r="AD220" s="80"/>
      <c r="AE220" s="80" t="b">
        <v>0</v>
      </c>
      <c r="AF220" s="80">
        <v>0</v>
      </c>
      <c r="AG220" s="85" t="s">
        <v>1635</v>
      </c>
      <c r="AH220" s="80" t="b">
        <v>0</v>
      </c>
      <c r="AI220" s="80" t="s">
        <v>1642</v>
      </c>
      <c r="AJ220" s="80"/>
      <c r="AK220" s="85" t="s">
        <v>1635</v>
      </c>
      <c r="AL220" s="80" t="b">
        <v>0</v>
      </c>
      <c r="AM220" s="80">
        <v>3</v>
      </c>
      <c r="AN220" s="85" t="s">
        <v>1365</v>
      </c>
      <c r="AO220" s="85" t="s">
        <v>1671</v>
      </c>
      <c r="AP220" s="80" t="b">
        <v>0</v>
      </c>
      <c r="AQ220" s="85" t="s">
        <v>1365</v>
      </c>
      <c r="AR220" s="80" t="s">
        <v>179</v>
      </c>
      <c r="AS220" s="80">
        <v>0</v>
      </c>
      <c r="AT220" s="80">
        <v>0</v>
      </c>
      <c r="AU220" s="80"/>
      <c r="AV220" s="80"/>
      <c r="AW220" s="80"/>
      <c r="AX220" s="80"/>
      <c r="AY220" s="80"/>
      <c r="AZ220" s="80"/>
      <c r="BA220" s="80"/>
      <c r="BB220" s="80"/>
    </row>
    <row r="221" spans="1:54" x14ac:dyDescent="0.25">
      <c r="A221" s="65" t="s">
        <v>311</v>
      </c>
      <c r="B221" s="65" t="s">
        <v>385</v>
      </c>
      <c r="C221" s="66"/>
      <c r="D221" s="67"/>
      <c r="E221" s="68"/>
      <c r="F221" s="69"/>
      <c r="G221" s="66"/>
      <c r="H221" s="70"/>
      <c r="I221" s="71"/>
      <c r="J221" s="71"/>
      <c r="K221" s="36" t="s">
        <v>65</v>
      </c>
      <c r="L221" s="78">
        <v>221</v>
      </c>
      <c r="M221" s="78"/>
      <c r="N221" s="73"/>
      <c r="O221" s="80" t="s">
        <v>414</v>
      </c>
      <c r="P221" s="82">
        <v>44632.799942129626</v>
      </c>
      <c r="Q221" s="80" t="s">
        <v>512</v>
      </c>
      <c r="R221" s="80"/>
      <c r="S221" s="80"/>
      <c r="T221" s="85" t="s">
        <v>699</v>
      </c>
      <c r="U221" s="83" t="str">
        <f>HYPERLINK("https://pbs.twimg.com/media/FNq-D36WUAAfRRt.jpg")</f>
        <v>https://pbs.twimg.com/media/FNq-D36WUAAfRRt.jpg</v>
      </c>
      <c r="V221" s="83" t="str">
        <f>HYPERLINK("https://pbs.twimg.com/media/FNq-D36WUAAfRRt.jpg")</f>
        <v>https://pbs.twimg.com/media/FNq-D36WUAAfRRt.jpg</v>
      </c>
      <c r="W221" s="82">
        <v>44632.799942129626</v>
      </c>
      <c r="X221" s="88">
        <v>44632</v>
      </c>
      <c r="Y221" s="85" t="s">
        <v>868</v>
      </c>
      <c r="Z221" s="83" t="str">
        <f>HYPERLINK("https://twitter.com/matthewk112358/status/1502724085255704580")</f>
        <v>https://twitter.com/matthewk112358/status/1502724085255704580</v>
      </c>
      <c r="AA221" s="80"/>
      <c r="AB221" s="80"/>
      <c r="AC221" s="85" t="s">
        <v>1317</v>
      </c>
      <c r="AD221" s="80"/>
      <c r="AE221" s="80" t="b">
        <v>0</v>
      </c>
      <c r="AF221" s="80">
        <v>0</v>
      </c>
      <c r="AG221" s="85" t="s">
        <v>1635</v>
      </c>
      <c r="AH221" s="80" t="b">
        <v>0</v>
      </c>
      <c r="AI221" s="80" t="s">
        <v>1642</v>
      </c>
      <c r="AJ221" s="80"/>
      <c r="AK221" s="85" t="s">
        <v>1635</v>
      </c>
      <c r="AL221" s="80" t="b">
        <v>0</v>
      </c>
      <c r="AM221" s="80">
        <v>3</v>
      </c>
      <c r="AN221" s="85" t="s">
        <v>1365</v>
      </c>
      <c r="AO221" s="85" t="s">
        <v>1671</v>
      </c>
      <c r="AP221" s="80" t="b">
        <v>0</v>
      </c>
      <c r="AQ221" s="85" t="s">
        <v>1365</v>
      </c>
      <c r="AR221" s="80" t="s">
        <v>179</v>
      </c>
      <c r="AS221" s="80">
        <v>0</v>
      </c>
      <c r="AT221" s="80">
        <v>0</v>
      </c>
      <c r="AU221" s="80"/>
      <c r="AV221" s="80"/>
      <c r="AW221" s="80"/>
      <c r="AX221" s="80"/>
      <c r="AY221" s="80"/>
      <c r="AZ221" s="80"/>
      <c r="BA221" s="80"/>
      <c r="BB221" s="80"/>
    </row>
    <row r="222" spans="1:54" x14ac:dyDescent="0.25">
      <c r="A222" s="65" t="s">
        <v>311</v>
      </c>
      <c r="B222" s="65" t="s">
        <v>339</v>
      </c>
      <c r="C222" s="66"/>
      <c r="D222" s="67"/>
      <c r="E222" s="68"/>
      <c r="F222" s="69"/>
      <c r="G222" s="66"/>
      <c r="H222" s="70"/>
      <c r="I222" s="71"/>
      <c r="J222" s="71"/>
      <c r="K222" s="36" t="s">
        <v>65</v>
      </c>
      <c r="L222" s="78">
        <v>222</v>
      </c>
      <c r="M222" s="78"/>
      <c r="N222" s="73"/>
      <c r="O222" s="80" t="s">
        <v>415</v>
      </c>
      <c r="P222" s="82">
        <v>44632.799942129626</v>
      </c>
      <c r="Q222" s="80" t="s">
        <v>512</v>
      </c>
      <c r="R222" s="80"/>
      <c r="S222" s="80"/>
      <c r="T222" s="85" t="s">
        <v>699</v>
      </c>
      <c r="U222" s="83" t="str">
        <f>HYPERLINK("https://pbs.twimg.com/media/FNq-D36WUAAfRRt.jpg")</f>
        <v>https://pbs.twimg.com/media/FNq-D36WUAAfRRt.jpg</v>
      </c>
      <c r="V222" s="83" t="str">
        <f>HYPERLINK("https://pbs.twimg.com/media/FNq-D36WUAAfRRt.jpg")</f>
        <v>https://pbs.twimg.com/media/FNq-D36WUAAfRRt.jpg</v>
      </c>
      <c r="W222" s="82">
        <v>44632.799942129626</v>
      </c>
      <c r="X222" s="88">
        <v>44632</v>
      </c>
      <c r="Y222" s="85" t="s">
        <v>868</v>
      </c>
      <c r="Z222" s="83" t="str">
        <f>HYPERLINK("https://twitter.com/matthewk112358/status/1502724085255704580")</f>
        <v>https://twitter.com/matthewk112358/status/1502724085255704580</v>
      </c>
      <c r="AA222" s="80"/>
      <c r="AB222" s="80"/>
      <c r="AC222" s="85" t="s">
        <v>1317</v>
      </c>
      <c r="AD222" s="80"/>
      <c r="AE222" s="80" t="b">
        <v>0</v>
      </c>
      <c r="AF222" s="80">
        <v>0</v>
      </c>
      <c r="AG222" s="85" t="s">
        <v>1635</v>
      </c>
      <c r="AH222" s="80" t="b">
        <v>0</v>
      </c>
      <c r="AI222" s="80" t="s">
        <v>1642</v>
      </c>
      <c r="AJ222" s="80"/>
      <c r="AK222" s="85" t="s">
        <v>1635</v>
      </c>
      <c r="AL222" s="80" t="b">
        <v>0</v>
      </c>
      <c r="AM222" s="80">
        <v>3</v>
      </c>
      <c r="AN222" s="85" t="s">
        <v>1365</v>
      </c>
      <c r="AO222" s="85" t="s">
        <v>1671</v>
      </c>
      <c r="AP222" s="80" t="b">
        <v>0</v>
      </c>
      <c r="AQ222" s="85" t="s">
        <v>1365</v>
      </c>
      <c r="AR222" s="80" t="s">
        <v>179</v>
      </c>
      <c r="AS222" s="80">
        <v>0</v>
      </c>
      <c r="AT222" s="80">
        <v>0</v>
      </c>
      <c r="AU222" s="80"/>
      <c r="AV222" s="80"/>
      <c r="AW222" s="80"/>
      <c r="AX222" s="80"/>
      <c r="AY222" s="80"/>
      <c r="AZ222" s="80"/>
      <c r="BA222" s="80"/>
      <c r="BB222" s="80"/>
    </row>
    <row r="223" spans="1:54" x14ac:dyDescent="0.25">
      <c r="A223" s="65" t="s">
        <v>312</v>
      </c>
      <c r="B223" s="65" t="s">
        <v>385</v>
      </c>
      <c r="C223" s="66"/>
      <c r="D223" s="67"/>
      <c r="E223" s="68"/>
      <c r="F223" s="69"/>
      <c r="G223" s="66"/>
      <c r="H223" s="70"/>
      <c r="I223" s="71"/>
      <c r="J223" s="71"/>
      <c r="K223" s="36" t="s">
        <v>65</v>
      </c>
      <c r="L223" s="78">
        <v>223</v>
      </c>
      <c r="M223" s="78"/>
      <c r="N223" s="73"/>
      <c r="O223" s="80" t="s">
        <v>414</v>
      </c>
      <c r="P223" s="82">
        <v>44632.817557870374</v>
      </c>
      <c r="Q223" s="80" t="s">
        <v>502</v>
      </c>
      <c r="R223" s="83" t="str">
        <f>HYPERLINK("https://twitter.com/UBAthletics/status/1502708562472148997")</f>
        <v>https://twitter.com/UBAthletics/status/1502708562472148997</v>
      </c>
      <c r="S223" s="80" t="s">
        <v>633</v>
      </c>
      <c r="T223" s="85" t="s">
        <v>698</v>
      </c>
      <c r="U223" s="80"/>
      <c r="V223" s="83" t="str">
        <f>HYPERLINK("https://pbs.twimg.com/profile_images/378800000441469487/d6ea147006735deeb47058603a5b511c_normal.jpeg")</f>
        <v>https://pbs.twimg.com/profile_images/378800000441469487/d6ea147006735deeb47058603a5b511c_normal.jpeg</v>
      </c>
      <c r="W223" s="82">
        <v>44632.817557870374</v>
      </c>
      <c r="X223" s="88">
        <v>44632</v>
      </c>
      <c r="Y223" s="85" t="s">
        <v>869</v>
      </c>
      <c r="Z223" s="83" t="str">
        <f>HYPERLINK("https://twitter.com/icemycoffee/status/1502730468420169729")</f>
        <v>https://twitter.com/icemycoffee/status/1502730468420169729</v>
      </c>
      <c r="AA223" s="80"/>
      <c r="AB223" s="80"/>
      <c r="AC223" s="85" t="s">
        <v>1318</v>
      </c>
      <c r="AD223" s="80"/>
      <c r="AE223" s="80" t="b">
        <v>0</v>
      </c>
      <c r="AF223" s="80">
        <v>0</v>
      </c>
      <c r="AG223" s="85" t="s">
        <v>1635</v>
      </c>
      <c r="AH223" s="80" t="b">
        <v>1</v>
      </c>
      <c r="AI223" s="80" t="s">
        <v>1642</v>
      </c>
      <c r="AJ223" s="80"/>
      <c r="AK223" s="85" t="s">
        <v>1652</v>
      </c>
      <c r="AL223" s="80" t="b">
        <v>0</v>
      </c>
      <c r="AM223" s="80">
        <v>8</v>
      </c>
      <c r="AN223" s="85" t="s">
        <v>1581</v>
      </c>
      <c r="AO223" s="85" t="s">
        <v>1673</v>
      </c>
      <c r="AP223" s="80" t="b">
        <v>0</v>
      </c>
      <c r="AQ223" s="85" t="s">
        <v>1581</v>
      </c>
      <c r="AR223" s="80" t="s">
        <v>179</v>
      </c>
      <c r="AS223" s="80">
        <v>0</v>
      </c>
      <c r="AT223" s="80">
        <v>0</v>
      </c>
      <c r="AU223" s="80"/>
      <c r="AV223" s="80"/>
      <c r="AW223" s="80"/>
      <c r="AX223" s="80"/>
      <c r="AY223" s="80"/>
      <c r="AZ223" s="80"/>
      <c r="BA223" s="80"/>
      <c r="BB223" s="80"/>
    </row>
    <row r="224" spans="1:54" x14ac:dyDescent="0.25">
      <c r="A224" s="65" t="s">
        <v>312</v>
      </c>
      <c r="B224" s="65" t="s">
        <v>357</v>
      </c>
      <c r="C224" s="66"/>
      <c r="D224" s="67"/>
      <c r="E224" s="68"/>
      <c r="F224" s="69"/>
      <c r="G224" s="66"/>
      <c r="H224" s="70"/>
      <c r="I224" s="71"/>
      <c r="J224" s="71"/>
      <c r="K224" s="36" t="s">
        <v>65</v>
      </c>
      <c r="L224" s="78">
        <v>224</v>
      </c>
      <c r="M224" s="78"/>
      <c r="N224" s="73"/>
      <c r="O224" s="80" t="s">
        <v>415</v>
      </c>
      <c r="P224" s="82">
        <v>44632.817557870374</v>
      </c>
      <c r="Q224" s="80" t="s">
        <v>502</v>
      </c>
      <c r="R224" s="83" t="str">
        <f>HYPERLINK("https://twitter.com/UBAthletics/status/1502708562472148997")</f>
        <v>https://twitter.com/UBAthletics/status/1502708562472148997</v>
      </c>
      <c r="S224" s="80" t="s">
        <v>633</v>
      </c>
      <c r="T224" s="85" t="s">
        <v>698</v>
      </c>
      <c r="U224" s="80"/>
      <c r="V224" s="83" t="str">
        <f>HYPERLINK("https://pbs.twimg.com/profile_images/378800000441469487/d6ea147006735deeb47058603a5b511c_normal.jpeg")</f>
        <v>https://pbs.twimg.com/profile_images/378800000441469487/d6ea147006735deeb47058603a5b511c_normal.jpeg</v>
      </c>
      <c r="W224" s="82">
        <v>44632.817557870374</v>
      </c>
      <c r="X224" s="88">
        <v>44632</v>
      </c>
      <c r="Y224" s="85" t="s">
        <v>869</v>
      </c>
      <c r="Z224" s="83" t="str">
        <f>HYPERLINK("https://twitter.com/icemycoffee/status/1502730468420169729")</f>
        <v>https://twitter.com/icemycoffee/status/1502730468420169729</v>
      </c>
      <c r="AA224" s="80"/>
      <c r="AB224" s="80"/>
      <c r="AC224" s="85" t="s">
        <v>1318</v>
      </c>
      <c r="AD224" s="80"/>
      <c r="AE224" s="80" t="b">
        <v>0</v>
      </c>
      <c r="AF224" s="80">
        <v>0</v>
      </c>
      <c r="AG224" s="85" t="s">
        <v>1635</v>
      </c>
      <c r="AH224" s="80" t="b">
        <v>1</v>
      </c>
      <c r="AI224" s="80" t="s">
        <v>1642</v>
      </c>
      <c r="AJ224" s="80"/>
      <c r="AK224" s="85" t="s">
        <v>1652</v>
      </c>
      <c r="AL224" s="80" t="b">
        <v>0</v>
      </c>
      <c r="AM224" s="80">
        <v>8</v>
      </c>
      <c r="AN224" s="85" t="s">
        <v>1581</v>
      </c>
      <c r="AO224" s="85" t="s">
        <v>1673</v>
      </c>
      <c r="AP224" s="80" t="b">
        <v>0</v>
      </c>
      <c r="AQ224" s="85" t="s">
        <v>1581</v>
      </c>
      <c r="AR224" s="80" t="s">
        <v>179</v>
      </c>
      <c r="AS224" s="80">
        <v>0</v>
      </c>
      <c r="AT224" s="80">
        <v>0</v>
      </c>
      <c r="AU224" s="80"/>
      <c r="AV224" s="80"/>
      <c r="AW224" s="80"/>
      <c r="AX224" s="80"/>
      <c r="AY224" s="80"/>
      <c r="AZ224" s="80"/>
      <c r="BA224" s="80"/>
      <c r="BB224" s="80"/>
    </row>
    <row r="225" spans="1:54" x14ac:dyDescent="0.25">
      <c r="A225" s="65" t="s">
        <v>313</v>
      </c>
      <c r="B225" s="65" t="s">
        <v>357</v>
      </c>
      <c r="C225" s="66"/>
      <c r="D225" s="67"/>
      <c r="E225" s="68"/>
      <c r="F225" s="69"/>
      <c r="G225" s="66"/>
      <c r="H225" s="70"/>
      <c r="I225" s="71"/>
      <c r="J225" s="71"/>
      <c r="K225" s="36" t="s">
        <v>65</v>
      </c>
      <c r="L225" s="78">
        <v>225</v>
      </c>
      <c r="M225" s="78"/>
      <c r="N225" s="73"/>
      <c r="O225" s="80" t="s">
        <v>415</v>
      </c>
      <c r="P225" s="82">
        <v>44632.820185185185</v>
      </c>
      <c r="Q225" s="80" t="s">
        <v>505</v>
      </c>
      <c r="R225" s="80"/>
      <c r="S225" s="80"/>
      <c r="T225" s="85" t="s">
        <v>700</v>
      </c>
      <c r="U225" s="83" t="str">
        <f>HYPERLINK("https://pbs.twimg.com/media/FNq-K9kWUAII3TB.jpg")</f>
        <v>https://pbs.twimg.com/media/FNq-K9kWUAII3TB.jpg</v>
      </c>
      <c r="V225" s="83" t="str">
        <f>HYPERLINK("https://pbs.twimg.com/media/FNq-K9kWUAII3TB.jpg")</f>
        <v>https://pbs.twimg.com/media/FNq-K9kWUAII3TB.jpg</v>
      </c>
      <c r="W225" s="82">
        <v>44632.820185185185</v>
      </c>
      <c r="X225" s="88">
        <v>44632</v>
      </c>
      <c r="Y225" s="85" t="s">
        <v>870</v>
      </c>
      <c r="Z225" s="83" t="str">
        <f>HYPERLINK("https://twitter.com/jahreef4/status/1502731418291609610")</f>
        <v>https://twitter.com/jahreef4/status/1502731418291609610</v>
      </c>
      <c r="AA225" s="80"/>
      <c r="AB225" s="80"/>
      <c r="AC225" s="85" t="s">
        <v>1319</v>
      </c>
      <c r="AD225" s="80"/>
      <c r="AE225" s="80" t="b">
        <v>0</v>
      </c>
      <c r="AF225" s="80">
        <v>0</v>
      </c>
      <c r="AG225" s="85" t="s">
        <v>1635</v>
      </c>
      <c r="AH225" s="80" t="b">
        <v>0</v>
      </c>
      <c r="AI225" s="80" t="s">
        <v>1642</v>
      </c>
      <c r="AJ225" s="80"/>
      <c r="AK225" s="85" t="s">
        <v>1635</v>
      </c>
      <c r="AL225" s="80" t="b">
        <v>0</v>
      </c>
      <c r="AM225" s="80">
        <v>40</v>
      </c>
      <c r="AN225" s="85" t="s">
        <v>1627</v>
      </c>
      <c r="AO225" s="85" t="s">
        <v>1671</v>
      </c>
      <c r="AP225" s="80" t="b">
        <v>0</v>
      </c>
      <c r="AQ225" s="85" t="s">
        <v>1627</v>
      </c>
      <c r="AR225" s="80" t="s">
        <v>179</v>
      </c>
      <c r="AS225" s="80">
        <v>0</v>
      </c>
      <c r="AT225" s="80">
        <v>0</v>
      </c>
      <c r="AU225" s="80"/>
      <c r="AV225" s="80"/>
      <c r="AW225" s="80"/>
      <c r="AX225" s="80"/>
      <c r="AY225" s="80"/>
      <c r="AZ225" s="80"/>
      <c r="BA225" s="80"/>
      <c r="BB225" s="80"/>
    </row>
    <row r="226" spans="1:54" x14ac:dyDescent="0.25">
      <c r="A226" s="65" t="s">
        <v>314</v>
      </c>
      <c r="B226" s="65" t="s">
        <v>385</v>
      </c>
      <c r="C226" s="66"/>
      <c r="D226" s="67"/>
      <c r="E226" s="68"/>
      <c r="F226" s="69"/>
      <c r="G226" s="66"/>
      <c r="H226" s="70"/>
      <c r="I226" s="71"/>
      <c r="J226" s="71"/>
      <c r="K226" s="36" t="s">
        <v>65</v>
      </c>
      <c r="L226" s="78">
        <v>226</v>
      </c>
      <c r="M226" s="78"/>
      <c r="N226" s="73"/>
      <c r="O226" s="80" t="s">
        <v>414</v>
      </c>
      <c r="P226" s="82">
        <v>44632.825868055559</v>
      </c>
      <c r="Q226" s="80" t="s">
        <v>502</v>
      </c>
      <c r="R226" s="83" t="str">
        <f>HYPERLINK("https://twitter.com/UBAthletics/status/1502708562472148997")</f>
        <v>https://twitter.com/UBAthletics/status/1502708562472148997</v>
      </c>
      <c r="S226" s="80" t="s">
        <v>633</v>
      </c>
      <c r="T226" s="85" t="s">
        <v>698</v>
      </c>
      <c r="U226" s="80"/>
      <c r="V226" s="83" t="str">
        <f>HYPERLINK("https://pbs.twimg.com/profile_images/1051959332743442432/CepsBHsz_normal.jpg")</f>
        <v>https://pbs.twimg.com/profile_images/1051959332743442432/CepsBHsz_normal.jpg</v>
      </c>
      <c r="W226" s="82">
        <v>44632.825868055559</v>
      </c>
      <c r="X226" s="88">
        <v>44632</v>
      </c>
      <c r="Y226" s="85" t="s">
        <v>871</v>
      </c>
      <c r="Z226" s="83" t="str">
        <f>HYPERLINK("https://twitter.com/buffalowelowe/status/1502733479175340034")</f>
        <v>https://twitter.com/buffalowelowe/status/1502733479175340034</v>
      </c>
      <c r="AA226" s="80"/>
      <c r="AB226" s="80"/>
      <c r="AC226" s="85" t="s">
        <v>1320</v>
      </c>
      <c r="AD226" s="80"/>
      <c r="AE226" s="80" t="b">
        <v>0</v>
      </c>
      <c r="AF226" s="80">
        <v>0</v>
      </c>
      <c r="AG226" s="85" t="s">
        <v>1635</v>
      </c>
      <c r="AH226" s="80" t="b">
        <v>1</v>
      </c>
      <c r="AI226" s="80" t="s">
        <v>1642</v>
      </c>
      <c r="AJ226" s="80"/>
      <c r="AK226" s="85" t="s">
        <v>1652</v>
      </c>
      <c r="AL226" s="80" t="b">
        <v>0</v>
      </c>
      <c r="AM226" s="80">
        <v>8</v>
      </c>
      <c r="AN226" s="85" t="s">
        <v>1581</v>
      </c>
      <c r="AO226" s="85" t="s">
        <v>1671</v>
      </c>
      <c r="AP226" s="80" t="b">
        <v>0</v>
      </c>
      <c r="AQ226" s="85" t="s">
        <v>1581</v>
      </c>
      <c r="AR226" s="80" t="s">
        <v>179</v>
      </c>
      <c r="AS226" s="80">
        <v>0</v>
      </c>
      <c r="AT226" s="80">
        <v>0</v>
      </c>
      <c r="AU226" s="80"/>
      <c r="AV226" s="80"/>
      <c r="AW226" s="80"/>
      <c r="AX226" s="80"/>
      <c r="AY226" s="80"/>
      <c r="AZ226" s="80"/>
      <c r="BA226" s="80"/>
      <c r="BB226" s="80"/>
    </row>
    <row r="227" spans="1:54" x14ac:dyDescent="0.25">
      <c r="A227" s="65" t="s">
        <v>314</v>
      </c>
      <c r="B227" s="65" t="s">
        <v>357</v>
      </c>
      <c r="C227" s="66"/>
      <c r="D227" s="67"/>
      <c r="E227" s="68"/>
      <c r="F227" s="69"/>
      <c r="G227" s="66"/>
      <c r="H227" s="70"/>
      <c r="I227" s="71"/>
      <c r="J227" s="71"/>
      <c r="K227" s="36" t="s">
        <v>65</v>
      </c>
      <c r="L227" s="78">
        <v>227</v>
      </c>
      <c r="M227" s="78"/>
      <c r="N227" s="73"/>
      <c r="O227" s="80" t="s">
        <v>415</v>
      </c>
      <c r="P227" s="82">
        <v>44632.825868055559</v>
      </c>
      <c r="Q227" s="80" t="s">
        <v>502</v>
      </c>
      <c r="R227" s="83" t="str">
        <f>HYPERLINK("https://twitter.com/UBAthletics/status/1502708562472148997")</f>
        <v>https://twitter.com/UBAthletics/status/1502708562472148997</v>
      </c>
      <c r="S227" s="80" t="s">
        <v>633</v>
      </c>
      <c r="T227" s="85" t="s">
        <v>698</v>
      </c>
      <c r="U227" s="80"/>
      <c r="V227" s="83" t="str">
        <f>HYPERLINK("https://pbs.twimg.com/profile_images/1051959332743442432/CepsBHsz_normal.jpg")</f>
        <v>https://pbs.twimg.com/profile_images/1051959332743442432/CepsBHsz_normal.jpg</v>
      </c>
      <c r="W227" s="82">
        <v>44632.825868055559</v>
      </c>
      <c r="X227" s="88">
        <v>44632</v>
      </c>
      <c r="Y227" s="85" t="s">
        <v>871</v>
      </c>
      <c r="Z227" s="83" t="str">
        <f>HYPERLINK("https://twitter.com/buffalowelowe/status/1502733479175340034")</f>
        <v>https://twitter.com/buffalowelowe/status/1502733479175340034</v>
      </c>
      <c r="AA227" s="80"/>
      <c r="AB227" s="80"/>
      <c r="AC227" s="85" t="s">
        <v>1320</v>
      </c>
      <c r="AD227" s="80"/>
      <c r="AE227" s="80" t="b">
        <v>0</v>
      </c>
      <c r="AF227" s="80">
        <v>0</v>
      </c>
      <c r="AG227" s="85" t="s">
        <v>1635</v>
      </c>
      <c r="AH227" s="80" t="b">
        <v>1</v>
      </c>
      <c r="AI227" s="80" t="s">
        <v>1642</v>
      </c>
      <c r="AJ227" s="80"/>
      <c r="AK227" s="85" t="s">
        <v>1652</v>
      </c>
      <c r="AL227" s="80" t="b">
        <v>0</v>
      </c>
      <c r="AM227" s="80">
        <v>8</v>
      </c>
      <c r="AN227" s="85" t="s">
        <v>1581</v>
      </c>
      <c r="AO227" s="85" t="s">
        <v>1671</v>
      </c>
      <c r="AP227" s="80" t="b">
        <v>0</v>
      </c>
      <c r="AQ227" s="85" t="s">
        <v>1581</v>
      </c>
      <c r="AR227" s="80" t="s">
        <v>179</v>
      </c>
      <c r="AS227" s="80">
        <v>0</v>
      </c>
      <c r="AT227" s="80">
        <v>0</v>
      </c>
      <c r="AU227" s="80"/>
      <c r="AV227" s="80"/>
      <c r="AW227" s="80"/>
      <c r="AX227" s="80"/>
      <c r="AY227" s="80"/>
      <c r="AZ227" s="80"/>
      <c r="BA227" s="80"/>
      <c r="BB227" s="80"/>
    </row>
    <row r="228" spans="1:54" x14ac:dyDescent="0.25">
      <c r="A228" s="65" t="s">
        <v>315</v>
      </c>
      <c r="B228" s="65" t="s">
        <v>385</v>
      </c>
      <c r="C228" s="66"/>
      <c r="D228" s="67"/>
      <c r="E228" s="68"/>
      <c r="F228" s="69"/>
      <c r="G228" s="66"/>
      <c r="H228" s="70"/>
      <c r="I228" s="71"/>
      <c r="J228" s="71"/>
      <c r="K228" s="36" t="s">
        <v>65</v>
      </c>
      <c r="L228" s="78">
        <v>228</v>
      </c>
      <c r="M228" s="78"/>
      <c r="N228" s="73"/>
      <c r="O228" s="80" t="s">
        <v>414</v>
      </c>
      <c r="P228" s="82">
        <v>44632.835833333331</v>
      </c>
      <c r="Q228" s="80" t="s">
        <v>502</v>
      </c>
      <c r="R228" s="83" t="str">
        <f>HYPERLINK("https://twitter.com/UBAthletics/status/1502708562472148997")</f>
        <v>https://twitter.com/UBAthletics/status/1502708562472148997</v>
      </c>
      <c r="S228" s="80" t="s">
        <v>633</v>
      </c>
      <c r="T228" s="85" t="s">
        <v>698</v>
      </c>
      <c r="U228" s="80"/>
      <c r="V228" s="83" t="str">
        <f>HYPERLINK("https://pbs.twimg.com/profile_images/1444414319471456256/QnmAh87z_normal.jpg")</f>
        <v>https://pbs.twimg.com/profile_images/1444414319471456256/QnmAh87z_normal.jpg</v>
      </c>
      <c r="W228" s="82">
        <v>44632.835833333331</v>
      </c>
      <c r="X228" s="88">
        <v>44632</v>
      </c>
      <c r="Y228" s="85" t="s">
        <v>872</v>
      </c>
      <c r="Z228" s="83" t="str">
        <f>HYPERLINK("https://twitter.com/lawomenshoops/status/1502737088671727622")</f>
        <v>https://twitter.com/lawomenshoops/status/1502737088671727622</v>
      </c>
      <c r="AA228" s="80"/>
      <c r="AB228" s="80"/>
      <c r="AC228" s="85" t="s">
        <v>1321</v>
      </c>
      <c r="AD228" s="80"/>
      <c r="AE228" s="80" t="b">
        <v>0</v>
      </c>
      <c r="AF228" s="80">
        <v>0</v>
      </c>
      <c r="AG228" s="85" t="s">
        <v>1635</v>
      </c>
      <c r="AH228" s="80" t="b">
        <v>1</v>
      </c>
      <c r="AI228" s="80" t="s">
        <v>1642</v>
      </c>
      <c r="AJ228" s="80"/>
      <c r="AK228" s="85" t="s">
        <v>1652</v>
      </c>
      <c r="AL228" s="80" t="b">
        <v>0</v>
      </c>
      <c r="AM228" s="80">
        <v>8</v>
      </c>
      <c r="AN228" s="85" t="s">
        <v>1581</v>
      </c>
      <c r="AO228" s="85" t="s">
        <v>1672</v>
      </c>
      <c r="AP228" s="80" t="b">
        <v>0</v>
      </c>
      <c r="AQ228" s="85" t="s">
        <v>1581</v>
      </c>
      <c r="AR228" s="80" t="s">
        <v>179</v>
      </c>
      <c r="AS228" s="80">
        <v>0</v>
      </c>
      <c r="AT228" s="80">
        <v>0</v>
      </c>
      <c r="AU228" s="80"/>
      <c r="AV228" s="80"/>
      <c r="AW228" s="80"/>
      <c r="AX228" s="80"/>
      <c r="AY228" s="80"/>
      <c r="AZ228" s="80"/>
      <c r="BA228" s="80"/>
      <c r="BB228" s="80"/>
    </row>
    <row r="229" spans="1:54" x14ac:dyDescent="0.25">
      <c r="A229" s="65" t="s">
        <v>315</v>
      </c>
      <c r="B229" s="65" t="s">
        <v>357</v>
      </c>
      <c r="C229" s="66"/>
      <c r="D229" s="67"/>
      <c r="E229" s="68"/>
      <c r="F229" s="69"/>
      <c r="G229" s="66"/>
      <c r="H229" s="70"/>
      <c r="I229" s="71"/>
      <c r="J229" s="71"/>
      <c r="K229" s="36" t="s">
        <v>65</v>
      </c>
      <c r="L229" s="78">
        <v>229</v>
      </c>
      <c r="M229" s="78"/>
      <c r="N229" s="73"/>
      <c r="O229" s="80" t="s">
        <v>415</v>
      </c>
      <c r="P229" s="82">
        <v>44632.835833333331</v>
      </c>
      <c r="Q229" s="80" t="s">
        <v>502</v>
      </c>
      <c r="R229" s="83" t="str">
        <f>HYPERLINK("https://twitter.com/UBAthletics/status/1502708562472148997")</f>
        <v>https://twitter.com/UBAthletics/status/1502708562472148997</v>
      </c>
      <c r="S229" s="80" t="s">
        <v>633</v>
      </c>
      <c r="T229" s="85" t="s">
        <v>698</v>
      </c>
      <c r="U229" s="80"/>
      <c r="V229" s="83" t="str">
        <f>HYPERLINK("https://pbs.twimg.com/profile_images/1444414319471456256/QnmAh87z_normal.jpg")</f>
        <v>https://pbs.twimg.com/profile_images/1444414319471456256/QnmAh87z_normal.jpg</v>
      </c>
      <c r="W229" s="82">
        <v>44632.835833333331</v>
      </c>
      <c r="X229" s="88">
        <v>44632</v>
      </c>
      <c r="Y229" s="85" t="s">
        <v>872</v>
      </c>
      <c r="Z229" s="83" t="str">
        <f>HYPERLINK("https://twitter.com/lawomenshoops/status/1502737088671727622")</f>
        <v>https://twitter.com/lawomenshoops/status/1502737088671727622</v>
      </c>
      <c r="AA229" s="80"/>
      <c r="AB229" s="80"/>
      <c r="AC229" s="85" t="s">
        <v>1321</v>
      </c>
      <c r="AD229" s="80"/>
      <c r="AE229" s="80" t="b">
        <v>0</v>
      </c>
      <c r="AF229" s="80">
        <v>0</v>
      </c>
      <c r="AG229" s="85" t="s">
        <v>1635</v>
      </c>
      <c r="AH229" s="80" t="b">
        <v>1</v>
      </c>
      <c r="AI229" s="80" t="s">
        <v>1642</v>
      </c>
      <c r="AJ229" s="80"/>
      <c r="AK229" s="85" t="s">
        <v>1652</v>
      </c>
      <c r="AL229" s="80" t="b">
        <v>0</v>
      </c>
      <c r="AM229" s="80">
        <v>8</v>
      </c>
      <c r="AN229" s="85" t="s">
        <v>1581</v>
      </c>
      <c r="AO229" s="85" t="s">
        <v>1672</v>
      </c>
      <c r="AP229" s="80" t="b">
        <v>0</v>
      </c>
      <c r="AQ229" s="85" t="s">
        <v>1581</v>
      </c>
      <c r="AR229" s="80" t="s">
        <v>179</v>
      </c>
      <c r="AS229" s="80">
        <v>0</v>
      </c>
      <c r="AT229" s="80">
        <v>0</v>
      </c>
      <c r="AU229" s="80"/>
      <c r="AV229" s="80"/>
      <c r="AW229" s="80"/>
      <c r="AX229" s="80"/>
      <c r="AY229" s="80"/>
      <c r="AZ229" s="80"/>
      <c r="BA229" s="80"/>
      <c r="BB229" s="80"/>
    </row>
    <row r="230" spans="1:54" x14ac:dyDescent="0.25">
      <c r="A230" s="65" t="s">
        <v>316</v>
      </c>
      <c r="B230" s="65" t="s">
        <v>360</v>
      </c>
      <c r="C230" s="66"/>
      <c r="D230" s="67"/>
      <c r="E230" s="68"/>
      <c r="F230" s="69"/>
      <c r="G230" s="66"/>
      <c r="H230" s="70"/>
      <c r="I230" s="71"/>
      <c r="J230" s="71"/>
      <c r="K230" s="36" t="s">
        <v>65</v>
      </c>
      <c r="L230" s="78">
        <v>230</v>
      </c>
      <c r="M230" s="78"/>
      <c r="N230" s="73"/>
      <c r="O230" s="80" t="s">
        <v>415</v>
      </c>
      <c r="P230" s="82">
        <v>44628.248993055553</v>
      </c>
      <c r="Q230" s="80" t="s">
        <v>437</v>
      </c>
      <c r="R230" s="80"/>
      <c r="S230" s="80"/>
      <c r="T230" s="85" t="s">
        <v>671</v>
      </c>
      <c r="U230" s="83" t="str">
        <f>HYPERLINK("https://pbs.twimg.com/media/FNTfFtyX0AEWqWF.jpg")</f>
        <v>https://pbs.twimg.com/media/FNTfFtyX0AEWqWF.jpg</v>
      </c>
      <c r="V230" s="83" t="str">
        <f>HYPERLINK("https://pbs.twimg.com/media/FNTfFtyX0AEWqWF.jpg")</f>
        <v>https://pbs.twimg.com/media/FNTfFtyX0AEWqWF.jpg</v>
      </c>
      <c r="W230" s="82">
        <v>44628.248993055553</v>
      </c>
      <c r="X230" s="88">
        <v>44628</v>
      </c>
      <c r="Y230" s="85" t="s">
        <v>873</v>
      </c>
      <c r="Z230" s="83" t="str">
        <f>HYPERLINK("https://twitter.com/ghofmar/status/1501074874512539650")</f>
        <v>https://twitter.com/ghofmar/status/1501074874512539650</v>
      </c>
      <c r="AA230" s="80"/>
      <c r="AB230" s="80"/>
      <c r="AC230" s="85" t="s">
        <v>1322</v>
      </c>
      <c r="AD230" s="80"/>
      <c r="AE230" s="80" t="b">
        <v>0</v>
      </c>
      <c r="AF230" s="80">
        <v>0</v>
      </c>
      <c r="AG230" s="85" t="s">
        <v>1635</v>
      </c>
      <c r="AH230" s="80" t="b">
        <v>0</v>
      </c>
      <c r="AI230" s="80" t="s">
        <v>1642</v>
      </c>
      <c r="AJ230" s="80"/>
      <c r="AK230" s="85" t="s">
        <v>1635</v>
      </c>
      <c r="AL230" s="80" t="b">
        <v>0</v>
      </c>
      <c r="AM230" s="80">
        <v>4</v>
      </c>
      <c r="AN230" s="85" t="s">
        <v>1470</v>
      </c>
      <c r="AO230" s="85" t="s">
        <v>1671</v>
      </c>
      <c r="AP230" s="80" t="b">
        <v>0</v>
      </c>
      <c r="AQ230" s="85" t="s">
        <v>1470</v>
      </c>
      <c r="AR230" s="80" t="s">
        <v>179</v>
      </c>
      <c r="AS230" s="80">
        <v>0</v>
      </c>
      <c r="AT230" s="80">
        <v>0</v>
      </c>
      <c r="AU230" s="80"/>
      <c r="AV230" s="80"/>
      <c r="AW230" s="80"/>
      <c r="AX230" s="80"/>
      <c r="AY230" s="80"/>
      <c r="AZ230" s="80"/>
      <c r="BA230" s="80"/>
      <c r="BB230" s="80"/>
    </row>
    <row r="231" spans="1:54" x14ac:dyDescent="0.25">
      <c r="A231" s="65" t="s">
        <v>316</v>
      </c>
      <c r="B231" s="65" t="s">
        <v>357</v>
      </c>
      <c r="C231" s="66"/>
      <c r="D231" s="67"/>
      <c r="E231" s="68"/>
      <c r="F231" s="69"/>
      <c r="G231" s="66"/>
      <c r="H231" s="70"/>
      <c r="I231" s="71"/>
      <c r="J231" s="71"/>
      <c r="K231" s="36" t="s">
        <v>65</v>
      </c>
      <c r="L231" s="78">
        <v>231</v>
      </c>
      <c r="M231" s="78"/>
      <c r="N231" s="73"/>
      <c r="O231" s="80" t="s">
        <v>415</v>
      </c>
      <c r="P231" s="82">
        <v>44628.625879629632</v>
      </c>
      <c r="Q231" s="80" t="s">
        <v>433</v>
      </c>
      <c r="R231" s="80"/>
      <c r="S231" s="80"/>
      <c r="T231" s="85" t="s">
        <v>668</v>
      </c>
      <c r="U231" s="83" t="str">
        <f>HYPERLINK("https://pbs.twimg.com/amplify_video_thumb/1501188997695127554/img/suC8e3aV3xiZEsCE.jpg")</f>
        <v>https://pbs.twimg.com/amplify_video_thumb/1501188997695127554/img/suC8e3aV3xiZEsCE.jpg</v>
      </c>
      <c r="V231" s="83" t="str">
        <f>HYPERLINK("https://pbs.twimg.com/amplify_video_thumb/1501188997695127554/img/suC8e3aV3xiZEsCE.jpg")</f>
        <v>https://pbs.twimg.com/amplify_video_thumb/1501188997695127554/img/suC8e3aV3xiZEsCE.jpg</v>
      </c>
      <c r="W231" s="82">
        <v>44628.625879629632</v>
      </c>
      <c r="X231" s="88">
        <v>44628</v>
      </c>
      <c r="Y231" s="85" t="s">
        <v>874</v>
      </c>
      <c r="Z231" s="83" t="str">
        <f>HYPERLINK("https://twitter.com/ghofmar/status/1501211454527188998")</f>
        <v>https://twitter.com/ghofmar/status/1501211454527188998</v>
      </c>
      <c r="AA231" s="80"/>
      <c r="AB231" s="80"/>
      <c r="AC231" s="85" t="s">
        <v>1323</v>
      </c>
      <c r="AD231" s="80"/>
      <c r="AE231" s="80" t="b">
        <v>0</v>
      </c>
      <c r="AF231" s="80">
        <v>0</v>
      </c>
      <c r="AG231" s="85" t="s">
        <v>1635</v>
      </c>
      <c r="AH231" s="80" t="b">
        <v>0</v>
      </c>
      <c r="AI231" s="80" t="s">
        <v>1642</v>
      </c>
      <c r="AJ231" s="80"/>
      <c r="AK231" s="85" t="s">
        <v>1635</v>
      </c>
      <c r="AL231" s="80" t="b">
        <v>0</v>
      </c>
      <c r="AM231" s="80">
        <v>10</v>
      </c>
      <c r="AN231" s="85" t="s">
        <v>1616</v>
      </c>
      <c r="AO231" s="85" t="s">
        <v>1671</v>
      </c>
      <c r="AP231" s="80" t="b">
        <v>0</v>
      </c>
      <c r="AQ231" s="85" t="s">
        <v>1616</v>
      </c>
      <c r="AR231" s="80" t="s">
        <v>179</v>
      </c>
      <c r="AS231" s="80">
        <v>0</v>
      </c>
      <c r="AT231" s="80">
        <v>0</v>
      </c>
      <c r="AU231" s="80"/>
      <c r="AV231" s="80"/>
      <c r="AW231" s="80"/>
      <c r="AX231" s="80"/>
      <c r="AY231" s="80"/>
      <c r="AZ231" s="80"/>
      <c r="BA231" s="80"/>
      <c r="BB231" s="80"/>
    </row>
    <row r="232" spans="1:54" x14ac:dyDescent="0.25">
      <c r="A232" s="65" t="s">
        <v>316</v>
      </c>
      <c r="B232" s="65" t="s">
        <v>359</v>
      </c>
      <c r="C232" s="66"/>
      <c r="D232" s="67"/>
      <c r="E232" s="68"/>
      <c r="F232" s="69"/>
      <c r="G232" s="66"/>
      <c r="H232" s="70"/>
      <c r="I232" s="71"/>
      <c r="J232" s="71"/>
      <c r="K232" s="36" t="s">
        <v>65</v>
      </c>
      <c r="L232" s="78">
        <v>232</v>
      </c>
      <c r="M232" s="78"/>
      <c r="N232" s="73"/>
      <c r="O232" s="80" t="s">
        <v>415</v>
      </c>
      <c r="P232" s="82">
        <v>44628.626898148148</v>
      </c>
      <c r="Q232" s="80" t="s">
        <v>513</v>
      </c>
      <c r="R232" s="83" t="str">
        <f>HYPERLINK("https://womeninwisconsin.org/profile/kate-newcomb/")</f>
        <v>https://womeninwisconsin.org/profile/kate-newcomb/</v>
      </c>
      <c r="S232" s="80" t="s">
        <v>653</v>
      </c>
      <c r="T232" s="85" t="s">
        <v>668</v>
      </c>
      <c r="U232" s="83" t="str">
        <f>HYPERLINK("https://pbs.twimg.com/media/FNVea7-WYBELGmA.jpg")</f>
        <v>https://pbs.twimg.com/media/FNVea7-WYBELGmA.jpg</v>
      </c>
      <c r="V232" s="83" t="str">
        <f>HYPERLINK("https://pbs.twimg.com/media/FNVea7-WYBELGmA.jpg")</f>
        <v>https://pbs.twimg.com/media/FNVea7-WYBELGmA.jpg</v>
      </c>
      <c r="W232" s="82">
        <v>44628.626898148148</v>
      </c>
      <c r="X232" s="88">
        <v>44628</v>
      </c>
      <c r="Y232" s="85" t="s">
        <v>875</v>
      </c>
      <c r="Z232" s="83" t="str">
        <f>HYPERLINK("https://twitter.com/ghofmar/status/1501211823747567625")</f>
        <v>https://twitter.com/ghofmar/status/1501211823747567625</v>
      </c>
      <c r="AA232" s="80"/>
      <c r="AB232" s="80"/>
      <c r="AC232" s="85" t="s">
        <v>1324</v>
      </c>
      <c r="AD232" s="80"/>
      <c r="AE232" s="80" t="b">
        <v>0</v>
      </c>
      <c r="AF232" s="80">
        <v>0</v>
      </c>
      <c r="AG232" s="85" t="s">
        <v>1635</v>
      </c>
      <c r="AH232" s="80" t="b">
        <v>0</v>
      </c>
      <c r="AI232" s="80" t="s">
        <v>1642</v>
      </c>
      <c r="AJ232" s="80"/>
      <c r="AK232" s="85" t="s">
        <v>1635</v>
      </c>
      <c r="AL232" s="80" t="b">
        <v>0</v>
      </c>
      <c r="AM232" s="80">
        <v>1</v>
      </c>
      <c r="AN232" s="85" t="s">
        <v>1517</v>
      </c>
      <c r="AO232" s="85" t="s">
        <v>1671</v>
      </c>
      <c r="AP232" s="80" t="b">
        <v>0</v>
      </c>
      <c r="AQ232" s="85" t="s">
        <v>1517</v>
      </c>
      <c r="AR232" s="80" t="s">
        <v>179</v>
      </c>
      <c r="AS232" s="80">
        <v>0</v>
      </c>
      <c r="AT232" s="80">
        <v>0</v>
      </c>
      <c r="AU232" s="80"/>
      <c r="AV232" s="80"/>
      <c r="AW232" s="80"/>
      <c r="AX232" s="80"/>
      <c r="AY232" s="80"/>
      <c r="AZ232" s="80"/>
      <c r="BA232" s="80"/>
      <c r="BB232" s="80"/>
    </row>
    <row r="233" spans="1:54" x14ac:dyDescent="0.25">
      <c r="A233" s="65" t="s">
        <v>316</v>
      </c>
      <c r="B233" s="65" t="s">
        <v>389</v>
      </c>
      <c r="C233" s="66"/>
      <c r="D233" s="67"/>
      <c r="E233" s="68"/>
      <c r="F233" s="69"/>
      <c r="G233" s="66"/>
      <c r="H233" s="70"/>
      <c r="I233" s="71"/>
      <c r="J233" s="71"/>
      <c r="K233" s="36" t="s">
        <v>65</v>
      </c>
      <c r="L233" s="78">
        <v>233</v>
      </c>
      <c r="M233" s="78"/>
      <c r="N233" s="73"/>
      <c r="O233" s="80" t="s">
        <v>414</v>
      </c>
      <c r="P233" s="82">
        <v>44628.664490740739</v>
      </c>
      <c r="Q233" s="80" t="s">
        <v>514</v>
      </c>
      <c r="R233" s="83" t="str">
        <f>HYPERLINK("https://buffalohistory.org/event/to-walk-about-in-freedom-lecture/")</f>
        <v>https://buffalohistory.org/event/to-walk-about-in-freedom-lecture/</v>
      </c>
      <c r="S233" s="80" t="s">
        <v>642</v>
      </c>
      <c r="T233" s="85" t="s">
        <v>357</v>
      </c>
      <c r="U233" s="80"/>
      <c r="V233" s="83" t="str">
        <f>HYPERLINK("https://pbs.twimg.com/profile_images/671695242169442304/pYbYqgSc_normal.png")</f>
        <v>https://pbs.twimg.com/profile_images/671695242169442304/pYbYqgSc_normal.png</v>
      </c>
      <c r="W233" s="82">
        <v>44628.664490740739</v>
      </c>
      <c r="X233" s="88">
        <v>44628</v>
      </c>
      <c r="Y233" s="85" t="s">
        <v>876</v>
      </c>
      <c r="Z233" s="83" t="str">
        <f>HYPERLINK("https://twitter.com/ghofmar/status/1501225448474578946")</f>
        <v>https://twitter.com/ghofmar/status/1501225448474578946</v>
      </c>
      <c r="AA233" s="80"/>
      <c r="AB233" s="80"/>
      <c r="AC233" s="85" t="s">
        <v>1325</v>
      </c>
      <c r="AD233" s="80"/>
      <c r="AE233" s="80" t="b">
        <v>0</v>
      </c>
      <c r="AF233" s="80">
        <v>0</v>
      </c>
      <c r="AG233" s="85" t="s">
        <v>1635</v>
      </c>
      <c r="AH233" s="80" t="b">
        <v>0</v>
      </c>
      <c r="AI233" s="80" t="s">
        <v>1642</v>
      </c>
      <c r="AJ233" s="80"/>
      <c r="AK233" s="85" t="s">
        <v>1635</v>
      </c>
      <c r="AL233" s="80" t="b">
        <v>0</v>
      </c>
      <c r="AM233" s="80">
        <v>2</v>
      </c>
      <c r="AN233" s="85" t="s">
        <v>1547</v>
      </c>
      <c r="AO233" s="85" t="s">
        <v>1671</v>
      </c>
      <c r="AP233" s="80" t="b">
        <v>0</v>
      </c>
      <c r="AQ233" s="85" t="s">
        <v>1547</v>
      </c>
      <c r="AR233" s="80" t="s">
        <v>179</v>
      </c>
      <c r="AS233" s="80">
        <v>0</v>
      </c>
      <c r="AT233" s="80">
        <v>0</v>
      </c>
      <c r="AU233" s="80"/>
      <c r="AV233" s="80"/>
      <c r="AW233" s="80"/>
      <c r="AX233" s="80"/>
      <c r="AY233" s="80"/>
      <c r="AZ233" s="80"/>
      <c r="BA233" s="80"/>
      <c r="BB233" s="80"/>
    </row>
    <row r="234" spans="1:54" x14ac:dyDescent="0.25">
      <c r="A234" s="65" t="s">
        <v>316</v>
      </c>
      <c r="B234" s="65" t="s">
        <v>376</v>
      </c>
      <c r="C234" s="66"/>
      <c r="D234" s="67"/>
      <c r="E234" s="68"/>
      <c r="F234" s="69"/>
      <c r="G234" s="66"/>
      <c r="H234" s="70"/>
      <c r="I234" s="71"/>
      <c r="J234" s="71"/>
      <c r="K234" s="36" t="s">
        <v>65</v>
      </c>
      <c r="L234" s="78">
        <v>234</v>
      </c>
      <c r="M234" s="78"/>
      <c r="N234" s="73"/>
      <c r="O234" s="80" t="s">
        <v>414</v>
      </c>
      <c r="P234" s="82">
        <v>44628.664490740739</v>
      </c>
      <c r="Q234" s="80" t="s">
        <v>514</v>
      </c>
      <c r="R234" s="83" t="str">
        <f>HYPERLINK("https://buffalohistory.org/event/to-walk-about-in-freedom-lecture/")</f>
        <v>https://buffalohistory.org/event/to-walk-about-in-freedom-lecture/</v>
      </c>
      <c r="S234" s="80" t="s">
        <v>642</v>
      </c>
      <c r="T234" s="85" t="s">
        <v>357</v>
      </c>
      <c r="U234" s="80"/>
      <c r="V234" s="83" t="str">
        <f>HYPERLINK("https://pbs.twimg.com/profile_images/671695242169442304/pYbYqgSc_normal.png")</f>
        <v>https://pbs.twimg.com/profile_images/671695242169442304/pYbYqgSc_normal.png</v>
      </c>
      <c r="W234" s="82">
        <v>44628.664490740739</v>
      </c>
      <c r="X234" s="88">
        <v>44628</v>
      </c>
      <c r="Y234" s="85" t="s">
        <v>876</v>
      </c>
      <c r="Z234" s="83" t="str">
        <f>HYPERLINK("https://twitter.com/ghofmar/status/1501225448474578946")</f>
        <v>https://twitter.com/ghofmar/status/1501225448474578946</v>
      </c>
      <c r="AA234" s="80"/>
      <c r="AB234" s="80"/>
      <c r="AC234" s="85" t="s">
        <v>1325</v>
      </c>
      <c r="AD234" s="80"/>
      <c r="AE234" s="80" t="b">
        <v>0</v>
      </c>
      <c r="AF234" s="80">
        <v>0</v>
      </c>
      <c r="AG234" s="85" t="s">
        <v>1635</v>
      </c>
      <c r="AH234" s="80" t="b">
        <v>0</v>
      </c>
      <c r="AI234" s="80" t="s">
        <v>1642</v>
      </c>
      <c r="AJ234" s="80"/>
      <c r="AK234" s="85" t="s">
        <v>1635</v>
      </c>
      <c r="AL234" s="80" t="b">
        <v>0</v>
      </c>
      <c r="AM234" s="80">
        <v>2</v>
      </c>
      <c r="AN234" s="85" t="s">
        <v>1547</v>
      </c>
      <c r="AO234" s="85" t="s">
        <v>1671</v>
      </c>
      <c r="AP234" s="80" t="b">
        <v>0</v>
      </c>
      <c r="AQ234" s="85" t="s">
        <v>1547</v>
      </c>
      <c r="AR234" s="80" t="s">
        <v>179</v>
      </c>
      <c r="AS234" s="80">
        <v>0</v>
      </c>
      <c r="AT234" s="80">
        <v>0</v>
      </c>
      <c r="AU234" s="80"/>
      <c r="AV234" s="80"/>
      <c r="AW234" s="80"/>
      <c r="AX234" s="80"/>
      <c r="AY234" s="80"/>
      <c r="AZ234" s="80"/>
      <c r="BA234" s="80"/>
      <c r="BB234" s="80"/>
    </row>
    <row r="235" spans="1:54" x14ac:dyDescent="0.25">
      <c r="A235" s="65" t="s">
        <v>316</v>
      </c>
      <c r="B235" s="65" t="s">
        <v>374</v>
      </c>
      <c r="C235" s="66"/>
      <c r="D235" s="67"/>
      <c r="E235" s="68"/>
      <c r="F235" s="69"/>
      <c r="G235" s="66"/>
      <c r="H235" s="70"/>
      <c r="I235" s="71"/>
      <c r="J235" s="71"/>
      <c r="K235" s="36" t="s">
        <v>65</v>
      </c>
      <c r="L235" s="78">
        <v>235</v>
      </c>
      <c r="M235" s="78"/>
      <c r="N235" s="73"/>
      <c r="O235" s="80" t="s">
        <v>415</v>
      </c>
      <c r="P235" s="82">
        <v>44628.664490740739</v>
      </c>
      <c r="Q235" s="80" t="s">
        <v>514</v>
      </c>
      <c r="R235" s="83" t="str">
        <f>HYPERLINK("https://buffalohistory.org/event/to-walk-about-in-freedom-lecture/")</f>
        <v>https://buffalohistory.org/event/to-walk-about-in-freedom-lecture/</v>
      </c>
      <c r="S235" s="80" t="s">
        <v>642</v>
      </c>
      <c r="T235" s="85" t="s">
        <v>357</v>
      </c>
      <c r="U235" s="80"/>
      <c r="V235" s="83" t="str">
        <f>HYPERLINK("https://pbs.twimg.com/profile_images/671695242169442304/pYbYqgSc_normal.png")</f>
        <v>https://pbs.twimg.com/profile_images/671695242169442304/pYbYqgSc_normal.png</v>
      </c>
      <c r="W235" s="82">
        <v>44628.664490740739</v>
      </c>
      <c r="X235" s="88">
        <v>44628</v>
      </c>
      <c r="Y235" s="85" t="s">
        <v>876</v>
      </c>
      <c r="Z235" s="83" t="str">
        <f>HYPERLINK("https://twitter.com/ghofmar/status/1501225448474578946")</f>
        <v>https://twitter.com/ghofmar/status/1501225448474578946</v>
      </c>
      <c r="AA235" s="80"/>
      <c r="AB235" s="80"/>
      <c r="AC235" s="85" t="s">
        <v>1325</v>
      </c>
      <c r="AD235" s="80"/>
      <c r="AE235" s="80" t="b">
        <v>0</v>
      </c>
      <c r="AF235" s="80">
        <v>0</v>
      </c>
      <c r="AG235" s="85" t="s">
        <v>1635</v>
      </c>
      <c r="AH235" s="80" t="b">
        <v>0</v>
      </c>
      <c r="AI235" s="80" t="s">
        <v>1642</v>
      </c>
      <c r="AJ235" s="80"/>
      <c r="AK235" s="85" t="s">
        <v>1635</v>
      </c>
      <c r="AL235" s="80" t="b">
        <v>0</v>
      </c>
      <c r="AM235" s="80">
        <v>2</v>
      </c>
      <c r="AN235" s="85" t="s">
        <v>1547</v>
      </c>
      <c r="AO235" s="85" t="s">
        <v>1671</v>
      </c>
      <c r="AP235" s="80" t="b">
        <v>0</v>
      </c>
      <c r="AQ235" s="85" t="s">
        <v>1547</v>
      </c>
      <c r="AR235" s="80" t="s">
        <v>179</v>
      </c>
      <c r="AS235" s="80">
        <v>0</v>
      </c>
      <c r="AT235" s="80">
        <v>0</v>
      </c>
      <c r="AU235" s="80"/>
      <c r="AV235" s="80"/>
      <c r="AW235" s="80"/>
      <c r="AX235" s="80"/>
      <c r="AY235" s="80"/>
      <c r="AZ235" s="80"/>
      <c r="BA235" s="80"/>
      <c r="BB235" s="80"/>
    </row>
    <row r="236" spans="1:54" x14ac:dyDescent="0.25">
      <c r="A236" s="65" t="s">
        <v>316</v>
      </c>
      <c r="B236" s="65" t="s">
        <v>389</v>
      </c>
      <c r="C236" s="66"/>
      <c r="D236" s="67"/>
      <c r="E236" s="68"/>
      <c r="F236" s="69"/>
      <c r="G236" s="66"/>
      <c r="H236" s="70"/>
      <c r="I236" s="71"/>
      <c r="J236" s="71"/>
      <c r="K236" s="36" t="s">
        <v>65</v>
      </c>
      <c r="L236" s="78">
        <v>236</v>
      </c>
      <c r="M236" s="78"/>
      <c r="N236" s="73"/>
      <c r="O236" s="80" t="s">
        <v>414</v>
      </c>
      <c r="P236" s="82">
        <v>44629.649548611109</v>
      </c>
      <c r="Q236" s="80" t="s">
        <v>455</v>
      </c>
      <c r="R236" s="83" t="str">
        <f>HYPERLINK("https://buffalohistory.org/event/to-walk-about-in-freedom-lecture/")</f>
        <v>https://buffalohistory.org/event/to-walk-about-in-freedom-lecture/</v>
      </c>
      <c r="S236" s="80" t="s">
        <v>642</v>
      </c>
      <c r="T236" s="85" t="s">
        <v>357</v>
      </c>
      <c r="U236" s="80"/>
      <c r="V236" s="83" t="str">
        <f>HYPERLINK("https://pbs.twimg.com/profile_images/671695242169442304/pYbYqgSc_normal.png")</f>
        <v>https://pbs.twimg.com/profile_images/671695242169442304/pYbYqgSc_normal.png</v>
      </c>
      <c r="W236" s="82">
        <v>44629.649548611109</v>
      </c>
      <c r="X236" s="88">
        <v>44629</v>
      </c>
      <c r="Y236" s="85" t="s">
        <v>877</v>
      </c>
      <c r="Z236" s="83" t="str">
        <f>HYPERLINK("https://twitter.com/ghofmar/status/1501582418465239049")</f>
        <v>https://twitter.com/ghofmar/status/1501582418465239049</v>
      </c>
      <c r="AA236" s="80"/>
      <c r="AB236" s="80"/>
      <c r="AC236" s="85" t="s">
        <v>1326</v>
      </c>
      <c r="AD236" s="80"/>
      <c r="AE236" s="80" t="b">
        <v>0</v>
      </c>
      <c r="AF236" s="80">
        <v>0</v>
      </c>
      <c r="AG236" s="85" t="s">
        <v>1635</v>
      </c>
      <c r="AH236" s="80" t="b">
        <v>0</v>
      </c>
      <c r="AI236" s="80" t="s">
        <v>1642</v>
      </c>
      <c r="AJ236" s="80"/>
      <c r="AK236" s="85" t="s">
        <v>1635</v>
      </c>
      <c r="AL236" s="80" t="b">
        <v>0</v>
      </c>
      <c r="AM236" s="80">
        <v>4</v>
      </c>
      <c r="AN236" s="85" t="s">
        <v>1549</v>
      </c>
      <c r="AO236" s="85" t="s">
        <v>1671</v>
      </c>
      <c r="AP236" s="80" t="b">
        <v>0</v>
      </c>
      <c r="AQ236" s="85" t="s">
        <v>1549</v>
      </c>
      <c r="AR236" s="80" t="s">
        <v>179</v>
      </c>
      <c r="AS236" s="80">
        <v>0</v>
      </c>
      <c r="AT236" s="80">
        <v>0</v>
      </c>
      <c r="AU236" s="80"/>
      <c r="AV236" s="80"/>
      <c r="AW236" s="80"/>
      <c r="AX236" s="80"/>
      <c r="AY236" s="80"/>
      <c r="AZ236" s="80"/>
      <c r="BA236" s="80"/>
      <c r="BB236" s="80"/>
    </row>
    <row r="237" spans="1:54" x14ac:dyDescent="0.25">
      <c r="A237" s="65" t="s">
        <v>316</v>
      </c>
      <c r="B237" s="65" t="s">
        <v>376</v>
      </c>
      <c r="C237" s="66"/>
      <c r="D237" s="67"/>
      <c r="E237" s="68"/>
      <c r="F237" s="69"/>
      <c r="G237" s="66"/>
      <c r="H237" s="70"/>
      <c r="I237" s="71"/>
      <c r="J237" s="71"/>
      <c r="K237" s="36" t="s">
        <v>65</v>
      </c>
      <c r="L237" s="78">
        <v>237</v>
      </c>
      <c r="M237" s="78"/>
      <c r="N237" s="73"/>
      <c r="O237" s="80" t="s">
        <v>414</v>
      </c>
      <c r="P237" s="82">
        <v>44629.649548611109</v>
      </c>
      <c r="Q237" s="80" t="s">
        <v>455</v>
      </c>
      <c r="R237" s="83" t="str">
        <f>HYPERLINK("https://buffalohistory.org/event/to-walk-about-in-freedom-lecture/")</f>
        <v>https://buffalohistory.org/event/to-walk-about-in-freedom-lecture/</v>
      </c>
      <c r="S237" s="80" t="s">
        <v>642</v>
      </c>
      <c r="T237" s="85" t="s">
        <v>357</v>
      </c>
      <c r="U237" s="80"/>
      <c r="V237" s="83" t="str">
        <f>HYPERLINK("https://pbs.twimg.com/profile_images/671695242169442304/pYbYqgSc_normal.png")</f>
        <v>https://pbs.twimg.com/profile_images/671695242169442304/pYbYqgSc_normal.png</v>
      </c>
      <c r="W237" s="82">
        <v>44629.649548611109</v>
      </c>
      <c r="X237" s="88">
        <v>44629</v>
      </c>
      <c r="Y237" s="85" t="s">
        <v>877</v>
      </c>
      <c r="Z237" s="83" t="str">
        <f>HYPERLINK("https://twitter.com/ghofmar/status/1501582418465239049")</f>
        <v>https://twitter.com/ghofmar/status/1501582418465239049</v>
      </c>
      <c r="AA237" s="80"/>
      <c r="AB237" s="80"/>
      <c r="AC237" s="85" t="s">
        <v>1326</v>
      </c>
      <c r="AD237" s="80"/>
      <c r="AE237" s="80" t="b">
        <v>0</v>
      </c>
      <c r="AF237" s="80">
        <v>0</v>
      </c>
      <c r="AG237" s="85" t="s">
        <v>1635</v>
      </c>
      <c r="AH237" s="80" t="b">
        <v>0</v>
      </c>
      <c r="AI237" s="80" t="s">
        <v>1642</v>
      </c>
      <c r="AJ237" s="80"/>
      <c r="AK237" s="85" t="s">
        <v>1635</v>
      </c>
      <c r="AL237" s="80" t="b">
        <v>0</v>
      </c>
      <c r="AM237" s="80">
        <v>4</v>
      </c>
      <c r="AN237" s="85" t="s">
        <v>1549</v>
      </c>
      <c r="AO237" s="85" t="s">
        <v>1671</v>
      </c>
      <c r="AP237" s="80" t="b">
        <v>0</v>
      </c>
      <c r="AQ237" s="85" t="s">
        <v>1549</v>
      </c>
      <c r="AR237" s="80" t="s">
        <v>179</v>
      </c>
      <c r="AS237" s="80">
        <v>0</v>
      </c>
      <c r="AT237" s="80">
        <v>0</v>
      </c>
      <c r="AU237" s="80"/>
      <c r="AV237" s="80"/>
      <c r="AW237" s="80"/>
      <c r="AX237" s="80"/>
      <c r="AY237" s="80"/>
      <c r="AZ237" s="80"/>
      <c r="BA237" s="80"/>
      <c r="BB237" s="80"/>
    </row>
    <row r="238" spans="1:54" x14ac:dyDescent="0.25">
      <c r="A238" s="65" t="s">
        <v>316</v>
      </c>
      <c r="B238" s="65" t="s">
        <v>374</v>
      </c>
      <c r="C238" s="66"/>
      <c r="D238" s="67"/>
      <c r="E238" s="68"/>
      <c r="F238" s="69"/>
      <c r="G238" s="66"/>
      <c r="H238" s="70"/>
      <c r="I238" s="71"/>
      <c r="J238" s="71"/>
      <c r="K238" s="36" t="s">
        <v>65</v>
      </c>
      <c r="L238" s="78">
        <v>238</v>
      </c>
      <c r="M238" s="78"/>
      <c r="N238" s="73"/>
      <c r="O238" s="80" t="s">
        <v>415</v>
      </c>
      <c r="P238" s="82">
        <v>44629.649548611109</v>
      </c>
      <c r="Q238" s="80" t="s">
        <v>455</v>
      </c>
      <c r="R238" s="83" t="str">
        <f>HYPERLINK("https://buffalohistory.org/event/to-walk-about-in-freedom-lecture/")</f>
        <v>https://buffalohistory.org/event/to-walk-about-in-freedom-lecture/</v>
      </c>
      <c r="S238" s="80" t="s">
        <v>642</v>
      </c>
      <c r="T238" s="85" t="s">
        <v>357</v>
      </c>
      <c r="U238" s="80"/>
      <c r="V238" s="83" t="str">
        <f>HYPERLINK("https://pbs.twimg.com/profile_images/671695242169442304/pYbYqgSc_normal.png")</f>
        <v>https://pbs.twimg.com/profile_images/671695242169442304/pYbYqgSc_normal.png</v>
      </c>
      <c r="W238" s="82">
        <v>44629.649548611109</v>
      </c>
      <c r="X238" s="88">
        <v>44629</v>
      </c>
      <c r="Y238" s="85" t="s">
        <v>877</v>
      </c>
      <c r="Z238" s="83" t="str">
        <f>HYPERLINK("https://twitter.com/ghofmar/status/1501582418465239049")</f>
        <v>https://twitter.com/ghofmar/status/1501582418465239049</v>
      </c>
      <c r="AA238" s="80"/>
      <c r="AB238" s="80"/>
      <c r="AC238" s="85" t="s">
        <v>1326</v>
      </c>
      <c r="AD238" s="80"/>
      <c r="AE238" s="80" t="b">
        <v>0</v>
      </c>
      <c r="AF238" s="80">
        <v>0</v>
      </c>
      <c r="AG238" s="85" t="s">
        <v>1635</v>
      </c>
      <c r="AH238" s="80" t="b">
        <v>0</v>
      </c>
      <c r="AI238" s="80" t="s">
        <v>1642</v>
      </c>
      <c r="AJ238" s="80"/>
      <c r="AK238" s="85" t="s">
        <v>1635</v>
      </c>
      <c r="AL238" s="80" t="b">
        <v>0</v>
      </c>
      <c r="AM238" s="80">
        <v>4</v>
      </c>
      <c r="AN238" s="85" t="s">
        <v>1549</v>
      </c>
      <c r="AO238" s="85" t="s">
        <v>1671</v>
      </c>
      <c r="AP238" s="80" t="b">
        <v>0</v>
      </c>
      <c r="AQ238" s="85" t="s">
        <v>1549</v>
      </c>
      <c r="AR238" s="80" t="s">
        <v>179</v>
      </c>
      <c r="AS238" s="80">
        <v>0</v>
      </c>
      <c r="AT238" s="80">
        <v>0</v>
      </c>
      <c r="AU238" s="80"/>
      <c r="AV238" s="80"/>
      <c r="AW238" s="80"/>
      <c r="AX238" s="80"/>
      <c r="AY238" s="80"/>
      <c r="AZ238" s="80"/>
      <c r="BA238" s="80"/>
      <c r="BB238" s="80"/>
    </row>
    <row r="239" spans="1:54" x14ac:dyDescent="0.25">
      <c r="A239" s="65" t="s">
        <v>316</v>
      </c>
      <c r="B239" s="65" t="s">
        <v>360</v>
      </c>
      <c r="C239" s="66"/>
      <c r="D239" s="67"/>
      <c r="E239" s="68"/>
      <c r="F239" s="69"/>
      <c r="G239" s="66"/>
      <c r="H239" s="70"/>
      <c r="I239" s="71"/>
      <c r="J239" s="71"/>
      <c r="K239" s="36" t="s">
        <v>65</v>
      </c>
      <c r="L239" s="78">
        <v>239</v>
      </c>
      <c r="M239" s="78"/>
      <c r="N239" s="73"/>
      <c r="O239" s="80" t="s">
        <v>415</v>
      </c>
      <c r="P239" s="82">
        <v>44630.169687499998</v>
      </c>
      <c r="Q239" s="80" t="s">
        <v>458</v>
      </c>
      <c r="R239" s="83" t="str">
        <f>HYPERLINK("https://library.buffalo.edu/ub-sports/")</f>
        <v>https://library.buffalo.edu/ub-sports/</v>
      </c>
      <c r="S239" s="80" t="s">
        <v>632</v>
      </c>
      <c r="T239" s="85" t="s">
        <v>682</v>
      </c>
      <c r="U239" s="83" t="str">
        <f>HYPERLINK("https://pbs.twimg.com/media/FNdQpFMX0AAU1af.jpg")</f>
        <v>https://pbs.twimg.com/media/FNdQpFMX0AAU1af.jpg</v>
      </c>
      <c r="V239" s="83" t="str">
        <f>HYPERLINK("https://pbs.twimg.com/media/FNdQpFMX0AAU1af.jpg")</f>
        <v>https://pbs.twimg.com/media/FNdQpFMX0AAU1af.jpg</v>
      </c>
      <c r="W239" s="82">
        <v>44630.169687499998</v>
      </c>
      <c r="X239" s="88">
        <v>44630</v>
      </c>
      <c r="Y239" s="85" t="s">
        <v>878</v>
      </c>
      <c r="Z239" s="83" t="str">
        <f>HYPERLINK("https://twitter.com/ghofmar/status/1501770912550555648")</f>
        <v>https://twitter.com/ghofmar/status/1501770912550555648</v>
      </c>
      <c r="AA239" s="80"/>
      <c r="AB239" s="80"/>
      <c r="AC239" s="85" t="s">
        <v>1327</v>
      </c>
      <c r="AD239" s="80"/>
      <c r="AE239" s="80" t="b">
        <v>0</v>
      </c>
      <c r="AF239" s="80">
        <v>0</v>
      </c>
      <c r="AG239" s="85" t="s">
        <v>1635</v>
      </c>
      <c r="AH239" s="80" t="b">
        <v>0</v>
      </c>
      <c r="AI239" s="80" t="s">
        <v>1642</v>
      </c>
      <c r="AJ239" s="80"/>
      <c r="AK239" s="85" t="s">
        <v>1635</v>
      </c>
      <c r="AL239" s="80" t="b">
        <v>0</v>
      </c>
      <c r="AM239" s="80">
        <v>3</v>
      </c>
      <c r="AN239" s="85" t="s">
        <v>1471</v>
      </c>
      <c r="AO239" s="85" t="s">
        <v>1671</v>
      </c>
      <c r="AP239" s="80" t="b">
        <v>0</v>
      </c>
      <c r="AQ239" s="85" t="s">
        <v>1471</v>
      </c>
      <c r="AR239" s="80" t="s">
        <v>179</v>
      </c>
      <c r="AS239" s="80">
        <v>0</v>
      </c>
      <c r="AT239" s="80">
        <v>0</v>
      </c>
      <c r="AU239" s="80"/>
      <c r="AV239" s="80"/>
      <c r="AW239" s="80"/>
      <c r="AX239" s="80"/>
      <c r="AY239" s="80"/>
      <c r="AZ239" s="80"/>
      <c r="BA239" s="80"/>
      <c r="BB239" s="80"/>
    </row>
    <row r="240" spans="1:54" x14ac:dyDescent="0.25">
      <c r="A240" s="65" t="s">
        <v>316</v>
      </c>
      <c r="B240" s="65" t="s">
        <v>360</v>
      </c>
      <c r="C240" s="66"/>
      <c r="D240" s="67"/>
      <c r="E240" s="68"/>
      <c r="F240" s="69"/>
      <c r="G240" s="66"/>
      <c r="H240" s="70"/>
      <c r="I240" s="71"/>
      <c r="J240" s="71"/>
      <c r="K240" s="36" t="s">
        <v>65</v>
      </c>
      <c r="L240" s="78">
        <v>240</v>
      </c>
      <c r="M240" s="78"/>
      <c r="N240" s="73"/>
      <c r="O240" s="80" t="s">
        <v>415</v>
      </c>
      <c r="P240" s="82">
        <v>44631.710138888891</v>
      </c>
      <c r="Q240" s="80" t="s">
        <v>515</v>
      </c>
      <c r="R240" s="83" t="str">
        <f>HYPERLINK("https://digital.lib.buffalo.edu/items/show/83413")</f>
        <v>https://digital.lib.buffalo.edu/items/show/83413</v>
      </c>
      <c r="S240" s="80" t="s">
        <v>632</v>
      </c>
      <c r="T240" s="85" t="s">
        <v>701</v>
      </c>
      <c r="U240" s="83" t="str">
        <f>HYPERLINK("https://pbs.twimg.com/ext_tw_video_thumb/1502329070947901450/pu/img/NAxEjYVOdw6nFVJo.jpg")</f>
        <v>https://pbs.twimg.com/ext_tw_video_thumb/1502329070947901450/pu/img/NAxEjYVOdw6nFVJo.jpg</v>
      </c>
      <c r="V240" s="83" t="str">
        <f>HYPERLINK("https://pbs.twimg.com/ext_tw_video_thumb/1502329070947901450/pu/img/NAxEjYVOdw6nFVJo.jpg")</f>
        <v>https://pbs.twimg.com/ext_tw_video_thumb/1502329070947901450/pu/img/NAxEjYVOdw6nFVJo.jpg</v>
      </c>
      <c r="W240" s="82">
        <v>44631.710138888891</v>
      </c>
      <c r="X240" s="88">
        <v>44631</v>
      </c>
      <c r="Y240" s="85" t="s">
        <v>879</v>
      </c>
      <c r="Z240" s="83" t="str">
        <f>HYPERLINK("https://twitter.com/ghofmar/status/1502329153160462343")</f>
        <v>https://twitter.com/ghofmar/status/1502329153160462343</v>
      </c>
      <c r="AA240" s="80"/>
      <c r="AB240" s="80"/>
      <c r="AC240" s="85" t="s">
        <v>1328</v>
      </c>
      <c r="AD240" s="80"/>
      <c r="AE240" s="80" t="b">
        <v>0</v>
      </c>
      <c r="AF240" s="80">
        <v>0</v>
      </c>
      <c r="AG240" s="85" t="s">
        <v>1635</v>
      </c>
      <c r="AH240" s="80" t="b">
        <v>0</v>
      </c>
      <c r="AI240" s="80" t="s">
        <v>1642</v>
      </c>
      <c r="AJ240" s="80"/>
      <c r="AK240" s="85" t="s">
        <v>1635</v>
      </c>
      <c r="AL240" s="80" t="b">
        <v>0</v>
      </c>
      <c r="AM240" s="80">
        <v>3</v>
      </c>
      <c r="AN240" s="85" t="s">
        <v>1472</v>
      </c>
      <c r="AO240" s="85" t="s">
        <v>1671</v>
      </c>
      <c r="AP240" s="80" t="b">
        <v>0</v>
      </c>
      <c r="AQ240" s="85" t="s">
        <v>1472</v>
      </c>
      <c r="AR240" s="80" t="s">
        <v>179</v>
      </c>
      <c r="AS240" s="80">
        <v>0</v>
      </c>
      <c r="AT240" s="80">
        <v>0</v>
      </c>
      <c r="AU240" s="80"/>
      <c r="AV240" s="80"/>
      <c r="AW240" s="80"/>
      <c r="AX240" s="80"/>
      <c r="AY240" s="80"/>
      <c r="AZ240" s="80"/>
      <c r="BA240" s="80"/>
      <c r="BB240" s="80"/>
    </row>
    <row r="241" spans="1:54" x14ac:dyDescent="0.25">
      <c r="A241" s="65" t="s">
        <v>316</v>
      </c>
      <c r="B241" s="65" t="s">
        <v>357</v>
      </c>
      <c r="C241" s="66"/>
      <c r="D241" s="67"/>
      <c r="E241" s="68"/>
      <c r="F241" s="69"/>
      <c r="G241" s="66"/>
      <c r="H241" s="70"/>
      <c r="I241" s="71"/>
      <c r="J241" s="71"/>
      <c r="K241" s="36" t="s">
        <v>65</v>
      </c>
      <c r="L241" s="78">
        <v>241</v>
      </c>
      <c r="M241" s="78"/>
      <c r="N241" s="73"/>
      <c r="O241" s="80" t="s">
        <v>415</v>
      </c>
      <c r="P241" s="82">
        <v>44631.949895833335</v>
      </c>
      <c r="Q241" s="80" t="s">
        <v>504</v>
      </c>
      <c r="R241" s="83" t="str">
        <f>HYPERLINK("https://www.buffalo.edu/ubnow/stories/2022/03/true-blue-club.html?utm_source=TWITTER&amp;utm_medium=social&amp;utm_term=20220311&amp;utm_content=100002967585037&amp;utm_campaign=UB+True+Blue&amp;linkId=100000114683785")</f>
        <v>https://www.buffalo.edu/ubnow/stories/2022/03/true-blue-club.html?utm_source=TWITTER&amp;utm_medium=social&amp;utm_term=20220311&amp;utm_content=100002967585037&amp;utm_campaign=UB+True+Blue&amp;linkId=100000114683785</v>
      </c>
      <c r="S241" s="80" t="s">
        <v>632</v>
      </c>
      <c r="T241" s="85" t="s">
        <v>699</v>
      </c>
      <c r="U241" s="80"/>
      <c r="V241" s="83" t="str">
        <f>HYPERLINK("https://pbs.twimg.com/profile_images/671695242169442304/pYbYqgSc_normal.png")</f>
        <v>https://pbs.twimg.com/profile_images/671695242169442304/pYbYqgSc_normal.png</v>
      </c>
      <c r="W241" s="82">
        <v>44631.949895833335</v>
      </c>
      <c r="X241" s="88">
        <v>44631</v>
      </c>
      <c r="Y241" s="85" t="s">
        <v>880</v>
      </c>
      <c r="Z241" s="83" t="str">
        <f>HYPERLINK("https://twitter.com/ghofmar/status/1502416038629101574")</f>
        <v>https://twitter.com/ghofmar/status/1502416038629101574</v>
      </c>
      <c r="AA241" s="80"/>
      <c r="AB241" s="80"/>
      <c r="AC241" s="85" t="s">
        <v>1329</v>
      </c>
      <c r="AD241" s="80"/>
      <c r="AE241" s="80" t="b">
        <v>0</v>
      </c>
      <c r="AF241" s="80">
        <v>0</v>
      </c>
      <c r="AG241" s="85" t="s">
        <v>1635</v>
      </c>
      <c r="AH241" s="80" t="b">
        <v>0</v>
      </c>
      <c r="AI241" s="80" t="s">
        <v>1642</v>
      </c>
      <c r="AJ241" s="80"/>
      <c r="AK241" s="85" t="s">
        <v>1635</v>
      </c>
      <c r="AL241" s="80" t="b">
        <v>0</v>
      </c>
      <c r="AM241" s="80">
        <v>4</v>
      </c>
      <c r="AN241" s="85" t="s">
        <v>1621</v>
      </c>
      <c r="AO241" s="85" t="s">
        <v>1671</v>
      </c>
      <c r="AP241" s="80" t="b">
        <v>0</v>
      </c>
      <c r="AQ241" s="85" t="s">
        <v>1621</v>
      </c>
      <c r="AR241" s="80" t="s">
        <v>179</v>
      </c>
      <c r="AS241" s="80">
        <v>0</v>
      </c>
      <c r="AT241" s="80">
        <v>0</v>
      </c>
      <c r="AU241" s="80"/>
      <c r="AV241" s="80"/>
      <c r="AW241" s="80"/>
      <c r="AX241" s="80"/>
      <c r="AY241" s="80"/>
      <c r="AZ241" s="80"/>
      <c r="BA241" s="80"/>
      <c r="BB241" s="80"/>
    </row>
    <row r="242" spans="1:54" x14ac:dyDescent="0.25">
      <c r="A242" s="65" t="s">
        <v>316</v>
      </c>
      <c r="B242" s="65" t="s">
        <v>360</v>
      </c>
      <c r="C242" s="66"/>
      <c r="D242" s="67"/>
      <c r="E242" s="68"/>
      <c r="F242" s="69"/>
      <c r="G242" s="66"/>
      <c r="H242" s="70"/>
      <c r="I242" s="71"/>
      <c r="J242" s="71"/>
      <c r="K242" s="36" t="s">
        <v>65</v>
      </c>
      <c r="L242" s="78">
        <v>242</v>
      </c>
      <c r="M242" s="78"/>
      <c r="N242" s="73"/>
      <c r="O242" s="80" t="s">
        <v>415</v>
      </c>
      <c r="P242" s="82">
        <v>44632.279120370367</v>
      </c>
      <c r="Q242" s="80" t="s">
        <v>486</v>
      </c>
      <c r="R242" s="83" t="str">
        <f>HYPERLINK("https://library.buffalo.edu/ub-sports/mens-sports/football/1899-buffalo-football/")</f>
        <v>https://library.buffalo.edu/ub-sports/mens-sports/football/1899-buffalo-football/</v>
      </c>
      <c r="S242" s="80" t="s">
        <v>632</v>
      </c>
      <c r="T242" s="85" t="s">
        <v>357</v>
      </c>
      <c r="U242" s="83" t="str">
        <f>HYPERLINK("https://pbs.twimg.com/media/FNnWJWrXIAA8Q0T.jpg")</f>
        <v>https://pbs.twimg.com/media/FNnWJWrXIAA8Q0T.jpg</v>
      </c>
      <c r="V242" s="83" t="str">
        <f>HYPERLINK("https://pbs.twimg.com/media/FNnWJWrXIAA8Q0T.jpg")</f>
        <v>https://pbs.twimg.com/media/FNnWJWrXIAA8Q0T.jpg</v>
      </c>
      <c r="W242" s="82">
        <v>44632.279120370367</v>
      </c>
      <c r="X242" s="88">
        <v>44632</v>
      </c>
      <c r="Y242" s="85" t="s">
        <v>881</v>
      </c>
      <c r="Z242" s="83" t="str">
        <f>HYPERLINK("https://twitter.com/ghofmar/status/1502535345828777984")</f>
        <v>https://twitter.com/ghofmar/status/1502535345828777984</v>
      </c>
      <c r="AA242" s="80"/>
      <c r="AB242" s="80"/>
      <c r="AC242" s="85" t="s">
        <v>1330</v>
      </c>
      <c r="AD242" s="80"/>
      <c r="AE242" s="80" t="b">
        <v>0</v>
      </c>
      <c r="AF242" s="80">
        <v>0</v>
      </c>
      <c r="AG242" s="85" t="s">
        <v>1635</v>
      </c>
      <c r="AH242" s="80" t="b">
        <v>0</v>
      </c>
      <c r="AI242" s="80" t="s">
        <v>1642</v>
      </c>
      <c r="AJ242" s="80"/>
      <c r="AK242" s="85" t="s">
        <v>1635</v>
      </c>
      <c r="AL242" s="80" t="b">
        <v>0</v>
      </c>
      <c r="AM242" s="80">
        <v>4</v>
      </c>
      <c r="AN242" s="85" t="s">
        <v>1473</v>
      </c>
      <c r="AO242" s="85" t="s">
        <v>1671</v>
      </c>
      <c r="AP242" s="80" t="b">
        <v>0</v>
      </c>
      <c r="AQ242" s="85" t="s">
        <v>1473</v>
      </c>
      <c r="AR242" s="80" t="s">
        <v>179</v>
      </c>
      <c r="AS242" s="80">
        <v>0</v>
      </c>
      <c r="AT242" s="80">
        <v>0</v>
      </c>
      <c r="AU242" s="80"/>
      <c r="AV242" s="80"/>
      <c r="AW242" s="80"/>
      <c r="AX242" s="80"/>
      <c r="AY242" s="80"/>
      <c r="AZ242" s="80"/>
      <c r="BA242" s="80"/>
      <c r="BB242" s="80"/>
    </row>
    <row r="243" spans="1:54" x14ac:dyDescent="0.25">
      <c r="A243" s="65" t="s">
        <v>316</v>
      </c>
      <c r="B243" s="65" t="s">
        <v>385</v>
      </c>
      <c r="C243" s="66"/>
      <c r="D243" s="67"/>
      <c r="E243" s="68"/>
      <c r="F243" s="69"/>
      <c r="G243" s="66"/>
      <c r="H243" s="70"/>
      <c r="I243" s="71"/>
      <c r="J243" s="71"/>
      <c r="K243" s="36" t="s">
        <v>65</v>
      </c>
      <c r="L243" s="78">
        <v>243</v>
      </c>
      <c r="M243" s="78"/>
      <c r="N243" s="73"/>
      <c r="O243" s="80" t="s">
        <v>414</v>
      </c>
      <c r="P243" s="82">
        <v>44632.621793981481</v>
      </c>
      <c r="Q243" s="80" t="s">
        <v>516</v>
      </c>
      <c r="R243" s="83" t="str">
        <f>HYPERLINK("https://digital.lib.buffalo.edu/collection/LIB-UA021/")</f>
        <v>https://digital.lib.buffalo.edu/collection/LIB-UA021/</v>
      </c>
      <c r="S243" s="80" t="s">
        <v>632</v>
      </c>
      <c r="T243" s="85" t="s">
        <v>665</v>
      </c>
      <c r="U243" s="83" t="str">
        <f>HYPERLINK("https://pbs.twimg.com/media/FNp9fYPXoAkTobt.jpg")</f>
        <v>https://pbs.twimg.com/media/FNp9fYPXoAkTobt.jpg</v>
      </c>
      <c r="V243" s="83" t="str">
        <f>HYPERLINK("https://pbs.twimg.com/media/FNp9fYPXoAkTobt.jpg")</f>
        <v>https://pbs.twimg.com/media/FNp9fYPXoAkTobt.jpg</v>
      </c>
      <c r="W243" s="82">
        <v>44632.621793981481</v>
      </c>
      <c r="X243" s="88">
        <v>44632</v>
      </c>
      <c r="Y243" s="85" t="s">
        <v>882</v>
      </c>
      <c r="Z243" s="83" t="str">
        <f>HYPERLINK("https://twitter.com/ghofmar/status/1502659526000054275")</f>
        <v>https://twitter.com/ghofmar/status/1502659526000054275</v>
      </c>
      <c r="AA243" s="80"/>
      <c r="AB243" s="80"/>
      <c r="AC243" s="85" t="s">
        <v>1331</v>
      </c>
      <c r="AD243" s="80"/>
      <c r="AE243" s="80" t="b">
        <v>0</v>
      </c>
      <c r="AF243" s="80">
        <v>0</v>
      </c>
      <c r="AG243" s="85" t="s">
        <v>1635</v>
      </c>
      <c r="AH243" s="80" t="b">
        <v>0</v>
      </c>
      <c r="AI243" s="80" t="s">
        <v>1642</v>
      </c>
      <c r="AJ243" s="80"/>
      <c r="AK243" s="85" t="s">
        <v>1635</v>
      </c>
      <c r="AL243" s="80" t="b">
        <v>0</v>
      </c>
      <c r="AM243" s="80">
        <v>3</v>
      </c>
      <c r="AN243" s="85" t="s">
        <v>1474</v>
      </c>
      <c r="AO243" s="85" t="s">
        <v>1671</v>
      </c>
      <c r="AP243" s="80" t="b">
        <v>0</v>
      </c>
      <c r="AQ243" s="85" t="s">
        <v>1474</v>
      </c>
      <c r="AR243" s="80" t="s">
        <v>179</v>
      </c>
      <c r="AS243" s="80">
        <v>0</v>
      </c>
      <c r="AT243" s="80">
        <v>0</v>
      </c>
      <c r="AU243" s="80"/>
      <c r="AV243" s="80"/>
      <c r="AW243" s="80"/>
      <c r="AX243" s="80"/>
      <c r="AY243" s="80"/>
      <c r="AZ243" s="80"/>
      <c r="BA243" s="80"/>
      <c r="BB243" s="80"/>
    </row>
    <row r="244" spans="1:54" x14ac:dyDescent="0.25">
      <c r="A244" s="65" t="s">
        <v>316</v>
      </c>
      <c r="B244" s="65" t="s">
        <v>360</v>
      </c>
      <c r="C244" s="66"/>
      <c r="D244" s="67"/>
      <c r="E244" s="68"/>
      <c r="F244" s="69"/>
      <c r="G244" s="66"/>
      <c r="H244" s="70"/>
      <c r="I244" s="71"/>
      <c r="J244" s="71"/>
      <c r="K244" s="36" t="s">
        <v>65</v>
      </c>
      <c r="L244" s="78">
        <v>244</v>
      </c>
      <c r="M244" s="78"/>
      <c r="N244" s="73"/>
      <c r="O244" s="80" t="s">
        <v>415</v>
      </c>
      <c r="P244" s="82">
        <v>44632.621793981481</v>
      </c>
      <c r="Q244" s="80" t="s">
        <v>516</v>
      </c>
      <c r="R244" s="83" t="str">
        <f>HYPERLINK("https://digital.lib.buffalo.edu/collection/LIB-UA021/")</f>
        <v>https://digital.lib.buffalo.edu/collection/LIB-UA021/</v>
      </c>
      <c r="S244" s="80" t="s">
        <v>632</v>
      </c>
      <c r="T244" s="85" t="s">
        <v>665</v>
      </c>
      <c r="U244" s="83" t="str">
        <f>HYPERLINK("https://pbs.twimg.com/media/FNp9fYPXoAkTobt.jpg")</f>
        <v>https://pbs.twimg.com/media/FNp9fYPXoAkTobt.jpg</v>
      </c>
      <c r="V244" s="83" t="str">
        <f>HYPERLINK("https://pbs.twimg.com/media/FNp9fYPXoAkTobt.jpg")</f>
        <v>https://pbs.twimg.com/media/FNp9fYPXoAkTobt.jpg</v>
      </c>
      <c r="W244" s="82">
        <v>44632.621793981481</v>
      </c>
      <c r="X244" s="88">
        <v>44632</v>
      </c>
      <c r="Y244" s="85" t="s">
        <v>882</v>
      </c>
      <c r="Z244" s="83" t="str">
        <f>HYPERLINK("https://twitter.com/ghofmar/status/1502659526000054275")</f>
        <v>https://twitter.com/ghofmar/status/1502659526000054275</v>
      </c>
      <c r="AA244" s="80"/>
      <c r="AB244" s="80"/>
      <c r="AC244" s="85" t="s">
        <v>1331</v>
      </c>
      <c r="AD244" s="80"/>
      <c r="AE244" s="80" t="b">
        <v>0</v>
      </c>
      <c r="AF244" s="80">
        <v>0</v>
      </c>
      <c r="AG244" s="85" t="s">
        <v>1635</v>
      </c>
      <c r="AH244" s="80" t="b">
        <v>0</v>
      </c>
      <c r="AI244" s="80" t="s">
        <v>1642</v>
      </c>
      <c r="AJ244" s="80"/>
      <c r="AK244" s="85" t="s">
        <v>1635</v>
      </c>
      <c r="AL244" s="80" t="b">
        <v>0</v>
      </c>
      <c r="AM244" s="80">
        <v>3</v>
      </c>
      <c r="AN244" s="85" t="s">
        <v>1474</v>
      </c>
      <c r="AO244" s="85" t="s">
        <v>1671</v>
      </c>
      <c r="AP244" s="80" t="b">
        <v>0</v>
      </c>
      <c r="AQ244" s="85" t="s">
        <v>1474</v>
      </c>
      <c r="AR244" s="80" t="s">
        <v>179</v>
      </c>
      <c r="AS244" s="80">
        <v>0</v>
      </c>
      <c r="AT244" s="80">
        <v>0</v>
      </c>
      <c r="AU244" s="80"/>
      <c r="AV244" s="80"/>
      <c r="AW244" s="80"/>
      <c r="AX244" s="80"/>
      <c r="AY244" s="80"/>
      <c r="AZ244" s="80"/>
      <c r="BA244" s="80"/>
      <c r="BB244" s="80"/>
    </row>
    <row r="245" spans="1:54" x14ac:dyDescent="0.25">
      <c r="A245" s="65" t="s">
        <v>316</v>
      </c>
      <c r="B245" s="65" t="s">
        <v>405</v>
      </c>
      <c r="C245" s="66"/>
      <c r="D245" s="67"/>
      <c r="E245" s="68"/>
      <c r="F245" s="69"/>
      <c r="G245" s="66"/>
      <c r="H245" s="70"/>
      <c r="I245" s="71"/>
      <c r="J245" s="71"/>
      <c r="K245" s="36" t="s">
        <v>65</v>
      </c>
      <c r="L245" s="78">
        <v>245</v>
      </c>
      <c r="M245" s="78"/>
      <c r="N245" s="73"/>
      <c r="O245" s="80" t="s">
        <v>414</v>
      </c>
      <c r="P245" s="82">
        <v>44632.760474537034</v>
      </c>
      <c r="Q245" s="80" t="s">
        <v>500</v>
      </c>
      <c r="R245" s="80"/>
      <c r="S245" s="80"/>
      <c r="T245" s="85" t="s">
        <v>697</v>
      </c>
      <c r="U245" s="80"/>
      <c r="V245" s="83" t="str">
        <f>HYPERLINK("https://pbs.twimg.com/profile_images/671695242169442304/pYbYqgSc_normal.png")</f>
        <v>https://pbs.twimg.com/profile_images/671695242169442304/pYbYqgSc_normal.png</v>
      </c>
      <c r="W245" s="82">
        <v>44632.760474537034</v>
      </c>
      <c r="X245" s="88">
        <v>44632</v>
      </c>
      <c r="Y245" s="85" t="s">
        <v>883</v>
      </c>
      <c r="Z245" s="83" t="str">
        <f>HYPERLINK("https://twitter.com/ghofmar/status/1502709782884536323")</f>
        <v>https://twitter.com/ghofmar/status/1502709782884536323</v>
      </c>
      <c r="AA245" s="80"/>
      <c r="AB245" s="80"/>
      <c r="AC245" s="85" t="s">
        <v>1332</v>
      </c>
      <c r="AD245" s="80"/>
      <c r="AE245" s="80" t="b">
        <v>0</v>
      </c>
      <c r="AF245" s="80">
        <v>0</v>
      </c>
      <c r="AG245" s="85" t="s">
        <v>1635</v>
      </c>
      <c r="AH245" s="80" t="b">
        <v>0</v>
      </c>
      <c r="AI245" s="80" t="s">
        <v>1642</v>
      </c>
      <c r="AJ245" s="80"/>
      <c r="AK245" s="85" t="s">
        <v>1635</v>
      </c>
      <c r="AL245" s="80" t="b">
        <v>0</v>
      </c>
      <c r="AM245" s="80">
        <v>7</v>
      </c>
      <c r="AN245" s="85" t="s">
        <v>1537</v>
      </c>
      <c r="AO245" s="85" t="s">
        <v>1671</v>
      </c>
      <c r="AP245" s="80" t="b">
        <v>0</v>
      </c>
      <c r="AQ245" s="85" t="s">
        <v>1537</v>
      </c>
      <c r="AR245" s="80" t="s">
        <v>179</v>
      </c>
      <c r="AS245" s="80">
        <v>0</v>
      </c>
      <c r="AT245" s="80">
        <v>0</v>
      </c>
      <c r="AU245" s="80"/>
      <c r="AV245" s="80"/>
      <c r="AW245" s="80"/>
      <c r="AX245" s="80"/>
      <c r="AY245" s="80"/>
      <c r="AZ245" s="80"/>
      <c r="BA245" s="80"/>
      <c r="BB245" s="80"/>
    </row>
    <row r="246" spans="1:54" x14ac:dyDescent="0.25">
      <c r="A246" s="65" t="s">
        <v>316</v>
      </c>
      <c r="B246" s="65" t="s">
        <v>402</v>
      </c>
      <c r="C246" s="66"/>
      <c r="D246" s="67"/>
      <c r="E246" s="68"/>
      <c r="F246" s="69"/>
      <c r="G246" s="66"/>
      <c r="H246" s="70"/>
      <c r="I246" s="71"/>
      <c r="J246" s="71"/>
      <c r="K246" s="36" t="s">
        <v>65</v>
      </c>
      <c r="L246" s="78">
        <v>246</v>
      </c>
      <c r="M246" s="78"/>
      <c r="N246" s="73"/>
      <c r="O246" s="80" t="s">
        <v>414</v>
      </c>
      <c r="P246" s="82">
        <v>44632.760474537034</v>
      </c>
      <c r="Q246" s="80" t="s">
        <v>500</v>
      </c>
      <c r="R246" s="80"/>
      <c r="S246" s="80"/>
      <c r="T246" s="85" t="s">
        <v>697</v>
      </c>
      <c r="U246" s="80"/>
      <c r="V246" s="83" t="str">
        <f>HYPERLINK("https://pbs.twimg.com/profile_images/671695242169442304/pYbYqgSc_normal.png")</f>
        <v>https://pbs.twimg.com/profile_images/671695242169442304/pYbYqgSc_normal.png</v>
      </c>
      <c r="W246" s="82">
        <v>44632.760474537034</v>
      </c>
      <c r="X246" s="88">
        <v>44632</v>
      </c>
      <c r="Y246" s="85" t="s">
        <v>883</v>
      </c>
      <c r="Z246" s="83" t="str">
        <f>HYPERLINK("https://twitter.com/ghofmar/status/1502709782884536323")</f>
        <v>https://twitter.com/ghofmar/status/1502709782884536323</v>
      </c>
      <c r="AA246" s="80"/>
      <c r="AB246" s="80"/>
      <c r="AC246" s="85" t="s">
        <v>1332</v>
      </c>
      <c r="AD246" s="80"/>
      <c r="AE246" s="80" t="b">
        <v>0</v>
      </c>
      <c r="AF246" s="80">
        <v>0</v>
      </c>
      <c r="AG246" s="85" t="s">
        <v>1635</v>
      </c>
      <c r="AH246" s="80" t="b">
        <v>0</v>
      </c>
      <c r="AI246" s="80" t="s">
        <v>1642</v>
      </c>
      <c r="AJ246" s="80"/>
      <c r="AK246" s="85" t="s">
        <v>1635</v>
      </c>
      <c r="AL246" s="80" t="b">
        <v>0</v>
      </c>
      <c r="AM246" s="80">
        <v>7</v>
      </c>
      <c r="AN246" s="85" t="s">
        <v>1537</v>
      </c>
      <c r="AO246" s="85" t="s">
        <v>1671</v>
      </c>
      <c r="AP246" s="80" t="b">
        <v>0</v>
      </c>
      <c r="AQ246" s="85" t="s">
        <v>1537</v>
      </c>
      <c r="AR246" s="80" t="s">
        <v>179</v>
      </c>
      <c r="AS246" s="80">
        <v>0</v>
      </c>
      <c r="AT246" s="80">
        <v>0</v>
      </c>
      <c r="AU246" s="80"/>
      <c r="AV246" s="80"/>
      <c r="AW246" s="80"/>
      <c r="AX246" s="80"/>
      <c r="AY246" s="80"/>
      <c r="AZ246" s="80"/>
      <c r="BA246" s="80"/>
      <c r="BB246" s="80"/>
    </row>
    <row r="247" spans="1:54" x14ac:dyDescent="0.25">
      <c r="A247" s="65" t="s">
        <v>316</v>
      </c>
      <c r="B247" s="65" t="s">
        <v>385</v>
      </c>
      <c r="C247" s="66"/>
      <c r="D247" s="67"/>
      <c r="E247" s="68"/>
      <c r="F247" s="69"/>
      <c r="G247" s="66"/>
      <c r="H247" s="70"/>
      <c r="I247" s="71"/>
      <c r="J247" s="71"/>
      <c r="K247" s="36" t="s">
        <v>65</v>
      </c>
      <c r="L247" s="78">
        <v>247</v>
      </c>
      <c r="M247" s="78"/>
      <c r="N247" s="73"/>
      <c r="O247" s="80" t="s">
        <v>414</v>
      </c>
      <c r="P247" s="82">
        <v>44632.760474537034</v>
      </c>
      <c r="Q247" s="80" t="s">
        <v>500</v>
      </c>
      <c r="R247" s="80"/>
      <c r="S247" s="80"/>
      <c r="T247" s="85" t="s">
        <v>697</v>
      </c>
      <c r="U247" s="80"/>
      <c r="V247" s="83" t="str">
        <f>HYPERLINK("https://pbs.twimg.com/profile_images/671695242169442304/pYbYqgSc_normal.png")</f>
        <v>https://pbs.twimg.com/profile_images/671695242169442304/pYbYqgSc_normal.png</v>
      </c>
      <c r="W247" s="82">
        <v>44632.760474537034</v>
      </c>
      <c r="X247" s="88">
        <v>44632</v>
      </c>
      <c r="Y247" s="85" t="s">
        <v>883</v>
      </c>
      <c r="Z247" s="83" t="str">
        <f>HYPERLINK("https://twitter.com/ghofmar/status/1502709782884536323")</f>
        <v>https://twitter.com/ghofmar/status/1502709782884536323</v>
      </c>
      <c r="AA247" s="80"/>
      <c r="AB247" s="80"/>
      <c r="AC247" s="85" t="s">
        <v>1332</v>
      </c>
      <c r="AD247" s="80"/>
      <c r="AE247" s="80" t="b">
        <v>0</v>
      </c>
      <c r="AF247" s="80">
        <v>0</v>
      </c>
      <c r="AG247" s="85" t="s">
        <v>1635</v>
      </c>
      <c r="AH247" s="80" t="b">
        <v>0</v>
      </c>
      <c r="AI247" s="80" t="s">
        <v>1642</v>
      </c>
      <c r="AJ247" s="80"/>
      <c r="AK247" s="85" t="s">
        <v>1635</v>
      </c>
      <c r="AL247" s="80" t="b">
        <v>0</v>
      </c>
      <c r="AM247" s="80">
        <v>7</v>
      </c>
      <c r="AN247" s="85" t="s">
        <v>1537</v>
      </c>
      <c r="AO247" s="85" t="s">
        <v>1671</v>
      </c>
      <c r="AP247" s="80" t="b">
        <v>0</v>
      </c>
      <c r="AQ247" s="85" t="s">
        <v>1537</v>
      </c>
      <c r="AR247" s="80" t="s">
        <v>179</v>
      </c>
      <c r="AS247" s="80">
        <v>0</v>
      </c>
      <c r="AT247" s="80">
        <v>0</v>
      </c>
      <c r="AU247" s="80"/>
      <c r="AV247" s="80"/>
      <c r="AW247" s="80"/>
      <c r="AX247" s="80"/>
      <c r="AY247" s="80"/>
      <c r="AZ247" s="80"/>
      <c r="BA247" s="80"/>
      <c r="BB247" s="80"/>
    </row>
    <row r="248" spans="1:54" x14ac:dyDescent="0.25">
      <c r="A248" s="65" t="s">
        <v>316</v>
      </c>
      <c r="B248" s="65" t="s">
        <v>372</v>
      </c>
      <c r="C248" s="66"/>
      <c r="D248" s="67"/>
      <c r="E248" s="68"/>
      <c r="F248" s="69"/>
      <c r="G248" s="66"/>
      <c r="H248" s="70"/>
      <c r="I248" s="71"/>
      <c r="J248" s="71"/>
      <c r="K248" s="36" t="s">
        <v>65</v>
      </c>
      <c r="L248" s="78">
        <v>248</v>
      </c>
      <c r="M248" s="78"/>
      <c r="N248" s="73"/>
      <c r="O248" s="80" t="s">
        <v>415</v>
      </c>
      <c r="P248" s="82">
        <v>44632.760474537034</v>
      </c>
      <c r="Q248" s="80" t="s">
        <v>500</v>
      </c>
      <c r="R248" s="80"/>
      <c r="S248" s="80"/>
      <c r="T248" s="85" t="s">
        <v>697</v>
      </c>
      <c r="U248" s="80"/>
      <c r="V248" s="83" t="str">
        <f>HYPERLINK("https://pbs.twimg.com/profile_images/671695242169442304/pYbYqgSc_normal.png")</f>
        <v>https://pbs.twimg.com/profile_images/671695242169442304/pYbYqgSc_normal.png</v>
      </c>
      <c r="W248" s="82">
        <v>44632.760474537034</v>
      </c>
      <c r="X248" s="88">
        <v>44632</v>
      </c>
      <c r="Y248" s="85" t="s">
        <v>883</v>
      </c>
      <c r="Z248" s="83" t="str">
        <f>HYPERLINK("https://twitter.com/ghofmar/status/1502709782884536323")</f>
        <v>https://twitter.com/ghofmar/status/1502709782884536323</v>
      </c>
      <c r="AA248" s="80"/>
      <c r="AB248" s="80"/>
      <c r="AC248" s="85" t="s">
        <v>1332</v>
      </c>
      <c r="AD248" s="80"/>
      <c r="AE248" s="80" t="b">
        <v>0</v>
      </c>
      <c r="AF248" s="80">
        <v>0</v>
      </c>
      <c r="AG248" s="85" t="s">
        <v>1635</v>
      </c>
      <c r="AH248" s="80" t="b">
        <v>0</v>
      </c>
      <c r="AI248" s="80" t="s">
        <v>1642</v>
      </c>
      <c r="AJ248" s="80"/>
      <c r="AK248" s="85" t="s">
        <v>1635</v>
      </c>
      <c r="AL248" s="80" t="b">
        <v>0</v>
      </c>
      <c r="AM248" s="80">
        <v>7</v>
      </c>
      <c r="AN248" s="85" t="s">
        <v>1537</v>
      </c>
      <c r="AO248" s="85" t="s">
        <v>1671</v>
      </c>
      <c r="AP248" s="80" t="b">
        <v>0</v>
      </c>
      <c r="AQ248" s="85" t="s">
        <v>1537</v>
      </c>
      <c r="AR248" s="80" t="s">
        <v>179</v>
      </c>
      <c r="AS248" s="80">
        <v>0</v>
      </c>
      <c r="AT248" s="80">
        <v>0</v>
      </c>
      <c r="AU248" s="80"/>
      <c r="AV248" s="80"/>
      <c r="AW248" s="80"/>
      <c r="AX248" s="80"/>
      <c r="AY248" s="80"/>
      <c r="AZ248" s="80"/>
      <c r="BA248" s="80"/>
      <c r="BB248" s="80"/>
    </row>
    <row r="249" spans="1:54" x14ac:dyDescent="0.25">
      <c r="A249" s="65" t="s">
        <v>316</v>
      </c>
      <c r="B249" s="65" t="s">
        <v>357</v>
      </c>
      <c r="C249" s="66"/>
      <c r="D249" s="67"/>
      <c r="E249" s="68"/>
      <c r="F249" s="69"/>
      <c r="G249" s="66"/>
      <c r="H249" s="70"/>
      <c r="I249" s="71"/>
      <c r="J249" s="71"/>
      <c r="K249" s="36" t="s">
        <v>65</v>
      </c>
      <c r="L249" s="78">
        <v>249</v>
      </c>
      <c r="M249" s="78"/>
      <c r="N249" s="73"/>
      <c r="O249" s="80" t="s">
        <v>415</v>
      </c>
      <c r="P249" s="82">
        <v>44632.796909722223</v>
      </c>
      <c r="Q249" s="80" t="s">
        <v>505</v>
      </c>
      <c r="R249" s="80"/>
      <c r="S249" s="80"/>
      <c r="T249" s="85" t="s">
        <v>700</v>
      </c>
      <c r="U249" s="83" t="str">
        <f>HYPERLINK("https://pbs.twimg.com/media/FNq-K9kWUAII3TB.jpg")</f>
        <v>https://pbs.twimg.com/media/FNq-K9kWUAII3TB.jpg</v>
      </c>
      <c r="V249" s="83" t="str">
        <f>HYPERLINK("https://pbs.twimg.com/media/FNq-K9kWUAII3TB.jpg")</f>
        <v>https://pbs.twimg.com/media/FNq-K9kWUAII3TB.jpg</v>
      </c>
      <c r="W249" s="82">
        <v>44632.796909722223</v>
      </c>
      <c r="X249" s="88">
        <v>44632</v>
      </c>
      <c r="Y249" s="85" t="s">
        <v>884</v>
      </c>
      <c r="Z249" s="83" t="str">
        <f>HYPERLINK("https://twitter.com/ghofmar/status/1502722984326348802")</f>
        <v>https://twitter.com/ghofmar/status/1502722984326348802</v>
      </c>
      <c r="AA249" s="80"/>
      <c r="AB249" s="80"/>
      <c r="AC249" s="85" t="s">
        <v>1333</v>
      </c>
      <c r="AD249" s="80"/>
      <c r="AE249" s="80" t="b">
        <v>0</v>
      </c>
      <c r="AF249" s="80">
        <v>0</v>
      </c>
      <c r="AG249" s="85" t="s">
        <v>1635</v>
      </c>
      <c r="AH249" s="80" t="b">
        <v>0</v>
      </c>
      <c r="AI249" s="80" t="s">
        <v>1642</v>
      </c>
      <c r="AJ249" s="80"/>
      <c r="AK249" s="85" t="s">
        <v>1635</v>
      </c>
      <c r="AL249" s="80" t="b">
        <v>0</v>
      </c>
      <c r="AM249" s="80">
        <v>40</v>
      </c>
      <c r="AN249" s="85" t="s">
        <v>1627</v>
      </c>
      <c r="AO249" s="85" t="s">
        <v>1671</v>
      </c>
      <c r="AP249" s="80" t="b">
        <v>0</v>
      </c>
      <c r="AQ249" s="85" t="s">
        <v>1627</v>
      </c>
      <c r="AR249" s="80" t="s">
        <v>179</v>
      </c>
      <c r="AS249" s="80">
        <v>0</v>
      </c>
      <c r="AT249" s="80">
        <v>0</v>
      </c>
      <c r="AU249" s="80"/>
      <c r="AV249" s="80"/>
      <c r="AW249" s="80"/>
      <c r="AX249" s="80"/>
      <c r="AY249" s="80"/>
      <c r="AZ249" s="80"/>
      <c r="BA249" s="80"/>
      <c r="BB249" s="80"/>
    </row>
    <row r="250" spans="1:54" x14ac:dyDescent="0.25">
      <c r="A250" s="65" t="s">
        <v>316</v>
      </c>
      <c r="B250" s="65" t="s">
        <v>361</v>
      </c>
      <c r="C250" s="66"/>
      <c r="D250" s="67"/>
      <c r="E250" s="68"/>
      <c r="F250" s="69"/>
      <c r="G250" s="66"/>
      <c r="H250" s="70"/>
      <c r="I250" s="71"/>
      <c r="J250" s="71"/>
      <c r="K250" s="36" t="s">
        <v>65</v>
      </c>
      <c r="L250" s="78">
        <v>250</v>
      </c>
      <c r="M250" s="78"/>
      <c r="N250" s="73"/>
      <c r="O250" s="80" t="s">
        <v>414</v>
      </c>
      <c r="P250" s="82">
        <v>44632.838703703703</v>
      </c>
      <c r="Q250" s="80" t="s">
        <v>517</v>
      </c>
      <c r="R250" s="83" t="str">
        <f>HYPERLINK("https://twitter.com/UBwomenshoops/status/1502707861029326854")</f>
        <v>https://twitter.com/UBwomenshoops/status/1502707861029326854</v>
      </c>
      <c r="S250" s="80" t="s">
        <v>633</v>
      </c>
      <c r="T250" s="85" t="s">
        <v>357</v>
      </c>
      <c r="U250" s="80"/>
      <c r="V250" s="83" t="str">
        <f>HYPERLINK("https://pbs.twimg.com/profile_images/671695242169442304/pYbYqgSc_normal.png")</f>
        <v>https://pbs.twimg.com/profile_images/671695242169442304/pYbYqgSc_normal.png</v>
      </c>
      <c r="W250" s="82">
        <v>44632.838703703703</v>
      </c>
      <c r="X250" s="88">
        <v>44632</v>
      </c>
      <c r="Y250" s="85" t="s">
        <v>885</v>
      </c>
      <c r="Z250" s="83" t="str">
        <f>HYPERLINK("https://twitter.com/ghofmar/status/1502738129907761153")</f>
        <v>https://twitter.com/ghofmar/status/1502738129907761153</v>
      </c>
      <c r="AA250" s="80"/>
      <c r="AB250" s="80"/>
      <c r="AC250" s="85" t="s">
        <v>1334</v>
      </c>
      <c r="AD250" s="80"/>
      <c r="AE250" s="80" t="b">
        <v>0</v>
      </c>
      <c r="AF250" s="80">
        <v>0</v>
      </c>
      <c r="AG250" s="85" t="s">
        <v>1635</v>
      </c>
      <c r="AH250" s="80" t="b">
        <v>1</v>
      </c>
      <c r="AI250" s="80" t="s">
        <v>1642</v>
      </c>
      <c r="AJ250" s="80"/>
      <c r="AK250" s="85" t="s">
        <v>1651</v>
      </c>
      <c r="AL250" s="80" t="b">
        <v>0</v>
      </c>
      <c r="AM250" s="80">
        <v>2</v>
      </c>
      <c r="AN250" s="85" t="s">
        <v>1479</v>
      </c>
      <c r="AO250" s="85" t="s">
        <v>1671</v>
      </c>
      <c r="AP250" s="80" t="b">
        <v>0</v>
      </c>
      <c r="AQ250" s="85" t="s">
        <v>1479</v>
      </c>
      <c r="AR250" s="80" t="s">
        <v>179</v>
      </c>
      <c r="AS250" s="80">
        <v>0</v>
      </c>
      <c r="AT250" s="80">
        <v>0</v>
      </c>
      <c r="AU250" s="80"/>
      <c r="AV250" s="80"/>
      <c r="AW250" s="80"/>
      <c r="AX250" s="80"/>
      <c r="AY250" s="80"/>
      <c r="AZ250" s="80"/>
      <c r="BA250" s="80"/>
      <c r="BB250" s="80"/>
    </row>
    <row r="251" spans="1:54" x14ac:dyDescent="0.25">
      <c r="A251" s="65" t="s">
        <v>316</v>
      </c>
      <c r="B251" s="65" t="s">
        <v>385</v>
      </c>
      <c r="C251" s="66"/>
      <c r="D251" s="67"/>
      <c r="E251" s="68"/>
      <c r="F251" s="69"/>
      <c r="G251" s="66"/>
      <c r="H251" s="70"/>
      <c r="I251" s="71"/>
      <c r="J251" s="71"/>
      <c r="K251" s="36" t="s">
        <v>65</v>
      </c>
      <c r="L251" s="78">
        <v>251</v>
      </c>
      <c r="M251" s="78"/>
      <c r="N251" s="73"/>
      <c r="O251" s="80" t="s">
        <v>414</v>
      </c>
      <c r="P251" s="82">
        <v>44632.838703703703</v>
      </c>
      <c r="Q251" s="80" t="s">
        <v>517</v>
      </c>
      <c r="R251" s="83" t="str">
        <f>HYPERLINK("https://twitter.com/UBwomenshoops/status/1502707861029326854")</f>
        <v>https://twitter.com/UBwomenshoops/status/1502707861029326854</v>
      </c>
      <c r="S251" s="80" t="s">
        <v>633</v>
      </c>
      <c r="T251" s="85" t="s">
        <v>357</v>
      </c>
      <c r="U251" s="80"/>
      <c r="V251" s="83" t="str">
        <f>HYPERLINK("https://pbs.twimg.com/profile_images/671695242169442304/pYbYqgSc_normal.png")</f>
        <v>https://pbs.twimg.com/profile_images/671695242169442304/pYbYqgSc_normal.png</v>
      </c>
      <c r="W251" s="82">
        <v>44632.838703703703</v>
      </c>
      <c r="X251" s="88">
        <v>44632</v>
      </c>
      <c r="Y251" s="85" t="s">
        <v>885</v>
      </c>
      <c r="Z251" s="83" t="str">
        <f>HYPERLINK("https://twitter.com/ghofmar/status/1502738129907761153")</f>
        <v>https://twitter.com/ghofmar/status/1502738129907761153</v>
      </c>
      <c r="AA251" s="80"/>
      <c r="AB251" s="80"/>
      <c r="AC251" s="85" t="s">
        <v>1334</v>
      </c>
      <c r="AD251" s="80"/>
      <c r="AE251" s="80" t="b">
        <v>0</v>
      </c>
      <c r="AF251" s="80">
        <v>0</v>
      </c>
      <c r="AG251" s="85" t="s">
        <v>1635</v>
      </c>
      <c r="AH251" s="80" t="b">
        <v>1</v>
      </c>
      <c r="AI251" s="80" t="s">
        <v>1642</v>
      </c>
      <c r="AJ251" s="80"/>
      <c r="AK251" s="85" t="s">
        <v>1651</v>
      </c>
      <c r="AL251" s="80" t="b">
        <v>0</v>
      </c>
      <c r="AM251" s="80">
        <v>2</v>
      </c>
      <c r="AN251" s="85" t="s">
        <v>1479</v>
      </c>
      <c r="AO251" s="85" t="s">
        <v>1671</v>
      </c>
      <c r="AP251" s="80" t="b">
        <v>0</v>
      </c>
      <c r="AQ251" s="85" t="s">
        <v>1479</v>
      </c>
      <c r="AR251" s="80" t="s">
        <v>179</v>
      </c>
      <c r="AS251" s="80">
        <v>0</v>
      </c>
      <c r="AT251" s="80">
        <v>0</v>
      </c>
      <c r="AU251" s="80"/>
      <c r="AV251" s="80"/>
      <c r="AW251" s="80"/>
      <c r="AX251" s="80"/>
      <c r="AY251" s="80"/>
      <c r="AZ251" s="80"/>
      <c r="BA251" s="80"/>
      <c r="BB251" s="80"/>
    </row>
    <row r="252" spans="1:54" x14ac:dyDescent="0.25">
      <c r="A252" s="65" t="s">
        <v>316</v>
      </c>
      <c r="B252" s="65" t="s">
        <v>357</v>
      </c>
      <c r="C252" s="66"/>
      <c r="D252" s="67"/>
      <c r="E252" s="68"/>
      <c r="F252" s="69"/>
      <c r="G252" s="66"/>
      <c r="H252" s="70"/>
      <c r="I252" s="71"/>
      <c r="J252" s="71"/>
      <c r="K252" s="36" t="s">
        <v>65</v>
      </c>
      <c r="L252" s="78">
        <v>252</v>
      </c>
      <c r="M252" s="78"/>
      <c r="N252" s="73"/>
      <c r="O252" s="80" t="s">
        <v>415</v>
      </c>
      <c r="P252" s="82">
        <v>44632.838703703703</v>
      </c>
      <c r="Q252" s="80" t="s">
        <v>517</v>
      </c>
      <c r="R252" s="83" t="str">
        <f>HYPERLINK("https://twitter.com/UBwomenshoops/status/1502707861029326854")</f>
        <v>https://twitter.com/UBwomenshoops/status/1502707861029326854</v>
      </c>
      <c r="S252" s="80" t="s">
        <v>633</v>
      </c>
      <c r="T252" s="85" t="s">
        <v>357</v>
      </c>
      <c r="U252" s="80"/>
      <c r="V252" s="83" t="str">
        <f>HYPERLINK("https://pbs.twimg.com/profile_images/671695242169442304/pYbYqgSc_normal.png")</f>
        <v>https://pbs.twimg.com/profile_images/671695242169442304/pYbYqgSc_normal.png</v>
      </c>
      <c r="W252" s="82">
        <v>44632.838703703703</v>
      </c>
      <c r="X252" s="88">
        <v>44632</v>
      </c>
      <c r="Y252" s="85" t="s">
        <v>885</v>
      </c>
      <c r="Z252" s="83" t="str">
        <f>HYPERLINK("https://twitter.com/ghofmar/status/1502738129907761153")</f>
        <v>https://twitter.com/ghofmar/status/1502738129907761153</v>
      </c>
      <c r="AA252" s="80"/>
      <c r="AB252" s="80"/>
      <c r="AC252" s="85" t="s">
        <v>1334</v>
      </c>
      <c r="AD252" s="80"/>
      <c r="AE252" s="80" t="b">
        <v>0</v>
      </c>
      <c r="AF252" s="80">
        <v>0</v>
      </c>
      <c r="AG252" s="85" t="s">
        <v>1635</v>
      </c>
      <c r="AH252" s="80" t="b">
        <v>1</v>
      </c>
      <c r="AI252" s="80" t="s">
        <v>1642</v>
      </c>
      <c r="AJ252" s="80"/>
      <c r="AK252" s="85" t="s">
        <v>1651</v>
      </c>
      <c r="AL252" s="80" t="b">
        <v>0</v>
      </c>
      <c r="AM252" s="80">
        <v>2</v>
      </c>
      <c r="AN252" s="85" t="s">
        <v>1479</v>
      </c>
      <c r="AO252" s="85" t="s">
        <v>1671</v>
      </c>
      <c r="AP252" s="80" t="b">
        <v>0</v>
      </c>
      <c r="AQ252" s="85" t="s">
        <v>1479</v>
      </c>
      <c r="AR252" s="80" t="s">
        <v>179</v>
      </c>
      <c r="AS252" s="80">
        <v>0</v>
      </c>
      <c r="AT252" s="80">
        <v>0</v>
      </c>
      <c r="AU252" s="80"/>
      <c r="AV252" s="80"/>
      <c r="AW252" s="80"/>
      <c r="AX252" s="80"/>
      <c r="AY252" s="80"/>
      <c r="AZ252" s="80"/>
      <c r="BA252" s="80"/>
      <c r="BB252" s="80"/>
    </row>
    <row r="253" spans="1:54" x14ac:dyDescent="0.25">
      <c r="A253" s="65" t="s">
        <v>317</v>
      </c>
      <c r="B253" s="65" t="s">
        <v>357</v>
      </c>
      <c r="C253" s="66"/>
      <c r="D253" s="67"/>
      <c r="E253" s="68"/>
      <c r="F253" s="69"/>
      <c r="G253" s="66"/>
      <c r="H253" s="70"/>
      <c r="I253" s="71"/>
      <c r="J253" s="71"/>
      <c r="K253" s="36" t="s">
        <v>65</v>
      </c>
      <c r="L253" s="78">
        <v>253</v>
      </c>
      <c r="M253" s="78"/>
      <c r="N253" s="73"/>
      <c r="O253" s="80" t="s">
        <v>415</v>
      </c>
      <c r="P253" s="82">
        <v>44632.844918981478</v>
      </c>
      <c r="Q253" s="80" t="s">
        <v>505</v>
      </c>
      <c r="R253" s="80"/>
      <c r="S253" s="80"/>
      <c r="T253" s="85" t="s">
        <v>700</v>
      </c>
      <c r="U253" s="83" t="str">
        <f>HYPERLINK("https://pbs.twimg.com/media/FNq-K9kWUAII3TB.jpg")</f>
        <v>https://pbs.twimg.com/media/FNq-K9kWUAII3TB.jpg</v>
      </c>
      <c r="V253" s="83" t="str">
        <f>HYPERLINK("https://pbs.twimg.com/media/FNq-K9kWUAII3TB.jpg")</f>
        <v>https://pbs.twimg.com/media/FNq-K9kWUAII3TB.jpg</v>
      </c>
      <c r="W253" s="82">
        <v>44632.844918981478</v>
      </c>
      <c r="X253" s="88">
        <v>44632</v>
      </c>
      <c r="Y253" s="85" t="s">
        <v>886</v>
      </c>
      <c r="Z253" s="83" t="str">
        <f>HYPERLINK("https://twitter.com/stephen11mcc/status/1502740384253984774")</f>
        <v>https://twitter.com/stephen11mcc/status/1502740384253984774</v>
      </c>
      <c r="AA253" s="80"/>
      <c r="AB253" s="80"/>
      <c r="AC253" s="85" t="s">
        <v>1335</v>
      </c>
      <c r="AD253" s="80"/>
      <c r="AE253" s="80" t="b">
        <v>0</v>
      </c>
      <c r="AF253" s="80">
        <v>0</v>
      </c>
      <c r="AG253" s="85" t="s">
        <v>1635</v>
      </c>
      <c r="AH253" s="80" t="b">
        <v>0</v>
      </c>
      <c r="AI253" s="80" t="s">
        <v>1642</v>
      </c>
      <c r="AJ253" s="80"/>
      <c r="AK253" s="85" t="s">
        <v>1635</v>
      </c>
      <c r="AL253" s="80" t="b">
        <v>0</v>
      </c>
      <c r="AM253" s="80">
        <v>40</v>
      </c>
      <c r="AN253" s="85" t="s">
        <v>1627</v>
      </c>
      <c r="AO253" s="85" t="s">
        <v>1671</v>
      </c>
      <c r="AP253" s="80" t="b">
        <v>0</v>
      </c>
      <c r="AQ253" s="85" t="s">
        <v>1627</v>
      </c>
      <c r="AR253" s="80" t="s">
        <v>179</v>
      </c>
      <c r="AS253" s="80">
        <v>0</v>
      </c>
      <c r="AT253" s="80">
        <v>0</v>
      </c>
      <c r="AU253" s="80"/>
      <c r="AV253" s="80"/>
      <c r="AW253" s="80"/>
      <c r="AX253" s="80"/>
      <c r="AY253" s="80"/>
      <c r="AZ253" s="80"/>
      <c r="BA253" s="80"/>
      <c r="BB253" s="80"/>
    </row>
    <row r="254" spans="1:54" x14ac:dyDescent="0.25">
      <c r="A254" s="65" t="s">
        <v>318</v>
      </c>
      <c r="B254" s="65" t="s">
        <v>357</v>
      </c>
      <c r="C254" s="66"/>
      <c r="D254" s="67"/>
      <c r="E254" s="68"/>
      <c r="F254" s="69"/>
      <c r="G254" s="66"/>
      <c r="H254" s="70"/>
      <c r="I254" s="71"/>
      <c r="J254" s="71"/>
      <c r="K254" s="36" t="s">
        <v>65</v>
      </c>
      <c r="L254" s="78">
        <v>254</v>
      </c>
      <c r="M254" s="78"/>
      <c r="N254" s="73"/>
      <c r="O254" s="80" t="s">
        <v>415</v>
      </c>
      <c r="P254" s="82">
        <v>44632.824826388889</v>
      </c>
      <c r="Q254" s="80" t="s">
        <v>505</v>
      </c>
      <c r="R254" s="80"/>
      <c r="S254" s="80"/>
      <c r="T254" s="85" t="s">
        <v>700</v>
      </c>
      <c r="U254" s="83" t="str">
        <f>HYPERLINK("https://pbs.twimg.com/media/FNq-K9kWUAII3TB.jpg")</f>
        <v>https://pbs.twimg.com/media/FNq-K9kWUAII3TB.jpg</v>
      </c>
      <c r="V254" s="83" t="str">
        <f>HYPERLINK("https://pbs.twimg.com/media/FNq-K9kWUAII3TB.jpg")</f>
        <v>https://pbs.twimg.com/media/FNq-K9kWUAII3TB.jpg</v>
      </c>
      <c r="W254" s="82">
        <v>44632.824826388889</v>
      </c>
      <c r="X254" s="88">
        <v>44632</v>
      </c>
      <c r="Y254" s="85" t="s">
        <v>887</v>
      </c>
      <c r="Z254" s="83" t="str">
        <f>HYPERLINK("https://twitter.com/keyes1211/status/1502733100387864582")</f>
        <v>https://twitter.com/keyes1211/status/1502733100387864582</v>
      </c>
      <c r="AA254" s="80"/>
      <c r="AB254" s="80"/>
      <c r="AC254" s="85" t="s">
        <v>1336</v>
      </c>
      <c r="AD254" s="80"/>
      <c r="AE254" s="80" t="b">
        <v>0</v>
      </c>
      <c r="AF254" s="80">
        <v>0</v>
      </c>
      <c r="AG254" s="85" t="s">
        <v>1635</v>
      </c>
      <c r="AH254" s="80" t="b">
        <v>0</v>
      </c>
      <c r="AI254" s="80" t="s">
        <v>1642</v>
      </c>
      <c r="AJ254" s="80"/>
      <c r="AK254" s="85" t="s">
        <v>1635</v>
      </c>
      <c r="AL254" s="80" t="b">
        <v>0</v>
      </c>
      <c r="AM254" s="80">
        <v>40</v>
      </c>
      <c r="AN254" s="85" t="s">
        <v>1627</v>
      </c>
      <c r="AO254" s="85" t="s">
        <v>1671</v>
      </c>
      <c r="AP254" s="80" t="b">
        <v>0</v>
      </c>
      <c r="AQ254" s="85" t="s">
        <v>1627</v>
      </c>
      <c r="AR254" s="80" t="s">
        <v>179</v>
      </c>
      <c r="AS254" s="80">
        <v>0</v>
      </c>
      <c r="AT254" s="80">
        <v>0</v>
      </c>
      <c r="AU254" s="80"/>
      <c r="AV254" s="80"/>
      <c r="AW254" s="80"/>
      <c r="AX254" s="80"/>
      <c r="AY254" s="80"/>
      <c r="AZ254" s="80"/>
      <c r="BA254" s="80"/>
      <c r="BB254" s="80"/>
    </row>
    <row r="255" spans="1:54" x14ac:dyDescent="0.25">
      <c r="A255" s="65" t="s">
        <v>318</v>
      </c>
      <c r="B255" s="65" t="s">
        <v>362</v>
      </c>
      <c r="C255" s="66"/>
      <c r="D255" s="67"/>
      <c r="E255" s="68"/>
      <c r="F255" s="69"/>
      <c r="G255" s="66"/>
      <c r="H255" s="70"/>
      <c r="I255" s="71"/>
      <c r="J255" s="71"/>
      <c r="K255" s="36" t="s">
        <v>65</v>
      </c>
      <c r="L255" s="78">
        <v>255</v>
      </c>
      <c r="M255" s="78"/>
      <c r="N255" s="73"/>
      <c r="O255" s="80" t="s">
        <v>415</v>
      </c>
      <c r="P255" s="82">
        <v>44632.876388888886</v>
      </c>
      <c r="Q255" s="80" t="s">
        <v>518</v>
      </c>
      <c r="R255" s="80"/>
      <c r="S255" s="80"/>
      <c r="T255" s="85" t="s">
        <v>695</v>
      </c>
      <c r="U255" s="83" t="str">
        <f>HYPERLINK("https://pbs.twimg.com/media/FNqUi9YXsAc5JEY.jpg")</f>
        <v>https://pbs.twimg.com/media/FNqUi9YXsAc5JEY.jpg</v>
      </c>
      <c r="V255" s="83" t="str">
        <f>HYPERLINK("https://pbs.twimg.com/media/FNqUi9YXsAc5JEY.jpg")</f>
        <v>https://pbs.twimg.com/media/FNqUi9YXsAc5JEY.jpg</v>
      </c>
      <c r="W255" s="82">
        <v>44632.876388888886</v>
      </c>
      <c r="X255" s="88">
        <v>44632</v>
      </c>
      <c r="Y255" s="85" t="s">
        <v>888</v>
      </c>
      <c r="Z255" s="83" t="str">
        <f>HYPERLINK("https://twitter.com/keyes1211/status/1502751785475313671")</f>
        <v>https://twitter.com/keyes1211/status/1502751785475313671</v>
      </c>
      <c r="AA255" s="80"/>
      <c r="AB255" s="80"/>
      <c r="AC255" s="85" t="s">
        <v>1337</v>
      </c>
      <c r="AD255" s="80"/>
      <c r="AE255" s="80" t="b">
        <v>0</v>
      </c>
      <c r="AF255" s="80">
        <v>0</v>
      </c>
      <c r="AG255" s="85" t="s">
        <v>1635</v>
      </c>
      <c r="AH255" s="80" t="b">
        <v>0</v>
      </c>
      <c r="AI255" s="80" t="s">
        <v>1642</v>
      </c>
      <c r="AJ255" s="80"/>
      <c r="AK255" s="85" t="s">
        <v>1635</v>
      </c>
      <c r="AL255" s="80" t="b">
        <v>0</v>
      </c>
      <c r="AM255" s="80">
        <v>2</v>
      </c>
      <c r="AN255" s="85" t="s">
        <v>1497</v>
      </c>
      <c r="AO255" s="85" t="s">
        <v>1671</v>
      </c>
      <c r="AP255" s="80" t="b">
        <v>0</v>
      </c>
      <c r="AQ255" s="85" t="s">
        <v>1497</v>
      </c>
      <c r="AR255" s="80" t="s">
        <v>179</v>
      </c>
      <c r="AS255" s="80">
        <v>0</v>
      </c>
      <c r="AT255" s="80">
        <v>0</v>
      </c>
      <c r="AU255" s="80"/>
      <c r="AV255" s="80"/>
      <c r="AW255" s="80"/>
      <c r="AX255" s="80"/>
      <c r="AY255" s="80"/>
      <c r="AZ255" s="80"/>
      <c r="BA255" s="80"/>
      <c r="BB255" s="80"/>
    </row>
    <row r="256" spans="1:54" x14ac:dyDescent="0.25">
      <c r="A256" s="65" t="s">
        <v>318</v>
      </c>
      <c r="B256" s="65" t="s">
        <v>362</v>
      </c>
      <c r="C256" s="66"/>
      <c r="D256" s="67"/>
      <c r="E256" s="68"/>
      <c r="F256" s="69"/>
      <c r="G256" s="66"/>
      <c r="H256" s="70"/>
      <c r="I256" s="71"/>
      <c r="J256" s="71"/>
      <c r="K256" s="36" t="s">
        <v>65</v>
      </c>
      <c r="L256" s="78">
        <v>256</v>
      </c>
      <c r="M256" s="78"/>
      <c r="N256" s="73"/>
      <c r="O256" s="80" t="s">
        <v>415</v>
      </c>
      <c r="P256" s="82">
        <v>44632.876608796294</v>
      </c>
      <c r="Q256" s="80" t="s">
        <v>485</v>
      </c>
      <c r="R256" s="80"/>
      <c r="S256" s="80"/>
      <c r="T256" s="85" t="s">
        <v>692</v>
      </c>
      <c r="U256" s="83" t="str">
        <f>HYPERLINK("https://pbs.twimg.com/media/FNltHNJXoAA3lTB.jpg")</f>
        <v>https://pbs.twimg.com/media/FNltHNJXoAA3lTB.jpg</v>
      </c>
      <c r="V256" s="83" t="str">
        <f>HYPERLINK("https://pbs.twimg.com/media/FNltHNJXoAA3lTB.jpg")</f>
        <v>https://pbs.twimg.com/media/FNltHNJXoAA3lTB.jpg</v>
      </c>
      <c r="W256" s="82">
        <v>44632.876608796294</v>
      </c>
      <c r="X256" s="88">
        <v>44632</v>
      </c>
      <c r="Y256" s="85" t="s">
        <v>889</v>
      </c>
      <c r="Z256" s="83" t="str">
        <f>HYPERLINK("https://twitter.com/keyes1211/status/1502751866316328963")</f>
        <v>https://twitter.com/keyes1211/status/1502751866316328963</v>
      </c>
      <c r="AA256" s="80"/>
      <c r="AB256" s="80"/>
      <c r="AC256" s="85" t="s">
        <v>1338</v>
      </c>
      <c r="AD256" s="80"/>
      <c r="AE256" s="80" t="b">
        <v>0</v>
      </c>
      <c r="AF256" s="80">
        <v>0</v>
      </c>
      <c r="AG256" s="85" t="s">
        <v>1635</v>
      </c>
      <c r="AH256" s="80" t="b">
        <v>0</v>
      </c>
      <c r="AI256" s="80" t="s">
        <v>1642</v>
      </c>
      <c r="AJ256" s="80"/>
      <c r="AK256" s="85" t="s">
        <v>1635</v>
      </c>
      <c r="AL256" s="80" t="b">
        <v>0</v>
      </c>
      <c r="AM256" s="80">
        <v>6</v>
      </c>
      <c r="AN256" s="85" t="s">
        <v>1496</v>
      </c>
      <c r="AO256" s="85" t="s">
        <v>1671</v>
      </c>
      <c r="AP256" s="80" t="b">
        <v>0</v>
      </c>
      <c r="AQ256" s="85" t="s">
        <v>1496</v>
      </c>
      <c r="AR256" s="80" t="s">
        <v>179</v>
      </c>
      <c r="AS256" s="80">
        <v>0</v>
      </c>
      <c r="AT256" s="80">
        <v>0</v>
      </c>
      <c r="AU256" s="80"/>
      <c r="AV256" s="80"/>
      <c r="AW256" s="80"/>
      <c r="AX256" s="80"/>
      <c r="AY256" s="80"/>
      <c r="AZ256" s="80"/>
      <c r="BA256" s="80"/>
      <c r="BB256" s="80"/>
    </row>
    <row r="257" spans="1:54" x14ac:dyDescent="0.25">
      <c r="A257" s="65" t="s">
        <v>319</v>
      </c>
      <c r="B257" s="65" t="s">
        <v>357</v>
      </c>
      <c r="C257" s="66"/>
      <c r="D257" s="67"/>
      <c r="E257" s="68"/>
      <c r="F257" s="69"/>
      <c r="G257" s="66"/>
      <c r="H257" s="70"/>
      <c r="I257" s="71"/>
      <c r="J257" s="71"/>
      <c r="K257" s="36" t="s">
        <v>65</v>
      </c>
      <c r="L257" s="78">
        <v>257</v>
      </c>
      <c r="M257" s="78"/>
      <c r="N257" s="73"/>
      <c r="O257" s="80" t="s">
        <v>415</v>
      </c>
      <c r="P257" s="82">
        <v>44632.880740740744</v>
      </c>
      <c r="Q257" s="80" t="s">
        <v>505</v>
      </c>
      <c r="R257" s="80"/>
      <c r="S257" s="80"/>
      <c r="T257" s="85" t="s">
        <v>700</v>
      </c>
      <c r="U257" s="83" t="str">
        <f>HYPERLINK("https://pbs.twimg.com/media/FNq-K9kWUAII3TB.jpg")</f>
        <v>https://pbs.twimg.com/media/FNq-K9kWUAII3TB.jpg</v>
      </c>
      <c r="V257" s="83" t="str">
        <f>HYPERLINK("https://pbs.twimg.com/media/FNq-K9kWUAII3TB.jpg")</f>
        <v>https://pbs.twimg.com/media/FNq-K9kWUAII3TB.jpg</v>
      </c>
      <c r="W257" s="82">
        <v>44632.880740740744</v>
      </c>
      <c r="X257" s="88">
        <v>44632</v>
      </c>
      <c r="Y257" s="85" t="s">
        <v>890</v>
      </c>
      <c r="Z257" s="83" t="str">
        <f>HYPERLINK("https://twitter.com/loride99/status/1502753365691977728")</f>
        <v>https://twitter.com/loride99/status/1502753365691977728</v>
      </c>
      <c r="AA257" s="80"/>
      <c r="AB257" s="80"/>
      <c r="AC257" s="85" t="s">
        <v>1339</v>
      </c>
      <c r="AD257" s="80"/>
      <c r="AE257" s="80" t="b">
        <v>0</v>
      </c>
      <c r="AF257" s="80">
        <v>0</v>
      </c>
      <c r="AG257" s="85" t="s">
        <v>1635</v>
      </c>
      <c r="AH257" s="80" t="b">
        <v>0</v>
      </c>
      <c r="AI257" s="80" t="s">
        <v>1642</v>
      </c>
      <c r="AJ257" s="80"/>
      <c r="AK257" s="85" t="s">
        <v>1635</v>
      </c>
      <c r="AL257" s="80" t="b">
        <v>0</v>
      </c>
      <c r="AM257" s="80">
        <v>40</v>
      </c>
      <c r="AN257" s="85" t="s">
        <v>1627</v>
      </c>
      <c r="AO257" s="85" t="s">
        <v>1671</v>
      </c>
      <c r="AP257" s="80" t="b">
        <v>0</v>
      </c>
      <c r="AQ257" s="85" t="s">
        <v>1627</v>
      </c>
      <c r="AR257" s="80" t="s">
        <v>179</v>
      </c>
      <c r="AS257" s="80">
        <v>0</v>
      </c>
      <c r="AT257" s="80">
        <v>0</v>
      </c>
      <c r="AU257" s="80"/>
      <c r="AV257" s="80"/>
      <c r="AW257" s="80"/>
      <c r="AX257" s="80"/>
      <c r="AY257" s="80"/>
      <c r="AZ257" s="80"/>
      <c r="BA257" s="80"/>
      <c r="BB257" s="80"/>
    </row>
    <row r="258" spans="1:54" x14ac:dyDescent="0.25">
      <c r="A258" s="65" t="s">
        <v>320</v>
      </c>
      <c r="B258" s="65" t="s">
        <v>357</v>
      </c>
      <c r="C258" s="66"/>
      <c r="D258" s="67"/>
      <c r="E258" s="68"/>
      <c r="F258" s="69"/>
      <c r="G258" s="66"/>
      <c r="H258" s="70"/>
      <c r="I258" s="71"/>
      <c r="J258" s="71"/>
      <c r="K258" s="36" t="s">
        <v>65</v>
      </c>
      <c r="L258" s="78">
        <v>258</v>
      </c>
      <c r="M258" s="78"/>
      <c r="N258" s="73"/>
      <c r="O258" s="80" t="s">
        <v>415</v>
      </c>
      <c r="P258" s="82">
        <v>44632.81659722222</v>
      </c>
      <c r="Q258" s="80" t="s">
        <v>505</v>
      </c>
      <c r="R258" s="80"/>
      <c r="S258" s="80"/>
      <c r="T258" s="85" t="s">
        <v>700</v>
      </c>
      <c r="U258" s="83" t="str">
        <f>HYPERLINK("https://pbs.twimg.com/media/FNq-K9kWUAII3TB.jpg")</f>
        <v>https://pbs.twimg.com/media/FNq-K9kWUAII3TB.jpg</v>
      </c>
      <c r="V258" s="83" t="str">
        <f>HYPERLINK("https://pbs.twimg.com/media/FNq-K9kWUAII3TB.jpg")</f>
        <v>https://pbs.twimg.com/media/FNq-K9kWUAII3TB.jpg</v>
      </c>
      <c r="W258" s="82">
        <v>44632.81659722222</v>
      </c>
      <c r="X258" s="88">
        <v>44632</v>
      </c>
      <c r="Y258" s="85" t="s">
        <v>891</v>
      </c>
      <c r="Z258" s="83" t="str">
        <f>HYPERLINK("https://twitter.com/huddles10251/status/1502730118518693898")</f>
        <v>https://twitter.com/huddles10251/status/1502730118518693898</v>
      </c>
      <c r="AA258" s="80"/>
      <c r="AB258" s="80"/>
      <c r="AC258" s="85" t="s">
        <v>1340</v>
      </c>
      <c r="AD258" s="80"/>
      <c r="AE258" s="80" t="b">
        <v>0</v>
      </c>
      <c r="AF258" s="80">
        <v>0</v>
      </c>
      <c r="AG258" s="85" t="s">
        <v>1635</v>
      </c>
      <c r="AH258" s="80" t="b">
        <v>0</v>
      </c>
      <c r="AI258" s="80" t="s">
        <v>1642</v>
      </c>
      <c r="AJ258" s="80"/>
      <c r="AK258" s="85" t="s">
        <v>1635</v>
      </c>
      <c r="AL258" s="80" t="b">
        <v>0</v>
      </c>
      <c r="AM258" s="80">
        <v>40</v>
      </c>
      <c r="AN258" s="85" t="s">
        <v>1627</v>
      </c>
      <c r="AO258" s="85" t="s">
        <v>1671</v>
      </c>
      <c r="AP258" s="80" t="b">
        <v>0</v>
      </c>
      <c r="AQ258" s="85" t="s">
        <v>1627</v>
      </c>
      <c r="AR258" s="80" t="s">
        <v>179</v>
      </c>
      <c r="AS258" s="80">
        <v>0</v>
      </c>
      <c r="AT258" s="80">
        <v>0</v>
      </c>
      <c r="AU258" s="80"/>
      <c r="AV258" s="80"/>
      <c r="AW258" s="80"/>
      <c r="AX258" s="80"/>
      <c r="AY258" s="80"/>
      <c r="AZ258" s="80"/>
      <c r="BA258" s="80"/>
      <c r="BB258" s="80"/>
    </row>
    <row r="259" spans="1:54" x14ac:dyDescent="0.25">
      <c r="A259" s="65" t="s">
        <v>320</v>
      </c>
      <c r="B259" s="65" t="s">
        <v>357</v>
      </c>
      <c r="C259" s="66"/>
      <c r="D259" s="67"/>
      <c r="E259" s="68"/>
      <c r="F259" s="69"/>
      <c r="G259" s="66"/>
      <c r="H259" s="70"/>
      <c r="I259" s="71"/>
      <c r="J259" s="71"/>
      <c r="K259" s="36" t="s">
        <v>65</v>
      </c>
      <c r="L259" s="78">
        <v>259</v>
      </c>
      <c r="M259" s="78"/>
      <c r="N259" s="73"/>
      <c r="O259" s="80" t="s">
        <v>415</v>
      </c>
      <c r="P259" s="82">
        <v>44632.889340277776</v>
      </c>
      <c r="Q259" s="80" t="s">
        <v>519</v>
      </c>
      <c r="R259" s="83" t="str">
        <f>HYPERLINK("https://twitter.com/UBAthletics/status/1502713680798130180")</f>
        <v>https://twitter.com/UBAthletics/status/1502713680798130180</v>
      </c>
      <c r="S259" s="80" t="s">
        <v>633</v>
      </c>
      <c r="T259" s="85" t="s">
        <v>357</v>
      </c>
      <c r="U259" s="80"/>
      <c r="V259" s="83" t="str">
        <f>HYPERLINK("https://pbs.twimg.com/profile_images/1028038370839154689/xBTtsLz4_normal.jpg")</f>
        <v>https://pbs.twimg.com/profile_images/1028038370839154689/xBTtsLz4_normal.jpg</v>
      </c>
      <c r="W259" s="82">
        <v>44632.889340277776</v>
      </c>
      <c r="X259" s="88">
        <v>44632</v>
      </c>
      <c r="Y259" s="85" t="s">
        <v>892</v>
      </c>
      <c r="Z259" s="83" t="str">
        <f>HYPERLINK("https://twitter.com/huddles10251/status/1502756481275506688")</f>
        <v>https://twitter.com/huddles10251/status/1502756481275506688</v>
      </c>
      <c r="AA259" s="80"/>
      <c r="AB259" s="80"/>
      <c r="AC259" s="85" t="s">
        <v>1341</v>
      </c>
      <c r="AD259" s="80"/>
      <c r="AE259" s="80" t="b">
        <v>0</v>
      </c>
      <c r="AF259" s="80">
        <v>0</v>
      </c>
      <c r="AG259" s="85" t="s">
        <v>1635</v>
      </c>
      <c r="AH259" s="80" t="b">
        <v>1</v>
      </c>
      <c r="AI259" s="80" t="s">
        <v>1643</v>
      </c>
      <c r="AJ259" s="80"/>
      <c r="AK259" s="85" t="s">
        <v>1654</v>
      </c>
      <c r="AL259" s="80" t="b">
        <v>0</v>
      </c>
      <c r="AM259" s="80">
        <v>1</v>
      </c>
      <c r="AN259" s="85" t="s">
        <v>1626</v>
      </c>
      <c r="AO259" s="85" t="s">
        <v>1671</v>
      </c>
      <c r="AP259" s="80" t="b">
        <v>0</v>
      </c>
      <c r="AQ259" s="85" t="s">
        <v>1626</v>
      </c>
      <c r="AR259" s="80" t="s">
        <v>179</v>
      </c>
      <c r="AS259" s="80">
        <v>0</v>
      </c>
      <c r="AT259" s="80">
        <v>0</v>
      </c>
      <c r="AU259" s="80"/>
      <c r="AV259" s="80"/>
      <c r="AW259" s="80"/>
      <c r="AX259" s="80"/>
      <c r="AY259" s="80"/>
      <c r="AZ259" s="80"/>
      <c r="BA259" s="80"/>
      <c r="BB259" s="80"/>
    </row>
    <row r="260" spans="1:54" x14ac:dyDescent="0.25">
      <c r="A260" s="65" t="s">
        <v>321</v>
      </c>
      <c r="B260" s="65" t="s">
        <v>353</v>
      </c>
      <c r="C260" s="66"/>
      <c r="D260" s="67"/>
      <c r="E260" s="68"/>
      <c r="F260" s="69"/>
      <c r="G260" s="66"/>
      <c r="H260" s="70"/>
      <c r="I260" s="71"/>
      <c r="J260" s="71"/>
      <c r="K260" s="36" t="s">
        <v>65</v>
      </c>
      <c r="L260" s="78">
        <v>260</v>
      </c>
      <c r="M260" s="78"/>
      <c r="N260" s="73"/>
      <c r="O260" s="80" t="s">
        <v>415</v>
      </c>
      <c r="P260" s="82">
        <v>44626.941504629627</v>
      </c>
      <c r="Q260" s="80" t="s">
        <v>421</v>
      </c>
      <c r="R260" s="83" t="str">
        <f>HYPERLINK("https://www.youtube.com/watch?v=tTU9qOZlGks&amp;linkId=100000113767931")</f>
        <v>https://www.youtube.com/watch?v=tTU9qOZlGks&amp;linkId=100000113767931</v>
      </c>
      <c r="S260" s="80" t="s">
        <v>634</v>
      </c>
      <c r="T260" s="85" t="s">
        <v>357</v>
      </c>
      <c r="U260" s="80"/>
      <c r="V260" s="83" t="str">
        <f>HYPERLINK("https://pbs.twimg.com/profile_images/1479272727043350530/2_BCdMgQ_normal.jpg")</f>
        <v>https://pbs.twimg.com/profile_images/1479272727043350530/2_BCdMgQ_normal.jpg</v>
      </c>
      <c r="W260" s="82">
        <v>44626.941504629627</v>
      </c>
      <c r="X260" s="88">
        <v>44626</v>
      </c>
      <c r="Y260" s="85" t="s">
        <v>893</v>
      </c>
      <c r="Z260" s="83" t="str">
        <f>HYPERLINK("https://twitter.com/bniles408/status/1500601057914855430")</f>
        <v>https://twitter.com/bniles408/status/1500601057914855430</v>
      </c>
      <c r="AA260" s="80"/>
      <c r="AB260" s="80"/>
      <c r="AC260" s="85" t="s">
        <v>1342</v>
      </c>
      <c r="AD260" s="80"/>
      <c r="AE260" s="80" t="b">
        <v>0</v>
      </c>
      <c r="AF260" s="80">
        <v>0</v>
      </c>
      <c r="AG260" s="85" t="s">
        <v>1635</v>
      </c>
      <c r="AH260" s="80" t="b">
        <v>0</v>
      </c>
      <c r="AI260" s="80" t="s">
        <v>1642</v>
      </c>
      <c r="AJ260" s="80"/>
      <c r="AK260" s="85" t="s">
        <v>1635</v>
      </c>
      <c r="AL260" s="80" t="b">
        <v>0</v>
      </c>
      <c r="AM260" s="80">
        <v>4</v>
      </c>
      <c r="AN260" s="85" t="s">
        <v>1481</v>
      </c>
      <c r="AO260" s="85" t="s">
        <v>1671</v>
      </c>
      <c r="AP260" s="80" t="b">
        <v>0</v>
      </c>
      <c r="AQ260" s="85" t="s">
        <v>1481</v>
      </c>
      <c r="AR260" s="80" t="s">
        <v>179</v>
      </c>
      <c r="AS260" s="80">
        <v>0</v>
      </c>
      <c r="AT260" s="80">
        <v>0</v>
      </c>
      <c r="AU260" s="80"/>
      <c r="AV260" s="80"/>
      <c r="AW260" s="80"/>
      <c r="AX260" s="80"/>
      <c r="AY260" s="80"/>
      <c r="AZ260" s="80"/>
      <c r="BA260" s="80"/>
      <c r="BB260" s="80"/>
    </row>
    <row r="261" spans="1:54" x14ac:dyDescent="0.25">
      <c r="A261" s="65" t="s">
        <v>321</v>
      </c>
      <c r="B261" s="65" t="s">
        <v>402</v>
      </c>
      <c r="C261" s="66"/>
      <c r="D261" s="67"/>
      <c r="E261" s="68"/>
      <c r="F261" s="69"/>
      <c r="G261" s="66"/>
      <c r="H261" s="70"/>
      <c r="I261" s="71"/>
      <c r="J261" s="71"/>
      <c r="K261" s="36" t="s">
        <v>65</v>
      </c>
      <c r="L261" s="78">
        <v>261</v>
      </c>
      <c r="M261" s="78"/>
      <c r="N261" s="73"/>
      <c r="O261" s="80" t="s">
        <v>414</v>
      </c>
      <c r="P261" s="82">
        <v>44632.909872685188</v>
      </c>
      <c r="Q261" s="80" t="s">
        <v>493</v>
      </c>
      <c r="R261" s="80"/>
      <c r="S261" s="80"/>
      <c r="T261" s="85" t="s">
        <v>695</v>
      </c>
      <c r="U261" s="83" t="str">
        <f>HYPERLINK("https://pbs.twimg.com/media/FNqSbpdWYAUvzSx.jpg")</f>
        <v>https://pbs.twimg.com/media/FNqSbpdWYAUvzSx.jpg</v>
      </c>
      <c r="V261" s="83" t="str">
        <f>HYPERLINK("https://pbs.twimg.com/media/FNqSbpdWYAUvzSx.jpg")</f>
        <v>https://pbs.twimg.com/media/FNqSbpdWYAUvzSx.jpg</v>
      </c>
      <c r="W261" s="82">
        <v>44632.909872685188</v>
      </c>
      <c r="X261" s="88">
        <v>44632</v>
      </c>
      <c r="Y261" s="85" t="s">
        <v>894</v>
      </c>
      <c r="Z261" s="83" t="str">
        <f>HYPERLINK("https://twitter.com/bniles408/status/1502763919223492612")</f>
        <v>https://twitter.com/bniles408/status/1502763919223492612</v>
      </c>
      <c r="AA261" s="80"/>
      <c r="AB261" s="80"/>
      <c r="AC261" s="85" t="s">
        <v>1343</v>
      </c>
      <c r="AD261" s="80"/>
      <c r="AE261" s="80" t="b">
        <v>0</v>
      </c>
      <c r="AF261" s="80">
        <v>0</v>
      </c>
      <c r="AG261" s="85" t="s">
        <v>1635</v>
      </c>
      <c r="AH261" s="80" t="b">
        <v>0</v>
      </c>
      <c r="AI261" s="80" t="s">
        <v>1642</v>
      </c>
      <c r="AJ261" s="80"/>
      <c r="AK261" s="85" t="s">
        <v>1635</v>
      </c>
      <c r="AL261" s="80" t="b">
        <v>0</v>
      </c>
      <c r="AM261" s="80">
        <v>5</v>
      </c>
      <c r="AN261" s="85" t="s">
        <v>1438</v>
      </c>
      <c r="AO261" s="85" t="s">
        <v>1671</v>
      </c>
      <c r="AP261" s="80" t="b">
        <v>0</v>
      </c>
      <c r="AQ261" s="85" t="s">
        <v>1438</v>
      </c>
      <c r="AR261" s="80" t="s">
        <v>179</v>
      </c>
      <c r="AS261" s="80">
        <v>0</v>
      </c>
      <c r="AT261" s="80">
        <v>0</v>
      </c>
      <c r="AU261" s="80"/>
      <c r="AV261" s="80"/>
      <c r="AW261" s="80"/>
      <c r="AX261" s="80"/>
      <c r="AY261" s="80"/>
      <c r="AZ261" s="80"/>
      <c r="BA261" s="80"/>
      <c r="BB261" s="80"/>
    </row>
    <row r="262" spans="1:54" x14ac:dyDescent="0.25">
      <c r="A262" s="65" t="s">
        <v>321</v>
      </c>
      <c r="B262" s="65" t="s">
        <v>385</v>
      </c>
      <c r="C262" s="66"/>
      <c r="D262" s="67"/>
      <c r="E262" s="68"/>
      <c r="F262" s="69"/>
      <c r="G262" s="66"/>
      <c r="H262" s="70"/>
      <c r="I262" s="71"/>
      <c r="J262" s="71"/>
      <c r="K262" s="36" t="s">
        <v>65</v>
      </c>
      <c r="L262" s="78">
        <v>262</v>
      </c>
      <c r="M262" s="78"/>
      <c r="N262" s="73"/>
      <c r="O262" s="80" t="s">
        <v>414</v>
      </c>
      <c r="P262" s="82">
        <v>44632.909872685188</v>
      </c>
      <c r="Q262" s="80" t="s">
        <v>493</v>
      </c>
      <c r="R262" s="80"/>
      <c r="S262" s="80"/>
      <c r="T262" s="85" t="s">
        <v>695</v>
      </c>
      <c r="U262" s="83" t="str">
        <f>HYPERLINK("https://pbs.twimg.com/media/FNqSbpdWYAUvzSx.jpg")</f>
        <v>https://pbs.twimg.com/media/FNqSbpdWYAUvzSx.jpg</v>
      </c>
      <c r="V262" s="83" t="str">
        <f>HYPERLINK("https://pbs.twimg.com/media/FNqSbpdWYAUvzSx.jpg")</f>
        <v>https://pbs.twimg.com/media/FNqSbpdWYAUvzSx.jpg</v>
      </c>
      <c r="W262" s="82">
        <v>44632.909872685188</v>
      </c>
      <c r="X262" s="88">
        <v>44632</v>
      </c>
      <c r="Y262" s="85" t="s">
        <v>894</v>
      </c>
      <c r="Z262" s="83" t="str">
        <f>HYPERLINK("https://twitter.com/bniles408/status/1502763919223492612")</f>
        <v>https://twitter.com/bniles408/status/1502763919223492612</v>
      </c>
      <c r="AA262" s="80"/>
      <c r="AB262" s="80"/>
      <c r="AC262" s="85" t="s">
        <v>1343</v>
      </c>
      <c r="AD262" s="80"/>
      <c r="AE262" s="80" t="b">
        <v>0</v>
      </c>
      <c r="AF262" s="80">
        <v>0</v>
      </c>
      <c r="AG262" s="85" t="s">
        <v>1635</v>
      </c>
      <c r="AH262" s="80" t="b">
        <v>0</v>
      </c>
      <c r="AI262" s="80" t="s">
        <v>1642</v>
      </c>
      <c r="AJ262" s="80"/>
      <c r="AK262" s="85" t="s">
        <v>1635</v>
      </c>
      <c r="AL262" s="80" t="b">
        <v>0</v>
      </c>
      <c r="AM262" s="80">
        <v>5</v>
      </c>
      <c r="AN262" s="85" t="s">
        <v>1438</v>
      </c>
      <c r="AO262" s="85" t="s">
        <v>1671</v>
      </c>
      <c r="AP262" s="80" t="b">
        <v>0</v>
      </c>
      <c r="AQ262" s="85" t="s">
        <v>1438</v>
      </c>
      <c r="AR262" s="80" t="s">
        <v>179</v>
      </c>
      <c r="AS262" s="80">
        <v>0</v>
      </c>
      <c r="AT262" s="80">
        <v>0</v>
      </c>
      <c r="AU262" s="80"/>
      <c r="AV262" s="80"/>
      <c r="AW262" s="80"/>
      <c r="AX262" s="80"/>
      <c r="AY262" s="80"/>
      <c r="AZ262" s="80"/>
      <c r="BA262" s="80"/>
      <c r="BB262" s="80"/>
    </row>
    <row r="263" spans="1:54" x14ac:dyDescent="0.25">
      <c r="A263" s="65" t="s">
        <v>321</v>
      </c>
      <c r="B263" s="65" t="s">
        <v>358</v>
      </c>
      <c r="C263" s="66"/>
      <c r="D263" s="67"/>
      <c r="E263" s="68"/>
      <c r="F263" s="69"/>
      <c r="G263" s="66"/>
      <c r="H263" s="70"/>
      <c r="I263" s="71"/>
      <c r="J263" s="71"/>
      <c r="K263" s="36" t="s">
        <v>65</v>
      </c>
      <c r="L263" s="78">
        <v>263</v>
      </c>
      <c r="M263" s="78"/>
      <c r="N263" s="73"/>
      <c r="O263" s="80" t="s">
        <v>415</v>
      </c>
      <c r="P263" s="82">
        <v>44632.909872685188</v>
      </c>
      <c r="Q263" s="80" t="s">
        <v>493</v>
      </c>
      <c r="R263" s="80"/>
      <c r="S263" s="80"/>
      <c r="T263" s="85" t="s">
        <v>695</v>
      </c>
      <c r="U263" s="83" t="str">
        <f>HYPERLINK("https://pbs.twimg.com/media/FNqSbpdWYAUvzSx.jpg")</f>
        <v>https://pbs.twimg.com/media/FNqSbpdWYAUvzSx.jpg</v>
      </c>
      <c r="V263" s="83" t="str">
        <f>HYPERLINK("https://pbs.twimg.com/media/FNqSbpdWYAUvzSx.jpg")</f>
        <v>https://pbs.twimg.com/media/FNqSbpdWYAUvzSx.jpg</v>
      </c>
      <c r="W263" s="82">
        <v>44632.909872685188</v>
      </c>
      <c r="X263" s="88">
        <v>44632</v>
      </c>
      <c r="Y263" s="85" t="s">
        <v>894</v>
      </c>
      <c r="Z263" s="83" t="str">
        <f>HYPERLINK("https://twitter.com/bniles408/status/1502763919223492612")</f>
        <v>https://twitter.com/bniles408/status/1502763919223492612</v>
      </c>
      <c r="AA263" s="80"/>
      <c r="AB263" s="80"/>
      <c r="AC263" s="85" t="s">
        <v>1343</v>
      </c>
      <c r="AD263" s="80"/>
      <c r="AE263" s="80" t="b">
        <v>0</v>
      </c>
      <c r="AF263" s="80">
        <v>0</v>
      </c>
      <c r="AG263" s="85" t="s">
        <v>1635</v>
      </c>
      <c r="AH263" s="80" t="b">
        <v>0</v>
      </c>
      <c r="AI263" s="80" t="s">
        <v>1642</v>
      </c>
      <c r="AJ263" s="80"/>
      <c r="AK263" s="85" t="s">
        <v>1635</v>
      </c>
      <c r="AL263" s="80" t="b">
        <v>0</v>
      </c>
      <c r="AM263" s="80">
        <v>5</v>
      </c>
      <c r="AN263" s="85" t="s">
        <v>1438</v>
      </c>
      <c r="AO263" s="85" t="s">
        <v>1671</v>
      </c>
      <c r="AP263" s="80" t="b">
        <v>0</v>
      </c>
      <c r="AQ263" s="85" t="s">
        <v>1438</v>
      </c>
      <c r="AR263" s="80" t="s">
        <v>179</v>
      </c>
      <c r="AS263" s="80">
        <v>0</v>
      </c>
      <c r="AT263" s="80">
        <v>0</v>
      </c>
      <c r="AU263" s="80"/>
      <c r="AV263" s="80"/>
      <c r="AW263" s="80"/>
      <c r="AX263" s="80"/>
      <c r="AY263" s="80"/>
      <c r="AZ263" s="80"/>
      <c r="BA263" s="80"/>
      <c r="BB263" s="80"/>
    </row>
    <row r="264" spans="1:54" x14ac:dyDescent="0.25">
      <c r="A264" s="65" t="s">
        <v>321</v>
      </c>
      <c r="B264" s="65" t="s">
        <v>362</v>
      </c>
      <c r="C264" s="66"/>
      <c r="D264" s="67"/>
      <c r="E264" s="68"/>
      <c r="F264" s="69"/>
      <c r="G264" s="66"/>
      <c r="H264" s="70"/>
      <c r="I264" s="71"/>
      <c r="J264" s="71"/>
      <c r="K264" s="36" t="s">
        <v>65</v>
      </c>
      <c r="L264" s="78">
        <v>264</v>
      </c>
      <c r="M264" s="78"/>
      <c r="N264" s="73"/>
      <c r="O264" s="80" t="s">
        <v>415</v>
      </c>
      <c r="P264" s="82">
        <v>44632.910115740742</v>
      </c>
      <c r="Q264" s="80" t="s">
        <v>518</v>
      </c>
      <c r="R264" s="80"/>
      <c r="S264" s="80"/>
      <c r="T264" s="85" t="s">
        <v>695</v>
      </c>
      <c r="U264" s="83" t="str">
        <f>HYPERLINK("https://pbs.twimg.com/media/FNqUi9YXsAc5JEY.jpg")</f>
        <v>https://pbs.twimg.com/media/FNqUi9YXsAc5JEY.jpg</v>
      </c>
      <c r="V264" s="83" t="str">
        <f>HYPERLINK("https://pbs.twimg.com/media/FNqUi9YXsAc5JEY.jpg")</f>
        <v>https://pbs.twimg.com/media/FNqUi9YXsAc5JEY.jpg</v>
      </c>
      <c r="W264" s="82">
        <v>44632.910115740742</v>
      </c>
      <c r="X264" s="88">
        <v>44632</v>
      </c>
      <c r="Y264" s="85" t="s">
        <v>895</v>
      </c>
      <c r="Z264" s="83" t="str">
        <f>HYPERLINK("https://twitter.com/bniles408/status/1502764009698861063")</f>
        <v>https://twitter.com/bniles408/status/1502764009698861063</v>
      </c>
      <c r="AA264" s="80"/>
      <c r="AB264" s="80"/>
      <c r="AC264" s="85" t="s">
        <v>1344</v>
      </c>
      <c r="AD264" s="80"/>
      <c r="AE264" s="80" t="b">
        <v>0</v>
      </c>
      <c r="AF264" s="80">
        <v>0</v>
      </c>
      <c r="AG264" s="85" t="s">
        <v>1635</v>
      </c>
      <c r="AH264" s="80" t="b">
        <v>0</v>
      </c>
      <c r="AI264" s="80" t="s">
        <v>1642</v>
      </c>
      <c r="AJ264" s="80"/>
      <c r="AK264" s="85" t="s">
        <v>1635</v>
      </c>
      <c r="AL264" s="80" t="b">
        <v>0</v>
      </c>
      <c r="AM264" s="80">
        <v>2</v>
      </c>
      <c r="AN264" s="85" t="s">
        <v>1497</v>
      </c>
      <c r="AO264" s="85" t="s">
        <v>1671</v>
      </c>
      <c r="AP264" s="80" t="b">
        <v>0</v>
      </c>
      <c r="AQ264" s="85" t="s">
        <v>1497</v>
      </c>
      <c r="AR264" s="80" t="s">
        <v>179</v>
      </c>
      <c r="AS264" s="80">
        <v>0</v>
      </c>
      <c r="AT264" s="80">
        <v>0</v>
      </c>
      <c r="AU264" s="80"/>
      <c r="AV264" s="80"/>
      <c r="AW264" s="80"/>
      <c r="AX264" s="80"/>
      <c r="AY264" s="80"/>
      <c r="AZ264" s="80"/>
      <c r="BA264" s="80"/>
      <c r="BB264" s="80"/>
    </row>
    <row r="265" spans="1:54" x14ac:dyDescent="0.25">
      <c r="A265" s="65" t="s">
        <v>322</v>
      </c>
      <c r="B265" s="65" t="s">
        <v>357</v>
      </c>
      <c r="C265" s="66"/>
      <c r="D265" s="67"/>
      <c r="E265" s="68"/>
      <c r="F265" s="69"/>
      <c r="G265" s="66"/>
      <c r="H265" s="70"/>
      <c r="I265" s="71"/>
      <c r="J265" s="71"/>
      <c r="K265" s="36" t="s">
        <v>65</v>
      </c>
      <c r="L265" s="78">
        <v>265</v>
      </c>
      <c r="M265" s="78"/>
      <c r="N265" s="73"/>
      <c r="O265" s="80" t="s">
        <v>415</v>
      </c>
      <c r="P265" s="82">
        <v>44633.012754629628</v>
      </c>
      <c r="Q265" s="80" t="s">
        <v>505</v>
      </c>
      <c r="R265" s="80"/>
      <c r="S265" s="80"/>
      <c r="T265" s="85" t="s">
        <v>700</v>
      </c>
      <c r="U265" s="83" t="str">
        <f>HYPERLINK("https://pbs.twimg.com/media/FNq-K9kWUAII3TB.jpg")</f>
        <v>https://pbs.twimg.com/media/FNq-K9kWUAII3TB.jpg</v>
      </c>
      <c r="V265" s="83" t="str">
        <f>HYPERLINK("https://pbs.twimg.com/media/FNq-K9kWUAII3TB.jpg")</f>
        <v>https://pbs.twimg.com/media/FNq-K9kWUAII3TB.jpg</v>
      </c>
      <c r="W265" s="82">
        <v>44633.012754629628</v>
      </c>
      <c r="X265" s="88">
        <v>44633</v>
      </c>
      <c r="Y265" s="85" t="s">
        <v>896</v>
      </c>
      <c r="Z265" s="83" t="str">
        <f>HYPERLINK("https://twitter.com/sexylex1984/status/1502801204870590464")</f>
        <v>https://twitter.com/sexylex1984/status/1502801204870590464</v>
      </c>
      <c r="AA265" s="80"/>
      <c r="AB265" s="80"/>
      <c r="AC265" s="85" t="s">
        <v>1345</v>
      </c>
      <c r="AD265" s="80"/>
      <c r="AE265" s="80" t="b">
        <v>0</v>
      </c>
      <c r="AF265" s="80">
        <v>0</v>
      </c>
      <c r="AG265" s="85" t="s">
        <v>1635</v>
      </c>
      <c r="AH265" s="80" t="b">
        <v>0</v>
      </c>
      <c r="AI265" s="80" t="s">
        <v>1642</v>
      </c>
      <c r="AJ265" s="80"/>
      <c r="AK265" s="85" t="s">
        <v>1635</v>
      </c>
      <c r="AL265" s="80" t="b">
        <v>0</v>
      </c>
      <c r="AM265" s="80">
        <v>40</v>
      </c>
      <c r="AN265" s="85" t="s">
        <v>1627</v>
      </c>
      <c r="AO265" s="85" t="s">
        <v>1671</v>
      </c>
      <c r="AP265" s="80" t="b">
        <v>0</v>
      </c>
      <c r="AQ265" s="85" t="s">
        <v>1627</v>
      </c>
      <c r="AR265" s="80" t="s">
        <v>179</v>
      </c>
      <c r="AS265" s="80">
        <v>0</v>
      </c>
      <c r="AT265" s="80">
        <v>0</v>
      </c>
      <c r="AU265" s="80"/>
      <c r="AV265" s="80"/>
      <c r="AW265" s="80"/>
      <c r="AX265" s="80"/>
      <c r="AY265" s="80"/>
      <c r="AZ265" s="80"/>
      <c r="BA265" s="80"/>
      <c r="BB265" s="80"/>
    </row>
    <row r="266" spans="1:54" x14ac:dyDescent="0.25">
      <c r="A266" s="65" t="s">
        <v>323</v>
      </c>
      <c r="B266" s="65" t="s">
        <v>357</v>
      </c>
      <c r="C266" s="66"/>
      <c r="D266" s="67"/>
      <c r="E266" s="68"/>
      <c r="F266" s="69"/>
      <c r="G266" s="66"/>
      <c r="H266" s="70"/>
      <c r="I266" s="71"/>
      <c r="J266" s="71"/>
      <c r="K266" s="36" t="s">
        <v>65</v>
      </c>
      <c r="L266" s="78">
        <v>266</v>
      </c>
      <c r="M266" s="78"/>
      <c r="N266" s="73"/>
      <c r="O266" s="80" t="s">
        <v>415</v>
      </c>
      <c r="P266" s="82">
        <v>44633.037187499998</v>
      </c>
      <c r="Q266" s="80" t="s">
        <v>505</v>
      </c>
      <c r="R266" s="80"/>
      <c r="S266" s="80"/>
      <c r="T266" s="85" t="s">
        <v>700</v>
      </c>
      <c r="U266" s="83" t="str">
        <f>HYPERLINK("https://pbs.twimg.com/media/FNq-K9kWUAII3TB.jpg")</f>
        <v>https://pbs.twimg.com/media/FNq-K9kWUAII3TB.jpg</v>
      </c>
      <c r="V266" s="83" t="str">
        <f>HYPERLINK("https://pbs.twimg.com/media/FNq-K9kWUAII3TB.jpg")</f>
        <v>https://pbs.twimg.com/media/FNq-K9kWUAII3TB.jpg</v>
      </c>
      <c r="W266" s="82">
        <v>44633.037187499998</v>
      </c>
      <c r="X266" s="88">
        <v>44633</v>
      </c>
      <c r="Y266" s="85" t="s">
        <v>897</v>
      </c>
      <c r="Z266" s="83" t="str">
        <f>HYPERLINK("https://twitter.com/amellusosports/status/1502810060669558786")</f>
        <v>https://twitter.com/amellusosports/status/1502810060669558786</v>
      </c>
      <c r="AA266" s="80"/>
      <c r="AB266" s="80"/>
      <c r="AC266" s="85" t="s">
        <v>1346</v>
      </c>
      <c r="AD266" s="80"/>
      <c r="AE266" s="80" t="b">
        <v>0</v>
      </c>
      <c r="AF266" s="80">
        <v>0</v>
      </c>
      <c r="AG266" s="85" t="s">
        <v>1635</v>
      </c>
      <c r="AH266" s="80" t="b">
        <v>0</v>
      </c>
      <c r="AI266" s="80" t="s">
        <v>1642</v>
      </c>
      <c r="AJ266" s="80"/>
      <c r="AK266" s="85" t="s">
        <v>1635</v>
      </c>
      <c r="AL266" s="80" t="b">
        <v>0</v>
      </c>
      <c r="AM266" s="80">
        <v>40</v>
      </c>
      <c r="AN266" s="85" t="s">
        <v>1627</v>
      </c>
      <c r="AO266" s="85" t="s">
        <v>1671</v>
      </c>
      <c r="AP266" s="80" t="b">
        <v>0</v>
      </c>
      <c r="AQ266" s="85" t="s">
        <v>1627</v>
      </c>
      <c r="AR266" s="80" t="s">
        <v>179</v>
      </c>
      <c r="AS266" s="80">
        <v>0</v>
      </c>
      <c r="AT266" s="80">
        <v>0</v>
      </c>
      <c r="AU266" s="80"/>
      <c r="AV266" s="80"/>
      <c r="AW266" s="80"/>
      <c r="AX266" s="80"/>
      <c r="AY266" s="80"/>
      <c r="AZ266" s="80"/>
      <c r="BA266" s="80"/>
      <c r="BB266" s="80"/>
    </row>
    <row r="267" spans="1:54" x14ac:dyDescent="0.25">
      <c r="A267" s="65" t="s">
        <v>324</v>
      </c>
      <c r="B267" s="65" t="s">
        <v>357</v>
      </c>
      <c r="C267" s="66"/>
      <c r="D267" s="67"/>
      <c r="E267" s="68"/>
      <c r="F267" s="69"/>
      <c r="G267" s="66"/>
      <c r="H267" s="70"/>
      <c r="I267" s="71"/>
      <c r="J267" s="71"/>
      <c r="K267" s="36" t="s">
        <v>65</v>
      </c>
      <c r="L267" s="78">
        <v>267</v>
      </c>
      <c r="M267" s="78"/>
      <c r="N267" s="73"/>
      <c r="O267" s="80" t="s">
        <v>415</v>
      </c>
      <c r="P267" s="82">
        <v>44633.038090277776</v>
      </c>
      <c r="Q267" s="80" t="s">
        <v>505</v>
      </c>
      <c r="R267" s="80"/>
      <c r="S267" s="80"/>
      <c r="T267" s="85" t="s">
        <v>700</v>
      </c>
      <c r="U267" s="83" t="str">
        <f>HYPERLINK("https://pbs.twimg.com/media/FNq-K9kWUAII3TB.jpg")</f>
        <v>https://pbs.twimg.com/media/FNq-K9kWUAII3TB.jpg</v>
      </c>
      <c r="V267" s="83" t="str">
        <f>HYPERLINK("https://pbs.twimg.com/media/FNq-K9kWUAII3TB.jpg")</f>
        <v>https://pbs.twimg.com/media/FNq-K9kWUAII3TB.jpg</v>
      </c>
      <c r="W267" s="82">
        <v>44633.038090277776</v>
      </c>
      <c r="X267" s="88">
        <v>44633</v>
      </c>
      <c r="Y267" s="85" t="s">
        <v>898</v>
      </c>
      <c r="Z267" s="83" t="str">
        <f>HYPERLINK("https://twitter.com/ksharkey25/status/1502810385371566081")</f>
        <v>https://twitter.com/ksharkey25/status/1502810385371566081</v>
      </c>
      <c r="AA267" s="80"/>
      <c r="AB267" s="80"/>
      <c r="AC267" s="85" t="s">
        <v>1347</v>
      </c>
      <c r="AD267" s="80"/>
      <c r="AE267" s="80" t="b">
        <v>0</v>
      </c>
      <c r="AF267" s="80">
        <v>0</v>
      </c>
      <c r="AG267" s="85" t="s">
        <v>1635</v>
      </c>
      <c r="AH267" s="80" t="b">
        <v>0</v>
      </c>
      <c r="AI267" s="80" t="s">
        <v>1642</v>
      </c>
      <c r="AJ267" s="80"/>
      <c r="AK267" s="85" t="s">
        <v>1635</v>
      </c>
      <c r="AL267" s="80" t="b">
        <v>0</v>
      </c>
      <c r="AM267" s="80">
        <v>40</v>
      </c>
      <c r="AN267" s="85" t="s">
        <v>1627</v>
      </c>
      <c r="AO267" s="85" t="s">
        <v>1671</v>
      </c>
      <c r="AP267" s="80" t="b">
        <v>0</v>
      </c>
      <c r="AQ267" s="85" t="s">
        <v>1627</v>
      </c>
      <c r="AR267" s="80" t="s">
        <v>179</v>
      </c>
      <c r="AS267" s="80">
        <v>0</v>
      </c>
      <c r="AT267" s="80">
        <v>0</v>
      </c>
      <c r="AU267" s="80"/>
      <c r="AV267" s="80"/>
      <c r="AW267" s="80"/>
      <c r="AX267" s="80"/>
      <c r="AY267" s="80"/>
      <c r="AZ267" s="80"/>
      <c r="BA267" s="80"/>
      <c r="BB267" s="80"/>
    </row>
    <row r="268" spans="1:54" x14ac:dyDescent="0.25">
      <c r="A268" s="65" t="s">
        <v>325</v>
      </c>
      <c r="B268" s="65" t="s">
        <v>398</v>
      </c>
      <c r="C268" s="66"/>
      <c r="D268" s="67"/>
      <c r="E268" s="68"/>
      <c r="F268" s="69"/>
      <c r="G268" s="66"/>
      <c r="H268" s="70"/>
      <c r="I268" s="71"/>
      <c r="J268" s="71"/>
      <c r="K268" s="36" t="s">
        <v>65</v>
      </c>
      <c r="L268" s="78">
        <v>268</v>
      </c>
      <c r="M268" s="78"/>
      <c r="N268" s="73"/>
      <c r="O268" s="80" t="s">
        <v>414</v>
      </c>
      <c r="P268" s="82">
        <v>44631.984039351853</v>
      </c>
      <c r="Q268" s="80" t="s">
        <v>520</v>
      </c>
      <c r="R268" s="80"/>
      <c r="S268" s="80"/>
      <c r="T268" s="85" t="s">
        <v>671</v>
      </c>
      <c r="U268" s="83" t="str">
        <f>HYPERLINK("https://pbs.twimg.com/tweet_video_thumb/FNkdrK3XsAwFa9M.jpg")</f>
        <v>https://pbs.twimg.com/tweet_video_thumb/FNkdrK3XsAwFa9M.jpg</v>
      </c>
      <c r="V268" s="83" t="str">
        <f>HYPERLINK("https://pbs.twimg.com/tweet_video_thumb/FNkdrK3XsAwFa9M.jpg")</f>
        <v>https://pbs.twimg.com/tweet_video_thumb/FNkdrK3XsAwFa9M.jpg</v>
      </c>
      <c r="W268" s="82">
        <v>44631.984039351853</v>
      </c>
      <c r="X268" s="88">
        <v>44631</v>
      </c>
      <c r="Y268" s="85" t="s">
        <v>899</v>
      </c>
      <c r="Z268" s="83" t="str">
        <f>HYPERLINK("https://twitter.com/josephdid/status/1502428409959485441")</f>
        <v>https://twitter.com/josephdid/status/1502428409959485441</v>
      </c>
      <c r="AA268" s="80"/>
      <c r="AB268" s="80"/>
      <c r="AC268" s="85" t="s">
        <v>1348</v>
      </c>
      <c r="AD268" s="80"/>
      <c r="AE268" s="80" t="b">
        <v>0</v>
      </c>
      <c r="AF268" s="80">
        <v>0</v>
      </c>
      <c r="AG268" s="85" t="s">
        <v>1635</v>
      </c>
      <c r="AH268" s="80" t="b">
        <v>0</v>
      </c>
      <c r="AI268" s="80" t="s">
        <v>1642</v>
      </c>
      <c r="AJ268" s="80"/>
      <c r="AK268" s="85" t="s">
        <v>1635</v>
      </c>
      <c r="AL268" s="80" t="b">
        <v>0</v>
      </c>
      <c r="AM268" s="80">
        <v>1</v>
      </c>
      <c r="AN268" s="85" t="s">
        <v>1426</v>
      </c>
      <c r="AO268" s="85" t="s">
        <v>1671</v>
      </c>
      <c r="AP268" s="80" t="b">
        <v>0</v>
      </c>
      <c r="AQ268" s="85" t="s">
        <v>1426</v>
      </c>
      <c r="AR268" s="80" t="s">
        <v>179</v>
      </c>
      <c r="AS268" s="80">
        <v>0</v>
      </c>
      <c r="AT268" s="80">
        <v>0</v>
      </c>
      <c r="AU268" s="80"/>
      <c r="AV268" s="80"/>
      <c r="AW268" s="80"/>
      <c r="AX268" s="80"/>
      <c r="AY268" s="80"/>
      <c r="AZ268" s="80"/>
      <c r="BA268" s="80"/>
      <c r="BB268" s="80"/>
    </row>
    <row r="269" spans="1:54" x14ac:dyDescent="0.25">
      <c r="A269" s="65" t="s">
        <v>325</v>
      </c>
      <c r="B269" s="65" t="s">
        <v>353</v>
      </c>
      <c r="C269" s="66"/>
      <c r="D269" s="67"/>
      <c r="E269" s="68"/>
      <c r="F269" s="69"/>
      <c r="G269" s="66"/>
      <c r="H269" s="70"/>
      <c r="I269" s="71"/>
      <c r="J269" s="71"/>
      <c r="K269" s="36" t="s">
        <v>65</v>
      </c>
      <c r="L269" s="78">
        <v>269</v>
      </c>
      <c r="M269" s="78"/>
      <c r="N269" s="73"/>
      <c r="O269" s="80" t="s">
        <v>415</v>
      </c>
      <c r="P269" s="82">
        <v>44631.984039351853</v>
      </c>
      <c r="Q269" s="80" t="s">
        <v>520</v>
      </c>
      <c r="R269" s="80"/>
      <c r="S269" s="80"/>
      <c r="T269" s="85" t="s">
        <v>671</v>
      </c>
      <c r="U269" s="83" t="str">
        <f>HYPERLINK("https://pbs.twimg.com/tweet_video_thumb/FNkdrK3XsAwFa9M.jpg")</f>
        <v>https://pbs.twimg.com/tweet_video_thumb/FNkdrK3XsAwFa9M.jpg</v>
      </c>
      <c r="V269" s="83" t="str">
        <f>HYPERLINK("https://pbs.twimg.com/tweet_video_thumb/FNkdrK3XsAwFa9M.jpg")</f>
        <v>https://pbs.twimg.com/tweet_video_thumb/FNkdrK3XsAwFa9M.jpg</v>
      </c>
      <c r="W269" s="82">
        <v>44631.984039351853</v>
      </c>
      <c r="X269" s="88">
        <v>44631</v>
      </c>
      <c r="Y269" s="85" t="s">
        <v>899</v>
      </c>
      <c r="Z269" s="83" t="str">
        <f>HYPERLINK("https://twitter.com/josephdid/status/1502428409959485441")</f>
        <v>https://twitter.com/josephdid/status/1502428409959485441</v>
      </c>
      <c r="AA269" s="80"/>
      <c r="AB269" s="80"/>
      <c r="AC269" s="85" t="s">
        <v>1348</v>
      </c>
      <c r="AD269" s="80"/>
      <c r="AE269" s="80" t="b">
        <v>0</v>
      </c>
      <c r="AF269" s="80">
        <v>0</v>
      </c>
      <c r="AG269" s="85" t="s">
        <v>1635</v>
      </c>
      <c r="AH269" s="80" t="b">
        <v>0</v>
      </c>
      <c r="AI269" s="80" t="s">
        <v>1642</v>
      </c>
      <c r="AJ269" s="80"/>
      <c r="AK269" s="85" t="s">
        <v>1635</v>
      </c>
      <c r="AL269" s="80" t="b">
        <v>0</v>
      </c>
      <c r="AM269" s="80">
        <v>1</v>
      </c>
      <c r="AN269" s="85" t="s">
        <v>1426</v>
      </c>
      <c r="AO269" s="85" t="s">
        <v>1671</v>
      </c>
      <c r="AP269" s="80" t="b">
        <v>0</v>
      </c>
      <c r="AQ269" s="85" t="s">
        <v>1426</v>
      </c>
      <c r="AR269" s="80" t="s">
        <v>179</v>
      </c>
      <c r="AS269" s="80">
        <v>0</v>
      </c>
      <c r="AT269" s="80">
        <v>0</v>
      </c>
      <c r="AU269" s="80"/>
      <c r="AV269" s="80"/>
      <c r="AW269" s="80"/>
      <c r="AX269" s="80"/>
      <c r="AY269" s="80"/>
      <c r="AZ269" s="80"/>
      <c r="BA269" s="80"/>
      <c r="BB269" s="80"/>
    </row>
    <row r="270" spans="1:54" x14ac:dyDescent="0.25">
      <c r="A270" s="65" t="s">
        <v>325</v>
      </c>
      <c r="B270" s="65" t="s">
        <v>398</v>
      </c>
      <c r="C270" s="66"/>
      <c r="D270" s="67"/>
      <c r="E270" s="68"/>
      <c r="F270" s="69"/>
      <c r="G270" s="66"/>
      <c r="H270" s="70"/>
      <c r="I270" s="71"/>
      <c r="J270" s="71"/>
      <c r="K270" s="36" t="s">
        <v>65</v>
      </c>
      <c r="L270" s="78">
        <v>270</v>
      </c>
      <c r="M270" s="78"/>
      <c r="N270" s="73"/>
      <c r="O270" s="80" t="s">
        <v>416</v>
      </c>
      <c r="P270" s="82">
        <v>44632.725358796299</v>
      </c>
      <c r="Q270" s="80" t="s">
        <v>521</v>
      </c>
      <c r="R270" s="83" t="str">
        <f>HYPERLINK("https://www.youtube.com/watch?v=vI_xPkhZY8g&amp;feature=youtu.be")</f>
        <v>https://www.youtube.com/watch?v=vI_xPkhZY8g&amp;feature=youtu.be</v>
      </c>
      <c r="S270" s="80" t="s">
        <v>634</v>
      </c>
      <c r="T270" s="85" t="s">
        <v>671</v>
      </c>
      <c r="U270" s="80"/>
      <c r="V270" s="83" t="str">
        <f>HYPERLINK("https://pbs.twimg.com/profile_images/1068847455112974336/Y8JKe8s8_normal.jpg")</f>
        <v>https://pbs.twimg.com/profile_images/1068847455112974336/Y8JKe8s8_normal.jpg</v>
      </c>
      <c r="W270" s="82">
        <v>44632.725358796299</v>
      </c>
      <c r="X270" s="88">
        <v>44632</v>
      </c>
      <c r="Y270" s="85" t="s">
        <v>900</v>
      </c>
      <c r="Z270" s="83" t="str">
        <f>HYPERLINK("https://twitter.com/josephdid/status/1502697053708767239")</f>
        <v>https://twitter.com/josephdid/status/1502697053708767239</v>
      </c>
      <c r="AA270" s="80"/>
      <c r="AB270" s="80"/>
      <c r="AC270" s="85" t="s">
        <v>1349</v>
      </c>
      <c r="AD270" s="80"/>
      <c r="AE270" s="80" t="b">
        <v>0</v>
      </c>
      <c r="AF270" s="80">
        <v>5</v>
      </c>
      <c r="AG270" s="85" t="s">
        <v>1635</v>
      </c>
      <c r="AH270" s="80" t="b">
        <v>0</v>
      </c>
      <c r="AI270" s="80" t="s">
        <v>1642</v>
      </c>
      <c r="AJ270" s="80"/>
      <c r="AK270" s="85" t="s">
        <v>1635</v>
      </c>
      <c r="AL270" s="80" t="b">
        <v>0</v>
      </c>
      <c r="AM270" s="80">
        <v>0</v>
      </c>
      <c r="AN270" s="85" t="s">
        <v>1635</v>
      </c>
      <c r="AO270" s="85" t="s">
        <v>1671</v>
      </c>
      <c r="AP270" s="80" t="b">
        <v>0</v>
      </c>
      <c r="AQ270" s="85" t="s">
        <v>1349</v>
      </c>
      <c r="AR270" s="80" t="s">
        <v>179</v>
      </c>
      <c r="AS270" s="80">
        <v>0</v>
      </c>
      <c r="AT270" s="80">
        <v>0</v>
      </c>
      <c r="AU270" s="80"/>
      <c r="AV270" s="80"/>
      <c r="AW270" s="80"/>
      <c r="AX270" s="80"/>
      <c r="AY270" s="80"/>
      <c r="AZ270" s="80"/>
      <c r="BA270" s="80"/>
      <c r="BB270" s="80"/>
    </row>
    <row r="271" spans="1:54" x14ac:dyDescent="0.25">
      <c r="A271" s="65" t="s">
        <v>325</v>
      </c>
      <c r="B271" s="65" t="s">
        <v>353</v>
      </c>
      <c r="C271" s="66"/>
      <c r="D271" s="67"/>
      <c r="E271" s="68"/>
      <c r="F271" s="69"/>
      <c r="G271" s="66"/>
      <c r="H271" s="70"/>
      <c r="I271" s="71"/>
      <c r="J271" s="71"/>
      <c r="K271" s="36" t="s">
        <v>65</v>
      </c>
      <c r="L271" s="78">
        <v>271</v>
      </c>
      <c r="M271" s="78"/>
      <c r="N271" s="73"/>
      <c r="O271" s="80" t="s">
        <v>415</v>
      </c>
      <c r="P271" s="82">
        <v>44633.053969907407</v>
      </c>
      <c r="Q271" s="80" t="s">
        <v>522</v>
      </c>
      <c r="R271" s="83" t="str">
        <f>HYPERLINK("https://youtu.be/KgpsoBIxtb4?linkId=100000114502845")</f>
        <v>https://youtu.be/KgpsoBIxtb4?linkId=100000114502845</v>
      </c>
      <c r="S271" s="80" t="s">
        <v>654</v>
      </c>
      <c r="T271" s="85" t="s">
        <v>357</v>
      </c>
      <c r="U271" s="83" t="str">
        <f>HYPERLINK("https://pbs.twimg.com/tweet_video_thumb/FNsGG8oX0AUfFPA.jpg")</f>
        <v>https://pbs.twimg.com/tweet_video_thumb/FNsGG8oX0AUfFPA.jpg</v>
      </c>
      <c r="V271" s="83" t="str">
        <f>HYPERLINK("https://pbs.twimg.com/tweet_video_thumb/FNsGG8oX0AUfFPA.jpg")</f>
        <v>https://pbs.twimg.com/tweet_video_thumb/FNsGG8oX0AUfFPA.jpg</v>
      </c>
      <c r="W271" s="82">
        <v>44633.053969907407</v>
      </c>
      <c r="X271" s="88">
        <v>44633</v>
      </c>
      <c r="Y271" s="85" t="s">
        <v>901</v>
      </c>
      <c r="Z271" s="83" t="str">
        <f>HYPERLINK("https://twitter.com/josephdid/status/1502816139524689920")</f>
        <v>https://twitter.com/josephdid/status/1502816139524689920</v>
      </c>
      <c r="AA271" s="80"/>
      <c r="AB271" s="80"/>
      <c r="AC271" s="85" t="s">
        <v>1350</v>
      </c>
      <c r="AD271" s="80"/>
      <c r="AE271" s="80" t="b">
        <v>0</v>
      </c>
      <c r="AF271" s="80">
        <v>0</v>
      </c>
      <c r="AG271" s="85" t="s">
        <v>1635</v>
      </c>
      <c r="AH271" s="80" t="b">
        <v>0</v>
      </c>
      <c r="AI271" s="80" t="s">
        <v>1642</v>
      </c>
      <c r="AJ271" s="80"/>
      <c r="AK271" s="85" t="s">
        <v>1635</v>
      </c>
      <c r="AL271" s="80" t="b">
        <v>0</v>
      </c>
      <c r="AM271" s="80">
        <v>2</v>
      </c>
      <c r="AN271" s="85" t="s">
        <v>1490</v>
      </c>
      <c r="AO271" s="85" t="s">
        <v>1671</v>
      </c>
      <c r="AP271" s="80" t="b">
        <v>0</v>
      </c>
      <c r="AQ271" s="85" t="s">
        <v>1490</v>
      </c>
      <c r="AR271" s="80" t="s">
        <v>179</v>
      </c>
      <c r="AS271" s="80">
        <v>0</v>
      </c>
      <c r="AT271" s="80">
        <v>0</v>
      </c>
      <c r="AU271" s="80"/>
      <c r="AV271" s="80"/>
      <c r="AW271" s="80"/>
      <c r="AX271" s="80"/>
      <c r="AY271" s="80"/>
      <c r="AZ271" s="80"/>
      <c r="BA271" s="80"/>
      <c r="BB271" s="80"/>
    </row>
    <row r="272" spans="1:54" x14ac:dyDescent="0.25">
      <c r="A272" s="65" t="s">
        <v>326</v>
      </c>
      <c r="B272" s="65" t="s">
        <v>357</v>
      </c>
      <c r="C272" s="66"/>
      <c r="D272" s="67"/>
      <c r="E272" s="68"/>
      <c r="F272" s="69"/>
      <c r="G272" s="66"/>
      <c r="H272" s="70"/>
      <c r="I272" s="71"/>
      <c r="J272" s="71"/>
      <c r="K272" s="36" t="s">
        <v>65</v>
      </c>
      <c r="L272" s="78">
        <v>272</v>
      </c>
      <c r="M272" s="78"/>
      <c r="N272" s="73"/>
      <c r="O272" s="80" t="s">
        <v>415</v>
      </c>
      <c r="P272" s="82">
        <v>44633.062245370369</v>
      </c>
      <c r="Q272" s="80" t="s">
        <v>505</v>
      </c>
      <c r="R272" s="80"/>
      <c r="S272" s="80"/>
      <c r="T272" s="85" t="s">
        <v>700</v>
      </c>
      <c r="U272" s="83" t="str">
        <f>HYPERLINK("https://pbs.twimg.com/media/FNq-K9kWUAII3TB.jpg")</f>
        <v>https://pbs.twimg.com/media/FNq-K9kWUAII3TB.jpg</v>
      </c>
      <c r="V272" s="83" t="str">
        <f>HYPERLINK("https://pbs.twimg.com/media/FNq-K9kWUAII3TB.jpg")</f>
        <v>https://pbs.twimg.com/media/FNq-K9kWUAII3TB.jpg</v>
      </c>
      <c r="W272" s="82">
        <v>44633.062245370369</v>
      </c>
      <c r="X272" s="88">
        <v>44633</v>
      </c>
      <c r="Y272" s="85" t="s">
        <v>902</v>
      </c>
      <c r="Z272" s="83" t="str">
        <f>HYPERLINK("https://twitter.com/mvanharrison/status/1502819141115392002")</f>
        <v>https://twitter.com/mvanharrison/status/1502819141115392002</v>
      </c>
      <c r="AA272" s="80"/>
      <c r="AB272" s="80"/>
      <c r="AC272" s="85" t="s">
        <v>1351</v>
      </c>
      <c r="AD272" s="80"/>
      <c r="AE272" s="80" t="b">
        <v>0</v>
      </c>
      <c r="AF272" s="80">
        <v>0</v>
      </c>
      <c r="AG272" s="85" t="s">
        <v>1635</v>
      </c>
      <c r="AH272" s="80" t="b">
        <v>0</v>
      </c>
      <c r="AI272" s="80" t="s">
        <v>1642</v>
      </c>
      <c r="AJ272" s="80"/>
      <c r="AK272" s="85" t="s">
        <v>1635</v>
      </c>
      <c r="AL272" s="80" t="b">
        <v>0</v>
      </c>
      <c r="AM272" s="80">
        <v>40</v>
      </c>
      <c r="AN272" s="85" t="s">
        <v>1627</v>
      </c>
      <c r="AO272" s="85" t="s">
        <v>1671</v>
      </c>
      <c r="AP272" s="80" t="b">
        <v>0</v>
      </c>
      <c r="AQ272" s="85" t="s">
        <v>1627</v>
      </c>
      <c r="AR272" s="80" t="s">
        <v>179</v>
      </c>
      <c r="AS272" s="80">
        <v>0</v>
      </c>
      <c r="AT272" s="80">
        <v>0</v>
      </c>
      <c r="AU272" s="80"/>
      <c r="AV272" s="80"/>
      <c r="AW272" s="80"/>
      <c r="AX272" s="80"/>
      <c r="AY272" s="80"/>
      <c r="AZ272" s="80"/>
      <c r="BA272" s="80"/>
      <c r="BB272" s="80"/>
    </row>
    <row r="273" spans="1:54" x14ac:dyDescent="0.25">
      <c r="A273" s="65" t="s">
        <v>327</v>
      </c>
      <c r="B273" s="65" t="s">
        <v>357</v>
      </c>
      <c r="C273" s="66"/>
      <c r="D273" s="67"/>
      <c r="E273" s="68"/>
      <c r="F273" s="69"/>
      <c r="G273" s="66"/>
      <c r="H273" s="70"/>
      <c r="I273" s="71"/>
      <c r="J273" s="71"/>
      <c r="K273" s="36" t="s">
        <v>65</v>
      </c>
      <c r="L273" s="78">
        <v>273</v>
      </c>
      <c r="M273" s="78"/>
      <c r="N273" s="73"/>
      <c r="O273" s="80" t="s">
        <v>415</v>
      </c>
      <c r="P273" s="82">
        <v>44633.062719907408</v>
      </c>
      <c r="Q273" s="80" t="s">
        <v>505</v>
      </c>
      <c r="R273" s="80"/>
      <c r="S273" s="80"/>
      <c r="T273" s="85" t="s">
        <v>700</v>
      </c>
      <c r="U273" s="83" t="str">
        <f>HYPERLINK("https://pbs.twimg.com/media/FNq-K9kWUAII3TB.jpg")</f>
        <v>https://pbs.twimg.com/media/FNq-K9kWUAII3TB.jpg</v>
      </c>
      <c r="V273" s="83" t="str">
        <f>HYPERLINK("https://pbs.twimg.com/media/FNq-K9kWUAII3TB.jpg")</f>
        <v>https://pbs.twimg.com/media/FNq-K9kWUAII3TB.jpg</v>
      </c>
      <c r="W273" s="82">
        <v>44633.062719907408</v>
      </c>
      <c r="X273" s="88">
        <v>44633</v>
      </c>
      <c r="Y273" s="85" t="s">
        <v>903</v>
      </c>
      <c r="Z273" s="83" t="str">
        <f>HYPERLINK("https://twitter.com/thesamuraicoach/status/1502819310447779841")</f>
        <v>https://twitter.com/thesamuraicoach/status/1502819310447779841</v>
      </c>
      <c r="AA273" s="80"/>
      <c r="AB273" s="80"/>
      <c r="AC273" s="85" t="s">
        <v>1352</v>
      </c>
      <c r="AD273" s="80"/>
      <c r="AE273" s="80" t="b">
        <v>0</v>
      </c>
      <c r="AF273" s="80">
        <v>0</v>
      </c>
      <c r="AG273" s="85" t="s">
        <v>1635</v>
      </c>
      <c r="AH273" s="80" t="b">
        <v>0</v>
      </c>
      <c r="AI273" s="80" t="s">
        <v>1642</v>
      </c>
      <c r="AJ273" s="80"/>
      <c r="AK273" s="85" t="s">
        <v>1635</v>
      </c>
      <c r="AL273" s="80" t="b">
        <v>0</v>
      </c>
      <c r="AM273" s="80">
        <v>40</v>
      </c>
      <c r="AN273" s="85" t="s">
        <v>1627</v>
      </c>
      <c r="AO273" s="85" t="s">
        <v>1671</v>
      </c>
      <c r="AP273" s="80" t="b">
        <v>0</v>
      </c>
      <c r="AQ273" s="85" t="s">
        <v>1627</v>
      </c>
      <c r="AR273" s="80" t="s">
        <v>179</v>
      </c>
      <c r="AS273" s="80">
        <v>0</v>
      </c>
      <c r="AT273" s="80">
        <v>0</v>
      </c>
      <c r="AU273" s="80"/>
      <c r="AV273" s="80"/>
      <c r="AW273" s="80"/>
      <c r="AX273" s="80"/>
      <c r="AY273" s="80"/>
      <c r="AZ273" s="80"/>
      <c r="BA273" s="80"/>
      <c r="BB273" s="80"/>
    </row>
    <row r="274" spans="1:54" x14ac:dyDescent="0.25">
      <c r="A274" s="65" t="s">
        <v>328</v>
      </c>
      <c r="B274" s="65" t="s">
        <v>357</v>
      </c>
      <c r="C274" s="66"/>
      <c r="D274" s="67"/>
      <c r="E274" s="68"/>
      <c r="F274" s="69"/>
      <c r="G274" s="66"/>
      <c r="H274" s="70"/>
      <c r="I274" s="71"/>
      <c r="J274" s="71"/>
      <c r="K274" s="36" t="s">
        <v>65</v>
      </c>
      <c r="L274" s="78">
        <v>274</v>
      </c>
      <c r="M274" s="78"/>
      <c r="N274" s="73"/>
      <c r="O274" s="80" t="s">
        <v>415</v>
      </c>
      <c r="P274" s="82">
        <v>44633.06391203704</v>
      </c>
      <c r="Q274" s="80" t="s">
        <v>505</v>
      </c>
      <c r="R274" s="80"/>
      <c r="S274" s="80"/>
      <c r="T274" s="85" t="s">
        <v>700</v>
      </c>
      <c r="U274" s="83" t="str">
        <f>HYPERLINK("https://pbs.twimg.com/media/FNq-K9kWUAII3TB.jpg")</f>
        <v>https://pbs.twimg.com/media/FNq-K9kWUAII3TB.jpg</v>
      </c>
      <c r="V274" s="83" t="str">
        <f>HYPERLINK("https://pbs.twimg.com/media/FNq-K9kWUAII3TB.jpg")</f>
        <v>https://pbs.twimg.com/media/FNq-K9kWUAII3TB.jpg</v>
      </c>
      <c r="W274" s="82">
        <v>44633.06391203704</v>
      </c>
      <c r="X274" s="88">
        <v>44633</v>
      </c>
      <c r="Y274" s="85" t="s">
        <v>904</v>
      </c>
      <c r="Z274" s="83" t="str">
        <f>HYPERLINK("https://twitter.com/wils_dogg/status/1502819741504790537")</f>
        <v>https://twitter.com/wils_dogg/status/1502819741504790537</v>
      </c>
      <c r="AA274" s="80"/>
      <c r="AB274" s="80"/>
      <c r="AC274" s="85" t="s">
        <v>1353</v>
      </c>
      <c r="AD274" s="80"/>
      <c r="AE274" s="80" t="b">
        <v>0</v>
      </c>
      <c r="AF274" s="80">
        <v>0</v>
      </c>
      <c r="AG274" s="85" t="s">
        <v>1635</v>
      </c>
      <c r="AH274" s="80" t="b">
        <v>0</v>
      </c>
      <c r="AI274" s="80" t="s">
        <v>1642</v>
      </c>
      <c r="AJ274" s="80"/>
      <c r="AK274" s="85" t="s">
        <v>1635</v>
      </c>
      <c r="AL274" s="80" t="b">
        <v>0</v>
      </c>
      <c r="AM274" s="80">
        <v>40</v>
      </c>
      <c r="AN274" s="85" t="s">
        <v>1627</v>
      </c>
      <c r="AO274" s="85" t="s">
        <v>1671</v>
      </c>
      <c r="AP274" s="80" t="b">
        <v>0</v>
      </c>
      <c r="AQ274" s="85" t="s">
        <v>1627</v>
      </c>
      <c r="AR274" s="80" t="s">
        <v>179</v>
      </c>
      <c r="AS274" s="80">
        <v>0</v>
      </c>
      <c r="AT274" s="80">
        <v>0</v>
      </c>
      <c r="AU274" s="80"/>
      <c r="AV274" s="80"/>
      <c r="AW274" s="80"/>
      <c r="AX274" s="80"/>
      <c r="AY274" s="80"/>
      <c r="AZ274" s="80"/>
      <c r="BA274" s="80"/>
      <c r="BB274" s="80"/>
    </row>
    <row r="275" spans="1:54" x14ac:dyDescent="0.25">
      <c r="A275" s="65" t="s">
        <v>329</v>
      </c>
      <c r="B275" s="65" t="s">
        <v>357</v>
      </c>
      <c r="C275" s="66"/>
      <c r="D275" s="67"/>
      <c r="E275" s="68"/>
      <c r="F275" s="69"/>
      <c r="G275" s="66"/>
      <c r="H275" s="70"/>
      <c r="I275" s="71"/>
      <c r="J275" s="71"/>
      <c r="K275" s="36" t="s">
        <v>65</v>
      </c>
      <c r="L275" s="78">
        <v>275</v>
      </c>
      <c r="M275" s="78"/>
      <c r="N275" s="73"/>
      <c r="O275" s="80" t="s">
        <v>415</v>
      </c>
      <c r="P275" s="82">
        <v>44633.078923611109</v>
      </c>
      <c r="Q275" s="80" t="s">
        <v>505</v>
      </c>
      <c r="R275" s="80"/>
      <c r="S275" s="80"/>
      <c r="T275" s="85" t="s">
        <v>700</v>
      </c>
      <c r="U275" s="83" t="str">
        <f>HYPERLINK("https://pbs.twimg.com/media/FNq-K9kWUAII3TB.jpg")</f>
        <v>https://pbs.twimg.com/media/FNq-K9kWUAII3TB.jpg</v>
      </c>
      <c r="V275" s="83" t="str">
        <f>HYPERLINK("https://pbs.twimg.com/media/FNq-K9kWUAII3TB.jpg")</f>
        <v>https://pbs.twimg.com/media/FNq-K9kWUAII3TB.jpg</v>
      </c>
      <c r="W275" s="82">
        <v>44633.078923611109</v>
      </c>
      <c r="X275" s="88">
        <v>44633</v>
      </c>
      <c r="Y275" s="85" t="s">
        <v>905</v>
      </c>
      <c r="Z275" s="83" t="str">
        <f>HYPERLINK("https://twitter.com/joe_jp_price/status/1502825183639388161")</f>
        <v>https://twitter.com/joe_jp_price/status/1502825183639388161</v>
      </c>
      <c r="AA275" s="80"/>
      <c r="AB275" s="80"/>
      <c r="AC275" s="85" t="s">
        <v>1354</v>
      </c>
      <c r="AD275" s="80"/>
      <c r="AE275" s="80" t="b">
        <v>0</v>
      </c>
      <c r="AF275" s="80">
        <v>0</v>
      </c>
      <c r="AG275" s="85" t="s">
        <v>1635</v>
      </c>
      <c r="AH275" s="80" t="b">
        <v>0</v>
      </c>
      <c r="AI275" s="80" t="s">
        <v>1642</v>
      </c>
      <c r="AJ275" s="80"/>
      <c r="AK275" s="85" t="s">
        <v>1635</v>
      </c>
      <c r="AL275" s="80" t="b">
        <v>0</v>
      </c>
      <c r="AM275" s="80">
        <v>40</v>
      </c>
      <c r="AN275" s="85" t="s">
        <v>1627</v>
      </c>
      <c r="AO275" s="85" t="s">
        <v>1671</v>
      </c>
      <c r="AP275" s="80" t="b">
        <v>0</v>
      </c>
      <c r="AQ275" s="85" t="s">
        <v>1627</v>
      </c>
      <c r="AR275" s="80" t="s">
        <v>179</v>
      </c>
      <c r="AS275" s="80">
        <v>0</v>
      </c>
      <c r="AT275" s="80">
        <v>0</v>
      </c>
      <c r="AU275" s="80"/>
      <c r="AV275" s="80"/>
      <c r="AW275" s="80"/>
      <c r="AX275" s="80"/>
      <c r="AY275" s="80"/>
      <c r="AZ275" s="80"/>
      <c r="BA275" s="80"/>
      <c r="BB275" s="80"/>
    </row>
    <row r="276" spans="1:54" x14ac:dyDescent="0.25">
      <c r="A276" s="65" t="s">
        <v>330</v>
      </c>
      <c r="B276" s="65" t="s">
        <v>357</v>
      </c>
      <c r="C276" s="66"/>
      <c r="D276" s="67"/>
      <c r="E276" s="68"/>
      <c r="F276" s="69"/>
      <c r="G276" s="66"/>
      <c r="H276" s="70"/>
      <c r="I276" s="71"/>
      <c r="J276" s="71"/>
      <c r="K276" s="36" t="s">
        <v>65</v>
      </c>
      <c r="L276" s="78">
        <v>276</v>
      </c>
      <c r="M276" s="78"/>
      <c r="N276" s="73"/>
      <c r="O276" s="80" t="s">
        <v>415</v>
      </c>
      <c r="P276" s="82">
        <v>44633.117685185185</v>
      </c>
      <c r="Q276" s="80" t="s">
        <v>505</v>
      </c>
      <c r="R276" s="80"/>
      <c r="S276" s="80"/>
      <c r="T276" s="85" t="s">
        <v>700</v>
      </c>
      <c r="U276" s="83" t="str">
        <f>HYPERLINK("https://pbs.twimg.com/media/FNq-K9kWUAII3TB.jpg")</f>
        <v>https://pbs.twimg.com/media/FNq-K9kWUAII3TB.jpg</v>
      </c>
      <c r="V276" s="83" t="str">
        <f>HYPERLINK("https://pbs.twimg.com/media/FNq-K9kWUAII3TB.jpg")</f>
        <v>https://pbs.twimg.com/media/FNq-K9kWUAII3TB.jpg</v>
      </c>
      <c r="W276" s="82">
        <v>44633.117685185185</v>
      </c>
      <c r="X276" s="88">
        <v>44633</v>
      </c>
      <c r="Y276" s="85" t="s">
        <v>906</v>
      </c>
      <c r="Z276" s="83" t="str">
        <f>HYPERLINK("https://twitter.com/zacharykrzysiak/status/1502839231877689347")</f>
        <v>https://twitter.com/zacharykrzysiak/status/1502839231877689347</v>
      </c>
      <c r="AA276" s="80"/>
      <c r="AB276" s="80"/>
      <c r="AC276" s="85" t="s">
        <v>1355</v>
      </c>
      <c r="AD276" s="80"/>
      <c r="AE276" s="80" t="b">
        <v>0</v>
      </c>
      <c r="AF276" s="80">
        <v>0</v>
      </c>
      <c r="AG276" s="85" t="s">
        <v>1635</v>
      </c>
      <c r="AH276" s="80" t="b">
        <v>0</v>
      </c>
      <c r="AI276" s="80" t="s">
        <v>1642</v>
      </c>
      <c r="AJ276" s="80"/>
      <c r="AK276" s="85" t="s">
        <v>1635</v>
      </c>
      <c r="AL276" s="80" t="b">
        <v>0</v>
      </c>
      <c r="AM276" s="80">
        <v>40</v>
      </c>
      <c r="AN276" s="85" t="s">
        <v>1627</v>
      </c>
      <c r="AO276" s="85" t="s">
        <v>1671</v>
      </c>
      <c r="AP276" s="80" t="b">
        <v>0</v>
      </c>
      <c r="AQ276" s="85" t="s">
        <v>1627</v>
      </c>
      <c r="AR276" s="80" t="s">
        <v>179</v>
      </c>
      <c r="AS276" s="80">
        <v>0</v>
      </c>
      <c r="AT276" s="80">
        <v>0</v>
      </c>
      <c r="AU276" s="80"/>
      <c r="AV276" s="80"/>
      <c r="AW276" s="80"/>
      <c r="AX276" s="80"/>
      <c r="AY276" s="80"/>
      <c r="AZ276" s="80"/>
      <c r="BA276" s="80"/>
      <c r="BB276" s="80"/>
    </row>
    <row r="277" spans="1:54" x14ac:dyDescent="0.25">
      <c r="A277" s="65" t="s">
        <v>331</v>
      </c>
      <c r="B277" s="65" t="s">
        <v>385</v>
      </c>
      <c r="C277" s="66"/>
      <c r="D277" s="67"/>
      <c r="E277" s="68"/>
      <c r="F277" s="69"/>
      <c r="G277" s="66"/>
      <c r="H277" s="70"/>
      <c r="I277" s="71"/>
      <c r="J277" s="71"/>
      <c r="K277" s="36" t="s">
        <v>65</v>
      </c>
      <c r="L277" s="78">
        <v>277</v>
      </c>
      <c r="M277" s="78"/>
      <c r="N277" s="73"/>
      <c r="O277" s="80" t="s">
        <v>414</v>
      </c>
      <c r="P277" s="82">
        <v>44633.121423611112</v>
      </c>
      <c r="Q277" s="80" t="s">
        <v>523</v>
      </c>
      <c r="R277" s="83" t="str">
        <f>HYPERLINK("https://twitter.com/UBAthletics/status/1502689759491248135")</f>
        <v>https://twitter.com/UBAthletics/status/1502689759491248135</v>
      </c>
      <c r="S277" s="80" t="s">
        <v>633</v>
      </c>
      <c r="T277" s="85" t="s">
        <v>665</v>
      </c>
      <c r="U277" s="80"/>
      <c r="V277" s="83" t="str">
        <f>HYPERLINK("https://pbs.twimg.com/profile_images/604149749235597313/va-1i0KQ_normal.jpg")</f>
        <v>https://pbs.twimg.com/profile_images/604149749235597313/va-1i0KQ_normal.jpg</v>
      </c>
      <c r="W277" s="82">
        <v>44633.121423611112</v>
      </c>
      <c r="X277" s="88">
        <v>44633</v>
      </c>
      <c r="Y277" s="85" t="s">
        <v>907</v>
      </c>
      <c r="Z277" s="83" t="str">
        <f>HYPERLINK("https://twitter.com/74_dy/status/1502840584289107972")</f>
        <v>https://twitter.com/74_dy/status/1502840584289107972</v>
      </c>
      <c r="AA277" s="80"/>
      <c r="AB277" s="80"/>
      <c r="AC277" s="85" t="s">
        <v>1356</v>
      </c>
      <c r="AD277" s="80"/>
      <c r="AE277" s="80" t="b">
        <v>0</v>
      </c>
      <c r="AF277" s="80">
        <v>0</v>
      </c>
      <c r="AG277" s="85" t="s">
        <v>1635</v>
      </c>
      <c r="AH277" s="80" t="b">
        <v>1</v>
      </c>
      <c r="AI277" s="80" t="s">
        <v>1642</v>
      </c>
      <c r="AJ277" s="80"/>
      <c r="AK277" s="85" t="s">
        <v>1655</v>
      </c>
      <c r="AL277" s="80" t="b">
        <v>0</v>
      </c>
      <c r="AM277" s="80">
        <v>1</v>
      </c>
      <c r="AN277" s="85" t="s">
        <v>1580</v>
      </c>
      <c r="AO277" s="85" t="s">
        <v>1673</v>
      </c>
      <c r="AP277" s="80" t="b">
        <v>0</v>
      </c>
      <c r="AQ277" s="85" t="s">
        <v>1580</v>
      </c>
      <c r="AR277" s="80" t="s">
        <v>179</v>
      </c>
      <c r="AS277" s="80">
        <v>0</v>
      </c>
      <c r="AT277" s="80">
        <v>0</v>
      </c>
      <c r="AU277" s="80"/>
      <c r="AV277" s="80"/>
      <c r="AW277" s="80"/>
      <c r="AX277" s="80"/>
      <c r="AY277" s="80"/>
      <c r="AZ277" s="80"/>
      <c r="BA277" s="80"/>
      <c r="BB277" s="80"/>
    </row>
    <row r="278" spans="1:54" x14ac:dyDescent="0.25">
      <c r="A278" s="65" t="s">
        <v>331</v>
      </c>
      <c r="B278" s="65" t="s">
        <v>357</v>
      </c>
      <c r="C278" s="66"/>
      <c r="D278" s="67"/>
      <c r="E278" s="68"/>
      <c r="F278" s="69"/>
      <c r="G278" s="66"/>
      <c r="H278" s="70"/>
      <c r="I278" s="71"/>
      <c r="J278" s="71"/>
      <c r="K278" s="36" t="s">
        <v>65</v>
      </c>
      <c r="L278" s="78">
        <v>278</v>
      </c>
      <c r="M278" s="78"/>
      <c r="N278" s="73"/>
      <c r="O278" s="80" t="s">
        <v>415</v>
      </c>
      <c r="P278" s="82">
        <v>44633.121423611112</v>
      </c>
      <c r="Q278" s="80" t="s">
        <v>523</v>
      </c>
      <c r="R278" s="83" t="str">
        <f>HYPERLINK("https://twitter.com/UBAthletics/status/1502689759491248135")</f>
        <v>https://twitter.com/UBAthletics/status/1502689759491248135</v>
      </c>
      <c r="S278" s="80" t="s">
        <v>633</v>
      </c>
      <c r="T278" s="85" t="s">
        <v>665</v>
      </c>
      <c r="U278" s="80"/>
      <c r="V278" s="83" t="str">
        <f>HYPERLINK("https://pbs.twimg.com/profile_images/604149749235597313/va-1i0KQ_normal.jpg")</f>
        <v>https://pbs.twimg.com/profile_images/604149749235597313/va-1i0KQ_normal.jpg</v>
      </c>
      <c r="W278" s="82">
        <v>44633.121423611112</v>
      </c>
      <c r="X278" s="88">
        <v>44633</v>
      </c>
      <c r="Y278" s="85" t="s">
        <v>907</v>
      </c>
      <c r="Z278" s="83" t="str">
        <f>HYPERLINK("https://twitter.com/74_dy/status/1502840584289107972")</f>
        <v>https://twitter.com/74_dy/status/1502840584289107972</v>
      </c>
      <c r="AA278" s="80"/>
      <c r="AB278" s="80"/>
      <c r="AC278" s="85" t="s">
        <v>1356</v>
      </c>
      <c r="AD278" s="80"/>
      <c r="AE278" s="80" t="b">
        <v>0</v>
      </c>
      <c r="AF278" s="80">
        <v>0</v>
      </c>
      <c r="AG278" s="85" t="s">
        <v>1635</v>
      </c>
      <c r="AH278" s="80" t="b">
        <v>1</v>
      </c>
      <c r="AI278" s="80" t="s">
        <v>1642</v>
      </c>
      <c r="AJ278" s="80"/>
      <c r="AK278" s="85" t="s">
        <v>1655</v>
      </c>
      <c r="AL278" s="80" t="b">
        <v>0</v>
      </c>
      <c r="AM278" s="80">
        <v>1</v>
      </c>
      <c r="AN278" s="85" t="s">
        <v>1580</v>
      </c>
      <c r="AO278" s="85" t="s">
        <v>1673</v>
      </c>
      <c r="AP278" s="80" t="b">
        <v>0</v>
      </c>
      <c r="AQ278" s="85" t="s">
        <v>1580</v>
      </c>
      <c r="AR278" s="80" t="s">
        <v>179</v>
      </c>
      <c r="AS278" s="80">
        <v>0</v>
      </c>
      <c r="AT278" s="80">
        <v>0</v>
      </c>
      <c r="AU278" s="80"/>
      <c r="AV278" s="80"/>
      <c r="AW278" s="80"/>
      <c r="AX278" s="80"/>
      <c r="AY278" s="80"/>
      <c r="AZ278" s="80"/>
      <c r="BA278" s="80"/>
      <c r="BB278" s="80"/>
    </row>
    <row r="279" spans="1:54" x14ac:dyDescent="0.25">
      <c r="A279" s="65" t="s">
        <v>332</v>
      </c>
      <c r="B279" s="65" t="s">
        <v>357</v>
      </c>
      <c r="C279" s="66"/>
      <c r="D279" s="67"/>
      <c r="E279" s="68"/>
      <c r="F279" s="69"/>
      <c r="G279" s="66"/>
      <c r="H279" s="70"/>
      <c r="I279" s="71"/>
      <c r="J279" s="71"/>
      <c r="K279" s="36" t="s">
        <v>65</v>
      </c>
      <c r="L279" s="78">
        <v>279</v>
      </c>
      <c r="M279" s="78"/>
      <c r="N279" s="73"/>
      <c r="O279" s="80" t="s">
        <v>415</v>
      </c>
      <c r="P279" s="82">
        <v>44633.126168981478</v>
      </c>
      <c r="Q279" s="80" t="s">
        <v>505</v>
      </c>
      <c r="R279" s="80"/>
      <c r="S279" s="80"/>
      <c r="T279" s="85" t="s">
        <v>700</v>
      </c>
      <c r="U279" s="83" t="str">
        <f>HYPERLINK("https://pbs.twimg.com/media/FNq-K9kWUAII3TB.jpg")</f>
        <v>https://pbs.twimg.com/media/FNq-K9kWUAII3TB.jpg</v>
      </c>
      <c r="V279" s="83" t="str">
        <f>HYPERLINK("https://pbs.twimg.com/media/FNq-K9kWUAII3TB.jpg")</f>
        <v>https://pbs.twimg.com/media/FNq-K9kWUAII3TB.jpg</v>
      </c>
      <c r="W279" s="82">
        <v>44633.126168981478</v>
      </c>
      <c r="X279" s="88">
        <v>44633</v>
      </c>
      <c r="Y279" s="85" t="s">
        <v>908</v>
      </c>
      <c r="Z279" s="83" t="str">
        <f>HYPERLINK("https://twitter.com/cballermpire55/status/1502842302917718017")</f>
        <v>https://twitter.com/cballermpire55/status/1502842302917718017</v>
      </c>
      <c r="AA279" s="80"/>
      <c r="AB279" s="80"/>
      <c r="AC279" s="85" t="s">
        <v>1357</v>
      </c>
      <c r="AD279" s="80"/>
      <c r="AE279" s="80" t="b">
        <v>0</v>
      </c>
      <c r="AF279" s="80">
        <v>0</v>
      </c>
      <c r="AG279" s="85" t="s">
        <v>1635</v>
      </c>
      <c r="AH279" s="80" t="b">
        <v>0</v>
      </c>
      <c r="AI279" s="80" t="s">
        <v>1642</v>
      </c>
      <c r="AJ279" s="80"/>
      <c r="AK279" s="85" t="s">
        <v>1635</v>
      </c>
      <c r="AL279" s="80" t="b">
        <v>0</v>
      </c>
      <c r="AM279" s="80">
        <v>40</v>
      </c>
      <c r="AN279" s="85" t="s">
        <v>1627</v>
      </c>
      <c r="AO279" s="85" t="s">
        <v>1671</v>
      </c>
      <c r="AP279" s="80" t="b">
        <v>0</v>
      </c>
      <c r="AQ279" s="85" t="s">
        <v>1627</v>
      </c>
      <c r="AR279" s="80" t="s">
        <v>179</v>
      </c>
      <c r="AS279" s="80">
        <v>0</v>
      </c>
      <c r="AT279" s="80">
        <v>0</v>
      </c>
      <c r="AU279" s="80"/>
      <c r="AV279" s="80"/>
      <c r="AW279" s="80"/>
      <c r="AX279" s="80"/>
      <c r="AY279" s="80"/>
      <c r="AZ279" s="80"/>
      <c r="BA279" s="80"/>
      <c r="BB279" s="80"/>
    </row>
    <row r="280" spans="1:54" x14ac:dyDescent="0.25">
      <c r="A280" s="65" t="s">
        <v>333</v>
      </c>
      <c r="B280" s="65" t="s">
        <v>357</v>
      </c>
      <c r="C280" s="66"/>
      <c r="D280" s="67"/>
      <c r="E280" s="68"/>
      <c r="F280" s="69"/>
      <c r="G280" s="66"/>
      <c r="H280" s="70"/>
      <c r="I280" s="71"/>
      <c r="J280" s="71"/>
      <c r="K280" s="36" t="s">
        <v>65</v>
      </c>
      <c r="L280" s="78">
        <v>280</v>
      </c>
      <c r="M280" s="78"/>
      <c r="N280" s="73"/>
      <c r="O280" s="80" t="s">
        <v>415</v>
      </c>
      <c r="P280" s="82">
        <v>44633.141180555554</v>
      </c>
      <c r="Q280" s="80" t="s">
        <v>505</v>
      </c>
      <c r="R280" s="80"/>
      <c r="S280" s="80"/>
      <c r="T280" s="85" t="s">
        <v>700</v>
      </c>
      <c r="U280" s="83" t="str">
        <f>HYPERLINK("https://pbs.twimg.com/media/FNq-K9kWUAII3TB.jpg")</f>
        <v>https://pbs.twimg.com/media/FNq-K9kWUAII3TB.jpg</v>
      </c>
      <c r="V280" s="83" t="str">
        <f>HYPERLINK("https://pbs.twimg.com/media/FNq-K9kWUAII3TB.jpg")</f>
        <v>https://pbs.twimg.com/media/FNq-K9kWUAII3TB.jpg</v>
      </c>
      <c r="W280" s="82">
        <v>44633.141180555554</v>
      </c>
      <c r="X280" s="88">
        <v>44633</v>
      </c>
      <c r="Y280" s="85" t="s">
        <v>909</v>
      </c>
      <c r="Z280" s="83" t="str">
        <f>HYPERLINK("https://twitter.com/jb_doeee/status/1502847743672397830")</f>
        <v>https://twitter.com/jb_doeee/status/1502847743672397830</v>
      </c>
      <c r="AA280" s="80"/>
      <c r="AB280" s="80"/>
      <c r="AC280" s="85" t="s">
        <v>1358</v>
      </c>
      <c r="AD280" s="80"/>
      <c r="AE280" s="80" t="b">
        <v>0</v>
      </c>
      <c r="AF280" s="80">
        <v>0</v>
      </c>
      <c r="AG280" s="85" t="s">
        <v>1635</v>
      </c>
      <c r="AH280" s="80" t="b">
        <v>0</v>
      </c>
      <c r="AI280" s="80" t="s">
        <v>1642</v>
      </c>
      <c r="AJ280" s="80"/>
      <c r="AK280" s="85" t="s">
        <v>1635</v>
      </c>
      <c r="AL280" s="80" t="b">
        <v>0</v>
      </c>
      <c r="AM280" s="80">
        <v>40</v>
      </c>
      <c r="AN280" s="85" t="s">
        <v>1627</v>
      </c>
      <c r="AO280" s="85" t="s">
        <v>1671</v>
      </c>
      <c r="AP280" s="80" t="b">
        <v>0</v>
      </c>
      <c r="AQ280" s="85" t="s">
        <v>1627</v>
      </c>
      <c r="AR280" s="80" t="s">
        <v>179</v>
      </c>
      <c r="AS280" s="80">
        <v>0</v>
      </c>
      <c r="AT280" s="80">
        <v>0</v>
      </c>
      <c r="AU280" s="80"/>
      <c r="AV280" s="80"/>
      <c r="AW280" s="80"/>
      <c r="AX280" s="80"/>
      <c r="AY280" s="80"/>
      <c r="AZ280" s="80"/>
      <c r="BA280" s="80"/>
      <c r="BB280" s="80"/>
    </row>
    <row r="281" spans="1:54" x14ac:dyDescent="0.25">
      <c r="A281" s="65" t="s">
        <v>334</v>
      </c>
      <c r="B281" s="65" t="s">
        <v>370</v>
      </c>
      <c r="C281" s="66"/>
      <c r="D281" s="67"/>
      <c r="E281" s="68"/>
      <c r="F281" s="69"/>
      <c r="G281" s="66"/>
      <c r="H281" s="70"/>
      <c r="I281" s="71"/>
      <c r="J281" s="71"/>
      <c r="K281" s="36" t="s">
        <v>65</v>
      </c>
      <c r="L281" s="78">
        <v>281</v>
      </c>
      <c r="M281" s="78"/>
      <c r="N281" s="73"/>
      <c r="O281" s="80" t="s">
        <v>414</v>
      </c>
      <c r="P281" s="82">
        <v>44633.169791666667</v>
      </c>
      <c r="Q281" s="80" t="s">
        <v>524</v>
      </c>
      <c r="R281" s="83" t="str">
        <f>HYPERLINK("https://ed.buffalo.edu/black-history-ed/programs/researching-race.html")</f>
        <v>https://ed.buffalo.edu/black-history-ed/programs/researching-race.html</v>
      </c>
      <c r="S281" s="80" t="s">
        <v>632</v>
      </c>
      <c r="T281" s="85" t="s">
        <v>675</v>
      </c>
      <c r="U281" s="83" t="str">
        <f>HYPERLINK("https://pbs.twimg.com/media/FNqUI6DX0AUtAph.jpg")</f>
        <v>https://pbs.twimg.com/media/FNqUI6DX0AUtAph.jpg</v>
      </c>
      <c r="V281" s="83" t="str">
        <f>HYPERLINK("https://pbs.twimg.com/media/FNqUI6DX0AUtAph.jpg")</f>
        <v>https://pbs.twimg.com/media/FNqUI6DX0AUtAph.jpg</v>
      </c>
      <c r="W281" s="82">
        <v>44633.169791666667</v>
      </c>
      <c r="X281" s="88">
        <v>44633</v>
      </c>
      <c r="Y281" s="85" t="s">
        <v>910</v>
      </c>
      <c r="Z281" s="83" t="str">
        <f>HYPERLINK("https://twitter.com/allanag13/status/1502858112079998978")</f>
        <v>https://twitter.com/allanag13/status/1502858112079998978</v>
      </c>
      <c r="AA281" s="80"/>
      <c r="AB281" s="80"/>
      <c r="AC281" s="85" t="s">
        <v>1359</v>
      </c>
      <c r="AD281" s="80"/>
      <c r="AE281" s="80" t="b">
        <v>0</v>
      </c>
      <c r="AF281" s="80">
        <v>0</v>
      </c>
      <c r="AG281" s="85" t="s">
        <v>1635</v>
      </c>
      <c r="AH281" s="80" t="b">
        <v>0</v>
      </c>
      <c r="AI281" s="80" t="s">
        <v>1642</v>
      </c>
      <c r="AJ281" s="80"/>
      <c r="AK281" s="85" t="s">
        <v>1635</v>
      </c>
      <c r="AL281" s="80" t="b">
        <v>0</v>
      </c>
      <c r="AM281" s="80">
        <v>2</v>
      </c>
      <c r="AN281" s="85" t="s">
        <v>1526</v>
      </c>
      <c r="AO281" s="85" t="s">
        <v>1673</v>
      </c>
      <c r="AP281" s="80" t="b">
        <v>0</v>
      </c>
      <c r="AQ281" s="85" t="s">
        <v>1526</v>
      </c>
      <c r="AR281" s="80" t="s">
        <v>179</v>
      </c>
      <c r="AS281" s="80">
        <v>0</v>
      </c>
      <c r="AT281" s="80">
        <v>0</v>
      </c>
      <c r="AU281" s="80"/>
      <c r="AV281" s="80"/>
      <c r="AW281" s="80"/>
      <c r="AX281" s="80"/>
      <c r="AY281" s="80"/>
      <c r="AZ281" s="80"/>
      <c r="BA281" s="80"/>
      <c r="BB281" s="80"/>
    </row>
    <row r="282" spans="1:54" x14ac:dyDescent="0.25">
      <c r="A282" s="65" t="s">
        <v>334</v>
      </c>
      <c r="B282" s="65" t="s">
        <v>371</v>
      </c>
      <c r="C282" s="66"/>
      <c r="D282" s="67"/>
      <c r="E282" s="68"/>
      <c r="F282" s="69"/>
      <c r="G282" s="66"/>
      <c r="H282" s="70"/>
      <c r="I282" s="71"/>
      <c r="J282" s="71"/>
      <c r="K282" s="36" t="s">
        <v>65</v>
      </c>
      <c r="L282" s="78">
        <v>282</v>
      </c>
      <c r="M282" s="78"/>
      <c r="N282" s="73"/>
      <c r="O282" s="80" t="s">
        <v>414</v>
      </c>
      <c r="P282" s="82">
        <v>44633.169791666667</v>
      </c>
      <c r="Q282" s="80" t="s">
        <v>524</v>
      </c>
      <c r="R282" s="83" t="str">
        <f>HYPERLINK("https://ed.buffalo.edu/black-history-ed/programs/researching-race.html")</f>
        <v>https://ed.buffalo.edu/black-history-ed/programs/researching-race.html</v>
      </c>
      <c r="S282" s="80" t="s">
        <v>632</v>
      </c>
      <c r="T282" s="85" t="s">
        <v>675</v>
      </c>
      <c r="U282" s="83" t="str">
        <f>HYPERLINK("https://pbs.twimg.com/media/FNqUI6DX0AUtAph.jpg")</f>
        <v>https://pbs.twimg.com/media/FNqUI6DX0AUtAph.jpg</v>
      </c>
      <c r="V282" s="83" t="str">
        <f>HYPERLINK("https://pbs.twimg.com/media/FNqUI6DX0AUtAph.jpg")</f>
        <v>https://pbs.twimg.com/media/FNqUI6DX0AUtAph.jpg</v>
      </c>
      <c r="W282" s="82">
        <v>44633.169791666667</v>
      </c>
      <c r="X282" s="88">
        <v>44633</v>
      </c>
      <c r="Y282" s="85" t="s">
        <v>910</v>
      </c>
      <c r="Z282" s="83" t="str">
        <f>HYPERLINK("https://twitter.com/allanag13/status/1502858112079998978")</f>
        <v>https://twitter.com/allanag13/status/1502858112079998978</v>
      </c>
      <c r="AA282" s="80"/>
      <c r="AB282" s="80"/>
      <c r="AC282" s="85" t="s">
        <v>1359</v>
      </c>
      <c r="AD282" s="80"/>
      <c r="AE282" s="80" t="b">
        <v>0</v>
      </c>
      <c r="AF282" s="80">
        <v>0</v>
      </c>
      <c r="AG282" s="85" t="s">
        <v>1635</v>
      </c>
      <c r="AH282" s="80" t="b">
        <v>0</v>
      </c>
      <c r="AI282" s="80" t="s">
        <v>1642</v>
      </c>
      <c r="AJ282" s="80"/>
      <c r="AK282" s="85" t="s">
        <v>1635</v>
      </c>
      <c r="AL282" s="80" t="b">
        <v>0</v>
      </c>
      <c r="AM282" s="80">
        <v>2</v>
      </c>
      <c r="AN282" s="85" t="s">
        <v>1526</v>
      </c>
      <c r="AO282" s="85" t="s">
        <v>1673</v>
      </c>
      <c r="AP282" s="80" t="b">
        <v>0</v>
      </c>
      <c r="AQ282" s="85" t="s">
        <v>1526</v>
      </c>
      <c r="AR282" s="80" t="s">
        <v>179</v>
      </c>
      <c r="AS282" s="80">
        <v>0</v>
      </c>
      <c r="AT282" s="80">
        <v>0</v>
      </c>
      <c r="AU282" s="80"/>
      <c r="AV282" s="80"/>
      <c r="AW282" s="80"/>
      <c r="AX282" s="80"/>
      <c r="AY282" s="80"/>
      <c r="AZ282" s="80"/>
      <c r="BA282" s="80"/>
      <c r="BB282" s="80"/>
    </row>
    <row r="283" spans="1:54" x14ac:dyDescent="0.25">
      <c r="A283" s="65" t="s">
        <v>334</v>
      </c>
      <c r="B283" s="65" t="s">
        <v>369</v>
      </c>
      <c r="C283" s="66"/>
      <c r="D283" s="67"/>
      <c r="E283" s="68"/>
      <c r="F283" s="69"/>
      <c r="G283" s="66"/>
      <c r="H283" s="70"/>
      <c r="I283" s="71"/>
      <c r="J283" s="71"/>
      <c r="K283" s="36" t="s">
        <v>65</v>
      </c>
      <c r="L283" s="78">
        <v>283</v>
      </c>
      <c r="M283" s="78"/>
      <c r="N283" s="73"/>
      <c r="O283" s="80" t="s">
        <v>415</v>
      </c>
      <c r="P283" s="82">
        <v>44633.169791666667</v>
      </c>
      <c r="Q283" s="80" t="s">
        <v>524</v>
      </c>
      <c r="R283" s="83" t="str">
        <f>HYPERLINK("https://ed.buffalo.edu/black-history-ed/programs/researching-race.html")</f>
        <v>https://ed.buffalo.edu/black-history-ed/programs/researching-race.html</v>
      </c>
      <c r="S283" s="80" t="s">
        <v>632</v>
      </c>
      <c r="T283" s="85" t="s">
        <v>675</v>
      </c>
      <c r="U283" s="83" t="str">
        <f>HYPERLINK("https://pbs.twimg.com/media/FNqUI6DX0AUtAph.jpg")</f>
        <v>https://pbs.twimg.com/media/FNqUI6DX0AUtAph.jpg</v>
      </c>
      <c r="V283" s="83" t="str">
        <f>HYPERLINK("https://pbs.twimg.com/media/FNqUI6DX0AUtAph.jpg")</f>
        <v>https://pbs.twimg.com/media/FNqUI6DX0AUtAph.jpg</v>
      </c>
      <c r="W283" s="82">
        <v>44633.169791666667</v>
      </c>
      <c r="X283" s="88">
        <v>44633</v>
      </c>
      <c r="Y283" s="85" t="s">
        <v>910</v>
      </c>
      <c r="Z283" s="83" t="str">
        <f>HYPERLINK("https://twitter.com/allanag13/status/1502858112079998978")</f>
        <v>https://twitter.com/allanag13/status/1502858112079998978</v>
      </c>
      <c r="AA283" s="80"/>
      <c r="AB283" s="80"/>
      <c r="AC283" s="85" t="s">
        <v>1359</v>
      </c>
      <c r="AD283" s="80"/>
      <c r="AE283" s="80" t="b">
        <v>0</v>
      </c>
      <c r="AF283" s="80">
        <v>0</v>
      </c>
      <c r="AG283" s="85" t="s">
        <v>1635</v>
      </c>
      <c r="AH283" s="80" t="b">
        <v>0</v>
      </c>
      <c r="AI283" s="80" t="s">
        <v>1642</v>
      </c>
      <c r="AJ283" s="80"/>
      <c r="AK283" s="85" t="s">
        <v>1635</v>
      </c>
      <c r="AL283" s="80" t="b">
        <v>0</v>
      </c>
      <c r="AM283" s="80">
        <v>2</v>
      </c>
      <c r="AN283" s="85" t="s">
        <v>1526</v>
      </c>
      <c r="AO283" s="85" t="s">
        <v>1673</v>
      </c>
      <c r="AP283" s="80" t="b">
        <v>0</v>
      </c>
      <c r="AQ283" s="85" t="s">
        <v>1526</v>
      </c>
      <c r="AR283" s="80" t="s">
        <v>179</v>
      </c>
      <c r="AS283" s="80">
        <v>0</v>
      </c>
      <c r="AT283" s="80">
        <v>0</v>
      </c>
      <c r="AU283" s="80"/>
      <c r="AV283" s="80"/>
      <c r="AW283" s="80"/>
      <c r="AX283" s="80"/>
      <c r="AY283" s="80"/>
      <c r="AZ283" s="80"/>
      <c r="BA283" s="80"/>
      <c r="BB283" s="80"/>
    </row>
    <row r="284" spans="1:54" x14ac:dyDescent="0.25">
      <c r="A284" s="65" t="s">
        <v>335</v>
      </c>
      <c r="B284" s="65" t="s">
        <v>357</v>
      </c>
      <c r="C284" s="66"/>
      <c r="D284" s="67"/>
      <c r="E284" s="68"/>
      <c r="F284" s="69"/>
      <c r="G284" s="66"/>
      <c r="H284" s="70"/>
      <c r="I284" s="71"/>
      <c r="J284" s="71"/>
      <c r="K284" s="36" t="s">
        <v>65</v>
      </c>
      <c r="L284" s="78">
        <v>284</v>
      </c>
      <c r="M284" s="78"/>
      <c r="N284" s="73"/>
      <c r="O284" s="80" t="s">
        <v>415</v>
      </c>
      <c r="P284" s="82">
        <v>44633.222881944443</v>
      </c>
      <c r="Q284" s="80" t="s">
        <v>505</v>
      </c>
      <c r="R284" s="80"/>
      <c r="S284" s="80"/>
      <c r="T284" s="85" t="s">
        <v>700</v>
      </c>
      <c r="U284" s="83" t="str">
        <f>HYPERLINK("https://pbs.twimg.com/media/FNq-K9kWUAII3TB.jpg")</f>
        <v>https://pbs.twimg.com/media/FNq-K9kWUAII3TB.jpg</v>
      </c>
      <c r="V284" s="83" t="str">
        <f>HYPERLINK("https://pbs.twimg.com/media/FNq-K9kWUAII3TB.jpg")</f>
        <v>https://pbs.twimg.com/media/FNq-K9kWUAII3TB.jpg</v>
      </c>
      <c r="W284" s="82">
        <v>44633.222881944443</v>
      </c>
      <c r="X284" s="88">
        <v>44633</v>
      </c>
      <c r="Y284" s="85" t="s">
        <v>911</v>
      </c>
      <c r="Z284" s="83" t="str">
        <f>HYPERLINK("https://twitter.com/futuredrroberts/status/1502877352405184516")</f>
        <v>https://twitter.com/futuredrroberts/status/1502877352405184516</v>
      </c>
      <c r="AA284" s="80"/>
      <c r="AB284" s="80"/>
      <c r="AC284" s="85" t="s">
        <v>1360</v>
      </c>
      <c r="AD284" s="80"/>
      <c r="AE284" s="80" t="b">
        <v>0</v>
      </c>
      <c r="AF284" s="80">
        <v>0</v>
      </c>
      <c r="AG284" s="85" t="s">
        <v>1635</v>
      </c>
      <c r="AH284" s="80" t="b">
        <v>0</v>
      </c>
      <c r="AI284" s="80" t="s">
        <v>1642</v>
      </c>
      <c r="AJ284" s="80"/>
      <c r="AK284" s="85" t="s">
        <v>1635</v>
      </c>
      <c r="AL284" s="80" t="b">
        <v>0</v>
      </c>
      <c r="AM284" s="80">
        <v>40</v>
      </c>
      <c r="AN284" s="85" t="s">
        <v>1627</v>
      </c>
      <c r="AO284" s="85" t="s">
        <v>1671</v>
      </c>
      <c r="AP284" s="80" t="b">
        <v>0</v>
      </c>
      <c r="AQ284" s="85" t="s">
        <v>1627</v>
      </c>
      <c r="AR284" s="80" t="s">
        <v>179</v>
      </c>
      <c r="AS284" s="80">
        <v>0</v>
      </c>
      <c r="AT284" s="80">
        <v>0</v>
      </c>
      <c r="AU284" s="80"/>
      <c r="AV284" s="80"/>
      <c r="AW284" s="80"/>
      <c r="AX284" s="80"/>
      <c r="AY284" s="80"/>
      <c r="AZ284" s="80"/>
      <c r="BA284" s="80"/>
      <c r="BB284" s="80"/>
    </row>
    <row r="285" spans="1:54" x14ac:dyDescent="0.25">
      <c r="A285" s="65" t="s">
        <v>336</v>
      </c>
      <c r="B285" s="65" t="s">
        <v>357</v>
      </c>
      <c r="C285" s="66"/>
      <c r="D285" s="67"/>
      <c r="E285" s="68"/>
      <c r="F285" s="69"/>
      <c r="G285" s="66"/>
      <c r="H285" s="70"/>
      <c r="I285" s="71"/>
      <c r="J285" s="71"/>
      <c r="K285" s="36" t="s">
        <v>65</v>
      </c>
      <c r="L285" s="78">
        <v>285</v>
      </c>
      <c r="M285" s="78"/>
      <c r="N285" s="73"/>
      <c r="O285" s="80" t="s">
        <v>415</v>
      </c>
      <c r="P285" s="82">
        <v>44633.249826388892</v>
      </c>
      <c r="Q285" s="80" t="s">
        <v>505</v>
      </c>
      <c r="R285" s="80"/>
      <c r="S285" s="80"/>
      <c r="T285" s="85" t="s">
        <v>700</v>
      </c>
      <c r="U285" s="83" t="str">
        <f>HYPERLINK("https://pbs.twimg.com/media/FNq-K9kWUAII3TB.jpg")</f>
        <v>https://pbs.twimg.com/media/FNq-K9kWUAII3TB.jpg</v>
      </c>
      <c r="V285" s="83" t="str">
        <f>HYPERLINK("https://pbs.twimg.com/media/FNq-K9kWUAII3TB.jpg")</f>
        <v>https://pbs.twimg.com/media/FNq-K9kWUAII3TB.jpg</v>
      </c>
      <c r="W285" s="82">
        <v>44633.249826388892</v>
      </c>
      <c r="X285" s="88">
        <v>44633</v>
      </c>
      <c r="Y285" s="85" t="s">
        <v>912</v>
      </c>
      <c r="Z285" s="83" t="str">
        <f>HYPERLINK("https://twitter.com/johnmaring2/status/1502887116057063425")</f>
        <v>https://twitter.com/johnmaring2/status/1502887116057063425</v>
      </c>
      <c r="AA285" s="80"/>
      <c r="AB285" s="80"/>
      <c r="AC285" s="85" t="s">
        <v>1361</v>
      </c>
      <c r="AD285" s="80"/>
      <c r="AE285" s="80" t="b">
        <v>0</v>
      </c>
      <c r="AF285" s="80">
        <v>0</v>
      </c>
      <c r="AG285" s="85" t="s">
        <v>1635</v>
      </c>
      <c r="AH285" s="80" t="b">
        <v>0</v>
      </c>
      <c r="AI285" s="80" t="s">
        <v>1642</v>
      </c>
      <c r="AJ285" s="80"/>
      <c r="AK285" s="85" t="s">
        <v>1635</v>
      </c>
      <c r="AL285" s="80" t="b">
        <v>0</v>
      </c>
      <c r="AM285" s="80">
        <v>40</v>
      </c>
      <c r="AN285" s="85" t="s">
        <v>1627</v>
      </c>
      <c r="AO285" s="85" t="s">
        <v>1678</v>
      </c>
      <c r="AP285" s="80" t="b">
        <v>0</v>
      </c>
      <c r="AQ285" s="85" t="s">
        <v>1627</v>
      </c>
      <c r="AR285" s="80" t="s">
        <v>179</v>
      </c>
      <c r="AS285" s="80">
        <v>0</v>
      </c>
      <c r="AT285" s="80">
        <v>0</v>
      </c>
      <c r="AU285" s="80"/>
      <c r="AV285" s="80"/>
      <c r="AW285" s="80"/>
      <c r="AX285" s="80"/>
      <c r="AY285" s="80"/>
      <c r="AZ285" s="80"/>
      <c r="BA285" s="80"/>
      <c r="BB285" s="80"/>
    </row>
    <row r="286" spans="1:54" x14ac:dyDescent="0.25">
      <c r="A286" s="65" t="s">
        <v>337</v>
      </c>
      <c r="B286" s="65" t="s">
        <v>385</v>
      </c>
      <c r="C286" s="66"/>
      <c r="D286" s="67"/>
      <c r="E286" s="68"/>
      <c r="F286" s="69"/>
      <c r="G286" s="66"/>
      <c r="H286" s="70"/>
      <c r="I286" s="71"/>
      <c r="J286" s="71"/>
      <c r="K286" s="36" t="s">
        <v>65</v>
      </c>
      <c r="L286" s="78">
        <v>286</v>
      </c>
      <c r="M286" s="78"/>
      <c r="N286" s="73"/>
      <c r="O286" s="80" t="s">
        <v>414</v>
      </c>
      <c r="P286" s="82">
        <v>44633.30908564815</v>
      </c>
      <c r="Q286" s="80" t="s">
        <v>502</v>
      </c>
      <c r="R286" s="83" t="str">
        <f>HYPERLINK("https://twitter.com/UBAthletics/status/1502708562472148997")</f>
        <v>https://twitter.com/UBAthletics/status/1502708562472148997</v>
      </c>
      <c r="S286" s="80" t="s">
        <v>633</v>
      </c>
      <c r="T286" s="85" t="s">
        <v>698</v>
      </c>
      <c r="U286" s="80"/>
      <c r="V286" s="83" t="str">
        <f>HYPERLINK("https://pbs.twimg.com/profile_images/1460607557471453184/qReByZOY_normal.jpg")</f>
        <v>https://pbs.twimg.com/profile_images/1460607557471453184/qReByZOY_normal.jpg</v>
      </c>
      <c r="W286" s="82">
        <v>44633.30908564815</v>
      </c>
      <c r="X286" s="88">
        <v>44633</v>
      </c>
      <c r="Y286" s="85" t="s">
        <v>913</v>
      </c>
      <c r="Z286" s="83" t="str">
        <f>HYPERLINK("https://twitter.com/redsterner/status/1502908590847414274")</f>
        <v>https://twitter.com/redsterner/status/1502908590847414274</v>
      </c>
      <c r="AA286" s="80"/>
      <c r="AB286" s="80"/>
      <c r="AC286" s="85" t="s">
        <v>1362</v>
      </c>
      <c r="AD286" s="80"/>
      <c r="AE286" s="80" t="b">
        <v>0</v>
      </c>
      <c r="AF286" s="80">
        <v>0</v>
      </c>
      <c r="AG286" s="85" t="s">
        <v>1635</v>
      </c>
      <c r="AH286" s="80" t="b">
        <v>1</v>
      </c>
      <c r="AI286" s="80" t="s">
        <v>1642</v>
      </c>
      <c r="AJ286" s="80"/>
      <c r="AK286" s="85" t="s">
        <v>1652</v>
      </c>
      <c r="AL286" s="80" t="b">
        <v>0</v>
      </c>
      <c r="AM286" s="80">
        <v>8</v>
      </c>
      <c r="AN286" s="85" t="s">
        <v>1581</v>
      </c>
      <c r="AO286" s="85" t="s">
        <v>1671</v>
      </c>
      <c r="AP286" s="80" t="b">
        <v>0</v>
      </c>
      <c r="AQ286" s="85" t="s">
        <v>1581</v>
      </c>
      <c r="AR286" s="80" t="s">
        <v>179</v>
      </c>
      <c r="AS286" s="80">
        <v>0</v>
      </c>
      <c r="AT286" s="80">
        <v>0</v>
      </c>
      <c r="AU286" s="80"/>
      <c r="AV286" s="80"/>
      <c r="AW286" s="80"/>
      <c r="AX286" s="80"/>
      <c r="AY286" s="80"/>
      <c r="AZ286" s="80"/>
      <c r="BA286" s="80"/>
      <c r="BB286" s="80"/>
    </row>
    <row r="287" spans="1:54" x14ac:dyDescent="0.25">
      <c r="A287" s="65" t="s">
        <v>337</v>
      </c>
      <c r="B287" s="65" t="s">
        <v>357</v>
      </c>
      <c r="C287" s="66"/>
      <c r="D287" s="67"/>
      <c r="E287" s="68"/>
      <c r="F287" s="69"/>
      <c r="G287" s="66"/>
      <c r="H287" s="70"/>
      <c r="I287" s="71"/>
      <c r="J287" s="71"/>
      <c r="K287" s="36" t="s">
        <v>65</v>
      </c>
      <c r="L287" s="78">
        <v>287</v>
      </c>
      <c r="M287" s="78"/>
      <c r="N287" s="73"/>
      <c r="O287" s="80" t="s">
        <v>415</v>
      </c>
      <c r="P287" s="82">
        <v>44633.30908564815</v>
      </c>
      <c r="Q287" s="80" t="s">
        <v>502</v>
      </c>
      <c r="R287" s="83" t="str">
        <f>HYPERLINK("https://twitter.com/UBAthletics/status/1502708562472148997")</f>
        <v>https://twitter.com/UBAthletics/status/1502708562472148997</v>
      </c>
      <c r="S287" s="80" t="s">
        <v>633</v>
      </c>
      <c r="T287" s="85" t="s">
        <v>698</v>
      </c>
      <c r="U287" s="80"/>
      <c r="V287" s="83" t="str">
        <f>HYPERLINK("https://pbs.twimg.com/profile_images/1460607557471453184/qReByZOY_normal.jpg")</f>
        <v>https://pbs.twimg.com/profile_images/1460607557471453184/qReByZOY_normal.jpg</v>
      </c>
      <c r="W287" s="82">
        <v>44633.30908564815</v>
      </c>
      <c r="X287" s="88">
        <v>44633</v>
      </c>
      <c r="Y287" s="85" t="s">
        <v>913</v>
      </c>
      <c r="Z287" s="83" t="str">
        <f>HYPERLINK("https://twitter.com/redsterner/status/1502908590847414274")</f>
        <v>https://twitter.com/redsterner/status/1502908590847414274</v>
      </c>
      <c r="AA287" s="80"/>
      <c r="AB287" s="80"/>
      <c r="AC287" s="85" t="s">
        <v>1362</v>
      </c>
      <c r="AD287" s="80"/>
      <c r="AE287" s="80" t="b">
        <v>0</v>
      </c>
      <c r="AF287" s="80">
        <v>0</v>
      </c>
      <c r="AG287" s="85" t="s">
        <v>1635</v>
      </c>
      <c r="AH287" s="80" t="b">
        <v>1</v>
      </c>
      <c r="AI287" s="80" t="s">
        <v>1642</v>
      </c>
      <c r="AJ287" s="80"/>
      <c r="AK287" s="85" t="s">
        <v>1652</v>
      </c>
      <c r="AL287" s="80" t="b">
        <v>0</v>
      </c>
      <c r="AM287" s="80">
        <v>8</v>
      </c>
      <c r="AN287" s="85" t="s">
        <v>1581</v>
      </c>
      <c r="AO287" s="85" t="s">
        <v>1671</v>
      </c>
      <c r="AP287" s="80" t="b">
        <v>0</v>
      </c>
      <c r="AQ287" s="85" t="s">
        <v>1581</v>
      </c>
      <c r="AR287" s="80" t="s">
        <v>179</v>
      </c>
      <c r="AS287" s="80">
        <v>0</v>
      </c>
      <c r="AT287" s="80">
        <v>0</v>
      </c>
      <c r="AU287" s="80"/>
      <c r="AV287" s="80"/>
      <c r="AW287" s="80"/>
      <c r="AX287" s="80"/>
      <c r="AY287" s="80"/>
      <c r="AZ287" s="80"/>
      <c r="BA287" s="80"/>
      <c r="BB287" s="80"/>
    </row>
    <row r="288" spans="1:54" x14ac:dyDescent="0.25">
      <c r="A288" s="65" t="s">
        <v>338</v>
      </c>
      <c r="B288" s="65" t="s">
        <v>357</v>
      </c>
      <c r="C288" s="66"/>
      <c r="D288" s="67"/>
      <c r="E288" s="68"/>
      <c r="F288" s="69"/>
      <c r="G288" s="66"/>
      <c r="H288" s="70"/>
      <c r="I288" s="71"/>
      <c r="J288" s="71"/>
      <c r="K288" s="36" t="s">
        <v>65</v>
      </c>
      <c r="L288" s="78">
        <v>288</v>
      </c>
      <c r="M288" s="78"/>
      <c r="N288" s="73"/>
      <c r="O288" s="80" t="s">
        <v>415</v>
      </c>
      <c r="P288" s="82">
        <v>44633.352418981478</v>
      </c>
      <c r="Q288" s="80" t="s">
        <v>505</v>
      </c>
      <c r="R288" s="80"/>
      <c r="S288" s="80"/>
      <c r="T288" s="85" t="s">
        <v>700</v>
      </c>
      <c r="U288" s="83" t="str">
        <f>HYPERLINK("https://pbs.twimg.com/media/FNq-K9kWUAII3TB.jpg")</f>
        <v>https://pbs.twimg.com/media/FNq-K9kWUAII3TB.jpg</v>
      </c>
      <c r="V288" s="83" t="str">
        <f>HYPERLINK("https://pbs.twimg.com/media/FNq-K9kWUAII3TB.jpg")</f>
        <v>https://pbs.twimg.com/media/FNq-K9kWUAII3TB.jpg</v>
      </c>
      <c r="W288" s="82">
        <v>44633.352418981478</v>
      </c>
      <c r="X288" s="88">
        <v>44633</v>
      </c>
      <c r="Y288" s="85" t="s">
        <v>914</v>
      </c>
      <c r="Z288" s="83" t="str">
        <f>HYPERLINK("https://twitter.com/smokinstix/status/1502924296032817158")</f>
        <v>https://twitter.com/smokinstix/status/1502924296032817158</v>
      </c>
      <c r="AA288" s="80"/>
      <c r="AB288" s="80"/>
      <c r="AC288" s="85" t="s">
        <v>1363</v>
      </c>
      <c r="AD288" s="80"/>
      <c r="AE288" s="80" t="b">
        <v>0</v>
      </c>
      <c r="AF288" s="80">
        <v>0</v>
      </c>
      <c r="AG288" s="85" t="s">
        <v>1635</v>
      </c>
      <c r="AH288" s="80" t="b">
        <v>0</v>
      </c>
      <c r="AI288" s="80" t="s">
        <v>1642</v>
      </c>
      <c r="AJ288" s="80"/>
      <c r="AK288" s="85" t="s">
        <v>1635</v>
      </c>
      <c r="AL288" s="80" t="b">
        <v>0</v>
      </c>
      <c r="AM288" s="80">
        <v>40</v>
      </c>
      <c r="AN288" s="85" t="s">
        <v>1627</v>
      </c>
      <c r="AO288" s="85" t="s">
        <v>1672</v>
      </c>
      <c r="AP288" s="80" t="b">
        <v>0</v>
      </c>
      <c r="AQ288" s="85" t="s">
        <v>1627</v>
      </c>
      <c r="AR288" s="80" t="s">
        <v>179</v>
      </c>
      <c r="AS288" s="80">
        <v>0</v>
      </c>
      <c r="AT288" s="80">
        <v>0</v>
      </c>
      <c r="AU288" s="80"/>
      <c r="AV288" s="80"/>
      <c r="AW288" s="80"/>
      <c r="AX288" s="80"/>
      <c r="AY288" s="80"/>
      <c r="AZ288" s="80"/>
      <c r="BA288" s="80"/>
      <c r="BB288" s="80"/>
    </row>
    <row r="289" spans="1:54" x14ac:dyDescent="0.25">
      <c r="A289" s="65" t="s">
        <v>339</v>
      </c>
      <c r="B289" s="65" t="s">
        <v>362</v>
      </c>
      <c r="C289" s="66"/>
      <c r="D289" s="67"/>
      <c r="E289" s="68"/>
      <c r="F289" s="69"/>
      <c r="G289" s="66"/>
      <c r="H289" s="70"/>
      <c r="I289" s="71"/>
      <c r="J289" s="71"/>
      <c r="K289" s="36" t="s">
        <v>65</v>
      </c>
      <c r="L289" s="78">
        <v>289</v>
      </c>
      <c r="M289" s="78"/>
      <c r="N289" s="73"/>
      <c r="O289" s="80" t="s">
        <v>415</v>
      </c>
      <c r="P289" s="82">
        <v>44631.805659722224</v>
      </c>
      <c r="Q289" s="80" t="s">
        <v>485</v>
      </c>
      <c r="R289" s="80"/>
      <c r="S289" s="80"/>
      <c r="T289" s="85" t="s">
        <v>692</v>
      </c>
      <c r="U289" s="83" t="str">
        <f>HYPERLINK("https://pbs.twimg.com/media/FNltHNJXoAA3lTB.jpg")</f>
        <v>https://pbs.twimg.com/media/FNltHNJXoAA3lTB.jpg</v>
      </c>
      <c r="V289" s="83" t="str">
        <f>HYPERLINK("https://pbs.twimg.com/media/FNltHNJXoAA3lTB.jpg")</f>
        <v>https://pbs.twimg.com/media/FNltHNJXoAA3lTB.jpg</v>
      </c>
      <c r="W289" s="82">
        <v>44631.805659722224</v>
      </c>
      <c r="X289" s="88">
        <v>44631</v>
      </c>
      <c r="Y289" s="85" t="s">
        <v>915</v>
      </c>
      <c r="Z289" s="83" t="str">
        <f>HYPERLINK("https://twitter.com/ubtrueblue/status/1502363769816637445")</f>
        <v>https://twitter.com/ubtrueblue/status/1502363769816637445</v>
      </c>
      <c r="AA289" s="80"/>
      <c r="AB289" s="80"/>
      <c r="AC289" s="85" t="s">
        <v>1364</v>
      </c>
      <c r="AD289" s="80"/>
      <c r="AE289" s="80" t="b">
        <v>0</v>
      </c>
      <c r="AF289" s="80">
        <v>0</v>
      </c>
      <c r="AG289" s="85" t="s">
        <v>1635</v>
      </c>
      <c r="AH289" s="80" t="b">
        <v>0</v>
      </c>
      <c r="AI289" s="80" t="s">
        <v>1642</v>
      </c>
      <c r="AJ289" s="80"/>
      <c r="AK289" s="85" t="s">
        <v>1635</v>
      </c>
      <c r="AL289" s="80" t="b">
        <v>0</v>
      </c>
      <c r="AM289" s="80">
        <v>6</v>
      </c>
      <c r="AN289" s="85" t="s">
        <v>1496</v>
      </c>
      <c r="AO289" s="85" t="s">
        <v>1671</v>
      </c>
      <c r="AP289" s="80" t="b">
        <v>0</v>
      </c>
      <c r="AQ289" s="85" t="s">
        <v>1496</v>
      </c>
      <c r="AR289" s="80" t="s">
        <v>179</v>
      </c>
      <c r="AS289" s="80">
        <v>0</v>
      </c>
      <c r="AT289" s="80">
        <v>0</v>
      </c>
      <c r="AU289" s="80"/>
      <c r="AV289" s="80"/>
      <c r="AW289" s="80"/>
      <c r="AX289" s="80"/>
      <c r="AY289" s="80"/>
      <c r="AZ289" s="80"/>
      <c r="BA289" s="80"/>
      <c r="BB289" s="80"/>
    </row>
    <row r="290" spans="1:54" x14ac:dyDescent="0.25">
      <c r="A290" s="65" t="s">
        <v>339</v>
      </c>
      <c r="B290" s="65" t="s">
        <v>358</v>
      </c>
      <c r="C290" s="66"/>
      <c r="D290" s="67"/>
      <c r="E290" s="68"/>
      <c r="F290" s="69"/>
      <c r="G290" s="66"/>
      <c r="H290" s="70"/>
      <c r="I290" s="71"/>
      <c r="J290" s="71"/>
      <c r="K290" s="36" t="s">
        <v>65</v>
      </c>
      <c r="L290" s="78">
        <v>290</v>
      </c>
      <c r="M290" s="78"/>
      <c r="N290" s="73"/>
      <c r="O290" s="80" t="s">
        <v>416</v>
      </c>
      <c r="P290" s="82">
        <v>44632.795324074075</v>
      </c>
      <c r="Q290" s="80" t="s">
        <v>512</v>
      </c>
      <c r="R290" s="80"/>
      <c r="S290" s="80"/>
      <c r="T290" s="85" t="s">
        <v>699</v>
      </c>
      <c r="U290" s="83" t="str">
        <f>HYPERLINK("https://pbs.twimg.com/media/FNq-D36WUAAfRRt.jpg")</f>
        <v>https://pbs.twimg.com/media/FNq-D36WUAAfRRt.jpg</v>
      </c>
      <c r="V290" s="83" t="str">
        <f>HYPERLINK("https://pbs.twimg.com/media/FNq-D36WUAAfRRt.jpg")</f>
        <v>https://pbs.twimg.com/media/FNq-D36WUAAfRRt.jpg</v>
      </c>
      <c r="W290" s="82">
        <v>44632.795324074075</v>
      </c>
      <c r="X290" s="88">
        <v>44632</v>
      </c>
      <c r="Y290" s="85" t="s">
        <v>916</v>
      </c>
      <c r="Z290" s="83" t="str">
        <f>HYPERLINK("https://twitter.com/ubtrueblue/status/1502722409794834448")</f>
        <v>https://twitter.com/ubtrueblue/status/1502722409794834448</v>
      </c>
      <c r="AA290" s="80"/>
      <c r="AB290" s="80"/>
      <c r="AC290" s="85" t="s">
        <v>1365</v>
      </c>
      <c r="AD290" s="80"/>
      <c r="AE290" s="80" t="b">
        <v>0</v>
      </c>
      <c r="AF290" s="80">
        <v>25</v>
      </c>
      <c r="AG290" s="85" t="s">
        <v>1635</v>
      </c>
      <c r="AH290" s="80" t="b">
        <v>0</v>
      </c>
      <c r="AI290" s="80" t="s">
        <v>1642</v>
      </c>
      <c r="AJ290" s="80"/>
      <c r="AK290" s="85" t="s">
        <v>1635</v>
      </c>
      <c r="AL290" s="80" t="b">
        <v>0</v>
      </c>
      <c r="AM290" s="80">
        <v>3</v>
      </c>
      <c r="AN290" s="85" t="s">
        <v>1635</v>
      </c>
      <c r="AO290" s="85" t="s">
        <v>1671</v>
      </c>
      <c r="AP290" s="80" t="b">
        <v>0</v>
      </c>
      <c r="AQ290" s="85" t="s">
        <v>1365</v>
      </c>
      <c r="AR290" s="80" t="s">
        <v>179</v>
      </c>
      <c r="AS290" s="80">
        <v>0</v>
      </c>
      <c r="AT290" s="80">
        <v>0</v>
      </c>
      <c r="AU290" s="80"/>
      <c r="AV290" s="80"/>
      <c r="AW290" s="80"/>
      <c r="AX290" s="80"/>
      <c r="AY290" s="80"/>
      <c r="AZ290" s="80"/>
      <c r="BA290" s="80"/>
      <c r="BB290" s="80"/>
    </row>
    <row r="291" spans="1:54" x14ac:dyDescent="0.25">
      <c r="A291" s="65" t="s">
        <v>339</v>
      </c>
      <c r="B291" s="65" t="s">
        <v>357</v>
      </c>
      <c r="C291" s="66"/>
      <c r="D291" s="67"/>
      <c r="E291" s="68"/>
      <c r="F291" s="69"/>
      <c r="G291" s="66"/>
      <c r="H291" s="70"/>
      <c r="I291" s="71"/>
      <c r="J291" s="71"/>
      <c r="K291" s="36" t="s">
        <v>65</v>
      </c>
      <c r="L291" s="78">
        <v>291</v>
      </c>
      <c r="M291" s="78"/>
      <c r="N291" s="73"/>
      <c r="O291" s="80" t="s">
        <v>416</v>
      </c>
      <c r="P291" s="82">
        <v>44632.795324074075</v>
      </c>
      <c r="Q291" s="80" t="s">
        <v>512</v>
      </c>
      <c r="R291" s="80"/>
      <c r="S291" s="80"/>
      <c r="T291" s="85" t="s">
        <v>699</v>
      </c>
      <c r="U291" s="83" t="str">
        <f>HYPERLINK("https://pbs.twimg.com/media/FNq-D36WUAAfRRt.jpg")</f>
        <v>https://pbs.twimg.com/media/FNq-D36WUAAfRRt.jpg</v>
      </c>
      <c r="V291" s="83" t="str">
        <f>HYPERLINK("https://pbs.twimg.com/media/FNq-D36WUAAfRRt.jpg")</f>
        <v>https://pbs.twimg.com/media/FNq-D36WUAAfRRt.jpg</v>
      </c>
      <c r="W291" s="82">
        <v>44632.795324074075</v>
      </c>
      <c r="X291" s="88">
        <v>44632</v>
      </c>
      <c r="Y291" s="85" t="s">
        <v>916</v>
      </c>
      <c r="Z291" s="83" t="str">
        <f>HYPERLINK("https://twitter.com/ubtrueblue/status/1502722409794834448")</f>
        <v>https://twitter.com/ubtrueblue/status/1502722409794834448</v>
      </c>
      <c r="AA291" s="80"/>
      <c r="AB291" s="80"/>
      <c r="AC291" s="85" t="s">
        <v>1365</v>
      </c>
      <c r="AD291" s="80"/>
      <c r="AE291" s="80" t="b">
        <v>0</v>
      </c>
      <c r="AF291" s="80">
        <v>25</v>
      </c>
      <c r="AG291" s="85" t="s">
        <v>1635</v>
      </c>
      <c r="AH291" s="80" t="b">
        <v>0</v>
      </c>
      <c r="AI291" s="80" t="s">
        <v>1642</v>
      </c>
      <c r="AJ291" s="80"/>
      <c r="AK291" s="85" t="s">
        <v>1635</v>
      </c>
      <c r="AL291" s="80" t="b">
        <v>0</v>
      </c>
      <c r="AM291" s="80">
        <v>3</v>
      </c>
      <c r="AN291" s="85" t="s">
        <v>1635</v>
      </c>
      <c r="AO291" s="85" t="s">
        <v>1671</v>
      </c>
      <c r="AP291" s="80" t="b">
        <v>0</v>
      </c>
      <c r="AQ291" s="85" t="s">
        <v>1365</v>
      </c>
      <c r="AR291" s="80" t="s">
        <v>179</v>
      </c>
      <c r="AS291" s="80">
        <v>0</v>
      </c>
      <c r="AT291" s="80">
        <v>0</v>
      </c>
      <c r="AU291" s="80"/>
      <c r="AV291" s="80"/>
      <c r="AW291" s="80"/>
      <c r="AX291" s="80"/>
      <c r="AY291" s="80"/>
      <c r="AZ291" s="80"/>
      <c r="BA291" s="80"/>
      <c r="BB291" s="80"/>
    </row>
    <row r="292" spans="1:54" x14ac:dyDescent="0.25">
      <c r="A292" s="65" t="s">
        <v>339</v>
      </c>
      <c r="B292" s="65" t="s">
        <v>385</v>
      </c>
      <c r="C292" s="66"/>
      <c r="D292" s="67"/>
      <c r="E292" s="68"/>
      <c r="F292" s="69"/>
      <c r="G292" s="66"/>
      <c r="H292" s="70"/>
      <c r="I292" s="71"/>
      <c r="J292" s="71"/>
      <c r="K292" s="36" t="s">
        <v>65</v>
      </c>
      <c r="L292" s="78">
        <v>292</v>
      </c>
      <c r="M292" s="78"/>
      <c r="N292" s="73"/>
      <c r="O292" s="80" t="s">
        <v>416</v>
      </c>
      <c r="P292" s="82">
        <v>44632.795324074075</v>
      </c>
      <c r="Q292" s="80" t="s">
        <v>512</v>
      </c>
      <c r="R292" s="80"/>
      <c r="S292" s="80"/>
      <c r="T292" s="85" t="s">
        <v>699</v>
      </c>
      <c r="U292" s="83" t="str">
        <f>HYPERLINK("https://pbs.twimg.com/media/FNq-D36WUAAfRRt.jpg")</f>
        <v>https://pbs.twimg.com/media/FNq-D36WUAAfRRt.jpg</v>
      </c>
      <c r="V292" s="83" t="str">
        <f>HYPERLINK("https://pbs.twimg.com/media/FNq-D36WUAAfRRt.jpg")</f>
        <v>https://pbs.twimg.com/media/FNq-D36WUAAfRRt.jpg</v>
      </c>
      <c r="W292" s="82">
        <v>44632.795324074075</v>
      </c>
      <c r="X292" s="88">
        <v>44632</v>
      </c>
      <c r="Y292" s="85" t="s">
        <v>916</v>
      </c>
      <c r="Z292" s="83" t="str">
        <f>HYPERLINK("https://twitter.com/ubtrueblue/status/1502722409794834448")</f>
        <v>https://twitter.com/ubtrueblue/status/1502722409794834448</v>
      </c>
      <c r="AA292" s="80"/>
      <c r="AB292" s="80"/>
      <c r="AC292" s="85" t="s">
        <v>1365</v>
      </c>
      <c r="AD292" s="80"/>
      <c r="AE292" s="80" t="b">
        <v>0</v>
      </c>
      <c r="AF292" s="80">
        <v>25</v>
      </c>
      <c r="AG292" s="85" t="s">
        <v>1635</v>
      </c>
      <c r="AH292" s="80" t="b">
        <v>0</v>
      </c>
      <c r="AI292" s="80" t="s">
        <v>1642</v>
      </c>
      <c r="AJ292" s="80"/>
      <c r="AK292" s="85" t="s">
        <v>1635</v>
      </c>
      <c r="AL292" s="80" t="b">
        <v>0</v>
      </c>
      <c r="AM292" s="80">
        <v>3</v>
      </c>
      <c r="AN292" s="85" t="s">
        <v>1635</v>
      </c>
      <c r="AO292" s="85" t="s">
        <v>1671</v>
      </c>
      <c r="AP292" s="80" t="b">
        <v>0</v>
      </c>
      <c r="AQ292" s="85" t="s">
        <v>1365</v>
      </c>
      <c r="AR292" s="80" t="s">
        <v>179</v>
      </c>
      <c r="AS292" s="80">
        <v>0</v>
      </c>
      <c r="AT292" s="80">
        <v>0</v>
      </c>
      <c r="AU292" s="80"/>
      <c r="AV292" s="80"/>
      <c r="AW292" s="80"/>
      <c r="AX292" s="80"/>
      <c r="AY292" s="80"/>
      <c r="AZ292" s="80"/>
      <c r="BA292" s="80"/>
      <c r="BB292" s="80"/>
    </row>
    <row r="293" spans="1:54" x14ac:dyDescent="0.25">
      <c r="A293" s="65" t="s">
        <v>340</v>
      </c>
      <c r="B293" s="65" t="s">
        <v>339</v>
      </c>
      <c r="C293" s="66"/>
      <c r="D293" s="67"/>
      <c r="E293" s="68"/>
      <c r="F293" s="69"/>
      <c r="G293" s="66"/>
      <c r="H293" s="70"/>
      <c r="I293" s="71"/>
      <c r="J293" s="71"/>
      <c r="K293" s="36" t="s">
        <v>65</v>
      </c>
      <c r="L293" s="78">
        <v>293</v>
      </c>
      <c r="M293" s="78"/>
      <c r="N293" s="73"/>
      <c r="O293" s="80" t="s">
        <v>415</v>
      </c>
      <c r="P293" s="82">
        <v>44632.816643518519</v>
      </c>
      <c r="Q293" s="80" t="s">
        <v>512</v>
      </c>
      <c r="R293" s="80"/>
      <c r="S293" s="80"/>
      <c r="T293" s="85" t="s">
        <v>699</v>
      </c>
      <c r="U293" s="83" t="str">
        <f>HYPERLINK("https://pbs.twimg.com/media/FNq-D36WUAAfRRt.jpg")</f>
        <v>https://pbs.twimg.com/media/FNq-D36WUAAfRRt.jpg</v>
      </c>
      <c r="V293" s="83" t="str">
        <f>HYPERLINK("https://pbs.twimg.com/media/FNq-D36WUAAfRRt.jpg")</f>
        <v>https://pbs.twimg.com/media/FNq-D36WUAAfRRt.jpg</v>
      </c>
      <c r="W293" s="82">
        <v>44632.816643518519</v>
      </c>
      <c r="X293" s="88">
        <v>44632</v>
      </c>
      <c r="Y293" s="85" t="s">
        <v>917</v>
      </c>
      <c r="Z293" s="83" t="str">
        <f>HYPERLINK("https://twitter.com/mazzycc/status/1502730138232008717")</f>
        <v>https://twitter.com/mazzycc/status/1502730138232008717</v>
      </c>
      <c r="AA293" s="80"/>
      <c r="AB293" s="80"/>
      <c r="AC293" s="85" t="s">
        <v>1366</v>
      </c>
      <c r="AD293" s="80"/>
      <c r="AE293" s="80" t="b">
        <v>0</v>
      </c>
      <c r="AF293" s="80">
        <v>0</v>
      </c>
      <c r="AG293" s="85" t="s">
        <v>1635</v>
      </c>
      <c r="AH293" s="80" t="b">
        <v>0</v>
      </c>
      <c r="AI293" s="80" t="s">
        <v>1642</v>
      </c>
      <c r="AJ293" s="80"/>
      <c r="AK293" s="85" t="s">
        <v>1635</v>
      </c>
      <c r="AL293" s="80" t="b">
        <v>0</v>
      </c>
      <c r="AM293" s="80">
        <v>3</v>
      </c>
      <c r="AN293" s="85" t="s">
        <v>1365</v>
      </c>
      <c r="AO293" s="85" t="s">
        <v>1671</v>
      </c>
      <c r="AP293" s="80" t="b">
        <v>0</v>
      </c>
      <c r="AQ293" s="85" t="s">
        <v>1365</v>
      </c>
      <c r="AR293" s="80" t="s">
        <v>179</v>
      </c>
      <c r="AS293" s="80">
        <v>0</v>
      </c>
      <c r="AT293" s="80">
        <v>0</v>
      </c>
      <c r="AU293" s="80"/>
      <c r="AV293" s="80"/>
      <c r="AW293" s="80"/>
      <c r="AX293" s="80"/>
      <c r="AY293" s="80"/>
      <c r="AZ293" s="80"/>
      <c r="BA293" s="80"/>
      <c r="BB293" s="80"/>
    </row>
    <row r="294" spans="1:54" x14ac:dyDescent="0.25">
      <c r="A294" s="65" t="s">
        <v>340</v>
      </c>
      <c r="B294" s="65" t="s">
        <v>358</v>
      </c>
      <c r="C294" s="66"/>
      <c r="D294" s="67"/>
      <c r="E294" s="68"/>
      <c r="F294" s="69"/>
      <c r="G294" s="66"/>
      <c r="H294" s="70"/>
      <c r="I294" s="71"/>
      <c r="J294" s="71"/>
      <c r="K294" s="36" t="s">
        <v>65</v>
      </c>
      <c r="L294" s="78">
        <v>294</v>
      </c>
      <c r="M294" s="78"/>
      <c r="N294" s="73"/>
      <c r="O294" s="80" t="s">
        <v>414</v>
      </c>
      <c r="P294" s="82">
        <v>44632.816643518519</v>
      </c>
      <c r="Q294" s="80" t="s">
        <v>512</v>
      </c>
      <c r="R294" s="80"/>
      <c r="S294" s="80"/>
      <c r="T294" s="85" t="s">
        <v>699</v>
      </c>
      <c r="U294" s="83" t="str">
        <f>HYPERLINK("https://pbs.twimg.com/media/FNq-D36WUAAfRRt.jpg")</f>
        <v>https://pbs.twimg.com/media/FNq-D36WUAAfRRt.jpg</v>
      </c>
      <c r="V294" s="83" t="str">
        <f>HYPERLINK("https://pbs.twimg.com/media/FNq-D36WUAAfRRt.jpg")</f>
        <v>https://pbs.twimg.com/media/FNq-D36WUAAfRRt.jpg</v>
      </c>
      <c r="W294" s="82">
        <v>44632.816643518519</v>
      </c>
      <c r="X294" s="88">
        <v>44632</v>
      </c>
      <c r="Y294" s="85" t="s">
        <v>917</v>
      </c>
      <c r="Z294" s="83" t="str">
        <f>HYPERLINK("https://twitter.com/mazzycc/status/1502730138232008717")</f>
        <v>https://twitter.com/mazzycc/status/1502730138232008717</v>
      </c>
      <c r="AA294" s="80"/>
      <c r="AB294" s="80"/>
      <c r="AC294" s="85" t="s">
        <v>1366</v>
      </c>
      <c r="AD294" s="80"/>
      <c r="AE294" s="80" t="b">
        <v>0</v>
      </c>
      <c r="AF294" s="80">
        <v>0</v>
      </c>
      <c r="AG294" s="85" t="s">
        <v>1635</v>
      </c>
      <c r="AH294" s="80" t="b">
        <v>0</v>
      </c>
      <c r="AI294" s="80" t="s">
        <v>1642</v>
      </c>
      <c r="AJ294" s="80"/>
      <c r="AK294" s="85" t="s">
        <v>1635</v>
      </c>
      <c r="AL294" s="80" t="b">
        <v>0</v>
      </c>
      <c r="AM294" s="80">
        <v>3</v>
      </c>
      <c r="AN294" s="85" t="s">
        <v>1365</v>
      </c>
      <c r="AO294" s="85" t="s">
        <v>1671</v>
      </c>
      <c r="AP294" s="80" t="b">
        <v>0</v>
      </c>
      <c r="AQ294" s="85" t="s">
        <v>1365</v>
      </c>
      <c r="AR294" s="80" t="s">
        <v>179</v>
      </c>
      <c r="AS294" s="80">
        <v>0</v>
      </c>
      <c r="AT294" s="80">
        <v>0</v>
      </c>
      <c r="AU294" s="80"/>
      <c r="AV294" s="80"/>
      <c r="AW294" s="80"/>
      <c r="AX294" s="80"/>
      <c r="AY294" s="80"/>
      <c r="AZ294" s="80"/>
      <c r="BA294" s="80"/>
      <c r="BB294" s="80"/>
    </row>
    <row r="295" spans="1:54" x14ac:dyDescent="0.25">
      <c r="A295" s="65" t="s">
        <v>340</v>
      </c>
      <c r="B295" s="65" t="s">
        <v>357</v>
      </c>
      <c r="C295" s="66"/>
      <c r="D295" s="67"/>
      <c r="E295" s="68"/>
      <c r="F295" s="69"/>
      <c r="G295" s="66"/>
      <c r="H295" s="70"/>
      <c r="I295" s="71"/>
      <c r="J295" s="71"/>
      <c r="K295" s="36" t="s">
        <v>65</v>
      </c>
      <c r="L295" s="78">
        <v>295</v>
      </c>
      <c r="M295" s="78"/>
      <c r="N295" s="73"/>
      <c r="O295" s="80" t="s">
        <v>414</v>
      </c>
      <c r="P295" s="82">
        <v>44632.816643518519</v>
      </c>
      <c r="Q295" s="80" t="s">
        <v>512</v>
      </c>
      <c r="R295" s="80"/>
      <c r="S295" s="80"/>
      <c r="T295" s="85" t="s">
        <v>699</v>
      </c>
      <c r="U295" s="83" t="str">
        <f>HYPERLINK("https://pbs.twimg.com/media/FNq-D36WUAAfRRt.jpg")</f>
        <v>https://pbs.twimg.com/media/FNq-D36WUAAfRRt.jpg</v>
      </c>
      <c r="V295" s="83" t="str">
        <f>HYPERLINK("https://pbs.twimg.com/media/FNq-D36WUAAfRRt.jpg")</f>
        <v>https://pbs.twimg.com/media/FNq-D36WUAAfRRt.jpg</v>
      </c>
      <c r="W295" s="82">
        <v>44632.816643518519</v>
      </c>
      <c r="X295" s="88">
        <v>44632</v>
      </c>
      <c r="Y295" s="85" t="s">
        <v>917</v>
      </c>
      <c r="Z295" s="83" t="str">
        <f>HYPERLINK("https://twitter.com/mazzycc/status/1502730138232008717")</f>
        <v>https://twitter.com/mazzycc/status/1502730138232008717</v>
      </c>
      <c r="AA295" s="80"/>
      <c r="AB295" s="80"/>
      <c r="AC295" s="85" t="s">
        <v>1366</v>
      </c>
      <c r="AD295" s="80"/>
      <c r="AE295" s="80" t="b">
        <v>0</v>
      </c>
      <c r="AF295" s="80">
        <v>0</v>
      </c>
      <c r="AG295" s="85" t="s">
        <v>1635</v>
      </c>
      <c r="AH295" s="80" t="b">
        <v>0</v>
      </c>
      <c r="AI295" s="80" t="s">
        <v>1642</v>
      </c>
      <c r="AJ295" s="80"/>
      <c r="AK295" s="85" t="s">
        <v>1635</v>
      </c>
      <c r="AL295" s="80" t="b">
        <v>0</v>
      </c>
      <c r="AM295" s="80">
        <v>3</v>
      </c>
      <c r="AN295" s="85" t="s">
        <v>1365</v>
      </c>
      <c r="AO295" s="85" t="s">
        <v>1671</v>
      </c>
      <c r="AP295" s="80" t="b">
        <v>0</v>
      </c>
      <c r="AQ295" s="85" t="s">
        <v>1365</v>
      </c>
      <c r="AR295" s="80" t="s">
        <v>179</v>
      </c>
      <c r="AS295" s="80">
        <v>0</v>
      </c>
      <c r="AT295" s="80">
        <v>0</v>
      </c>
      <c r="AU295" s="80"/>
      <c r="AV295" s="80"/>
      <c r="AW295" s="80"/>
      <c r="AX295" s="80"/>
      <c r="AY295" s="80"/>
      <c r="AZ295" s="80"/>
      <c r="BA295" s="80"/>
      <c r="BB295" s="80"/>
    </row>
    <row r="296" spans="1:54" x14ac:dyDescent="0.25">
      <c r="A296" s="65" t="s">
        <v>340</v>
      </c>
      <c r="B296" s="65" t="s">
        <v>385</v>
      </c>
      <c r="C296" s="66"/>
      <c r="D296" s="67"/>
      <c r="E296" s="68"/>
      <c r="F296" s="69"/>
      <c r="G296" s="66"/>
      <c r="H296" s="70"/>
      <c r="I296" s="71"/>
      <c r="J296" s="71"/>
      <c r="K296" s="36" t="s">
        <v>65</v>
      </c>
      <c r="L296" s="78">
        <v>296</v>
      </c>
      <c r="M296" s="78"/>
      <c r="N296" s="73"/>
      <c r="O296" s="80" t="s">
        <v>414</v>
      </c>
      <c r="P296" s="82">
        <v>44632.816643518519</v>
      </c>
      <c r="Q296" s="80" t="s">
        <v>512</v>
      </c>
      <c r="R296" s="80"/>
      <c r="S296" s="80"/>
      <c r="T296" s="85" t="s">
        <v>699</v>
      </c>
      <c r="U296" s="83" t="str">
        <f>HYPERLINK("https://pbs.twimg.com/media/FNq-D36WUAAfRRt.jpg")</f>
        <v>https://pbs.twimg.com/media/FNq-D36WUAAfRRt.jpg</v>
      </c>
      <c r="V296" s="83" t="str">
        <f>HYPERLINK("https://pbs.twimg.com/media/FNq-D36WUAAfRRt.jpg")</f>
        <v>https://pbs.twimg.com/media/FNq-D36WUAAfRRt.jpg</v>
      </c>
      <c r="W296" s="82">
        <v>44632.816643518519</v>
      </c>
      <c r="X296" s="88">
        <v>44632</v>
      </c>
      <c r="Y296" s="85" t="s">
        <v>917</v>
      </c>
      <c r="Z296" s="83" t="str">
        <f>HYPERLINK("https://twitter.com/mazzycc/status/1502730138232008717")</f>
        <v>https://twitter.com/mazzycc/status/1502730138232008717</v>
      </c>
      <c r="AA296" s="80"/>
      <c r="AB296" s="80"/>
      <c r="AC296" s="85" t="s">
        <v>1366</v>
      </c>
      <c r="AD296" s="80"/>
      <c r="AE296" s="80" t="b">
        <v>0</v>
      </c>
      <c r="AF296" s="80">
        <v>0</v>
      </c>
      <c r="AG296" s="85" t="s">
        <v>1635</v>
      </c>
      <c r="AH296" s="80" t="b">
        <v>0</v>
      </c>
      <c r="AI296" s="80" t="s">
        <v>1642</v>
      </c>
      <c r="AJ296" s="80"/>
      <c r="AK296" s="85" t="s">
        <v>1635</v>
      </c>
      <c r="AL296" s="80" t="b">
        <v>0</v>
      </c>
      <c r="AM296" s="80">
        <v>3</v>
      </c>
      <c r="AN296" s="85" t="s">
        <v>1365</v>
      </c>
      <c r="AO296" s="85" t="s">
        <v>1671</v>
      </c>
      <c r="AP296" s="80" t="b">
        <v>0</v>
      </c>
      <c r="AQ296" s="85" t="s">
        <v>1365</v>
      </c>
      <c r="AR296" s="80" t="s">
        <v>179</v>
      </c>
      <c r="AS296" s="80">
        <v>0</v>
      </c>
      <c r="AT296" s="80">
        <v>0</v>
      </c>
      <c r="AU296" s="80"/>
      <c r="AV296" s="80"/>
      <c r="AW296" s="80"/>
      <c r="AX296" s="80"/>
      <c r="AY296" s="80"/>
      <c r="AZ296" s="80"/>
      <c r="BA296" s="80"/>
      <c r="BB296" s="80"/>
    </row>
    <row r="297" spans="1:54" x14ac:dyDescent="0.25">
      <c r="A297" s="65" t="s">
        <v>340</v>
      </c>
      <c r="B297" s="65" t="s">
        <v>357</v>
      </c>
      <c r="C297" s="66"/>
      <c r="D297" s="67"/>
      <c r="E297" s="68"/>
      <c r="F297" s="69"/>
      <c r="G297" s="66"/>
      <c r="H297" s="70"/>
      <c r="I297" s="71"/>
      <c r="J297" s="71"/>
      <c r="K297" s="36" t="s">
        <v>65</v>
      </c>
      <c r="L297" s="78">
        <v>297</v>
      </c>
      <c r="M297" s="78"/>
      <c r="N297" s="73"/>
      <c r="O297" s="80" t="s">
        <v>415</v>
      </c>
      <c r="P297" s="82">
        <v>44633.44809027778</v>
      </c>
      <c r="Q297" s="80" t="s">
        <v>505</v>
      </c>
      <c r="R297" s="80"/>
      <c r="S297" s="80"/>
      <c r="T297" s="85" t="s">
        <v>700</v>
      </c>
      <c r="U297" s="83" t="str">
        <f>HYPERLINK("https://pbs.twimg.com/media/FNq-K9kWUAII3TB.jpg")</f>
        <v>https://pbs.twimg.com/media/FNq-K9kWUAII3TB.jpg</v>
      </c>
      <c r="V297" s="83" t="str">
        <f>HYPERLINK("https://pbs.twimg.com/media/FNq-K9kWUAII3TB.jpg")</f>
        <v>https://pbs.twimg.com/media/FNq-K9kWUAII3TB.jpg</v>
      </c>
      <c r="W297" s="82">
        <v>44633.44809027778</v>
      </c>
      <c r="X297" s="88">
        <v>44633</v>
      </c>
      <c r="Y297" s="85" t="s">
        <v>918</v>
      </c>
      <c r="Z297" s="83" t="str">
        <f>HYPERLINK("https://twitter.com/mazzycc/status/1502958965814091776")</f>
        <v>https://twitter.com/mazzycc/status/1502958965814091776</v>
      </c>
      <c r="AA297" s="80"/>
      <c r="AB297" s="80"/>
      <c r="AC297" s="85" t="s">
        <v>1367</v>
      </c>
      <c r="AD297" s="80"/>
      <c r="AE297" s="80" t="b">
        <v>0</v>
      </c>
      <c r="AF297" s="80">
        <v>0</v>
      </c>
      <c r="AG297" s="85" t="s">
        <v>1635</v>
      </c>
      <c r="AH297" s="80" t="b">
        <v>0</v>
      </c>
      <c r="AI297" s="80" t="s">
        <v>1642</v>
      </c>
      <c r="AJ297" s="80"/>
      <c r="AK297" s="85" t="s">
        <v>1635</v>
      </c>
      <c r="AL297" s="80" t="b">
        <v>0</v>
      </c>
      <c r="AM297" s="80">
        <v>40</v>
      </c>
      <c r="AN297" s="85" t="s">
        <v>1627</v>
      </c>
      <c r="AO297" s="85" t="s">
        <v>1671</v>
      </c>
      <c r="AP297" s="80" t="b">
        <v>0</v>
      </c>
      <c r="AQ297" s="85" t="s">
        <v>1627</v>
      </c>
      <c r="AR297" s="80" t="s">
        <v>179</v>
      </c>
      <c r="AS297" s="80">
        <v>0</v>
      </c>
      <c r="AT297" s="80">
        <v>0</v>
      </c>
      <c r="AU297" s="80"/>
      <c r="AV297" s="80"/>
      <c r="AW297" s="80"/>
      <c r="AX297" s="80"/>
      <c r="AY297" s="80"/>
      <c r="AZ297" s="80"/>
      <c r="BA297" s="80"/>
      <c r="BB297" s="80"/>
    </row>
    <row r="298" spans="1:54" x14ac:dyDescent="0.25">
      <c r="A298" s="65" t="s">
        <v>341</v>
      </c>
      <c r="B298" s="65" t="s">
        <v>357</v>
      </c>
      <c r="C298" s="66"/>
      <c r="D298" s="67"/>
      <c r="E298" s="68"/>
      <c r="F298" s="69"/>
      <c r="G298" s="66"/>
      <c r="H298" s="70"/>
      <c r="I298" s="71"/>
      <c r="J298" s="71"/>
      <c r="K298" s="36" t="s">
        <v>65</v>
      </c>
      <c r="L298" s="78">
        <v>298</v>
      </c>
      <c r="M298" s="78"/>
      <c r="N298" s="73"/>
      <c r="O298" s="80" t="s">
        <v>415</v>
      </c>
      <c r="P298" s="82">
        <v>44633.500335648147</v>
      </c>
      <c r="Q298" s="80" t="s">
        <v>505</v>
      </c>
      <c r="R298" s="80"/>
      <c r="S298" s="80"/>
      <c r="T298" s="85" t="s">
        <v>700</v>
      </c>
      <c r="U298" s="83" t="str">
        <f>HYPERLINK("https://pbs.twimg.com/media/FNq-K9kWUAII3TB.jpg")</f>
        <v>https://pbs.twimg.com/media/FNq-K9kWUAII3TB.jpg</v>
      </c>
      <c r="V298" s="83" t="str">
        <f>HYPERLINK("https://pbs.twimg.com/media/FNq-K9kWUAII3TB.jpg")</f>
        <v>https://pbs.twimg.com/media/FNq-K9kWUAII3TB.jpg</v>
      </c>
      <c r="W298" s="82">
        <v>44633.500335648147</v>
      </c>
      <c r="X298" s="88">
        <v>44633</v>
      </c>
      <c r="Y298" s="85" t="s">
        <v>919</v>
      </c>
      <c r="Z298" s="83" t="str">
        <f>HYPERLINK("https://twitter.com/billybison/status/1502977896184520708")</f>
        <v>https://twitter.com/billybison/status/1502977896184520708</v>
      </c>
      <c r="AA298" s="80"/>
      <c r="AB298" s="80"/>
      <c r="AC298" s="85" t="s">
        <v>1368</v>
      </c>
      <c r="AD298" s="80"/>
      <c r="AE298" s="80" t="b">
        <v>0</v>
      </c>
      <c r="AF298" s="80">
        <v>0</v>
      </c>
      <c r="AG298" s="85" t="s">
        <v>1635</v>
      </c>
      <c r="AH298" s="80" t="b">
        <v>0</v>
      </c>
      <c r="AI298" s="80" t="s">
        <v>1642</v>
      </c>
      <c r="AJ298" s="80"/>
      <c r="AK298" s="85" t="s">
        <v>1635</v>
      </c>
      <c r="AL298" s="80" t="b">
        <v>0</v>
      </c>
      <c r="AM298" s="80">
        <v>40</v>
      </c>
      <c r="AN298" s="85" t="s">
        <v>1627</v>
      </c>
      <c r="AO298" s="85" t="s">
        <v>1678</v>
      </c>
      <c r="AP298" s="80" t="b">
        <v>0</v>
      </c>
      <c r="AQ298" s="85" t="s">
        <v>1627</v>
      </c>
      <c r="AR298" s="80" t="s">
        <v>179</v>
      </c>
      <c r="AS298" s="80">
        <v>0</v>
      </c>
      <c r="AT298" s="80">
        <v>0</v>
      </c>
      <c r="AU298" s="80"/>
      <c r="AV298" s="80"/>
      <c r="AW298" s="80"/>
      <c r="AX298" s="80"/>
      <c r="AY298" s="80"/>
      <c r="AZ298" s="80"/>
      <c r="BA298" s="80"/>
      <c r="BB298" s="80"/>
    </row>
    <row r="299" spans="1:54" x14ac:dyDescent="0.25">
      <c r="A299" s="65" t="s">
        <v>342</v>
      </c>
      <c r="B299" s="65" t="s">
        <v>353</v>
      </c>
      <c r="C299" s="66"/>
      <c r="D299" s="67"/>
      <c r="E299" s="68"/>
      <c r="F299" s="69"/>
      <c r="G299" s="66"/>
      <c r="H299" s="70"/>
      <c r="I299" s="71"/>
      <c r="J299" s="71"/>
      <c r="K299" s="36" t="s">
        <v>65</v>
      </c>
      <c r="L299" s="78">
        <v>299</v>
      </c>
      <c r="M299" s="78"/>
      <c r="N299" s="73"/>
      <c r="O299" s="80" t="s">
        <v>415</v>
      </c>
      <c r="P299" s="82">
        <v>44633.537222222221</v>
      </c>
      <c r="Q299" s="80" t="s">
        <v>525</v>
      </c>
      <c r="R299" s="83" t="str">
        <f>HYPERLINK("http://www.buffalo.edu/alumni/get-involved/fast46.html?utm_source=TWITTER&amp;utm_medium=social&amp;utm_term=20220313&amp;utm_content=100002964466833&amp;utm_campaign=General+Content&amp;linkId=100000114433772")</f>
        <v>http://www.buffalo.edu/alumni/get-involved/fast46.html?utm_source=TWITTER&amp;utm_medium=social&amp;utm_term=20220313&amp;utm_content=100002964466833&amp;utm_campaign=General+Content&amp;linkId=100000114433772</v>
      </c>
      <c r="S299" s="80" t="s">
        <v>632</v>
      </c>
      <c r="T299" s="85" t="s">
        <v>357</v>
      </c>
      <c r="U299" s="83" t="str">
        <f>HYPERLINK("https://pbs.twimg.com/media/FNuw23cX0AMyh4i.jpg")</f>
        <v>https://pbs.twimg.com/media/FNuw23cX0AMyh4i.jpg</v>
      </c>
      <c r="V299" s="83" t="str">
        <f>HYPERLINK("https://pbs.twimg.com/media/FNuw23cX0AMyh4i.jpg")</f>
        <v>https://pbs.twimg.com/media/FNuw23cX0AMyh4i.jpg</v>
      </c>
      <c r="W299" s="82">
        <v>44633.537222222221</v>
      </c>
      <c r="X299" s="88">
        <v>44633</v>
      </c>
      <c r="Y299" s="85" t="s">
        <v>920</v>
      </c>
      <c r="Z299" s="83" t="str">
        <f>HYPERLINK("https://twitter.com/danieltucholski/status/1502991265574658050")</f>
        <v>https://twitter.com/danieltucholski/status/1502991265574658050</v>
      </c>
      <c r="AA299" s="80"/>
      <c r="AB299" s="80"/>
      <c r="AC299" s="85" t="s">
        <v>1369</v>
      </c>
      <c r="AD299" s="80"/>
      <c r="AE299" s="80" t="b">
        <v>0</v>
      </c>
      <c r="AF299" s="80">
        <v>0</v>
      </c>
      <c r="AG299" s="85" t="s">
        <v>1635</v>
      </c>
      <c r="AH299" s="80" t="b">
        <v>0</v>
      </c>
      <c r="AI299" s="80" t="s">
        <v>1642</v>
      </c>
      <c r="AJ299" s="80"/>
      <c r="AK299" s="85" t="s">
        <v>1635</v>
      </c>
      <c r="AL299" s="80" t="b">
        <v>0</v>
      </c>
      <c r="AM299" s="80">
        <v>2</v>
      </c>
      <c r="AN299" s="85" t="s">
        <v>1491</v>
      </c>
      <c r="AO299" s="85" t="s">
        <v>1671</v>
      </c>
      <c r="AP299" s="80" t="b">
        <v>0</v>
      </c>
      <c r="AQ299" s="85" t="s">
        <v>1491</v>
      </c>
      <c r="AR299" s="80" t="s">
        <v>179</v>
      </c>
      <c r="AS299" s="80">
        <v>0</v>
      </c>
      <c r="AT299" s="80">
        <v>0</v>
      </c>
      <c r="AU299" s="80"/>
      <c r="AV299" s="80"/>
      <c r="AW299" s="80"/>
      <c r="AX299" s="80"/>
      <c r="AY299" s="80"/>
      <c r="AZ299" s="80"/>
      <c r="BA299" s="80"/>
      <c r="BB299" s="80"/>
    </row>
    <row r="300" spans="1:54" x14ac:dyDescent="0.25">
      <c r="A300" s="65" t="s">
        <v>343</v>
      </c>
      <c r="B300" s="65" t="s">
        <v>357</v>
      </c>
      <c r="C300" s="66"/>
      <c r="D300" s="67"/>
      <c r="E300" s="68"/>
      <c r="F300" s="69"/>
      <c r="G300" s="66"/>
      <c r="H300" s="70"/>
      <c r="I300" s="71"/>
      <c r="J300" s="71"/>
      <c r="K300" s="36" t="s">
        <v>65</v>
      </c>
      <c r="L300" s="78">
        <v>300</v>
      </c>
      <c r="M300" s="78"/>
      <c r="N300" s="73"/>
      <c r="O300" s="80" t="s">
        <v>415</v>
      </c>
      <c r="P300" s="82">
        <v>44633.559317129628</v>
      </c>
      <c r="Q300" s="80" t="s">
        <v>505</v>
      </c>
      <c r="R300" s="80"/>
      <c r="S300" s="80"/>
      <c r="T300" s="85" t="s">
        <v>700</v>
      </c>
      <c r="U300" s="83" t="str">
        <f>HYPERLINK("https://pbs.twimg.com/media/FNq-K9kWUAII3TB.jpg")</f>
        <v>https://pbs.twimg.com/media/FNq-K9kWUAII3TB.jpg</v>
      </c>
      <c r="V300" s="83" t="str">
        <f>HYPERLINK("https://pbs.twimg.com/media/FNq-K9kWUAII3TB.jpg")</f>
        <v>https://pbs.twimg.com/media/FNq-K9kWUAII3TB.jpg</v>
      </c>
      <c r="W300" s="82">
        <v>44633.559317129628</v>
      </c>
      <c r="X300" s="88">
        <v>44633</v>
      </c>
      <c r="Y300" s="85" t="s">
        <v>921</v>
      </c>
      <c r="Z300" s="83" t="str">
        <f>HYPERLINK("https://twitter.com/spencerfreedma8/status/1502999270806495234")</f>
        <v>https://twitter.com/spencerfreedma8/status/1502999270806495234</v>
      </c>
      <c r="AA300" s="80"/>
      <c r="AB300" s="80"/>
      <c r="AC300" s="85" t="s">
        <v>1370</v>
      </c>
      <c r="AD300" s="80"/>
      <c r="AE300" s="80" t="b">
        <v>0</v>
      </c>
      <c r="AF300" s="80">
        <v>0</v>
      </c>
      <c r="AG300" s="85" t="s">
        <v>1635</v>
      </c>
      <c r="AH300" s="80" t="b">
        <v>0</v>
      </c>
      <c r="AI300" s="80" t="s">
        <v>1642</v>
      </c>
      <c r="AJ300" s="80"/>
      <c r="AK300" s="85" t="s">
        <v>1635</v>
      </c>
      <c r="AL300" s="80" t="b">
        <v>0</v>
      </c>
      <c r="AM300" s="80">
        <v>40</v>
      </c>
      <c r="AN300" s="85" t="s">
        <v>1627</v>
      </c>
      <c r="AO300" s="85" t="s">
        <v>1671</v>
      </c>
      <c r="AP300" s="80" t="b">
        <v>0</v>
      </c>
      <c r="AQ300" s="85" t="s">
        <v>1627</v>
      </c>
      <c r="AR300" s="80" t="s">
        <v>179</v>
      </c>
      <c r="AS300" s="80">
        <v>0</v>
      </c>
      <c r="AT300" s="80">
        <v>0</v>
      </c>
      <c r="AU300" s="80"/>
      <c r="AV300" s="80"/>
      <c r="AW300" s="80"/>
      <c r="AX300" s="80"/>
      <c r="AY300" s="80"/>
      <c r="AZ300" s="80"/>
      <c r="BA300" s="80"/>
      <c r="BB300" s="80"/>
    </row>
    <row r="301" spans="1:54" x14ac:dyDescent="0.25">
      <c r="A301" s="65" t="s">
        <v>344</v>
      </c>
      <c r="B301" s="65" t="s">
        <v>357</v>
      </c>
      <c r="C301" s="66"/>
      <c r="D301" s="67"/>
      <c r="E301" s="68"/>
      <c r="F301" s="69"/>
      <c r="G301" s="66"/>
      <c r="H301" s="70"/>
      <c r="I301" s="71"/>
      <c r="J301" s="71"/>
      <c r="K301" s="36" t="s">
        <v>65</v>
      </c>
      <c r="L301" s="78">
        <v>301</v>
      </c>
      <c r="M301" s="78"/>
      <c r="N301" s="73"/>
      <c r="O301" s="80" t="s">
        <v>415</v>
      </c>
      <c r="P301" s="82">
        <v>44633.573229166665</v>
      </c>
      <c r="Q301" s="80" t="s">
        <v>505</v>
      </c>
      <c r="R301" s="80"/>
      <c r="S301" s="80"/>
      <c r="T301" s="85" t="s">
        <v>700</v>
      </c>
      <c r="U301" s="83" t="str">
        <f>HYPERLINK("https://pbs.twimg.com/media/FNq-K9kWUAII3TB.jpg")</f>
        <v>https://pbs.twimg.com/media/FNq-K9kWUAII3TB.jpg</v>
      </c>
      <c r="V301" s="83" t="str">
        <f>HYPERLINK("https://pbs.twimg.com/media/FNq-K9kWUAII3TB.jpg")</f>
        <v>https://pbs.twimg.com/media/FNq-K9kWUAII3TB.jpg</v>
      </c>
      <c r="W301" s="82">
        <v>44633.573229166665</v>
      </c>
      <c r="X301" s="88">
        <v>44633</v>
      </c>
      <c r="Y301" s="85" t="s">
        <v>922</v>
      </c>
      <c r="Z301" s="83" t="str">
        <f>HYPERLINK("https://twitter.com/patdeezy/status/1503004315660734469")</f>
        <v>https://twitter.com/patdeezy/status/1503004315660734469</v>
      </c>
      <c r="AA301" s="80"/>
      <c r="AB301" s="80"/>
      <c r="AC301" s="85" t="s">
        <v>1371</v>
      </c>
      <c r="AD301" s="80"/>
      <c r="AE301" s="80" t="b">
        <v>0</v>
      </c>
      <c r="AF301" s="80">
        <v>0</v>
      </c>
      <c r="AG301" s="85" t="s">
        <v>1635</v>
      </c>
      <c r="AH301" s="80" t="b">
        <v>0</v>
      </c>
      <c r="AI301" s="80" t="s">
        <v>1642</v>
      </c>
      <c r="AJ301" s="80"/>
      <c r="AK301" s="85" t="s">
        <v>1635</v>
      </c>
      <c r="AL301" s="80" t="b">
        <v>0</v>
      </c>
      <c r="AM301" s="80">
        <v>40</v>
      </c>
      <c r="AN301" s="85" t="s">
        <v>1627</v>
      </c>
      <c r="AO301" s="85" t="s">
        <v>1671</v>
      </c>
      <c r="AP301" s="80" t="b">
        <v>0</v>
      </c>
      <c r="AQ301" s="85" t="s">
        <v>1627</v>
      </c>
      <c r="AR301" s="80" t="s">
        <v>179</v>
      </c>
      <c r="AS301" s="80">
        <v>0</v>
      </c>
      <c r="AT301" s="80">
        <v>0</v>
      </c>
      <c r="AU301" s="80"/>
      <c r="AV301" s="80"/>
      <c r="AW301" s="80"/>
      <c r="AX301" s="80"/>
      <c r="AY301" s="80"/>
      <c r="AZ301" s="80"/>
      <c r="BA301" s="80"/>
      <c r="BB301" s="80"/>
    </row>
    <row r="302" spans="1:54" x14ac:dyDescent="0.25">
      <c r="A302" s="65" t="s">
        <v>345</v>
      </c>
      <c r="B302" s="65" t="s">
        <v>304</v>
      </c>
      <c r="C302" s="66"/>
      <c r="D302" s="67"/>
      <c r="E302" s="68"/>
      <c r="F302" s="69"/>
      <c r="G302" s="66"/>
      <c r="H302" s="70"/>
      <c r="I302" s="71"/>
      <c r="J302" s="71"/>
      <c r="K302" s="36" t="s">
        <v>65</v>
      </c>
      <c r="L302" s="78">
        <v>302</v>
      </c>
      <c r="M302" s="78"/>
      <c r="N302" s="73"/>
      <c r="O302" s="80" t="s">
        <v>415</v>
      </c>
      <c r="P302" s="82">
        <v>44633.899421296293</v>
      </c>
      <c r="Q302" s="80" t="s">
        <v>526</v>
      </c>
      <c r="R302" s="83" t="str">
        <f>HYPERLINK("https://www.buffalo.edu/news/releases/2021/10/016.html")</f>
        <v>https://www.buffalo.edu/news/releases/2021/10/016.html</v>
      </c>
      <c r="S302" s="80" t="s">
        <v>632</v>
      </c>
      <c r="T302" s="85" t="s">
        <v>357</v>
      </c>
      <c r="U302" s="83" t="str">
        <f>HYPERLINK("https://pbs.twimg.com/media/FBreCdvXMAQnRCF.jpg")</f>
        <v>https://pbs.twimg.com/media/FBreCdvXMAQnRCF.jpg</v>
      </c>
      <c r="V302" s="83" t="str">
        <f>HYPERLINK("https://pbs.twimg.com/media/FBreCdvXMAQnRCF.jpg")</f>
        <v>https://pbs.twimg.com/media/FBreCdvXMAQnRCF.jpg</v>
      </c>
      <c r="W302" s="82">
        <v>44633.899421296293</v>
      </c>
      <c r="X302" s="88">
        <v>44633</v>
      </c>
      <c r="Y302" s="85" t="s">
        <v>923</v>
      </c>
      <c r="Z302" s="83" t="str">
        <f>HYPERLINK("https://twitter.com/vixeyfoxdouglas/status/1503122522451152900")</f>
        <v>https://twitter.com/vixeyfoxdouglas/status/1503122522451152900</v>
      </c>
      <c r="AA302" s="80"/>
      <c r="AB302" s="80"/>
      <c r="AC302" s="85" t="s">
        <v>1372</v>
      </c>
      <c r="AD302" s="80"/>
      <c r="AE302" s="80" t="b">
        <v>0</v>
      </c>
      <c r="AF302" s="80">
        <v>0</v>
      </c>
      <c r="AG302" s="85" t="s">
        <v>1635</v>
      </c>
      <c r="AH302" s="80" t="b">
        <v>0</v>
      </c>
      <c r="AI302" s="80" t="s">
        <v>1642</v>
      </c>
      <c r="AJ302" s="80"/>
      <c r="AK302" s="85" t="s">
        <v>1635</v>
      </c>
      <c r="AL302" s="80" t="b">
        <v>0</v>
      </c>
      <c r="AM302" s="80">
        <v>6</v>
      </c>
      <c r="AN302" s="85" t="s">
        <v>1466</v>
      </c>
      <c r="AO302" s="85" t="s">
        <v>1673</v>
      </c>
      <c r="AP302" s="80" t="b">
        <v>0</v>
      </c>
      <c r="AQ302" s="85" t="s">
        <v>1466</v>
      </c>
      <c r="AR302" s="80" t="s">
        <v>179</v>
      </c>
      <c r="AS302" s="80">
        <v>0</v>
      </c>
      <c r="AT302" s="80">
        <v>0</v>
      </c>
      <c r="AU302" s="80"/>
      <c r="AV302" s="80"/>
      <c r="AW302" s="80"/>
      <c r="AX302" s="80"/>
      <c r="AY302" s="80"/>
      <c r="AZ302" s="80"/>
      <c r="BA302" s="80"/>
      <c r="BB302" s="80"/>
    </row>
    <row r="303" spans="1:54" x14ac:dyDescent="0.25">
      <c r="A303" s="65" t="s">
        <v>346</v>
      </c>
      <c r="B303" s="65" t="s">
        <v>405</v>
      </c>
      <c r="C303" s="66"/>
      <c r="D303" s="67"/>
      <c r="E303" s="68"/>
      <c r="F303" s="69"/>
      <c r="G303" s="66"/>
      <c r="H303" s="70"/>
      <c r="I303" s="71"/>
      <c r="J303" s="71"/>
      <c r="K303" s="36" t="s">
        <v>65</v>
      </c>
      <c r="L303" s="78">
        <v>303</v>
      </c>
      <c r="M303" s="78"/>
      <c r="N303" s="73"/>
      <c r="O303" s="80" t="s">
        <v>414</v>
      </c>
      <c r="P303" s="82">
        <v>44634.024016203701</v>
      </c>
      <c r="Q303" s="80" t="s">
        <v>527</v>
      </c>
      <c r="R303" s="80"/>
      <c r="S303" s="80"/>
      <c r="T303" s="85" t="s">
        <v>702</v>
      </c>
      <c r="U303" s="83" t="str">
        <f>HYPERLINK("https://pbs.twimg.com/media/FNxSeqcaAAAZbPi.jpg")</f>
        <v>https://pbs.twimg.com/media/FNxSeqcaAAAZbPi.jpg</v>
      </c>
      <c r="V303" s="83" t="str">
        <f>HYPERLINK("https://pbs.twimg.com/media/FNxSeqcaAAAZbPi.jpg")</f>
        <v>https://pbs.twimg.com/media/FNxSeqcaAAAZbPi.jpg</v>
      </c>
      <c r="W303" s="82">
        <v>44634.024016203701</v>
      </c>
      <c r="X303" s="88">
        <v>44634</v>
      </c>
      <c r="Y303" s="85" t="s">
        <v>924</v>
      </c>
      <c r="Z303" s="83" t="str">
        <f>HYPERLINK("https://twitter.com/buffalodr/status/1503167675014561799")</f>
        <v>https://twitter.com/buffalodr/status/1503167675014561799</v>
      </c>
      <c r="AA303" s="80"/>
      <c r="AB303" s="80"/>
      <c r="AC303" s="85" t="s">
        <v>1373</v>
      </c>
      <c r="AD303" s="80"/>
      <c r="AE303" s="80" t="b">
        <v>0</v>
      </c>
      <c r="AF303" s="80">
        <v>0</v>
      </c>
      <c r="AG303" s="85" t="s">
        <v>1635</v>
      </c>
      <c r="AH303" s="80" t="b">
        <v>0</v>
      </c>
      <c r="AI303" s="80" t="s">
        <v>1642</v>
      </c>
      <c r="AJ303" s="80"/>
      <c r="AK303" s="85" t="s">
        <v>1635</v>
      </c>
      <c r="AL303" s="80" t="b">
        <v>0</v>
      </c>
      <c r="AM303" s="80">
        <v>3</v>
      </c>
      <c r="AN303" s="85" t="s">
        <v>1538</v>
      </c>
      <c r="AO303" s="85" t="s">
        <v>1671</v>
      </c>
      <c r="AP303" s="80" t="b">
        <v>0</v>
      </c>
      <c r="AQ303" s="85" t="s">
        <v>1538</v>
      </c>
      <c r="AR303" s="80" t="s">
        <v>179</v>
      </c>
      <c r="AS303" s="80">
        <v>0</v>
      </c>
      <c r="AT303" s="80">
        <v>0</v>
      </c>
      <c r="AU303" s="80"/>
      <c r="AV303" s="80"/>
      <c r="AW303" s="80"/>
      <c r="AX303" s="80"/>
      <c r="AY303" s="80"/>
      <c r="AZ303" s="80"/>
      <c r="BA303" s="80"/>
      <c r="BB303" s="80"/>
    </row>
    <row r="304" spans="1:54" x14ac:dyDescent="0.25">
      <c r="A304" s="65" t="s">
        <v>346</v>
      </c>
      <c r="B304" s="65" t="s">
        <v>385</v>
      </c>
      <c r="C304" s="66"/>
      <c r="D304" s="67"/>
      <c r="E304" s="68"/>
      <c r="F304" s="69"/>
      <c r="G304" s="66"/>
      <c r="H304" s="70"/>
      <c r="I304" s="71"/>
      <c r="J304" s="71"/>
      <c r="K304" s="36" t="s">
        <v>65</v>
      </c>
      <c r="L304" s="78">
        <v>304</v>
      </c>
      <c r="M304" s="78"/>
      <c r="N304" s="73"/>
      <c r="O304" s="80" t="s">
        <v>414</v>
      </c>
      <c r="P304" s="82">
        <v>44634.024016203701</v>
      </c>
      <c r="Q304" s="80" t="s">
        <v>527</v>
      </c>
      <c r="R304" s="80"/>
      <c r="S304" s="80"/>
      <c r="T304" s="85" t="s">
        <v>702</v>
      </c>
      <c r="U304" s="83" t="str">
        <f>HYPERLINK("https://pbs.twimg.com/media/FNxSeqcaAAAZbPi.jpg")</f>
        <v>https://pbs.twimg.com/media/FNxSeqcaAAAZbPi.jpg</v>
      </c>
      <c r="V304" s="83" t="str">
        <f>HYPERLINK("https://pbs.twimg.com/media/FNxSeqcaAAAZbPi.jpg")</f>
        <v>https://pbs.twimg.com/media/FNxSeqcaAAAZbPi.jpg</v>
      </c>
      <c r="W304" s="82">
        <v>44634.024016203701</v>
      </c>
      <c r="X304" s="88">
        <v>44634</v>
      </c>
      <c r="Y304" s="85" t="s">
        <v>924</v>
      </c>
      <c r="Z304" s="83" t="str">
        <f>HYPERLINK("https://twitter.com/buffalodr/status/1503167675014561799")</f>
        <v>https://twitter.com/buffalodr/status/1503167675014561799</v>
      </c>
      <c r="AA304" s="80"/>
      <c r="AB304" s="80"/>
      <c r="AC304" s="85" t="s">
        <v>1373</v>
      </c>
      <c r="AD304" s="80"/>
      <c r="AE304" s="80" t="b">
        <v>0</v>
      </c>
      <c r="AF304" s="80">
        <v>0</v>
      </c>
      <c r="AG304" s="85" t="s">
        <v>1635</v>
      </c>
      <c r="AH304" s="80" t="b">
        <v>0</v>
      </c>
      <c r="AI304" s="80" t="s">
        <v>1642</v>
      </c>
      <c r="AJ304" s="80"/>
      <c r="AK304" s="85" t="s">
        <v>1635</v>
      </c>
      <c r="AL304" s="80" t="b">
        <v>0</v>
      </c>
      <c r="AM304" s="80">
        <v>3</v>
      </c>
      <c r="AN304" s="85" t="s">
        <v>1538</v>
      </c>
      <c r="AO304" s="85" t="s">
        <v>1671</v>
      </c>
      <c r="AP304" s="80" t="b">
        <v>0</v>
      </c>
      <c r="AQ304" s="85" t="s">
        <v>1538</v>
      </c>
      <c r="AR304" s="80" t="s">
        <v>179</v>
      </c>
      <c r="AS304" s="80">
        <v>0</v>
      </c>
      <c r="AT304" s="80">
        <v>0</v>
      </c>
      <c r="AU304" s="80"/>
      <c r="AV304" s="80"/>
      <c r="AW304" s="80"/>
      <c r="AX304" s="80"/>
      <c r="AY304" s="80"/>
      <c r="AZ304" s="80"/>
      <c r="BA304" s="80"/>
      <c r="BB304" s="80"/>
    </row>
    <row r="305" spans="1:54" x14ac:dyDescent="0.25">
      <c r="A305" s="65" t="s">
        <v>346</v>
      </c>
      <c r="B305" s="65" t="s">
        <v>372</v>
      </c>
      <c r="C305" s="66"/>
      <c r="D305" s="67"/>
      <c r="E305" s="68"/>
      <c r="F305" s="69"/>
      <c r="G305" s="66"/>
      <c r="H305" s="70"/>
      <c r="I305" s="71"/>
      <c r="J305" s="71"/>
      <c r="K305" s="36" t="s">
        <v>65</v>
      </c>
      <c r="L305" s="78">
        <v>305</v>
      </c>
      <c r="M305" s="78"/>
      <c r="N305" s="73"/>
      <c r="O305" s="80" t="s">
        <v>415</v>
      </c>
      <c r="P305" s="82">
        <v>44634.024016203701</v>
      </c>
      <c r="Q305" s="80" t="s">
        <v>527</v>
      </c>
      <c r="R305" s="80"/>
      <c r="S305" s="80"/>
      <c r="T305" s="85" t="s">
        <v>702</v>
      </c>
      <c r="U305" s="83" t="str">
        <f>HYPERLINK("https://pbs.twimg.com/media/FNxSeqcaAAAZbPi.jpg")</f>
        <v>https://pbs.twimg.com/media/FNxSeqcaAAAZbPi.jpg</v>
      </c>
      <c r="V305" s="83" t="str">
        <f>HYPERLINK("https://pbs.twimg.com/media/FNxSeqcaAAAZbPi.jpg")</f>
        <v>https://pbs.twimg.com/media/FNxSeqcaAAAZbPi.jpg</v>
      </c>
      <c r="W305" s="82">
        <v>44634.024016203701</v>
      </c>
      <c r="X305" s="88">
        <v>44634</v>
      </c>
      <c r="Y305" s="85" t="s">
        <v>924</v>
      </c>
      <c r="Z305" s="83" t="str">
        <f>HYPERLINK("https://twitter.com/buffalodr/status/1503167675014561799")</f>
        <v>https://twitter.com/buffalodr/status/1503167675014561799</v>
      </c>
      <c r="AA305" s="80"/>
      <c r="AB305" s="80"/>
      <c r="AC305" s="85" t="s">
        <v>1373</v>
      </c>
      <c r="AD305" s="80"/>
      <c r="AE305" s="80" t="b">
        <v>0</v>
      </c>
      <c r="AF305" s="80">
        <v>0</v>
      </c>
      <c r="AG305" s="85" t="s">
        <v>1635</v>
      </c>
      <c r="AH305" s="80" t="b">
        <v>0</v>
      </c>
      <c r="AI305" s="80" t="s">
        <v>1642</v>
      </c>
      <c r="AJ305" s="80"/>
      <c r="AK305" s="85" t="s">
        <v>1635</v>
      </c>
      <c r="AL305" s="80" t="b">
        <v>0</v>
      </c>
      <c r="AM305" s="80">
        <v>3</v>
      </c>
      <c r="AN305" s="85" t="s">
        <v>1538</v>
      </c>
      <c r="AO305" s="85" t="s">
        <v>1671</v>
      </c>
      <c r="AP305" s="80" t="b">
        <v>0</v>
      </c>
      <c r="AQ305" s="85" t="s">
        <v>1538</v>
      </c>
      <c r="AR305" s="80" t="s">
        <v>179</v>
      </c>
      <c r="AS305" s="80">
        <v>0</v>
      </c>
      <c r="AT305" s="80">
        <v>0</v>
      </c>
      <c r="AU305" s="80"/>
      <c r="AV305" s="80"/>
      <c r="AW305" s="80"/>
      <c r="AX305" s="80"/>
      <c r="AY305" s="80"/>
      <c r="AZ305" s="80"/>
      <c r="BA305" s="80"/>
      <c r="BB305" s="80"/>
    </row>
    <row r="306" spans="1:54" x14ac:dyDescent="0.25">
      <c r="A306" s="65" t="s">
        <v>347</v>
      </c>
      <c r="B306" s="65" t="s">
        <v>385</v>
      </c>
      <c r="C306" s="66"/>
      <c r="D306" s="67"/>
      <c r="E306" s="68"/>
      <c r="F306" s="69"/>
      <c r="G306" s="66"/>
      <c r="H306" s="70"/>
      <c r="I306" s="71"/>
      <c r="J306" s="71"/>
      <c r="K306" s="36" t="s">
        <v>65</v>
      </c>
      <c r="L306" s="78">
        <v>306</v>
      </c>
      <c r="M306" s="78"/>
      <c r="N306" s="73"/>
      <c r="O306" s="80" t="s">
        <v>414</v>
      </c>
      <c r="P306" s="82">
        <v>44628.466249999998</v>
      </c>
      <c r="Q306" s="80" t="s">
        <v>426</v>
      </c>
      <c r="R306" s="83" t="str">
        <f>HYPERLINK("https://ubbulls.com/sports/2022/2/24/mac-basketball-2022.aspx?linkId=100000113931700")</f>
        <v>https://ubbulls.com/sports/2022/2/24/mac-basketball-2022.aspx?linkId=100000113931700</v>
      </c>
      <c r="S306" s="80" t="s">
        <v>638</v>
      </c>
      <c r="T306" s="85" t="s">
        <v>665</v>
      </c>
      <c r="U306" s="83" t="str">
        <f>HYPERLINK("https://pbs.twimg.com/media/FNQuP6DXsAUvTIT.jpg")</f>
        <v>https://pbs.twimg.com/media/FNQuP6DXsAUvTIT.jpg</v>
      </c>
      <c r="V306" s="83" t="str">
        <f>HYPERLINK("https://pbs.twimg.com/media/FNQuP6DXsAUvTIT.jpg")</f>
        <v>https://pbs.twimg.com/media/FNQuP6DXsAUvTIT.jpg</v>
      </c>
      <c r="W306" s="82">
        <v>44628.466249999998</v>
      </c>
      <c r="X306" s="88">
        <v>44628</v>
      </c>
      <c r="Y306" s="85" t="s">
        <v>925</v>
      </c>
      <c r="Z306" s="83" t="str">
        <f>HYPERLINK("https://twitter.com/jastrzab/status/1501153605574922247")</f>
        <v>https://twitter.com/jastrzab/status/1501153605574922247</v>
      </c>
      <c r="AA306" s="80"/>
      <c r="AB306" s="80"/>
      <c r="AC306" s="85" t="s">
        <v>1374</v>
      </c>
      <c r="AD306" s="80"/>
      <c r="AE306" s="80" t="b">
        <v>0</v>
      </c>
      <c r="AF306" s="80">
        <v>0</v>
      </c>
      <c r="AG306" s="85" t="s">
        <v>1635</v>
      </c>
      <c r="AH306" s="80" t="b">
        <v>0</v>
      </c>
      <c r="AI306" s="80" t="s">
        <v>1642</v>
      </c>
      <c r="AJ306" s="80"/>
      <c r="AK306" s="85" t="s">
        <v>1635</v>
      </c>
      <c r="AL306" s="80" t="b">
        <v>0</v>
      </c>
      <c r="AM306" s="80">
        <v>5</v>
      </c>
      <c r="AN306" s="85" t="s">
        <v>1423</v>
      </c>
      <c r="AO306" s="85" t="s">
        <v>1671</v>
      </c>
      <c r="AP306" s="80" t="b">
        <v>0</v>
      </c>
      <c r="AQ306" s="85" t="s">
        <v>1423</v>
      </c>
      <c r="AR306" s="80" t="s">
        <v>179</v>
      </c>
      <c r="AS306" s="80">
        <v>0</v>
      </c>
      <c r="AT306" s="80">
        <v>0</v>
      </c>
      <c r="AU306" s="80"/>
      <c r="AV306" s="80"/>
      <c r="AW306" s="80"/>
      <c r="AX306" s="80"/>
      <c r="AY306" s="80"/>
      <c r="AZ306" s="80"/>
      <c r="BA306" s="80"/>
      <c r="BB306" s="80"/>
    </row>
    <row r="307" spans="1:54" x14ac:dyDescent="0.25">
      <c r="A307" s="65" t="s">
        <v>347</v>
      </c>
      <c r="B307" s="65" t="s">
        <v>386</v>
      </c>
      <c r="C307" s="66"/>
      <c r="D307" s="67"/>
      <c r="E307" s="68"/>
      <c r="F307" s="69"/>
      <c r="G307" s="66"/>
      <c r="H307" s="70"/>
      <c r="I307" s="71"/>
      <c r="J307" s="71"/>
      <c r="K307" s="36" t="s">
        <v>65</v>
      </c>
      <c r="L307" s="78">
        <v>307</v>
      </c>
      <c r="M307" s="78"/>
      <c r="N307" s="73"/>
      <c r="O307" s="80" t="s">
        <v>414</v>
      </c>
      <c r="P307" s="82">
        <v>44628.466249999998</v>
      </c>
      <c r="Q307" s="80" t="s">
        <v>426</v>
      </c>
      <c r="R307" s="83" t="str">
        <f>HYPERLINK("https://ubbulls.com/sports/2022/2/24/mac-basketball-2022.aspx?linkId=100000113931700")</f>
        <v>https://ubbulls.com/sports/2022/2/24/mac-basketball-2022.aspx?linkId=100000113931700</v>
      </c>
      <c r="S307" s="80" t="s">
        <v>638</v>
      </c>
      <c r="T307" s="85" t="s">
        <v>665</v>
      </c>
      <c r="U307" s="83" t="str">
        <f>HYPERLINK("https://pbs.twimg.com/media/FNQuP6DXsAUvTIT.jpg")</f>
        <v>https://pbs.twimg.com/media/FNQuP6DXsAUvTIT.jpg</v>
      </c>
      <c r="V307" s="83" t="str">
        <f>HYPERLINK("https://pbs.twimg.com/media/FNQuP6DXsAUvTIT.jpg")</f>
        <v>https://pbs.twimg.com/media/FNQuP6DXsAUvTIT.jpg</v>
      </c>
      <c r="W307" s="82">
        <v>44628.466249999998</v>
      </c>
      <c r="X307" s="88">
        <v>44628</v>
      </c>
      <c r="Y307" s="85" t="s">
        <v>925</v>
      </c>
      <c r="Z307" s="83" t="str">
        <f>HYPERLINK("https://twitter.com/jastrzab/status/1501153605574922247")</f>
        <v>https://twitter.com/jastrzab/status/1501153605574922247</v>
      </c>
      <c r="AA307" s="80"/>
      <c r="AB307" s="80"/>
      <c r="AC307" s="85" t="s">
        <v>1374</v>
      </c>
      <c r="AD307" s="80"/>
      <c r="AE307" s="80" t="b">
        <v>0</v>
      </c>
      <c r="AF307" s="80">
        <v>0</v>
      </c>
      <c r="AG307" s="85" t="s">
        <v>1635</v>
      </c>
      <c r="AH307" s="80" t="b">
        <v>0</v>
      </c>
      <c r="AI307" s="80" t="s">
        <v>1642</v>
      </c>
      <c r="AJ307" s="80"/>
      <c r="AK307" s="85" t="s">
        <v>1635</v>
      </c>
      <c r="AL307" s="80" t="b">
        <v>0</v>
      </c>
      <c r="AM307" s="80">
        <v>5</v>
      </c>
      <c r="AN307" s="85" t="s">
        <v>1423</v>
      </c>
      <c r="AO307" s="85" t="s">
        <v>1671</v>
      </c>
      <c r="AP307" s="80" t="b">
        <v>0</v>
      </c>
      <c r="AQ307" s="85" t="s">
        <v>1423</v>
      </c>
      <c r="AR307" s="80" t="s">
        <v>179</v>
      </c>
      <c r="AS307" s="80">
        <v>0</v>
      </c>
      <c r="AT307" s="80">
        <v>0</v>
      </c>
      <c r="AU307" s="80"/>
      <c r="AV307" s="80"/>
      <c r="AW307" s="80"/>
      <c r="AX307" s="80"/>
      <c r="AY307" s="80"/>
      <c r="AZ307" s="80"/>
      <c r="BA307" s="80"/>
      <c r="BB307" s="80"/>
    </row>
    <row r="308" spans="1:54" x14ac:dyDescent="0.25">
      <c r="A308" s="65" t="s">
        <v>347</v>
      </c>
      <c r="B308" s="65" t="s">
        <v>353</v>
      </c>
      <c r="C308" s="66"/>
      <c r="D308" s="67"/>
      <c r="E308" s="68"/>
      <c r="F308" s="69"/>
      <c r="G308" s="66"/>
      <c r="H308" s="70"/>
      <c r="I308" s="71"/>
      <c r="J308" s="71"/>
      <c r="K308" s="36" t="s">
        <v>65</v>
      </c>
      <c r="L308" s="78">
        <v>308</v>
      </c>
      <c r="M308" s="78"/>
      <c r="N308" s="73"/>
      <c r="O308" s="80" t="s">
        <v>415</v>
      </c>
      <c r="P308" s="82">
        <v>44628.466249999998</v>
      </c>
      <c r="Q308" s="80" t="s">
        <v>426</v>
      </c>
      <c r="R308" s="83" t="str">
        <f>HYPERLINK("https://ubbulls.com/sports/2022/2/24/mac-basketball-2022.aspx?linkId=100000113931700")</f>
        <v>https://ubbulls.com/sports/2022/2/24/mac-basketball-2022.aspx?linkId=100000113931700</v>
      </c>
      <c r="S308" s="80" t="s">
        <v>638</v>
      </c>
      <c r="T308" s="85" t="s">
        <v>665</v>
      </c>
      <c r="U308" s="83" t="str">
        <f>HYPERLINK("https://pbs.twimg.com/media/FNQuP6DXsAUvTIT.jpg")</f>
        <v>https://pbs.twimg.com/media/FNQuP6DXsAUvTIT.jpg</v>
      </c>
      <c r="V308" s="83" t="str">
        <f>HYPERLINK("https://pbs.twimg.com/media/FNQuP6DXsAUvTIT.jpg")</f>
        <v>https://pbs.twimg.com/media/FNQuP6DXsAUvTIT.jpg</v>
      </c>
      <c r="W308" s="82">
        <v>44628.466249999998</v>
      </c>
      <c r="X308" s="88">
        <v>44628</v>
      </c>
      <c r="Y308" s="85" t="s">
        <v>925</v>
      </c>
      <c r="Z308" s="83" t="str">
        <f>HYPERLINK("https://twitter.com/jastrzab/status/1501153605574922247")</f>
        <v>https://twitter.com/jastrzab/status/1501153605574922247</v>
      </c>
      <c r="AA308" s="80"/>
      <c r="AB308" s="80"/>
      <c r="AC308" s="85" t="s">
        <v>1374</v>
      </c>
      <c r="AD308" s="80"/>
      <c r="AE308" s="80" t="b">
        <v>0</v>
      </c>
      <c r="AF308" s="80">
        <v>0</v>
      </c>
      <c r="AG308" s="85" t="s">
        <v>1635</v>
      </c>
      <c r="AH308" s="80" t="b">
        <v>0</v>
      </c>
      <c r="AI308" s="80" t="s">
        <v>1642</v>
      </c>
      <c r="AJ308" s="80"/>
      <c r="AK308" s="85" t="s">
        <v>1635</v>
      </c>
      <c r="AL308" s="80" t="b">
        <v>0</v>
      </c>
      <c r="AM308" s="80">
        <v>5</v>
      </c>
      <c r="AN308" s="85" t="s">
        <v>1423</v>
      </c>
      <c r="AO308" s="85" t="s">
        <v>1671</v>
      </c>
      <c r="AP308" s="80" t="b">
        <v>0</v>
      </c>
      <c r="AQ308" s="85" t="s">
        <v>1423</v>
      </c>
      <c r="AR308" s="80" t="s">
        <v>179</v>
      </c>
      <c r="AS308" s="80">
        <v>0</v>
      </c>
      <c r="AT308" s="80">
        <v>0</v>
      </c>
      <c r="AU308" s="80"/>
      <c r="AV308" s="80"/>
      <c r="AW308" s="80"/>
      <c r="AX308" s="80"/>
      <c r="AY308" s="80"/>
      <c r="AZ308" s="80"/>
      <c r="BA308" s="80"/>
      <c r="BB308" s="80"/>
    </row>
    <row r="309" spans="1:54" x14ac:dyDescent="0.25">
      <c r="A309" s="65" t="s">
        <v>347</v>
      </c>
      <c r="B309" s="65" t="s">
        <v>357</v>
      </c>
      <c r="C309" s="66"/>
      <c r="D309" s="67"/>
      <c r="E309" s="68"/>
      <c r="F309" s="69"/>
      <c r="G309" s="66"/>
      <c r="H309" s="70"/>
      <c r="I309" s="71"/>
      <c r="J309" s="71"/>
      <c r="K309" s="36" t="s">
        <v>65</v>
      </c>
      <c r="L309" s="78">
        <v>309</v>
      </c>
      <c r="M309" s="78"/>
      <c r="N309" s="73"/>
      <c r="O309" s="80" t="s">
        <v>415</v>
      </c>
      <c r="P309" s="82">
        <v>44628.68891203704</v>
      </c>
      <c r="Q309" s="80" t="s">
        <v>433</v>
      </c>
      <c r="R309" s="80"/>
      <c r="S309" s="80"/>
      <c r="T309" s="85" t="s">
        <v>668</v>
      </c>
      <c r="U309" s="83" t="str">
        <f>HYPERLINK("https://pbs.twimg.com/amplify_video_thumb/1501188997695127554/img/suC8e3aV3xiZEsCE.jpg")</f>
        <v>https://pbs.twimg.com/amplify_video_thumb/1501188997695127554/img/suC8e3aV3xiZEsCE.jpg</v>
      </c>
      <c r="V309" s="83" t="str">
        <f>HYPERLINK("https://pbs.twimg.com/amplify_video_thumb/1501188997695127554/img/suC8e3aV3xiZEsCE.jpg")</f>
        <v>https://pbs.twimg.com/amplify_video_thumb/1501188997695127554/img/suC8e3aV3xiZEsCE.jpg</v>
      </c>
      <c r="W309" s="82">
        <v>44628.68891203704</v>
      </c>
      <c r="X309" s="88">
        <v>44628</v>
      </c>
      <c r="Y309" s="85" t="s">
        <v>926</v>
      </c>
      <c r="Z309" s="83" t="str">
        <f>HYPERLINK("https://twitter.com/jastrzab/status/1501234294521536520")</f>
        <v>https://twitter.com/jastrzab/status/1501234294521536520</v>
      </c>
      <c r="AA309" s="80"/>
      <c r="AB309" s="80"/>
      <c r="AC309" s="85" t="s">
        <v>1375</v>
      </c>
      <c r="AD309" s="80"/>
      <c r="AE309" s="80" t="b">
        <v>0</v>
      </c>
      <c r="AF309" s="80">
        <v>0</v>
      </c>
      <c r="AG309" s="85" t="s">
        <v>1635</v>
      </c>
      <c r="AH309" s="80" t="b">
        <v>0</v>
      </c>
      <c r="AI309" s="80" t="s">
        <v>1642</v>
      </c>
      <c r="AJ309" s="80"/>
      <c r="AK309" s="85" t="s">
        <v>1635</v>
      </c>
      <c r="AL309" s="80" t="b">
        <v>0</v>
      </c>
      <c r="AM309" s="80">
        <v>10</v>
      </c>
      <c r="AN309" s="85" t="s">
        <v>1616</v>
      </c>
      <c r="AO309" s="85" t="s">
        <v>1671</v>
      </c>
      <c r="AP309" s="80" t="b">
        <v>0</v>
      </c>
      <c r="AQ309" s="85" t="s">
        <v>1616</v>
      </c>
      <c r="AR309" s="80" t="s">
        <v>179</v>
      </c>
      <c r="AS309" s="80">
        <v>0</v>
      </c>
      <c r="AT309" s="80">
        <v>0</v>
      </c>
      <c r="AU309" s="80"/>
      <c r="AV309" s="80"/>
      <c r="AW309" s="80"/>
      <c r="AX309" s="80"/>
      <c r="AY309" s="80"/>
      <c r="AZ309" s="80"/>
      <c r="BA309" s="80"/>
      <c r="BB309" s="80"/>
    </row>
    <row r="310" spans="1:54" x14ac:dyDescent="0.25">
      <c r="A310" s="65" t="s">
        <v>347</v>
      </c>
      <c r="B310" s="65" t="s">
        <v>347</v>
      </c>
      <c r="C310" s="66"/>
      <c r="D310" s="67"/>
      <c r="E310" s="68"/>
      <c r="F310" s="69"/>
      <c r="G310" s="66"/>
      <c r="H310" s="70"/>
      <c r="I310" s="71"/>
      <c r="J310" s="71"/>
      <c r="K310" s="36" t="s">
        <v>65</v>
      </c>
      <c r="L310" s="78">
        <v>310</v>
      </c>
      <c r="M310" s="78"/>
      <c r="N310" s="73"/>
      <c r="O310" s="80" t="s">
        <v>179</v>
      </c>
      <c r="P310" s="82">
        <v>44629.913634259261</v>
      </c>
      <c r="Q310" s="80" t="s">
        <v>528</v>
      </c>
      <c r="R310" s="83" t="str">
        <f>HYPERLINK("https://twitter.com/UBwomenshoops/status/1501677700934680581")</f>
        <v>https://twitter.com/UBwomenshoops/status/1501677700934680581</v>
      </c>
      <c r="S310" s="80" t="s">
        <v>633</v>
      </c>
      <c r="T310" s="85" t="s">
        <v>357</v>
      </c>
      <c r="U310" s="80"/>
      <c r="V310" s="83" t="str">
        <f>HYPERLINK("https://pbs.twimg.com/profile_images/1106499735161106433/IlPl9xqp_normal.jpg")</f>
        <v>https://pbs.twimg.com/profile_images/1106499735161106433/IlPl9xqp_normal.jpg</v>
      </c>
      <c r="W310" s="82">
        <v>44629.913634259261</v>
      </c>
      <c r="X310" s="88">
        <v>44629</v>
      </c>
      <c r="Y310" s="85" t="s">
        <v>927</v>
      </c>
      <c r="Z310" s="83" t="str">
        <f>HYPERLINK("https://twitter.com/jastrzab/status/1501678121455697926")</f>
        <v>https://twitter.com/jastrzab/status/1501678121455697926</v>
      </c>
      <c r="AA310" s="80"/>
      <c r="AB310" s="80"/>
      <c r="AC310" s="85" t="s">
        <v>1376</v>
      </c>
      <c r="AD310" s="80"/>
      <c r="AE310" s="80" t="b">
        <v>0</v>
      </c>
      <c r="AF310" s="80">
        <v>1</v>
      </c>
      <c r="AG310" s="85" t="s">
        <v>1635</v>
      </c>
      <c r="AH310" s="80" t="b">
        <v>1</v>
      </c>
      <c r="AI310" s="80" t="s">
        <v>1642</v>
      </c>
      <c r="AJ310" s="80"/>
      <c r="AK310" s="85" t="s">
        <v>1656</v>
      </c>
      <c r="AL310" s="80" t="b">
        <v>0</v>
      </c>
      <c r="AM310" s="80">
        <v>0</v>
      </c>
      <c r="AN310" s="85" t="s">
        <v>1635</v>
      </c>
      <c r="AO310" s="85" t="s">
        <v>1671</v>
      </c>
      <c r="AP310" s="80" t="b">
        <v>0</v>
      </c>
      <c r="AQ310" s="85" t="s">
        <v>1376</v>
      </c>
      <c r="AR310" s="80" t="s">
        <v>179</v>
      </c>
      <c r="AS310" s="80">
        <v>0</v>
      </c>
      <c r="AT310" s="80">
        <v>0</v>
      </c>
      <c r="AU310" s="80" t="s">
        <v>1690</v>
      </c>
      <c r="AV310" s="80" t="s">
        <v>1691</v>
      </c>
      <c r="AW310" s="80" t="s">
        <v>1692</v>
      </c>
      <c r="AX310" s="80" t="s">
        <v>1696</v>
      </c>
      <c r="AY310" s="80" t="s">
        <v>1700</v>
      </c>
      <c r="AZ310" s="80" t="s">
        <v>1704</v>
      </c>
      <c r="BA310" s="80" t="s">
        <v>1705</v>
      </c>
      <c r="BB310" s="83" t="str">
        <f>HYPERLINK("https://api.twitter.com/1.1/geo/id/e4a0d228eb6be76b.json")</f>
        <v>https://api.twitter.com/1.1/geo/id/e4a0d228eb6be76b.json</v>
      </c>
    </row>
    <row r="311" spans="1:54" x14ac:dyDescent="0.25">
      <c r="A311" s="65" t="s">
        <v>347</v>
      </c>
      <c r="B311" s="65" t="s">
        <v>347</v>
      </c>
      <c r="C311" s="66"/>
      <c r="D311" s="67"/>
      <c r="E311" s="68"/>
      <c r="F311" s="69"/>
      <c r="G311" s="66"/>
      <c r="H311" s="70"/>
      <c r="I311" s="71"/>
      <c r="J311" s="71"/>
      <c r="K311" s="36" t="s">
        <v>65</v>
      </c>
      <c r="L311" s="78">
        <v>311</v>
      </c>
      <c r="M311" s="78"/>
      <c r="N311" s="73"/>
      <c r="O311" s="80" t="s">
        <v>179</v>
      </c>
      <c r="P311" s="82">
        <v>44629.955648148149</v>
      </c>
      <c r="Q311" s="80" t="s">
        <v>529</v>
      </c>
      <c r="R311" s="83" t="str">
        <f>HYPERLINK("https://twitter.com/ubwomenshoops/status/1501693139962273795")</f>
        <v>https://twitter.com/ubwomenshoops/status/1501693139962273795</v>
      </c>
      <c r="S311" s="80" t="s">
        <v>633</v>
      </c>
      <c r="T311" s="85" t="s">
        <v>357</v>
      </c>
      <c r="U311" s="80"/>
      <c r="V311" s="83" t="str">
        <f>HYPERLINK("https://pbs.twimg.com/profile_images/1106499735161106433/IlPl9xqp_normal.jpg")</f>
        <v>https://pbs.twimg.com/profile_images/1106499735161106433/IlPl9xqp_normal.jpg</v>
      </c>
      <c r="W311" s="82">
        <v>44629.955648148149</v>
      </c>
      <c r="X311" s="88">
        <v>44629</v>
      </c>
      <c r="Y311" s="85" t="s">
        <v>928</v>
      </c>
      <c r="Z311" s="83" t="str">
        <f>HYPERLINK("https://twitter.com/jastrzab/status/1501693347496402950")</f>
        <v>https://twitter.com/jastrzab/status/1501693347496402950</v>
      </c>
      <c r="AA311" s="80"/>
      <c r="AB311" s="80"/>
      <c r="AC311" s="85" t="s">
        <v>1377</v>
      </c>
      <c r="AD311" s="80"/>
      <c r="AE311" s="80" t="b">
        <v>0</v>
      </c>
      <c r="AF311" s="80">
        <v>1</v>
      </c>
      <c r="AG311" s="85" t="s">
        <v>1635</v>
      </c>
      <c r="AH311" s="80" t="b">
        <v>1</v>
      </c>
      <c r="AI311" s="80" t="s">
        <v>1642</v>
      </c>
      <c r="AJ311" s="80"/>
      <c r="AK311" s="85" t="s">
        <v>1657</v>
      </c>
      <c r="AL311" s="80" t="b">
        <v>0</v>
      </c>
      <c r="AM311" s="80">
        <v>0</v>
      </c>
      <c r="AN311" s="85" t="s">
        <v>1635</v>
      </c>
      <c r="AO311" s="85" t="s">
        <v>1671</v>
      </c>
      <c r="AP311" s="80" t="b">
        <v>0</v>
      </c>
      <c r="AQ311" s="85" t="s">
        <v>1377</v>
      </c>
      <c r="AR311" s="80" t="s">
        <v>179</v>
      </c>
      <c r="AS311" s="80">
        <v>0</v>
      </c>
      <c r="AT311" s="80">
        <v>0</v>
      </c>
      <c r="AU311" s="80" t="s">
        <v>1690</v>
      </c>
      <c r="AV311" s="80" t="s">
        <v>1691</v>
      </c>
      <c r="AW311" s="80" t="s">
        <v>1692</v>
      </c>
      <c r="AX311" s="80" t="s">
        <v>1696</v>
      </c>
      <c r="AY311" s="80" t="s">
        <v>1700</v>
      </c>
      <c r="AZ311" s="80" t="s">
        <v>1704</v>
      </c>
      <c r="BA311" s="80" t="s">
        <v>1705</v>
      </c>
      <c r="BB311" s="83" t="str">
        <f>HYPERLINK("https://api.twitter.com/1.1/geo/id/e4a0d228eb6be76b.json")</f>
        <v>https://api.twitter.com/1.1/geo/id/e4a0d228eb6be76b.json</v>
      </c>
    </row>
    <row r="312" spans="1:54" x14ac:dyDescent="0.25">
      <c r="A312" s="65" t="s">
        <v>347</v>
      </c>
      <c r="B312" s="65" t="s">
        <v>347</v>
      </c>
      <c r="C312" s="66"/>
      <c r="D312" s="67"/>
      <c r="E312" s="68"/>
      <c r="F312" s="69"/>
      <c r="G312" s="66"/>
      <c r="H312" s="70"/>
      <c r="I312" s="71"/>
      <c r="J312" s="71"/>
      <c r="K312" s="36" t="s">
        <v>65</v>
      </c>
      <c r="L312" s="78">
        <v>312</v>
      </c>
      <c r="M312" s="78"/>
      <c r="N312" s="73"/>
      <c r="O312" s="80" t="s">
        <v>179</v>
      </c>
      <c r="P312" s="82">
        <v>44630.862824074073</v>
      </c>
      <c r="Q312" s="80" t="s">
        <v>530</v>
      </c>
      <c r="R312" s="83" t="str">
        <f>HYPERLINK("https://twitter.com/ubmenshoops/status/1502020303219798018")</f>
        <v>https://twitter.com/ubmenshoops/status/1502020303219798018</v>
      </c>
      <c r="S312" s="80" t="s">
        <v>633</v>
      </c>
      <c r="T312" s="85" t="s">
        <v>357</v>
      </c>
      <c r="U312" s="80"/>
      <c r="V312" s="83" t="str">
        <f>HYPERLINK("https://pbs.twimg.com/profile_images/1106499735161106433/IlPl9xqp_normal.jpg")</f>
        <v>https://pbs.twimg.com/profile_images/1106499735161106433/IlPl9xqp_normal.jpg</v>
      </c>
      <c r="W312" s="82">
        <v>44630.862824074073</v>
      </c>
      <c r="X312" s="88">
        <v>44630</v>
      </c>
      <c r="Y312" s="85" t="s">
        <v>929</v>
      </c>
      <c r="Z312" s="83" t="str">
        <f>HYPERLINK("https://twitter.com/jastrzab/status/1502022093839425546")</f>
        <v>https://twitter.com/jastrzab/status/1502022093839425546</v>
      </c>
      <c r="AA312" s="80"/>
      <c r="AB312" s="80"/>
      <c r="AC312" s="85" t="s">
        <v>1378</v>
      </c>
      <c r="AD312" s="80"/>
      <c r="AE312" s="80" t="b">
        <v>0</v>
      </c>
      <c r="AF312" s="80">
        <v>1</v>
      </c>
      <c r="AG312" s="85" t="s">
        <v>1635</v>
      </c>
      <c r="AH312" s="80" t="b">
        <v>1</v>
      </c>
      <c r="AI312" s="80" t="s">
        <v>1642</v>
      </c>
      <c r="AJ312" s="80"/>
      <c r="AK312" s="85" t="s">
        <v>1658</v>
      </c>
      <c r="AL312" s="80" t="b">
        <v>0</v>
      </c>
      <c r="AM312" s="80">
        <v>0</v>
      </c>
      <c r="AN312" s="85" t="s">
        <v>1635</v>
      </c>
      <c r="AO312" s="85" t="s">
        <v>1671</v>
      </c>
      <c r="AP312" s="80" t="b">
        <v>0</v>
      </c>
      <c r="AQ312" s="85" t="s">
        <v>1378</v>
      </c>
      <c r="AR312" s="80" t="s">
        <v>179</v>
      </c>
      <c r="AS312" s="80">
        <v>0</v>
      </c>
      <c r="AT312" s="80">
        <v>0</v>
      </c>
      <c r="AU312" s="80" t="s">
        <v>1690</v>
      </c>
      <c r="AV312" s="80" t="s">
        <v>1691</v>
      </c>
      <c r="AW312" s="80" t="s">
        <v>1692</v>
      </c>
      <c r="AX312" s="80" t="s">
        <v>1696</v>
      </c>
      <c r="AY312" s="80" t="s">
        <v>1700</v>
      </c>
      <c r="AZ312" s="80" t="s">
        <v>1704</v>
      </c>
      <c r="BA312" s="80" t="s">
        <v>1705</v>
      </c>
      <c r="BB312" s="83" t="str">
        <f>HYPERLINK("https://api.twitter.com/1.1/geo/id/e4a0d228eb6be76b.json")</f>
        <v>https://api.twitter.com/1.1/geo/id/e4a0d228eb6be76b.json</v>
      </c>
    </row>
    <row r="313" spans="1:54" x14ac:dyDescent="0.25">
      <c r="A313" s="65" t="s">
        <v>347</v>
      </c>
      <c r="B313" s="65" t="s">
        <v>347</v>
      </c>
      <c r="C313" s="66"/>
      <c r="D313" s="67"/>
      <c r="E313" s="68"/>
      <c r="F313" s="69"/>
      <c r="G313" s="66"/>
      <c r="H313" s="70"/>
      <c r="I313" s="71"/>
      <c r="J313" s="71"/>
      <c r="K313" s="36" t="s">
        <v>65</v>
      </c>
      <c r="L313" s="78">
        <v>313</v>
      </c>
      <c r="M313" s="78"/>
      <c r="N313" s="73"/>
      <c r="O313" s="80" t="s">
        <v>179</v>
      </c>
      <c r="P313" s="82">
        <v>44631.817083333335</v>
      </c>
      <c r="Q313" s="80" t="s">
        <v>531</v>
      </c>
      <c r="R313" s="83" t="str">
        <f>HYPERLINK("https://twitter.com/ubwomenshoops/status/1502367244831150087")</f>
        <v>https://twitter.com/ubwomenshoops/status/1502367244831150087</v>
      </c>
      <c r="S313" s="80" t="s">
        <v>633</v>
      </c>
      <c r="T313" s="85" t="s">
        <v>357</v>
      </c>
      <c r="U313" s="80"/>
      <c r="V313" s="83" t="str">
        <f>HYPERLINK("https://pbs.twimg.com/profile_images/1106499735161106433/IlPl9xqp_normal.jpg")</f>
        <v>https://pbs.twimg.com/profile_images/1106499735161106433/IlPl9xqp_normal.jpg</v>
      </c>
      <c r="W313" s="82">
        <v>44631.817083333335</v>
      </c>
      <c r="X313" s="88">
        <v>44631</v>
      </c>
      <c r="Y313" s="85" t="s">
        <v>930</v>
      </c>
      <c r="Z313" s="83" t="str">
        <f>HYPERLINK("https://twitter.com/jastrzab/status/1502367907967377409")</f>
        <v>https://twitter.com/jastrzab/status/1502367907967377409</v>
      </c>
      <c r="AA313" s="80"/>
      <c r="AB313" s="80"/>
      <c r="AC313" s="85" t="s">
        <v>1379</v>
      </c>
      <c r="AD313" s="80"/>
      <c r="AE313" s="80" t="b">
        <v>0</v>
      </c>
      <c r="AF313" s="80">
        <v>4</v>
      </c>
      <c r="AG313" s="85" t="s">
        <v>1635</v>
      </c>
      <c r="AH313" s="80" t="b">
        <v>1</v>
      </c>
      <c r="AI313" s="80" t="s">
        <v>1642</v>
      </c>
      <c r="AJ313" s="80"/>
      <c r="AK313" s="85" t="s">
        <v>1653</v>
      </c>
      <c r="AL313" s="80" t="b">
        <v>0</v>
      </c>
      <c r="AM313" s="80">
        <v>0</v>
      </c>
      <c r="AN313" s="85" t="s">
        <v>1635</v>
      </c>
      <c r="AO313" s="85" t="s">
        <v>1671</v>
      </c>
      <c r="AP313" s="80" t="b">
        <v>0</v>
      </c>
      <c r="AQ313" s="85" t="s">
        <v>1379</v>
      </c>
      <c r="AR313" s="80" t="s">
        <v>179</v>
      </c>
      <c r="AS313" s="80">
        <v>0</v>
      </c>
      <c r="AT313" s="80">
        <v>0</v>
      </c>
      <c r="AU313" s="80" t="s">
        <v>1690</v>
      </c>
      <c r="AV313" s="80" t="s">
        <v>1691</v>
      </c>
      <c r="AW313" s="80" t="s">
        <v>1692</v>
      </c>
      <c r="AX313" s="80" t="s">
        <v>1696</v>
      </c>
      <c r="AY313" s="80" t="s">
        <v>1700</v>
      </c>
      <c r="AZ313" s="80" t="s">
        <v>1704</v>
      </c>
      <c r="BA313" s="80" t="s">
        <v>1705</v>
      </c>
      <c r="BB313" s="83" t="str">
        <f>HYPERLINK("https://api.twitter.com/1.1/geo/id/e4a0d228eb6be76b.json")</f>
        <v>https://api.twitter.com/1.1/geo/id/e4a0d228eb6be76b.json</v>
      </c>
    </row>
    <row r="314" spans="1:54" x14ac:dyDescent="0.25">
      <c r="A314" s="65" t="s">
        <v>347</v>
      </c>
      <c r="B314" s="65" t="s">
        <v>347</v>
      </c>
      <c r="C314" s="66"/>
      <c r="D314" s="67"/>
      <c r="E314" s="68"/>
      <c r="F314" s="69"/>
      <c r="G314" s="66"/>
      <c r="H314" s="70"/>
      <c r="I314" s="71"/>
      <c r="J314" s="71"/>
      <c r="K314" s="36" t="s">
        <v>65</v>
      </c>
      <c r="L314" s="78">
        <v>314</v>
      </c>
      <c r="M314" s="78"/>
      <c r="N314" s="73"/>
      <c r="O314" s="80" t="s">
        <v>179</v>
      </c>
      <c r="P314" s="82">
        <v>44632.612280092595</v>
      </c>
      <c r="Q314" s="80" t="s">
        <v>532</v>
      </c>
      <c r="R314" s="83" t="str">
        <f>HYPERLINK("https://twitter.com/MACSports/status/1502645010528931842")</f>
        <v>https://twitter.com/MACSports/status/1502645010528931842</v>
      </c>
      <c r="S314" s="80" t="s">
        <v>633</v>
      </c>
      <c r="T314" s="85" t="s">
        <v>703</v>
      </c>
      <c r="U314" s="80"/>
      <c r="V314" s="83" t="str">
        <f>HYPERLINK("https://pbs.twimg.com/profile_images/1106499735161106433/IlPl9xqp_normal.jpg")</f>
        <v>https://pbs.twimg.com/profile_images/1106499735161106433/IlPl9xqp_normal.jpg</v>
      </c>
      <c r="W314" s="82">
        <v>44632.612280092595</v>
      </c>
      <c r="X314" s="88">
        <v>44632</v>
      </c>
      <c r="Y314" s="85" t="s">
        <v>931</v>
      </c>
      <c r="Z314" s="83" t="str">
        <f>HYPERLINK("https://twitter.com/jastrzab/status/1502656075400634373")</f>
        <v>https://twitter.com/jastrzab/status/1502656075400634373</v>
      </c>
      <c r="AA314" s="80"/>
      <c r="AB314" s="80"/>
      <c r="AC314" s="85" t="s">
        <v>1380</v>
      </c>
      <c r="AD314" s="80"/>
      <c r="AE314" s="80" t="b">
        <v>0</v>
      </c>
      <c r="AF314" s="80">
        <v>2</v>
      </c>
      <c r="AG314" s="85" t="s">
        <v>1635</v>
      </c>
      <c r="AH314" s="80" t="b">
        <v>1</v>
      </c>
      <c r="AI314" s="80" t="s">
        <v>1643</v>
      </c>
      <c r="AJ314" s="80"/>
      <c r="AK314" s="85" t="s">
        <v>1659</v>
      </c>
      <c r="AL314" s="80" t="b">
        <v>0</v>
      </c>
      <c r="AM314" s="80">
        <v>0</v>
      </c>
      <c r="AN314" s="85" t="s">
        <v>1635</v>
      </c>
      <c r="AO314" s="85" t="s">
        <v>1672</v>
      </c>
      <c r="AP314" s="80" t="b">
        <v>0</v>
      </c>
      <c r="AQ314" s="85" t="s">
        <v>1380</v>
      </c>
      <c r="AR314" s="80" t="s">
        <v>179</v>
      </c>
      <c r="AS314" s="80">
        <v>0</v>
      </c>
      <c r="AT314" s="80">
        <v>0</v>
      </c>
      <c r="AU314" s="80"/>
      <c r="AV314" s="80"/>
      <c r="AW314" s="80"/>
      <c r="AX314" s="80"/>
      <c r="AY314" s="80"/>
      <c r="AZ314" s="80"/>
      <c r="BA314" s="80"/>
      <c r="BB314" s="80"/>
    </row>
    <row r="315" spans="1:54" x14ac:dyDescent="0.25">
      <c r="A315" s="65" t="s">
        <v>347</v>
      </c>
      <c r="B315" s="65" t="s">
        <v>347</v>
      </c>
      <c r="C315" s="66"/>
      <c r="D315" s="67"/>
      <c r="E315" s="68"/>
      <c r="F315" s="69"/>
      <c r="G315" s="66"/>
      <c r="H315" s="70"/>
      <c r="I315" s="71"/>
      <c r="J315" s="71"/>
      <c r="K315" s="36" t="s">
        <v>65</v>
      </c>
      <c r="L315" s="78">
        <v>315</v>
      </c>
      <c r="M315" s="78"/>
      <c r="N315" s="73"/>
      <c r="O315" s="80" t="s">
        <v>179</v>
      </c>
      <c r="P315" s="82">
        <v>44632.701724537037</v>
      </c>
      <c r="Q315" s="80" t="s">
        <v>533</v>
      </c>
      <c r="R315" s="83" t="str">
        <f>HYPERLINK("https://twitter.com/UBwomenshoops/status/1502688131304333313")</f>
        <v>https://twitter.com/UBwomenshoops/status/1502688131304333313</v>
      </c>
      <c r="S315" s="80" t="s">
        <v>633</v>
      </c>
      <c r="T315" s="85" t="s">
        <v>704</v>
      </c>
      <c r="U315" s="80"/>
      <c r="V315" s="83" t="str">
        <f>HYPERLINK("https://pbs.twimg.com/profile_images/1106499735161106433/IlPl9xqp_normal.jpg")</f>
        <v>https://pbs.twimg.com/profile_images/1106499735161106433/IlPl9xqp_normal.jpg</v>
      </c>
      <c r="W315" s="82">
        <v>44632.701724537037</v>
      </c>
      <c r="X315" s="88">
        <v>44632</v>
      </c>
      <c r="Y315" s="85" t="s">
        <v>932</v>
      </c>
      <c r="Z315" s="83" t="str">
        <f>HYPERLINK("https://twitter.com/jastrzab/status/1502688491888594951")</f>
        <v>https://twitter.com/jastrzab/status/1502688491888594951</v>
      </c>
      <c r="AA315" s="80"/>
      <c r="AB315" s="80"/>
      <c r="AC315" s="85" t="s">
        <v>1381</v>
      </c>
      <c r="AD315" s="80"/>
      <c r="AE315" s="80" t="b">
        <v>0</v>
      </c>
      <c r="AF315" s="80">
        <v>1</v>
      </c>
      <c r="AG315" s="85" t="s">
        <v>1635</v>
      </c>
      <c r="AH315" s="80" t="b">
        <v>1</v>
      </c>
      <c r="AI315" s="80" t="s">
        <v>1642</v>
      </c>
      <c r="AJ315" s="80"/>
      <c r="AK315" s="85" t="s">
        <v>1660</v>
      </c>
      <c r="AL315" s="80" t="b">
        <v>0</v>
      </c>
      <c r="AM315" s="80">
        <v>0</v>
      </c>
      <c r="AN315" s="85" t="s">
        <v>1635</v>
      </c>
      <c r="AO315" s="85" t="s">
        <v>1671</v>
      </c>
      <c r="AP315" s="80" t="b">
        <v>0</v>
      </c>
      <c r="AQ315" s="85" t="s">
        <v>1381</v>
      </c>
      <c r="AR315" s="80" t="s">
        <v>179</v>
      </c>
      <c r="AS315" s="80">
        <v>0</v>
      </c>
      <c r="AT315" s="80">
        <v>0</v>
      </c>
      <c r="AU315" s="80" t="s">
        <v>1690</v>
      </c>
      <c r="AV315" s="80" t="s">
        <v>1691</v>
      </c>
      <c r="AW315" s="80" t="s">
        <v>1692</v>
      </c>
      <c r="AX315" s="80" t="s">
        <v>1696</v>
      </c>
      <c r="AY315" s="80" t="s">
        <v>1700</v>
      </c>
      <c r="AZ315" s="80" t="s">
        <v>1704</v>
      </c>
      <c r="BA315" s="80" t="s">
        <v>1705</v>
      </c>
      <c r="BB315" s="83" t="str">
        <f>HYPERLINK("https://api.twitter.com/1.1/geo/id/e4a0d228eb6be76b.json")</f>
        <v>https://api.twitter.com/1.1/geo/id/e4a0d228eb6be76b.json</v>
      </c>
    </row>
    <row r="316" spans="1:54" x14ac:dyDescent="0.25">
      <c r="A316" s="65" t="s">
        <v>347</v>
      </c>
      <c r="B316" s="65" t="s">
        <v>347</v>
      </c>
      <c r="C316" s="66"/>
      <c r="D316" s="67"/>
      <c r="E316" s="68"/>
      <c r="F316" s="69"/>
      <c r="G316" s="66"/>
      <c r="H316" s="70"/>
      <c r="I316" s="71"/>
      <c r="J316" s="71"/>
      <c r="K316" s="36" t="s">
        <v>65</v>
      </c>
      <c r="L316" s="78">
        <v>316</v>
      </c>
      <c r="M316" s="78"/>
      <c r="N316" s="73"/>
      <c r="O316" s="80" t="s">
        <v>179</v>
      </c>
      <c r="P316" s="82">
        <v>44632.718530092592</v>
      </c>
      <c r="Q316" s="80" t="s">
        <v>534</v>
      </c>
      <c r="R316" s="83" t="str">
        <f>HYPERLINK("https://twitter.com/ubwomenshoops/status/1502693312439934980")</f>
        <v>https://twitter.com/ubwomenshoops/status/1502693312439934980</v>
      </c>
      <c r="S316" s="80" t="s">
        <v>633</v>
      </c>
      <c r="T316" s="85" t="s">
        <v>704</v>
      </c>
      <c r="U316" s="80"/>
      <c r="V316" s="83" t="str">
        <f>HYPERLINK("https://pbs.twimg.com/profile_images/1106499735161106433/IlPl9xqp_normal.jpg")</f>
        <v>https://pbs.twimg.com/profile_images/1106499735161106433/IlPl9xqp_normal.jpg</v>
      </c>
      <c r="W316" s="82">
        <v>44632.718530092592</v>
      </c>
      <c r="X316" s="88">
        <v>44632</v>
      </c>
      <c r="Y316" s="85" t="s">
        <v>933</v>
      </c>
      <c r="Z316" s="83" t="str">
        <f>HYPERLINK("https://twitter.com/jastrzab/status/1502694582282244101")</f>
        <v>https://twitter.com/jastrzab/status/1502694582282244101</v>
      </c>
      <c r="AA316" s="80"/>
      <c r="AB316" s="80"/>
      <c r="AC316" s="85" t="s">
        <v>1382</v>
      </c>
      <c r="AD316" s="80"/>
      <c r="AE316" s="80" t="b">
        <v>0</v>
      </c>
      <c r="AF316" s="80">
        <v>2</v>
      </c>
      <c r="AG316" s="85" t="s">
        <v>1635</v>
      </c>
      <c r="AH316" s="80" t="b">
        <v>1</v>
      </c>
      <c r="AI316" s="80" t="s">
        <v>1643</v>
      </c>
      <c r="AJ316" s="80"/>
      <c r="AK316" s="85" t="s">
        <v>1649</v>
      </c>
      <c r="AL316" s="80" t="b">
        <v>0</v>
      </c>
      <c r="AM316" s="80">
        <v>0</v>
      </c>
      <c r="AN316" s="85" t="s">
        <v>1635</v>
      </c>
      <c r="AO316" s="85" t="s">
        <v>1671</v>
      </c>
      <c r="AP316" s="80" t="b">
        <v>0</v>
      </c>
      <c r="AQ316" s="85" t="s">
        <v>1382</v>
      </c>
      <c r="AR316" s="80" t="s">
        <v>179</v>
      </c>
      <c r="AS316" s="80">
        <v>0</v>
      </c>
      <c r="AT316" s="80">
        <v>0</v>
      </c>
      <c r="AU316" s="80" t="s">
        <v>1690</v>
      </c>
      <c r="AV316" s="80" t="s">
        <v>1691</v>
      </c>
      <c r="AW316" s="80" t="s">
        <v>1692</v>
      </c>
      <c r="AX316" s="80" t="s">
        <v>1696</v>
      </c>
      <c r="AY316" s="80" t="s">
        <v>1700</v>
      </c>
      <c r="AZ316" s="80" t="s">
        <v>1704</v>
      </c>
      <c r="BA316" s="80" t="s">
        <v>1705</v>
      </c>
      <c r="BB316" s="83" t="str">
        <f>HYPERLINK("https://api.twitter.com/1.1/geo/id/e4a0d228eb6be76b.json")</f>
        <v>https://api.twitter.com/1.1/geo/id/e4a0d228eb6be76b.json</v>
      </c>
    </row>
    <row r="317" spans="1:54" x14ac:dyDescent="0.25">
      <c r="A317" s="65" t="s">
        <v>347</v>
      </c>
      <c r="B317" s="65" t="s">
        <v>347</v>
      </c>
      <c r="C317" s="66"/>
      <c r="D317" s="67"/>
      <c r="E317" s="68"/>
      <c r="F317" s="69"/>
      <c r="G317" s="66"/>
      <c r="H317" s="70"/>
      <c r="I317" s="71"/>
      <c r="J317" s="71"/>
      <c r="K317" s="36" t="s">
        <v>65</v>
      </c>
      <c r="L317" s="78">
        <v>317</v>
      </c>
      <c r="M317" s="78"/>
      <c r="N317" s="73"/>
      <c r="O317" s="80" t="s">
        <v>179</v>
      </c>
      <c r="P317" s="82">
        <v>44632.756377314814</v>
      </c>
      <c r="Q317" s="80" t="s">
        <v>535</v>
      </c>
      <c r="R317" s="83" t="str">
        <f>HYPERLINK("https://twitter.com/ubwomenshoops/status/1502707861029326854")</f>
        <v>https://twitter.com/ubwomenshoops/status/1502707861029326854</v>
      </c>
      <c r="S317" s="80" t="s">
        <v>633</v>
      </c>
      <c r="T317" s="85" t="s">
        <v>357</v>
      </c>
      <c r="U317" s="80"/>
      <c r="V317" s="83" t="str">
        <f>HYPERLINK("https://pbs.twimg.com/profile_images/1106499735161106433/IlPl9xqp_normal.jpg")</f>
        <v>https://pbs.twimg.com/profile_images/1106499735161106433/IlPl9xqp_normal.jpg</v>
      </c>
      <c r="W317" s="82">
        <v>44632.756377314814</v>
      </c>
      <c r="X317" s="88">
        <v>44632</v>
      </c>
      <c r="Y317" s="85" t="s">
        <v>934</v>
      </c>
      <c r="Z317" s="83" t="str">
        <f>HYPERLINK("https://twitter.com/jastrzab/status/1502708294879690753")</f>
        <v>https://twitter.com/jastrzab/status/1502708294879690753</v>
      </c>
      <c r="AA317" s="80"/>
      <c r="AB317" s="80"/>
      <c r="AC317" s="85" t="s">
        <v>1383</v>
      </c>
      <c r="AD317" s="80"/>
      <c r="AE317" s="80" t="b">
        <v>0</v>
      </c>
      <c r="AF317" s="80">
        <v>5</v>
      </c>
      <c r="AG317" s="85" t="s">
        <v>1635</v>
      </c>
      <c r="AH317" s="80" t="b">
        <v>1</v>
      </c>
      <c r="AI317" s="80" t="s">
        <v>1642</v>
      </c>
      <c r="AJ317" s="80"/>
      <c r="AK317" s="85" t="s">
        <v>1651</v>
      </c>
      <c r="AL317" s="80" t="b">
        <v>0</v>
      </c>
      <c r="AM317" s="80">
        <v>1</v>
      </c>
      <c r="AN317" s="85" t="s">
        <v>1635</v>
      </c>
      <c r="AO317" s="85" t="s">
        <v>1671</v>
      </c>
      <c r="AP317" s="80" t="b">
        <v>0</v>
      </c>
      <c r="AQ317" s="85" t="s">
        <v>1383</v>
      </c>
      <c r="AR317" s="80" t="s">
        <v>179</v>
      </c>
      <c r="AS317" s="80">
        <v>0</v>
      </c>
      <c r="AT317" s="80">
        <v>0</v>
      </c>
      <c r="AU317" s="80" t="s">
        <v>1690</v>
      </c>
      <c r="AV317" s="80" t="s">
        <v>1691</v>
      </c>
      <c r="AW317" s="80" t="s">
        <v>1692</v>
      </c>
      <c r="AX317" s="80" t="s">
        <v>1696</v>
      </c>
      <c r="AY317" s="80" t="s">
        <v>1700</v>
      </c>
      <c r="AZ317" s="80" t="s">
        <v>1704</v>
      </c>
      <c r="BA317" s="80" t="s">
        <v>1705</v>
      </c>
      <c r="BB317" s="83" t="str">
        <f>HYPERLINK("https://api.twitter.com/1.1/geo/id/e4a0d228eb6be76b.json")</f>
        <v>https://api.twitter.com/1.1/geo/id/e4a0d228eb6be76b.json</v>
      </c>
    </row>
    <row r="318" spans="1:54" x14ac:dyDescent="0.25">
      <c r="A318" s="65" t="s">
        <v>347</v>
      </c>
      <c r="B318" s="65" t="s">
        <v>385</v>
      </c>
      <c r="C318" s="66"/>
      <c r="D318" s="67"/>
      <c r="E318" s="68"/>
      <c r="F318" s="69"/>
      <c r="G318" s="66"/>
      <c r="H318" s="70"/>
      <c r="I318" s="71"/>
      <c r="J318" s="71"/>
      <c r="K318" s="36" t="s">
        <v>65</v>
      </c>
      <c r="L318" s="78">
        <v>318</v>
      </c>
      <c r="M318" s="78"/>
      <c r="N318" s="73"/>
      <c r="O318" s="80" t="s">
        <v>414</v>
      </c>
      <c r="P318" s="82">
        <v>44632.760949074072</v>
      </c>
      <c r="Q318" s="80" t="s">
        <v>502</v>
      </c>
      <c r="R318" s="83" t="str">
        <f>HYPERLINK("https://twitter.com/UBAthletics/status/1502708562472148997")</f>
        <v>https://twitter.com/UBAthletics/status/1502708562472148997</v>
      </c>
      <c r="S318" s="80" t="s">
        <v>633</v>
      </c>
      <c r="T318" s="85" t="s">
        <v>698</v>
      </c>
      <c r="U318" s="80"/>
      <c r="V318" s="83" t="str">
        <f>HYPERLINK("https://pbs.twimg.com/profile_images/1106499735161106433/IlPl9xqp_normal.jpg")</f>
        <v>https://pbs.twimg.com/profile_images/1106499735161106433/IlPl9xqp_normal.jpg</v>
      </c>
      <c r="W318" s="82">
        <v>44632.760949074072</v>
      </c>
      <c r="X318" s="88">
        <v>44632</v>
      </c>
      <c r="Y318" s="85" t="s">
        <v>935</v>
      </c>
      <c r="Z318" s="83" t="str">
        <f>HYPERLINK("https://twitter.com/jastrzab/status/1502709954272235527")</f>
        <v>https://twitter.com/jastrzab/status/1502709954272235527</v>
      </c>
      <c r="AA318" s="80"/>
      <c r="AB318" s="80"/>
      <c r="AC318" s="85" t="s">
        <v>1384</v>
      </c>
      <c r="AD318" s="80"/>
      <c r="AE318" s="80" t="b">
        <v>0</v>
      </c>
      <c r="AF318" s="80">
        <v>0</v>
      </c>
      <c r="AG318" s="85" t="s">
        <v>1635</v>
      </c>
      <c r="AH318" s="80" t="b">
        <v>1</v>
      </c>
      <c r="AI318" s="80" t="s">
        <v>1642</v>
      </c>
      <c r="AJ318" s="80"/>
      <c r="AK318" s="85" t="s">
        <v>1652</v>
      </c>
      <c r="AL318" s="80" t="b">
        <v>0</v>
      </c>
      <c r="AM318" s="80">
        <v>8</v>
      </c>
      <c r="AN318" s="85" t="s">
        <v>1581</v>
      </c>
      <c r="AO318" s="85" t="s">
        <v>1671</v>
      </c>
      <c r="AP318" s="80" t="b">
        <v>0</v>
      </c>
      <c r="AQ318" s="85" t="s">
        <v>1581</v>
      </c>
      <c r="AR318" s="80" t="s">
        <v>179</v>
      </c>
      <c r="AS318" s="80">
        <v>0</v>
      </c>
      <c r="AT318" s="80">
        <v>0</v>
      </c>
      <c r="AU318" s="80"/>
      <c r="AV318" s="80"/>
      <c r="AW318" s="80"/>
      <c r="AX318" s="80"/>
      <c r="AY318" s="80"/>
      <c r="AZ318" s="80"/>
      <c r="BA318" s="80"/>
      <c r="BB318" s="80"/>
    </row>
    <row r="319" spans="1:54" x14ac:dyDescent="0.25">
      <c r="A319" s="65" t="s">
        <v>347</v>
      </c>
      <c r="B319" s="65" t="s">
        <v>357</v>
      </c>
      <c r="C319" s="66"/>
      <c r="D319" s="67"/>
      <c r="E319" s="68"/>
      <c r="F319" s="69"/>
      <c r="G319" s="66"/>
      <c r="H319" s="70"/>
      <c r="I319" s="71"/>
      <c r="J319" s="71"/>
      <c r="K319" s="36" t="s">
        <v>65</v>
      </c>
      <c r="L319" s="78">
        <v>319</v>
      </c>
      <c r="M319" s="78"/>
      <c r="N319" s="73"/>
      <c r="O319" s="80" t="s">
        <v>415</v>
      </c>
      <c r="P319" s="82">
        <v>44632.760949074072</v>
      </c>
      <c r="Q319" s="80" t="s">
        <v>502</v>
      </c>
      <c r="R319" s="83" t="str">
        <f>HYPERLINK("https://twitter.com/UBAthletics/status/1502708562472148997")</f>
        <v>https://twitter.com/UBAthletics/status/1502708562472148997</v>
      </c>
      <c r="S319" s="80" t="s">
        <v>633</v>
      </c>
      <c r="T319" s="85" t="s">
        <v>698</v>
      </c>
      <c r="U319" s="80"/>
      <c r="V319" s="83" t="str">
        <f>HYPERLINK("https://pbs.twimg.com/profile_images/1106499735161106433/IlPl9xqp_normal.jpg")</f>
        <v>https://pbs.twimg.com/profile_images/1106499735161106433/IlPl9xqp_normal.jpg</v>
      </c>
      <c r="W319" s="82">
        <v>44632.760949074072</v>
      </c>
      <c r="X319" s="88">
        <v>44632</v>
      </c>
      <c r="Y319" s="85" t="s">
        <v>935</v>
      </c>
      <c r="Z319" s="83" t="str">
        <f>HYPERLINK("https://twitter.com/jastrzab/status/1502709954272235527")</f>
        <v>https://twitter.com/jastrzab/status/1502709954272235527</v>
      </c>
      <c r="AA319" s="80"/>
      <c r="AB319" s="80"/>
      <c r="AC319" s="85" t="s">
        <v>1384</v>
      </c>
      <c r="AD319" s="80"/>
      <c r="AE319" s="80" t="b">
        <v>0</v>
      </c>
      <c r="AF319" s="80">
        <v>0</v>
      </c>
      <c r="AG319" s="85" t="s">
        <v>1635</v>
      </c>
      <c r="AH319" s="80" t="b">
        <v>1</v>
      </c>
      <c r="AI319" s="80" t="s">
        <v>1642</v>
      </c>
      <c r="AJ319" s="80"/>
      <c r="AK319" s="85" t="s">
        <v>1652</v>
      </c>
      <c r="AL319" s="80" t="b">
        <v>0</v>
      </c>
      <c r="AM319" s="80">
        <v>8</v>
      </c>
      <c r="AN319" s="85" t="s">
        <v>1581</v>
      </c>
      <c r="AO319" s="85" t="s">
        <v>1671</v>
      </c>
      <c r="AP319" s="80" t="b">
        <v>0</v>
      </c>
      <c r="AQ319" s="85" t="s">
        <v>1581</v>
      </c>
      <c r="AR319" s="80" t="s">
        <v>179</v>
      </c>
      <c r="AS319" s="80">
        <v>0</v>
      </c>
      <c r="AT319" s="80">
        <v>0</v>
      </c>
      <c r="AU319" s="80"/>
      <c r="AV319" s="80"/>
      <c r="AW319" s="80"/>
      <c r="AX319" s="80"/>
      <c r="AY319" s="80"/>
      <c r="AZ319" s="80"/>
      <c r="BA319" s="80"/>
      <c r="BB319" s="80"/>
    </row>
    <row r="320" spans="1:54" x14ac:dyDescent="0.25">
      <c r="A320" s="65" t="s">
        <v>347</v>
      </c>
      <c r="B320" s="65" t="s">
        <v>347</v>
      </c>
      <c r="C320" s="66"/>
      <c r="D320" s="67"/>
      <c r="E320" s="68"/>
      <c r="F320" s="69"/>
      <c r="G320" s="66"/>
      <c r="H320" s="70"/>
      <c r="I320" s="71"/>
      <c r="J320" s="71"/>
      <c r="K320" s="36" t="s">
        <v>65</v>
      </c>
      <c r="L320" s="78">
        <v>320</v>
      </c>
      <c r="M320" s="78"/>
      <c r="N320" s="73"/>
      <c r="O320" s="80" t="s">
        <v>179</v>
      </c>
      <c r="P320" s="82">
        <v>44632.991481481484</v>
      </c>
      <c r="Q320" s="80" t="s">
        <v>536</v>
      </c>
      <c r="R320" s="80"/>
      <c r="S320" s="80"/>
      <c r="T320" s="85" t="s">
        <v>704</v>
      </c>
      <c r="U320" s="83" t="str">
        <f>HYPERLINK("https://pbs.twimg.com/media/FNr-hgFVIAM5qzX.jpg")</f>
        <v>https://pbs.twimg.com/media/FNr-hgFVIAM5qzX.jpg</v>
      </c>
      <c r="V320" s="83" t="str">
        <f>HYPERLINK("https://pbs.twimg.com/media/FNr-hgFVIAM5qzX.jpg")</f>
        <v>https://pbs.twimg.com/media/FNr-hgFVIAM5qzX.jpg</v>
      </c>
      <c r="W320" s="82">
        <v>44632.991481481484</v>
      </c>
      <c r="X320" s="88">
        <v>44632</v>
      </c>
      <c r="Y320" s="85" t="s">
        <v>936</v>
      </c>
      <c r="Z320" s="83" t="str">
        <f>HYPERLINK("https://twitter.com/jastrzab/status/1502793496146886659")</f>
        <v>https://twitter.com/jastrzab/status/1502793496146886659</v>
      </c>
      <c r="AA320" s="80"/>
      <c r="AB320" s="80"/>
      <c r="AC320" s="85" t="s">
        <v>1385</v>
      </c>
      <c r="AD320" s="80"/>
      <c r="AE320" s="80" t="b">
        <v>0</v>
      </c>
      <c r="AF320" s="80">
        <v>2</v>
      </c>
      <c r="AG320" s="85" t="s">
        <v>1635</v>
      </c>
      <c r="AH320" s="80" t="b">
        <v>0</v>
      </c>
      <c r="AI320" s="80" t="s">
        <v>1642</v>
      </c>
      <c r="AJ320" s="80"/>
      <c r="AK320" s="85" t="s">
        <v>1635</v>
      </c>
      <c r="AL320" s="80" t="b">
        <v>0</v>
      </c>
      <c r="AM320" s="80">
        <v>1</v>
      </c>
      <c r="AN320" s="85" t="s">
        <v>1635</v>
      </c>
      <c r="AO320" s="85" t="s">
        <v>1672</v>
      </c>
      <c r="AP320" s="80" t="b">
        <v>0</v>
      </c>
      <c r="AQ320" s="85" t="s">
        <v>1385</v>
      </c>
      <c r="AR320" s="80" t="s">
        <v>179</v>
      </c>
      <c r="AS320" s="80">
        <v>0</v>
      </c>
      <c r="AT320" s="80">
        <v>0</v>
      </c>
      <c r="AU320" s="80"/>
      <c r="AV320" s="80"/>
      <c r="AW320" s="80"/>
      <c r="AX320" s="80"/>
      <c r="AY320" s="80"/>
      <c r="AZ320" s="80"/>
      <c r="BA320" s="80"/>
      <c r="BB320" s="80"/>
    </row>
    <row r="321" spans="1:54" x14ac:dyDescent="0.25">
      <c r="A321" s="65" t="s">
        <v>347</v>
      </c>
      <c r="B321" s="65" t="s">
        <v>347</v>
      </c>
      <c r="C321" s="66"/>
      <c r="D321" s="67"/>
      <c r="E321" s="68"/>
      <c r="F321" s="69"/>
      <c r="G321" s="66"/>
      <c r="H321" s="70"/>
      <c r="I321" s="71"/>
      <c r="J321" s="71"/>
      <c r="K321" s="36" t="s">
        <v>65</v>
      </c>
      <c r="L321" s="78">
        <v>321</v>
      </c>
      <c r="M321" s="78"/>
      <c r="N321" s="73"/>
      <c r="O321" s="80" t="s">
        <v>179</v>
      </c>
      <c r="P321" s="82">
        <v>44633.613680555558</v>
      </c>
      <c r="Q321" s="80" t="s">
        <v>537</v>
      </c>
      <c r="R321" s="80"/>
      <c r="S321" s="80"/>
      <c r="T321" s="85" t="s">
        <v>704</v>
      </c>
      <c r="U321" s="83" t="str">
        <f>HYPERLINK("https://pbs.twimg.com/media/FNvLyg_XsAAZt7q.jpg")</f>
        <v>https://pbs.twimg.com/media/FNvLyg_XsAAZt7q.jpg</v>
      </c>
      <c r="V321" s="83" t="str">
        <f>HYPERLINK("https://pbs.twimg.com/media/FNvLyg_XsAAZt7q.jpg")</f>
        <v>https://pbs.twimg.com/media/FNvLyg_XsAAZt7q.jpg</v>
      </c>
      <c r="W321" s="82">
        <v>44633.613680555558</v>
      </c>
      <c r="X321" s="88">
        <v>44633</v>
      </c>
      <c r="Y321" s="85" t="s">
        <v>937</v>
      </c>
      <c r="Z321" s="83" t="str">
        <f>HYPERLINK("https://twitter.com/jastrzab/status/1503018974463811587")</f>
        <v>https://twitter.com/jastrzab/status/1503018974463811587</v>
      </c>
      <c r="AA321" s="80"/>
      <c r="AB321" s="80"/>
      <c r="AC321" s="85" t="s">
        <v>1386</v>
      </c>
      <c r="AD321" s="80"/>
      <c r="AE321" s="80" t="b">
        <v>0</v>
      </c>
      <c r="AF321" s="80">
        <v>4</v>
      </c>
      <c r="AG321" s="85" t="s">
        <v>1635</v>
      </c>
      <c r="AH321" s="80" t="b">
        <v>0</v>
      </c>
      <c r="AI321" s="80" t="s">
        <v>1642</v>
      </c>
      <c r="AJ321" s="80"/>
      <c r="AK321" s="85" t="s">
        <v>1635</v>
      </c>
      <c r="AL321" s="80" t="b">
        <v>0</v>
      </c>
      <c r="AM321" s="80">
        <v>1</v>
      </c>
      <c r="AN321" s="85" t="s">
        <v>1635</v>
      </c>
      <c r="AO321" s="85" t="s">
        <v>1671</v>
      </c>
      <c r="AP321" s="80" t="b">
        <v>0</v>
      </c>
      <c r="AQ321" s="85" t="s">
        <v>1386</v>
      </c>
      <c r="AR321" s="80" t="s">
        <v>179</v>
      </c>
      <c r="AS321" s="80">
        <v>0</v>
      </c>
      <c r="AT321" s="80">
        <v>0</v>
      </c>
      <c r="AU321" s="80" t="s">
        <v>1690</v>
      </c>
      <c r="AV321" s="80" t="s">
        <v>1691</v>
      </c>
      <c r="AW321" s="80" t="s">
        <v>1692</v>
      </c>
      <c r="AX321" s="80" t="s">
        <v>1696</v>
      </c>
      <c r="AY321" s="80" t="s">
        <v>1700</v>
      </c>
      <c r="AZ321" s="80" t="s">
        <v>1704</v>
      </c>
      <c r="BA321" s="80" t="s">
        <v>1705</v>
      </c>
      <c r="BB321" s="83" t="str">
        <f>HYPERLINK("https://api.twitter.com/1.1/geo/id/e4a0d228eb6be76b.json")</f>
        <v>https://api.twitter.com/1.1/geo/id/e4a0d228eb6be76b.json</v>
      </c>
    </row>
    <row r="322" spans="1:54" x14ac:dyDescent="0.25">
      <c r="A322" s="65" t="s">
        <v>348</v>
      </c>
      <c r="B322" s="65" t="s">
        <v>347</v>
      </c>
      <c r="C322" s="66"/>
      <c r="D322" s="67"/>
      <c r="E322" s="68"/>
      <c r="F322" s="69"/>
      <c r="G322" s="66"/>
      <c r="H322" s="70"/>
      <c r="I322" s="71"/>
      <c r="J322" s="71"/>
      <c r="K322" s="36" t="s">
        <v>65</v>
      </c>
      <c r="L322" s="78">
        <v>322</v>
      </c>
      <c r="M322" s="78"/>
      <c r="N322" s="73"/>
      <c r="O322" s="80" t="s">
        <v>415</v>
      </c>
      <c r="P322" s="82">
        <v>44633.038518518515</v>
      </c>
      <c r="Q322" s="80" t="s">
        <v>536</v>
      </c>
      <c r="R322" s="80"/>
      <c r="S322" s="80"/>
      <c r="T322" s="85" t="s">
        <v>704</v>
      </c>
      <c r="U322" s="83" t="str">
        <f>HYPERLINK("https://pbs.twimg.com/media/FNr-hgFVIAM5qzX.jpg")</f>
        <v>https://pbs.twimg.com/media/FNr-hgFVIAM5qzX.jpg</v>
      </c>
      <c r="V322" s="83" t="str">
        <f>HYPERLINK("https://pbs.twimg.com/media/FNr-hgFVIAM5qzX.jpg")</f>
        <v>https://pbs.twimg.com/media/FNr-hgFVIAM5qzX.jpg</v>
      </c>
      <c r="W322" s="82">
        <v>44633.038518518515</v>
      </c>
      <c r="X322" s="88">
        <v>44633</v>
      </c>
      <c r="Y322" s="85" t="s">
        <v>938</v>
      </c>
      <c r="Z322" s="83" t="str">
        <f>HYPERLINK("https://twitter.com/ubbulls1/status/1502810541898805249")</f>
        <v>https://twitter.com/ubbulls1/status/1502810541898805249</v>
      </c>
      <c r="AA322" s="80"/>
      <c r="AB322" s="80"/>
      <c r="AC322" s="85" t="s">
        <v>1387</v>
      </c>
      <c r="AD322" s="80"/>
      <c r="AE322" s="80" t="b">
        <v>0</v>
      </c>
      <c r="AF322" s="80">
        <v>0</v>
      </c>
      <c r="AG322" s="85" t="s">
        <v>1635</v>
      </c>
      <c r="AH322" s="80" t="b">
        <v>0</v>
      </c>
      <c r="AI322" s="80" t="s">
        <v>1642</v>
      </c>
      <c r="AJ322" s="80"/>
      <c r="AK322" s="85" t="s">
        <v>1635</v>
      </c>
      <c r="AL322" s="80" t="b">
        <v>0</v>
      </c>
      <c r="AM322" s="80">
        <v>1</v>
      </c>
      <c r="AN322" s="85" t="s">
        <v>1385</v>
      </c>
      <c r="AO322" s="85" t="s">
        <v>1673</v>
      </c>
      <c r="AP322" s="80" t="b">
        <v>0</v>
      </c>
      <c r="AQ322" s="85" t="s">
        <v>1385</v>
      </c>
      <c r="AR322" s="80" t="s">
        <v>179</v>
      </c>
      <c r="AS322" s="80">
        <v>0</v>
      </c>
      <c r="AT322" s="80">
        <v>0</v>
      </c>
      <c r="AU322" s="80"/>
      <c r="AV322" s="80"/>
      <c r="AW322" s="80"/>
      <c r="AX322" s="80"/>
      <c r="AY322" s="80"/>
      <c r="AZ322" s="80"/>
      <c r="BA322" s="80"/>
      <c r="BB322" s="80"/>
    </row>
    <row r="323" spans="1:54" x14ac:dyDescent="0.25">
      <c r="A323" s="65" t="s">
        <v>348</v>
      </c>
      <c r="B323" s="65" t="s">
        <v>347</v>
      </c>
      <c r="C323" s="66"/>
      <c r="D323" s="67"/>
      <c r="E323" s="68"/>
      <c r="F323" s="69"/>
      <c r="G323" s="66"/>
      <c r="H323" s="70"/>
      <c r="I323" s="71"/>
      <c r="J323" s="71"/>
      <c r="K323" s="36" t="s">
        <v>65</v>
      </c>
      <c r="L323" s="78">
        <v>323</v>
      </c>
      <c r="M323" s="78"/>
      <c r="N323" s="73"/>
      <c r="O323" s="80" t="s">
        <v>415</v>
      </c>
      <c r="P323" s="82">
        <v>44633.653171296297</v>
      </c>
      <c r="Q323" s="80" t="s">
        <v>537</v>
      </c>
      <c r="R323" s="80"/>
      <c r="S323" s="80"/>
      <c r="T323" s="85" t="s">
        <v>704</v>
      </c>
      <c r="U323" s="83" t="str">
        <f>HYPERLINK("https://pbs.twimg.com/media/FNvLyg_XsAAZt7q.jpg")</f>
        <v>https://pbs.twimg.com/media/FNvLyg_XsAAZt7q.jpg</v>
      </c>
      <c r="V323" s="83" t="str">
        <f>HYPERLINK("https://pbs.twimg.com/media/FNvLyg_XsAAZt7q.jpg")</f>
        <v>https://pbs.twimg.com/media/FNvLyg_XsAAZt7q.jpg</v>
      </c>
      <c r="W323" s="82">
        <v>44633.653171296297</v>
      </c>
      <c r="X323" s="88">
        <v>44633</v>
      </c>
      <c r="Y323" s="85" t="s">
        <v>939</v>
      </c>
      <c r="Z323" s="83" t="str">
        <f>HYPERLINK("https://twitter.com/ubbulls1/status/1503033284514746373")</f>
        <v>https://twitter.com/ubbulls1/status/1503033284514746373</v>
      </c>
      <c r="AA323" s="80"/>
      <c r="AB323" s="80"/>
      <c r="AC323" s="85" t="s">
        <v>1388</v>
      </c>
      <c r="AD323" s="80"/>
      <c r="AE323" s="80" t="b">
        <v>0</v>
      </c>
      <c r="AF323" s="80">
        <v>0</v>
      </c>
      <c r="AG323" s="85" t="s">
        <v>1635</v>
      </c>
      <c r="AH323" s="80" t="b">
        <v>0</v>
      </c>
      <c r="AI323" s="80" t="s">
        <v>1642</v>
      </c>
      <c r="AJ323" s="80"/>
      <c r="AK323" s="85" t="s">
        <v>1635</v>
      </c>
      <c r="AL323" s="80" t="b">
        <v>0</v>
      </c>
      <c r="AM323" s="80">
        <v>1</v>
      </c>
      <c r="AN323" s="85" t="s">
        <v>1386</v>
      </c>
      <c r="AO323" s="85" t="s">
        <v>1673</v>
      </c>
      <c r="AP323" s="80" t="b">
        <v>0</v>
      </c>
      <c r="AQ323" s="85" t="s">
        <v>1386</v>
      </c>
      <c r="AR323" s="80" t="s">
        <v>179</v>
      </c>
      <c r="AS323" s="80">
        <v>0</v>
      </c>
      <c r="AT323" s="80">
        <v>0</v>
      </c>
      <c r="AU323" s="80"/>
      <c r="AV323" s="80"/>
      <c r="AW323" s="80"/>
      <c r="AX323" s="80"/>
      <c r="AY323" s="80"/>
      <c r="AZ323" s="80"/>
      <c r="BA323" s="80"/>
      <c r="BB323" s="80"/>
    </row>
    <row r="324" spans="1:54" x14ac:dyDescent="0.25">
      <c r="A324" s="65" t="s">
        <v>348</v>
      </c>
      <c r="B324" s="65" t="s">
        <v>353</v>
      </c>
      <c r="C324" s="66"/>
      <c r="D324" s="67"/>
      <c r="E324" s="68"/>
      <c r="F324" s="69"/>
      <c r="G324" s="66"/>
      <c r="H324" s="70"/>
      <c r="I324" s="71"/>
      <c r="J324" s="71"/>
      <c r="K324" s="36" t="s">
        <v>65</v>
      </c>
      <c r="L324" s="78">
        <v>324</v>
      </c>
      <c r="M324" s="78"/>
      <c r="N324" s="73"/>
      <c r="O324" s="80" t="s">
        <v>415</v>
      </c>
      <c r="P324" s="82">
        <v>44626.620046296295</v>
      </c>
      <c r="Q324" s="80" t="s">
        <v>538</v>
      </c>
      <c r="R324" s="80"/>
      <c r="S324" s="80"/>
      <c r="T324" s="85" t="s">
        <v>705</v>
      </c>
      <c r="U324" s="83" t="str">
        <f>HYPERLINK("https://pbs.twimg.com/media/FNKtvP0XEAMd7cX.jpg")</f>
        <v>https://pbs.twimg.com/media/FNKtvP0XEAMd7cX.jpg</v>
      </c>
      <c r="V324" s="83" t="str">
        <f>HYPERLINK("https://pbs.twimg.com/media/FNKtvP0XEAMd7cX.jpg")</f>
        <v>https://pbs.twimg.com/media/FNKtvP0XEAMd7cX.jpg</v>
      </c>
      <c r="W324" s="82">
        <v>44626.620046296295</v>
      </c>
      <c r="X324" s="88">
        <v>44626</v>
      </c>
      <c r="Y324" s="85" t="s">
        <v>940</v>
      </c>
      <c r="Z324" s="83" t="str">
        <f>HYPERLINK("https://twitter.com/ubbulls1/status/1500484565252644870")</f>
        <v>https://twitter.com/ubbulls1/status/1500484565252644870</v>
      </c>
      <c r="AA324" s="80"/>
      <c r="AB324" s="80"/>
      <c r="AC324" s="85" t="s">
        <v>1389</v>
      </c>
      <c r="AD324" s="80"/>
      <c r="AE324" s="80" t="b">
        <v>0</v>
      </c>
      <c r="AF324" s="80">
        <v>0</v>
      </c>
      <c r="AG324" s="85" t="s">
        <v>1635</v>
      </c>
      <c r="AH324" s="80" t="b">
        <v>0</v>
      </c>
      <c r="AI324" s="80" t="s">
        <v>1642</v>
      </c>
      <c r="AJ324" s="80"/>
      <c r="AK324" s="85" t="s">
        <v>1635</v>
      </c>
      <c r="AL324" s="80" t="b">
        <v>0</v>
      </c>
      <c r="AM324" s="80">
        <v>1</v>
      </c>
      <c r="AN324" s="85" t="s">
        <v>1480</v>
      </c>
      <c r="AO324" s="85" t="s">
        <v>1673</v>
      </c>
      <c r="AP324" s="80" t="b">
        <v>0</v>
      </c>
      <c r="AQ324" s="85" t="s">
        <v>1480</v>
      </c>
      <c r="AR324" s="80" t="s">
        <v>179</v>
      </c>
      <c r="AS324" s="80">
        <v>0</v>
      </c>
      <c r="AT324" s="80">
        <v>0</v>
      </c>
      <c r="AU324" s="80"/>
      <c r="AV324" s="80"/>
      <c r="AW324" s="80"/>
      <c r="AX324" s="80"/>
      <c r="AY324" s="80"/>
      <c r="AZ324" s="80"/>
      <c r="BA324" s="80"/>
      <c r="BB324" s="80"/>
    </row>
    <row r="325" spans="1:54" x14ac:dyDescent="0.25">
      <c r="A325" s="65" t="s">
        <v>348</v>
      </c>
      <c r="B325" s="65" t="s">
        <v>353</v>
      </c>
      <c r="C325" s="66"/>
      <c r="D325" s="67"/>
      <c r="E325" s="68"/>
      <c r="F325" s="69"/>
      <c r="G325" s="66"/>
      <c r="H325" s="70"/>
      <c r="I325" s="71"/>
      <c r="J325" s="71"/>
      <c r="K325" s="36" t="s">
        <v>65</v>
      </c>
      <c r="L325" s="78">
        <v>325</v>
      </c>
      <c r="M325" s="78"/>
      <c r="N325" s="73"/>
      <c r="O325" s="80" t="s">
        <v>415</v>
      </c>
      <c r="P325" s="82">
        <v>44626.734247685185</v>
      </c>
      <c r="Q325" s="80" t="s">
        <v>427</v>
      </c>
      <c r="R325" s="83" t="str">
        <f>HYPERLINK("http://www.buffalo.edu/alumni/get-involved/fast46.html?utm_source=TWITTER&amp;utm_medium=social&amp;utm_term=20220306&amp;utm_content=100002954388711&amp;utm_campaign=General+Content&amp;linkId=100000113770589")</f>
        <v>http://www.buffalo.edu/alumni/get-involved/fast46.html?utm_source=TWITTER&amp;utm_medium=social&amp;utm_term=20220306&amp;utm_content=100002954388711&amp;utm_campaign=General+Content&amp;linkId=100000113770589</v>
      </c>
      <c r="S325" s="80" t="s">
        <v>632</v>
      </c>
      <c r="T325" s="85" t="s">
        <v>357</v>
      </c>
      <c r="U325" s="80"/>
      <c r="V325" s="83" t="str">
        <f>HYPERLINK("https://pbs.twimg.com/profile_images/1419646236345389059/-CYYT9pj_normal.jpg")</f>
        <v>https://pbs.twimg.com/profile_images/1419646236345389059/-CYYT9pj_normal.jpg</v>
      </c>
      <c r="W325" s="82">
        <v>44626.734247685185</v>
      </c>
      <c r="X325" s="88">
        <v>44626</v>
      </c>
      <c r="Y325" s="85" t="s">
        <v>941</v>
      </c>
      <c r="Z325" s="83" t="str">
        <f>HYPERLINK("https://twitter.com/ubbulls1/status/1500525951821791236")</f>
        <v>https://twitter.com/ubbulls1/status/1500525951821791236</v>
      </c>
      <c r="AA325" s="80"/>
      <c r="AB325" s="80"/>
      <c r="AC325" s="85" t="s">
        <v>1390</v>
      </c>
      <c r="AD325" s="80"/>
      <c r="AE325" s="80" t="b">
        <v>0</v>
      </c>
      <c r="AF325" s="80">
        <v>0</v>
      </c>
      <c r="AG325" s="85" t="s">
        <v>1635</v>
      </c>
      <c r="AH325" s="80" t="b">
        <v>0</v>
      </c>
      <c r="AI325" s="80" t="s">
        <v>1642</v>
      </c>
      <c r="AJ325" s="80"/>
      <c r="AK325" s="85" t="s">
        <v>1635</v>
      </c>
      <c r="AL325" s="80" t="b">
        <v>0</v>
      </c>
      <c r="AM325" s="80">
        <v>3</v>
      </c>
      <c r="AN325" s="85" t="s">
        <v>1483</v>
      </c>
      <c r="AO325" s="85" t="s">
        <v>1673</v>
      </c>
      <c r="AP325" s="80" t="b">
        <v>0</v>
      </c>
      <c r="AQ325" s="85" t="s">
        <v>1483</v>
      </c>
      <c r="AR325" s="80" t="s">
        <v>179</v>
      </c>
      <c r="AS325" s="80">
        <v>0</v>
      </c>
      <c r="AT325" s="80">
        <v>0</v>
      </c>
      <c r="AU325" s="80"/>
      <c r="AV325" s="80"/>
      <c r="AW325" s="80"/>
      <c r="AX325" s="80"/>
      <c r="AY325" s="80"/>
      <c r="AZ325" s="80"/>
      <c r="BA325" s="80"/>
      <c r="BB325" s="80"/>
    </row>
    <row r="326" spans="1:54" x14ac:dyDescent="0.25">
      <c r="A326" s="65" t="s">
        <v>348</v>
      </c>
      <c r="B326" s="65" t="s">
        <v>353</v>
      </c>
      <c r="C326" s="66"/>
      <c r="D326" s="67"/>
      <c r="E326" s="68"/>
      <c r="F326" s="69"/>
      <c r="G326" s="66"/>
      <c r="H326" s="70"/>
      <c r="I326" s="71"/>
      <c r="J326" s="71"/>
      <c r="K326" s="36" t="s">
        <v>65</v>
      </c>
      <c r="L326" s="78">
        <v>326</v>
      </c>
      <c r="M326" s="78"/>
      <c r="N326" s="73"/>
      <c r="O326" s="80" t="s">
        <v>415</v>
      </c>
      <c r="P326" s="82">
        <v>44627.610960648148</v>
      </c>
      <c r="Q326" s="80" t="s">
        <v>539</v>
      </c>
      <c r="R326" s="80"/>
      <c r="S326" s="80"/>
      <c r="T326" s="85" t="s">
        <v>671</v>
      </c>
      <c r="U326" s="83" t="str">
        <f>HYPERLINK("https://pbs.twimg.com/tweet_video_thumb/FNIWqmbXIAAHU3p.jpg")</f>
        <v>https://pbs.twimg.com/tweet_video_thumb/FNIWqmbXIAAHU3p.jpg</v>
      </c>
      <c r="V326" s="83" t="str">
        <f>HYPERLINK("https://pbs.twimg.com/tweet_video_thumb/FNIWqmbXIAAHU3p.jpg")</f>
        <v>https://pbs.twimg.com/tweet_video_thumb/FNIWqmbXIAAHU3p.jpg</v>
      </c>
      <c r="W326" s="82">
        <v>44627.610960648148</v>
      </c>
      <c r="X326" s="88">
        <v>44627</v>
      </c>
      <c r="Y326" s="85" t="s">
        <v>942</v>
      </c>
      <c r="Z326" s="83" t="str">
        <f>HYPERLINK("https://twitter.com/ubbulls1/status/1500843659817889793")</f>
        <v>https://twitter.com/ubbulls1/status/1500843659817889793</v>
      </c>
      <c r="AA326" s="80"/>
      <c r="AB326" s="80"/>
      <c r="AC326" s="85" t="s">
        <v>1391</v>
      </c>
      <c r="AD326" s="80"/>
      <c r="AE326" s="80" t="b">
        <v>0</v>
      </c>
      <c r="AF326" s="80">
        <v>0</v>
      </c>
      <c r="AG326" s="85" t="s">
        <v>1635</v>
      </c>
      <c r="AH326" s="80" t="b">
        <v>0</v>
      </c>
      <c r="AI326" s="80" t="s">
        <v>1642</v>
      </c>
      <c r="AJ326" s="80"/>
      <c r="AK326" s="85" t="s">
        <v>1635</v>
      </c>
      <c r="AL326" s="80" t="b">
        <v>0</v>
      </c>
      <c r="AM326" s="80">
        <v>3</v>
      </c>
      <c r="AN326" s="85" t="s">
        <v>1482</v>
      </c>
      <c r="AO326" s="85" t="s">
        <v>1672</v>
      </c>
      <c r="AP326" s="80" t="b">
        <v>0</v>
      </c>
      <c r="AQ326" s="85" t="s">
        <v>1482</v>
      </c>
      <c r="AR326" s="80" t="s">
        <v>179</v>
      </c>
      <c r="AS326" s="80">
        <v>0</v>
      </c>
      <c r="AT326" s="80">
        <v>0</v>
      </c>
      <c r="AU326" s="80"/>
      <c r="AV326" s="80"/>
      <c r="AW326" s="80"/>
      <c r="AX326" s="80"/>
      <c r="AY326" s="80"/>
      <c r="AZ326" s="80"/>
      <c r="BA326" s="80"/>
      <c r="BB326" s="80"/>
    </row>
    <row r="327" spans="1:54" x14ac:dyDescent="0.25">
      <c r="A327" s="65" t="s">
        <v>348</v>
      </c>
      <c r="B327" s="65" t="s">
        <v>385</v>
      </c>
      <c r="C327" s="66"/>
      <c r="D327" s="67"/>
      <c r="E327" s="68"/>
      <c r="F327" s="69"/>
      <c r="G327" s="66"/>
      <c r="H327" s="70"/>
      <c r="I327" s="71"/>
      <c r="J327" s="71"/>
      <c r="K327" s="36" t="s">
        <v>65</v>
      </c>
      <c r="L327" s="78">
        <v>327</v>
      </c>
      <c r="M327" s="78"/>
      <c r="N327" s="73"/>
      <c r="O327" s="80" t="s">
        <v>414</v>
      </c>
      <c r="P327" s="82">
        <v>44627.750185185185</v>
      </c>
      <c r="Q327" s="80" t="s">
        <v>426</v>
      </c>
      <c r="R327" s="83" t="str">
        <f>HYPERLINK("https://ubbulls.com/sports/2022/2/24/mac-basketball-2022.aspx?linkId=100000113931700")</f>
        <v>https://ubbulls.com/sports/2022/2/24/mac-basketball-2022.aspx?linkId=100000113931700</v>
      </c>
      <c r="S327" s="80" t="s">
        <v>638</v>
      </c>
      <c r="T327" s="85" t="s">
        <v>665</v>
      </c>
      <c r="U327" s="83" t="str">
        <f>HYPERLINK("https://pbs.twimg.com/media/FNQuP6DXsAUvTIT.jpg")</f>
        <v>https://pbs.twimg.com/media/FNQuP6DXsAUvTIT.jpg</v>
      </c>
      <c r="V327" s="83" t="str">
        <f>HYPERLINK("https://pbs.twimg.com/media/FNQuP6DXsAUvTIT.jpg")</f>
        <v>https://pbs.twimg.com/media/FNQuP6DXsAUvTIT.jpg</v>
      </c>
      <c r="W327" s="82">
        <v>44627.750185185185</v>
      </c>
      <c r="X327" s="88">
        <v>44627</v>
      </c>
      <c r="Y327" s="85" t="s">
        <v>943</v>
      </c>
      <c r="Z327" s="83" t="str">
        <f>HYPERLINK("https://twitter.com/ubbulls1/status/1500894112966492169")</f>
        <v>https://twitter.com/ubbulls1/status/1500894112966492169</v>
      </c>
      <c r="AA327" s="80"/>
      <c r="AB327" s="80"/>
      <c r="AC327" s="85" t="s">
        <v>1392</v>
      </c>
      <c r="AD327" s="80"/>
      <c r="AE327" s="80" t="b">
        <v>0</v>
      </c>
      <c r="AF327" s="80">
        <v>0</v>
      </c>
      <c r="AG327" s="85" t="s">
        <v>1635</v>
      </c>
      <c r="AH327" s="80" t="b">
        <v>0</v>
      </c>
      <c r="AI327" s="80" t="s">
        <v>1642</v>
      </c>
      <c r="AJ327" s="80"/>
      <c r="AK327" s="85" t="s">
        <v>1635</v>
      </c>
      <c r="AL327" s="80" t="b">
        <v>0</v>
      </c>
      <c r="AM327" s="80">
        <v>5</v>
      </c>
      <c r="AN327" s="85" t="s">
        <v>1423</v>
      </c>
      <c r="AO327" s="85" t="s">
        <v>1673</v>
      </c>
      <c r="AP327" s="80" t="b">
        <v>0</v>
      </c>
      <c r="AQ327" s="85" t="s">
        <v>1423</v>
      </c>
      <c r="AR327" s="80" t="s">
        <v>179</v>
      </c>
      <c r="AS327" s="80">
        <v>0</v>
      </c>
      <c r="AT327" s="80">
        <v>0</v>
      </c>
      <c r="AU327" s="80"/>
      <c r="AV327" s="80"/>
      <c r="AW327" s="80"/>
      <c r="AX327" s="80"/>
      <c r="AY327" s="80"/>
      <c r="AZ327" s="80"/>
      <c r="BA327" s="80"/>
      <c r="BB327" s="80"/>
    </row>
    <row r="328" spans="1:54" x14ac:dyDescent="0.25">
      <c r="A328" s="65" t="s">
        <v>348</v>
      </c>
      <c r="B328" s="65" t="s">
        <v>386</v>
      </c>
      <c r="C328" s="66"/>
      <c r="D328" s="67"/>
      <c r="E328" s="68"/>
      <c r="F328" s="69"/>
      <c r="G328" s="66"/>
      <c r="H328" s="70"/>
      <c r="I328" s="71"/>
      <c r="J328" s="71"/>
      <c r="K328" s="36" t="s">
        <v>65</v>
      </c>
      <c r="L328" s="78">
        <v>328</v>
      </c>
      <c r="M328" s="78"/>
      <c r="N328" s="73"/>
      <c r="O328" s="80" t="s">
        <v>414</v>
      </c>
      <c r="P328" s="82">
        <v>44627.750185185185</v>
      </c>
      <c r="Q328" s="80" t="s">
        <v>426</v>
      </c>
      <c r="R328" s="83" t="str">
        <f>HYPERLINK("https://ubbulls.com/sports/2022/2/24/mac-basketball-2022.aspx?linkId=100000113931700")</f>
        <v>https://ubbulls.com/sports/2022/2/24/mac-basketball-2022.aspx?linkId=100000113931700</v>
      </c>
      <c r="S328" s="80" t="s">
        <v>638</v>
      </c>
      <c r="T328" s="85" t="s">
        <v>665</v>
      </c>
      <c r="U328" s="83" t="str">
        <f>HYPERLINK("https://pbs.twimg.com/media/FNQuP6DXsAUvTIT.jpg")</f>
        <v>https://pbs.twimg.com/media/FNQuP6DXsAUvTIT.jpg</v>
      </c>
      <c r="V328" s="83" t="str">
        <f>HYPERLINK("https://pbs.twimg.com/media/FNQuP6DXsAUvTIT.jpg")</f>
        <v>https://pbs.twimg.com/media/FNQuP6DXsAUvTIT.jpg</v>
      </c>
      <c r="W328" s="82">
        <v>44627.750185185185</v>
      </c>
      <c r="X328" s="88">
        <v>44627</v>
      </c>
      <c r="Y328" s="85" t="s">
        <v>943</v>
      </c>
      <c r="Z328" s="83" t="str">
        <f>HYPERLINK("https://twitter.com/ubbulls1/status/1500894112966492169")</f>
        <v>https://twitter.com/ubbulls1/status/1500894112966492169</v>
      </c>
      <c r="AA328" s="80"/>
      <c r="AB328" s="80"/>
      <c r="AC328" s="85" t="s">
        <v>1392</v>
      </c>
      <c r="AD328" s="80"/>
      <c r="AE328" s="80" t="b">
        <v>0</v>
      </c>
      <c r="AF328" s="80">
        <v>0</v>
      </c>
      <c r="AG328" s="85" t="s">
        <v>1635</v>
      </c>
      <c r="AH328" s="80" t="b">
        <v>0</v>
      </c>
      <c r="AI328" s="80" t="s">
        <v>1642</v>
      </c>
      <c r="AJ328" s="80"/>
      <c r="AK328" s="85" t="s">
        <v>1635</v>
      </c>
      <c r="AL328" s="80" t="b">
        <v>0</v>
      </c>
      <c r="AM328" s="80">
        <v>5</v>
      </c>
      <c r="AN328" s="85" t="s">
        <v>1423</v>
      </c>
      <c r="AO328" s="85" t="s">
        <v>1673</v>
      </c>
      <c r="AP328" s="80" t="b">
        <v>0</v>
      </c>
      <c r="AQ328" s="85" t="s">
        <v>1423</v>
      </c>
      <c r="AR328" s="80" t="s">
        <v>179</v>
      </c>
      <c r="AS328" s="80">
        <v>0</v>
      </c>
      <c r="AT328" s="80">
        <v>0</v>
      </c>
      <c r="AU328" s="80"/>
      <c r="AV328" s="80"/>
      <c r="AW328" s="80"/>
      <c r="AX328" s="80"/>
      <c r="AY328" s="80"/>
      <c r="AZ328" s="80"/>
      <c r="BA328" s="80"/>
      <c r="BB328" s="80"/>
    </row>
    <row r="329" spans="1:54" x14ac:dyDescent="0.25">
      <c r="A329" s="65" t="s">
        <v>348</v>
      </c>
      <c r="B329" s="65" t="s">
        <v>353</v>
      </c>
      <c r="C329" s="66"/>
      <c r="D329" s="67"/>
      <c r="E329" s="68"/>
      <c r="F329" s="69"/>
      <c r="G329" s="66"/>
      <c r="H329" s="70"/>
      <c r="I329" s="71"/>
      <c r="J329" s="71"/>
      <c r="K329" s="36" t="s">
        <v>65</v>
      </c>
      <c r="L329" s="78">
        <v>329</v>
      </c>
      <c r="M329" s="78"/>
      <c r="N329" s="73"/>
      <c r="O329" s="80" t="s">
        <v>415</v>
      </c>
      <c r="P329" s="82">
        <v>44627.750185185185</v>
      </c>
      <c r="Q329" s="80" t="s">
        <v>426</v>
      </c>
      <c r="R329" s="83" t="str">
        <f>HYPERLINK("https://ubbulls.com/sports/2022/2/24/mac-basketball-2022.aspx?linkId=100000113931700")</f>
        <v>https://ubbulls.com/sports/2022/2/24/mac-basketball-2022.aspx?linkId=100000113931700</v>
      </c>
      <c r="S329" s="80" t="s">
        <v>638</v>
      </c>
      <c r="T329" s="85" t="s">
        <v>665</v>
      </c>
      <c r="U329" s="83" t="str">
        <f>HYPERLINK("https://pbs.twimg.com/media/FNQuP6DXsAUvTIT.jpg")</f>
        <v>https://pbs.twimg.com/media/FNQuP6DXsAUvTIT.jpg</v>
      </c>
      <c r="V329" s="83" t="str">
        <f>HYPERLINK("https://pbs.twimg.com/media/FNQuP6DXsAUvTIT.jpg")</f>
        <v>https://pbs.twimg.com/media/FNQuP6DXsAUvTIT.jpg</v>
      </c>
      <c r="W329" s="82">
        <v>44627.750185185185</v>
      </c>
      <c r="X329" s="88">
        <v>44627</v>
      </c>
      <c r="Y329" s="85" t="s">
        <v>943</v>
      </c>
      <c r="Z329" s="83" t="str">
        <f>HYPERLINK("https://twitter.com/ubbulls1/status/1500894112966492169")</f>
        <v>https://twitter.com/ubbulls1/status/1500894112966492169</v>
      </c>
      <c r="AA329" s="80"/>
      <c r="AB329" s="80"/>
      <c r="AC329" s="85" t="s">
        <v>1392</v>
      </c>
      <c r="AD329" s="80"/>
      <c r="AE329" s="80" t="b">
        <v>0</v>
      </c>
      <c r="AF329" s="80">
        <v>0</v>
      </c>
      <c r="AG329" s="85" t="s">
        <v>1635</v>
      </c>
      <c r="AH329" s="80" t="b">
        <v>0</v>
      </c>
      <c r="AI329" s="80" t="s">
        <v>1642</v>
      </c>
      <c r="AJ329" s="80"/>
      <c r="AK329" s="85" t="s">
        <v>1635</v>
      </c>
      <c r="AL329" s="80" t="b">
        <v>0</v>
      </c>
      <c r="AM329" s="80">
        <v>5</v>
      </c>
      <c r="AN329" s="85" t="s">
        <v>1423</v>
      </c>
      <c r="AO329" s="85" t="s">
        <v>1673</v>
      </c>
      <c r="AP329" s="80" t="b">
        <v>0</v>
      </c>
      <c r="AQ329" s="85" t="s">
        <v>1423</v>
      </c>
      <c r="AR329" s="80" t="s">
        <v>179</v>
      </c>
      <c r="AS329" s="80">
        <v>0</v>
      </c>
      <c r="AT329" s="80">
        <v>0</v>
      </c>
      <c r="AU329" s="80"/>
      <c r="AV329" s="80"/>
      <c r="AW329" s="80"/>
      <c r="AX329" s="80"/>
      <c r="AY329" s="80"/>
      <c r="AZ329" s="80"/>
      <c r="BA329" s="80"/>
      <c r="BB329" s="80"/>
    </row>
    <row r="330" spans="1:54" x14ac:dyDescent="0.25">
      <c r="A330" s="65" t="s">
        <v>348</v>
      </c>
      <c r="B330" s="65" t="s">
        <v>360</v>
      </c>
      <c r="C330" s="66"/>
      <c r="D330" s="67"/>
      <c r="E330" s="68"/>
      <c r="F330" s="69"/>
      <c r="G330" s="66"/>
      <c r="H330" s="70"/>
      <c r="I330" s="71"/>
      <c r="J330" s="71"/>
      <c r="K330" s="36" t="s">
        <v>65</v>
      </c>
      <c r="L330" s="78">
        <v>330</v>
      </c>
      <c r="M330" s="78"/>
      <c r="N330" s="73"/>
      <c r="O330" s="80" t="s">
        <v>415</v>
      </c>
      <c r="P330" s="82">
        <v>44628.562361111108</v>
      </c>
      <c r="Q330" s="80" t="s">
        <v>437</v>
      </c>
      <c r="R330" s="80"/>
      <c r="S330" s="80"/>
      <c r="T330" s="85" t="s">
        <v>671</v>
      </c>
      <c r="U330" s="83" t="str">
        <f>HYPERLINK("https://pbs.twimg.com/media/FNTfFtyX0AEWqWF.jpg")</f>
        <v>https://pbs.twimg.com/media/FNTfFtyX0AEWqWF.jpg</v>
      </c>
      <c r="V330" s="83" t="str">
        <f>HYPERLINK("https://pbs.twimg.com/media/FNTfFtyX0AEWqWF.jpg")</f>
        <v>https://pbs.twimg.com/media/FNTfFtyX0AEWqWF.jpg</v>
      </c>
      <c r="W330" s="82">
        <v>44628.562361111108</v>
      </c>
      <c r="X330" s="88">
        <v>44628</v>
      </c>
      <c r="Y330" s="85" t="s">
        <v>944</v>
      </c>
      <c r="Z330" s="83" t="str">
        <f>HYPERLINK("https://twitter.com/ubbulls1/status/1501188433959657472")</f>
        <v>https://twitter.com/ubbulls1/status/1501188433959657472</v>
      </c>
      <c r="AA330" s="80"/>
      <c r="AB330" s="80"/>
      <c r="AC330" s="85" t="s">
        <v>1393</v>
      </c>
      <c r="AD330" s="80"/>
      <c r="AE330" s="80" t="b">
        <v>0</v>
      </c>
      <c r="AF330" s="80">
        <v>0</v>
      </c>
      <c r="AG330" s="85" t="s">
        <v>1635</v>
      </c>
      <c r="AH330" s="80" t="b">
        <v>0</v>
      </c>
      <c r="AI330" s="80" t="s">
        <v>1642</v>
      </c>
      <c r="AJ330" s="80"/>
      <c r="AK330" s="85" t="s">
        <v>1635</v>
      </c>
      <c r="AL330" s="80" t="b">
        <v>0</v>
      </c>
      <c r="AM330" s="80">
        <v>4</v>
      </c>
      <c r="AN330" s="85" t="s">
        <v>1470</v>
      </c>
      <c r="AO330" s="85" t="s">
        <v>1673</v>
      </c>
      <c r="AP330" s="80" t="b">
        <v>0</v>
      </c>
      <c r="AQ330" s="85" t="s">
        <v>1470</v>
      </c>
      <c r="AR330" s="80" t="s">
        <v>179</v>
      </c>
      <c r="AS330" s="80">
        <v>0</v>
      </c>
      <c r="AT330" s="80">
        <v>0</v>
      </c>
      <c r="AU330" s="80"/>
      <c r="AV330" s="80"/>
      <c r="AW330" s="80"/>
      <c r="AX330" s="80"/>
      <c r="AY330" s="80"/>
      <c r="AZ330" s="80"/>
      <c r="BA330" s="80"/>
      <c r="BB330" s="80"/>
    </row>
    <row r="331" spans="1:54" x14ac:dyDescent="0.25">
      <c r="A331" s="65" t="s">
        <v>348</v>
      </c>
      <c r="B331" s="65" t="s">
        <v>351</v>
      </c>
      <c r="C331" s="66"/>
      <c r="D331" s="67"/>
      <c r="E331" s="68"/>
      <c r="F331" s="69"/>
      <c r="G331" s="66"/>
      <c r="H331" s="70"/>
      <c r="I331" s="71"/>
      <c r="J331" s="71"/>
      <c r="K331" s="36" t="s">
        <v>65</v>
      </c>
      <c r="L331" s="78">
        <v>331</v>
      </c>
      <c r="M331" s="78"/>
      <c r="N331" s="73"/>
      <c r="O331" s="80" t="s">
        <v>415</v>
      </c>
      <c r="P331" s="82">
        <v>44629.149293981478</v>
      </c>
      <c r="Q331" s="80" t="s">
        <v>540</v>
      </c>
      <c r="R331" s="83" t="str">
        <f>HYPERLINK("https://twitter.com/UBwomenshoops/status/1501382934640701447")</f>
        <v>https://twitter.com/UBwomenshoops/status/1501382934640701447</v>
      </c>
      <c r="S331" s="80" t="s">
        <v>633</v>
      </c>
      <c r="T331" s="85" t="s">
        <v>706</v>
      </c>
      <c r="U331" s="80"/>
      <c r="V331" s="83" t="str">
        <f>HYPERLINK("https://pbs.twimg.com/profile_images/1419646236345389059/-CYYT9pj_normal.jpg")</f>
        <v>https://pbs.twimg.com/profile_images/1419646236345389059/-CYYT9pj_normal.jpg</v>
      </c>
      <c r="W331" s="82">
        <v>44629.149293981478</v>
      </c>
      <c r="X331" s="88">
        <v>44629</v>
      </c>
      <c r="Y331" s="85" t="s">
        <v>945</v>
      </c>
      <c r="Z331" s="83" t="str">
        <f>HYPERLINK("https://twitter.com/ubbulls1/status/1501401134052876290")</f>
        <v>https://twitter.com/ubbulls1/status/1501401134052876290</v>
      </c>
      <c r="AA331" s="80"/>
      <c r="AB331" s="80"/>
      <c r="AC331" s="85" t="s">
        <v>1394</v>
      </c>
      <c r="AD331" s="80"/>
      <c r="AE331" s="80" t="b">
        <v>0</v>
      </c>
      <c r="AF331" s="80">
        <v>0</v>
      </c>
      <c r="AG331" s="85" t="s">
        <v>1635</v>
      </c>
      <c r="AH331" s="80" t="b">
        <v>1</v>
      </c>
      <c r="AI331" s="80" t="s">
        <v>1642</v>
      </c>
      <c r="AJ331" s="80"/>
      <c r="AK331" s="85" t="s">
        <v>1661</v>
      </c>
      <c r="AL331" s="80" t="b">
        <v>0</v>
      </c>
      <c r="AM331" s="80">
        <v>1</v>
      </c>
      <c r="AN331" s="85" t="s">
        <v>1411</v>
      </c>
      <c r="AO331" s="85" t="s">
        <v>1673</v>
      </c>
      <c r="AP331" s="80" t="b">
        <v>0</v>
      </c>
      <c r="AQ331" s="85" t="s">
        <v>1411</v>
      </c>
      <c r="AR331" s="80" t="s">
        <v>179</v>
      </c>
      <c r="AS331" s="80">
        <v>0</v>
      </c>
      <c r="AT331" s="80">
        <v>0</v>
      </c>
      <c r="AU331" s="80"/>
      <c r="AV331" s="80"/>
      <c r="AW331" s="80"/>
      <c r="AX331" s="80"/>
      <c r="AY331" s="80"/>
      <c r="AZ331" s="80"/>
      <c r="BA331" s="80"/>
      <c r="BB331" s="80"/>
    </row>
    <row r="332" spans="1:54" x14ac:dyDescent="0.25">
      <c r="A332" s="65" t="s">
        <v>348</v>
      </c>
      <c r="B332" s="65" t="s">
        <v>360</v>
      </c>
      <c r="C332" s="66"/>
      <c r="D332" s="67"/>
      <c r="E332" s="68"/>
      <c r="F332" s="69"/>
      <c r="G332" s="66"/>
      <c r="H332" s="70"/>
      <c r="I332" s="71"/>
      <c r="J332" s="71"/>
      <c r="K332" s="36" t="s">
        <v>65</v>
      </c>
      <c r="L332" s="78">
        <v>332</v>
      </c>
      <c r="M332" s="78"/>
      <c r="N332" s="73"/>
      <c r="O332" s="80" t="s">
        <v>415</v>
      </c>
      <c r="P332" s="82">
        <v>44630.170069444444</v>
      </c>
      <c r="Q332" s="80" t="s">
        <v>458</v>
      </c>
      <c r="R332" s="83" t="str">
        <f>HYPERLINK("https://library.buffalo.edu/ub-sports/")</f>
        <v>https://library.buffalo.edu/ub-sports/</v>
      </c>
      <c r="S332" s="80" t="s">
        <v>632</v>
      </c>
      <c r="T332" s="85" t="s">
        <v>682</v>
      </c>
      <c r="U332" s="83" t="str">
        <f>HYPERLINK("https://pbs.twimg.com/media/FNdQpFMX0AAU1af.jpg")</f>
        <v>https://pbs.twimg.com/media/FNdQpFMX0AAU1af.jpg</v>
      </c>
      <c r="V332" s="83" t="str">
        <f>HYPERLINK("https://pbs.twimg.com/media/FNdQpFMX0AAU1af.jpg")</f>
        <v>https://pbs.twimg.com/media/FNdQpFMX0AAU1af.jpg</v>
      </c>
      <c r="W332" s="82">
        <v>44630.170069444444</v>
      </c>
      <c r="X332" s="88">
        <v>44630</v>
      </c>
      <c r="Y332" s="85" t="s">
        <v>946</v>
      </c>
      <c r="Z332" s="83" t="str">
        <f>HYPERLINK("https://twitter.com/ubbulls1/status/1501771049310068736")</f>
        <v>https://twitter.com/ubbulls1/status/1501771049310068736</v>
      </c>
      <c r="AA332" s="80"/>
      <c r="AB332" s="80"/>
      <c r="AC332" s="85" t="s">
        <v>1395</v>
      </c>
      <c r="AD332" s="80"/>
      <c r="AE332" s="80" t="b">
        <v>0</v>
      </c>
      <c r="AF332" s="80">
        <v>0</v>
      </c>
      <c r="AG332" s="85" t="s">
        <v>1635</v>
      </c>
      <c r="AH332" s="80" t="b">
        <v>0</v>
      </c>
      <c r="AI332" s="80" t="s">
        <v>1642</v>
      </c>
      <c r="AJ332" s="80"/>
      <c r="AK332" s="85" t="s">
        <v>1635</v>
      </c>
      <c r="AL332" s="80" t="b">
        <v>0</v>
      </c>
      <c r="AM332" s="80">
        <v>3</v>
      </c>
      <c r="AN332" s="85" t="s">
        <v>1471</v>
      </c>
      <c r="AO332" s="85" t="s">
        <v>1673</v>
      </c>
      <c r="AP332" s="80" t="b">
        <v>0</v>
      </c>
      <c r="AQ332" s="85" t="s">
        <v>1471</v>
      </c>
      <c r="AR332" s="80" t="s">
        <v>179</v>
      </c>
      <c r="AS332" s="80">
        <v>0</v>
      </c>
      <c r="AT332" s="80">
        <v>0</v>
      </c>
      <c r="AU332" s="80"/>
      <c r="AV332" s="80"/>
      <c r="AW332" s="80"/>
      <c r="AX332" s="80"/>
      <c r="AY332" s="80"/>
      <c r="AZ332" s="80"/>
      <c r="BA332" s="80"/>
      <c r="BB332" s="80"/>
    </row>
    <row r="333" spans="1:54" x14ac:dyDescent="0.25">
      <c r="A333" s="65" t="s">
        <v>348</v>
      </c>
      <c r="B333" s="65" t="s">
        <v>354</v>
      </c>
      <c r="C333" s="66"/>
      <c r="D333" s="67"/>
      <c r="E333" s="68"/>
      <c r="F333" s="69"/>
      <c r="G333" s="66"/>
      <c r="H333" s="70"/>
      <c r="I333" s="71"/>
      <c r="J333" s="71"/>
      <c r="K333" s="36" t="s">
        <v>65</v>
      </c>
      <c r="L333" s="78">
        <v>333</v>
      </c>
      <c r="M333" s="78"/>
      <c r="N333" s="73"/>
      <c r="O333" s="80" t="s">
        <v>414</v>
      </c>
      <c r="P333" s="82">
        <v>44630.581493055557</v>
      </c>
      <c r="Q333" s="80" t="s">
        <v>541</v>
      </c>
      <c r="R333" s="83" t="str">
        <f>HYPERLINK("https://www.law.buffalo.edu/links/2022-January/rose-gift.html?utm_source=TWITTER&amp;utm_medium=social&amp;utm_term=20220224&amp;utm_content=100002916220435&amp;utm_campaign=General+Content&amp;linkId=100000110222512")</f>
        <v>https://www.law.buffalo.edu/links/2022-January/rose-gift.html?utm_source=TWITTER&amp;utm_medium=social&amp;utm_term=20220224&amp;utm_content=100002916220435&amp;utm_campaign=General+Content&amp;linkId=100000110222512</v>
      </c>
      <c r="S333" s="80" t="s">
        <v>632</v>
      </c>
      <c r="T333" s="85" t="s">
        <v>357</v>
      </c>
      <c r="U333" s="83" t="str">
        <f>HYPERLINK("https://pbs.twimg.com/media/FNfUFfFX0AY9Wv0.png")</f>
        <v>https://pbs.twimg.com/media/FNfUFfFX0AY9Wv0.png</v>
      </c>
      <c r="V333" s="83" t="str">
        <f>HYPERLINK("https://pbs.twimg.com/media/FNfUFfFX0AY9Wv0.png")</f>
        <v>https://pbs.twimg.com/media/FNfUFfFX0AY9Wv0.png</v>
      </c>
      <c r="W333" s="82">
        <v>44630.581493055557</v>
      </c>
      <c r="X333" s="88">
        <v>44630</v>
      </c>
      <c r="Y333" s="85" t="s">
        <v>947</v>
      </c>
      <c r="Z333" s="83" t="str">
        <f>HYPERLINK("https://twitter.com/ubbulls1/status/1501920145970802700")</f>
        <v>https://twitter.com/ubbulls1/status/1501920145970802700</v>
      </c>
      <c r="AA333" s="80"/>
      <c r="AB333" s="80"/>
      <c r="AC333" s="85" t="s">
        <v>1396</v>
      </c>
      <c r="AD333" s="80"/>
      <c r="AE333" s="80" t="b">
        <v>0</v>
      </c>
      <c r="AF333" s="80">
        <v>0</v>
      </c>
      <c r="AG333" s="85" t="s">
        <v>1635</v>
      </c>
      <c r="AH333" s="80" t="b">
        <v>0</v>
      </c>
      <c r="AI333" s="80" t="s">
        <v>1642</v>
      </c>
      <c r="AJ333" s="80"/>
      <c r="AK333" s="85" t="s">
        <v>1635</v>
      </c>
      <c r="AL333" s="80" t="b">
        <v>0</v>
      </c>
      <c r="AM333" s="80">
        <v>1</v>
      </c>
      <c r="AN333" s="85" t="s">
        <v>1425</v>
      </c>
      <c r="AO333" s="85" t="s">
        <v>1673</v>
      </c>
      <c r="AP333" s="80" t="b">
        <v>0</v>
      </c>
      <c r="AQ333" s="85" t="s">
        <v>1425</v>
      </c>
      <c r="AR333" s="80" t="s">
        <v>179</v>
      </c>
      <c r="AS333" s="80">
        <v>0</v>
      </c>
      <c r="AT333" s="80">
        <v>0</v>
      </c>
      <c r="AU333" s="80"/>
      <c r="AV333" s="80"/>
      <c r="AW333" s="80"/>
      <c r="AX333" s="80"/>
      <c r="AY333" s="80"/>
      <c r="AZ333" s="80"/>
      <c r="BA333" s="80"/>
      <c r="BB333" s="80"/>
    </row>
    <row r="334" spans="1:54" x14ac:dyDescent="0.25">
      <c r="A334" s="65" t="s">
        <v>348</v>
      </c>
      <c r="B334" s="65" t="s">
        <v>353</v>
      </c>
      <c r="C334" s="66"/>
      <c r="D334" s="67"/>
      <c r="E334" s="68"/>
      <c r="F334" s="69"/>
      <c r="G334" s="66"/>
      <c r="H334" s="70"/>
      <c r="I334" s="71"/>
      <c r="J334" s="71"/>
      <c r="K334" s="36" t="s">
        <v>65</v>
      </c>
      <c r="L334" s="78">
        <v>334</v>
      </c>
      <c r="M334" s="78"/>
      <c r="N334" s="73"/>
      <c r="O334" s="80" t="s">
        <v>415</v>
      </c>
      <c r="P334" s="82">
        <v>44630.581493055557</v>
      </c>
      <c r="Q334" s="80" t="s">
        <v>541</v>
      </c>
      <c r="R334" s="83" t="str">
        <f>HYPERLINK("https://www.law.buffalo.edu/links/2022-January/rose-gift.html?utm_source=TWITTER&amp;utm_medium=social&amp;utm_term=20220224&amp;utm_content=100002916220435&amp;utm_campaign=General+Content&amp;linkId=100000110222512")</f>
        <v>https://www.law.buffalo.edu/links/2022-January/rose-gift.html?utm_source=TWITTER&amp;utm_medium=social&amp;utm_term=20220224&amp;utm_content=100002916220435&amp;utm_campaign=General+Content&amp;linkId=100000110222512</v>
      </c>
      <c r="S334" s="80" t="s">
        <v>632</v>
      </c>
      <c r="T334" s="85" t="s">
        <v>357</v>
      </c>
      <c r="U334" s="83" t="str">
        <f>HYPERLINK("https://pbs.twimg.com/media/FNfUFfFX0AY9Wv0.png")</f>
        <v>https://pbs.twimg.com/media/FNfUFfFX0AY9Wv0.png</v>
      </c>
      <c r="V334" s="83" t="str">
        <f>HYPERLINK("https://pbs.twimg.com/media/FNfUFfFX0AY9Wv0.png")</f>
        <v>https://pbs.twimg.com/media/FNfUFfFX0AY9Wv0.png</v>
      </c>
      <c r="W334" s="82">
        <v>44630.581493055557</v>
      </c>
      <c r="X334" s="88">
        <v>44630</v>
      </c>
      <c r="Y334" s="85" t="s">
        <v>947</v>
      </c>
      <c r="Z334" s="83" t="str">
        <f>HYPERLINK("https://twitter.com/ubbulls1/status/1501920145970802700")</f>
        <v>https://twitter.com/ubbulls1/status/1501920145970802700</v>
      </c>
      <c r="AA334" s="80"/>
      <c r="AB334" s="80"/>
      <c r="AC334" s="85" t="s">
        <v>1396</v>
      </c>
      <c r="AD334" s="80"/>
      <c r="AE334" s="80" t="b">
        <v>0</v>
      </c>
      <c r="AF334" s="80">
        <v>0</v>
      </c>
      <c r="AG334" s="85" t="s">
        <v>1635</v>
      </c>
      <c r="AH334" s="80" t="b">
        <v>0</v>
      </c>
      <c r="AI334" s="80" t="s">
        <v>1642</v>
      </c>
      <c r="AJ334" s="80"/>
      <c r="AK334" s="85" t="s">
        <v>1635</v>
      </c>
      <c r="AL334" s="80" t="b">
        <v>0</v>
      </c>
      <c r="AM334" s="80">
        <v>1</v>
      </c>
      <c r="AN334" s="85" t="s">
        <v>1425</v>
      </c>
      <c r="AO334" s="85" t="s">
        <v>1673</v>
      </c>
      <c r="AP334" s="80" t="b">
        <v>0</v>
      </c>
      <c r="AQ334" s="85" t="s">
        <v>1425</v>
      </c>
      <c r="AR334" s="80" t="s">
        <v>179</v>
      </c>
      <c r="AS334" s="80">
        <v>0</v>
      </c>
      <c r="AT334" s="80">
        <v>0</v>
      </c>
      <c r="AU334" s="80"/>
      <c r="AV334" s="80"/>
      <c r="AW334" s="80"/>
      <c r="AX334" s="80"/>
      <c r="AY334" s="80"/>
      <c r="AZ334" s="80"/>
      <c r="BA334" s="80"/>
      <c r="BB334" s="80"/>
    </row>
    <row r="335" spans="1:54" x14ac:dyDescent="0.25">
      <c r="A335" s="65" t="s">
        <v>348</v>
      </c>
      <c r="B335" s="65" t="s">
        <v>360</v>
      </c>
      <c r="C335" s="66"/>
      <c r="D335" s="67"/>
      <c r="E335" s="68"/>
      <c r="F335" s="69"/>
      <c r="G335" s="66"/>
      <c r="H335" s="70"/>
      <c r="I335" s="71"/>
      <c r="J335" s="71"/>
      <c r="K335" s="36" t="s">
        <v>65</v>
      </c>
      <c r="L335" s="78">
        <v>335</v>
      </c>
      <c r="M335" s="78"/>
      <c r="N335" s="73"/>
      <c r="O335" s="80" t="s">
        <v>415</v>
      </c>
      <c r="P335" s="82">
        <v>44631.743078703701</v>
      </c>
      <c r="Q335" s="80" t="s">
        <v>515</v>
      </c>
      <c r="R335" s="83" t="str">
        <f>HYPERLINK("https://digital.lib.buffalo.edu/items/show/83413")</f>
        <v>https://digital.lib.buffalo.edu/items/show/83413</v>
      </c>
      <c r="S335" s="80" t="s">
        <v>632</v>
      </c>
      <c r="T335" s="85" t="s">
        <v>701</v>
      </c>
      <c r="U335" s="83" t="str">
        <f>HYPERLINK("https://pbs.twimg.com/ext_tw_video_thumb/1502329070947901450/pu/img/NAxEjYVOdw6nFVJo.jpg")</f>
        <v>https://pbs.twimg.com/ext_tw_video_thumb/1502329070947901450/pu/img/NAxEjYVOdw6nFVJo.jpg</v>
      </c>
      <c r="V335" s="83" t="str">
        <f>HYPERLINK("https://pbs.twimg.com/ext_tw_video_thumb/1502329070947901450/pu/img/NAxEjYVOdw6nFVJo.jpg")</f>
        <v>https://pbs.twimg.com/ext_tw_video_thumb/1502329070947901450/pu/img/NAxEjYVOdw6nFVJo.jpg</v>
      </c>
      <c r="W335" s="82">
        <v>44631.743078703701</v>
      </c>
      <c r="X335" s="88">
        <v>44631</v>
      </c>
      <c r="Y335" s="85" t="s">
        <v>948</v>
      </c>
      <c r="Z335" s="83" t="str">
        <f>HYPERLINK("https://twitter.com/ubbulls1/status/1502341089717637127")</f>
        <v>https://twitter.com/ubbulls1/status/1502341089717637127</v>
      </c>
      <c r="AA335" s="80"/>
      <c r="AB335" s="80"/>
      <c r="AC335" s="85" t="s">
        <v>1397</v>
      </c>
      <c r="AD335" s="80"/>
      <c r="AE335" s="80" t="b">
        <v>0</v>
      </c>
      <c r="AF335" s="80">
        <v>0</v>
      </c>
      <c r="AG335" s="85" t="s">
        <v>1635</v>
      </c>
      <c r="AH335" s="80" t="b">
        <v>0</v>
      </c>
      <c r="AI335" s="80" t="s">
        <v>1642</v>
      </c>
      <c r="AJ335" s="80"/>
      <c r="AK335" s="85" t="s">
        <v>1635</v>
      </c>
      <c r="AL335" s="80" t="b">
        <v>0</v>
      </c>
      <c r="AM335" s="80">
        <v>3</v>
      </c>
      <c r="AN335" s="85" t="s">
        <v>1472</v>
      </c>
      <c r="AO335" s="85" t="s">
        <v>1673</v>
      </c>
      <c r="AP335" s="80" t="b">
        <v>0</v>
      </c>
      <c r="AQ335" s="85" t="s">
        <v>1472</v>
      </c>
      <c r="AR335" s="80" t="s">
        <v>179</v>
      </c>
      <c r="AS335" s="80">
        <v>0</v>
      </c>
      <c r="AT335" s="80">
        <v>0</v>
      </c>
      <c r="AU335" s="80"/>
      <c r="AV335" s="80"/>
      <c r="AW335" s="80"/>
      <c r="AX335" s="80"/>
      <c r="AY335" s="80"/>
      <c r="AZ335" s="80"/>
      <c r="BA335" s="80"/>
      <c r="BB335" s="80"/>
    </row>
    <row r="336" spans="1:54" x14ac:dyDescent="0.25">
      <c r="A336" s="65" t="s">
        <v>348</v>
      </c>
      <c r="B336" s="65" t="s">
        <v>360</v>
      </c>
      <c r="C336" s="66"/>
      <c r="D336" s="67"/>
      <c r="E336" s="68"/>
      <c r="F336" s="69"/>
      <c r="G336" s="66"/>
      <c r="H336" s="70"/>
      <c r="I336" s="71"/>
      <c r="J336" s="71"/>
      <c r="K336" s="36" t="s">
        <v>65</v>
      </c>
      <c r="L336" s="78">
        <v>336</v>
      </c>
      <c r="M336" s="78"/>
      <c r="N336" s="73"/>
      <c r="O336" s="80" t="s">
        <v>415</v>
      </c>
      <c r="P336" s="82">
        <v>44632.195023148146</v>
      </c>
      <c r="Q336" s="80" t="s">
        <v>486</v>
      </c>
      <c r="R336" s="83" t="str">
        <f>HYPERLINK("https://library.buffalo.edu/ub-sports/mens-sports/football/1899-buffalo-football/")</f>
        <v>https://library.buffalo.edu/ub-sports/mens-sports/football/1899-buffalo-football/</v>
      </c>
      <c r="S336" s="80" t="s">
        <v>632</v>
      </c>
      <c r="T336" s="85" t="s">
        <v>357</v>
      </c>
      <c r="U336" s="83" t="str">
        <f>HYPERLINK("https://pbs.twimg.com/media/FNnWJWrXIAA8Q0T.jpg")</f>
        <v>https://pbs.twimg.com/media/FNnWJWrXIAA8Q0T.jpg</v>
      </c>
      <c r="V336" s="83" t="str">
        <f>HYPERLINK("https://pbs.twimg.com/media/FNnWJWrXIAA8Q0T.jpg")</f>
        <v>https://pbs.twimg.com/media/FNnWJWrXIAA8Q0T.jpg</v>
      </c>
      <c r="W336" s="82">
        <v>44632.195023148146</v>
      </c>
      <c r="X336" s="88">
        <v>44632</v>
      </c>
      <c r="Y336" s="85" t="s">
        <v>949</v>
      </c>
      <c r="Z336" s="83" t="str">
        <f>HYPERLINK("https://twitter.com/ubbulls1/status/1502504869986508800")</f>
        <v>https://twitter.com/ubbulls1/status/1502504869986508800</v>
      </c>
      <c r="AA336" s="80"/>
      <c r="AB336" s="80"/>
      <c r="AC336" s="85" t="s">
        <v>1398</v>
      </c>
      <c r="AD336" s="80"/>
      <c r="AE336" s="80" t="b">
        <v>0</v>
      </c>
      <c r="AF336" s="80">
        <v>0</v>
      </c>
      <c r="AG336" s="85" t="s">
        <v>1635</v>
      </c>
      <c r="AH336" s="80" t="b">
        <v>0</v>
      </c>
      <c r="AI336" s="80" t="s">
        <v>1642</v>
      </c>
      <c r="AJ336" s="80"/>
      <c r="AK336" s="85" t="s">
        <v>1635</v>
      </c>
      <c r="AL336" s="80" t="b">
        <v>0</v>
      </c>
      <c r="AM336" s="80">
        <v>4</v>
      </c>
      <c r="AN336" s="85" t="s">
        <v>1473</v>
      </c>
      <c r="AO336" s="85" t="s">
        <v>1673</v>
      </c>
      <c r="AP336" s="80" t="b">
        <v>0</v>
      </c>
      <c r="AQ336" s="85" t="s">
        <v>1473</v>
      </c>
      <c r="AR336" s="80" t="s">
        <v>179</v>
      </c>
      <c r="AS336" s="80">
        <v>0</v>
      </c>
      <c r="AT336" s="80">
        <v>0</v>
      </c>
      <c r="AU336" s="80"/>
      <c r="AV336" s="80"/>
      <c r="AW336" s="80"/>
      <c r="AX336" s="80"/>
      <c r="AY336" s="80"/>
      <c r="AZ336" s="80"/>
      <c r="BA336" s="80"/>
      <c r="BB336" s="80"/>
    </row>
    <row r="337" spans="1:54" x14ac:dyDescent="0.25">
      <c r="A337" s="65" t="s">
        <v>348</v>
      </c>
      <c r="B337" s="65" t="s">
        <v>353</v>
      </c>
      <c r="C337" s="66"/>
      <c r="D337" s="67"/>
      <c r="E337" s="68"/>
      <c r="F337" s="69"/>
      <c r="G337" s="66"/>
      <c r="H337" s="70"/>
      <c r="I337" s="71"/>
      <c r="J337" s="71"/>
      <c r="K337" s="36" t="s">
        <v>65</v>
      </c>
      <c r="L337" s="78">
        <v>337</v>
      </c>
      <c r="M337" s="78"/>
      <c r="N337" s="73"/>
      <c r="O337" s="80" t="s">
        <v>415</v>
      </c>
      <c r="P337" s="82">
        <v>44632.5469212963</v>
      </c>
      <c r="Q337" s="80" t="s">
        <v>488</v>
      </c>
      <c r="R337" s="80"/>
      <c r="S337" s="80"/>
      <c r="T337" s="85" t="s">
        <v>357</v>
      </c>
      <c r="U337" s="83" t="str">
        <f>HYPERLINK("https://pbs.twimg.com/media/FNpnS6UWUAAi-cw.jpg")</f>
        <v>https://pbs.twimg.com/media/FNpnS6UWUAAi-cw.jpg</v>
      </c>
      <c r="V337" s="83" t="str">
        <f>HYPERLINK("https://pbs.twimg.com/media/FNpnS6UWUAAi-cw.jpg")</f>
        <v>https://pbs.twimg.com/media/FNpnS6UWUAAi-cw.jpg</v>
      </c>
      <c r="W337" s="82">
        <v>44632.5469212963</v>
      </c>
      <c r="X337" s="88">
        <v>44632</v>
      </c>
      <c r="Y337" s="85" t="s">
        <v>950</v>
      </c>
      <c r="Z337" s="83" t="str">
        <f>HYPERLINK("https://twitter.com/ubbulls1/status/1502632393798262784")</f>
        <v>https://twitter.com/ubbulls1/status/1502632393798262784</v>
      </c>
      <c r="AA337" s="80"/>
      <c r="AB337" s="80"/>
      <c r="AC337" s="85" t="s">
        <v>1399</v>
      </c>
      <c r="AD337" s="80"/>
      <c r="AE337" s="80" t="b">
        <v>0</v>
      </c>
      <c r="AF337" s="80">
        <v>0</v>
      </c>
      <c r="AG337" s="85" t="s">
        <v>1635</v>
      </c>
      <c r="AH337" s="80" t="b">
        <v>0</v>
      </c>
      <c r="AI337" s="80" t="s">
        <v>1642</v>
      </c>
      <c r="AJ337" s="80"/>
      <c r="AK337" s="85" t="s">
        <v>1635</v>
      </c>
      <c r="AL337" s="80" t="b">
        <v>0</v>
      </c>
      <c r="AM337" s="80">
        <v>3</v>
      </c>
      <c r="AN337" s="85" t="s">
        <v>1488</v>
      </c>
      <c r="AO337" s="85" t="s">
        <v>1673</v>
      </c>
      <c r="AP337" s="80" t="b">
        <v>0</v>
      </c>
      <c r="AQ337" s="85" t="s">
        <v>1488</v>
      </c>
      <c r="AR337" s="80" t="s">
        <v>179</v>
      </c>
      <c r="AS337" s="80">
        <v>0</v>
      </c>
      <c r="AT337" s="80">
        <v>0</v>
      </c>
      <c r="AU337" s="80"/>
      <c r="AV337" s="80"/>
      <c r="AW337" s="80"/>
      <c r="AX337" s="80"/>
      <c r="AY337" s="80"/>
      <c r="AZ337" s="80"/>
      <c r="BA337" s="80"/>
      <c r="BB337" s="80"/>
    </row>
    <row r="338" spans="1:54" x14ac:dyDescent="0.25">
      <c r="A338" s="65" t="s">
        <v>348</v>
      </c>
      <c r="B338" s="65" t="s">
        <v>385</v>
      </c>
      <c r="C338" s="66"/>
      <c r="D338" s="67"/>
      <c r="E338" s="68"/>
      <c r="F338" s="69"/>
      <c r="G338" s="66"/>
      <c r="H338" s="70"/>
      <c r="I338" s="71"/>
      <c r="J338" s="71"/>
      <c r="K338" s="36" t="s">
        <v>65</v>
      </c>
      <c r="L338" s="78">
        <v>338</v>
      </c>
      <c r="M338" s="78"/>
      <c r="N338" s="73"/>
      <c r="O338" s="80" t="s">
        <v>414</v>
      </c>
      <c r="P338" s="82">
        <v>44632.614050925928</v>
      </c>
      <c r="Q338" s="80" t="s">
        <v>516</v>
      </c>
      <c r="R338" s="83" t="str">
        <f>HYPERLINK("https://digital.lib.buffalo.edu/collection/LIB-UA021/")</f>
        <v>https://digital.lib.buffalo.edu/collection/LIB-UA021/</v>
      </c>
      <c r="S338" s="80" t="s">
        <v>632</v>
      </c>
      <c r="T338" s="85" t="s">
        <v>665</v>
      </c>
      <c r="U338" s="83" t="str">
        <f>HYPERLINK("https://pbs.twimg.com/media/FNp9fYPXoAkTobt.jpg")</f>
        <v>https://pbs.twimg.com/media/FNp9fYPXoAkTobt.jpg</v>
      </c>
      <c r="V338" s="83" t="str">
        <f>HYPERLINK("https://pbs.twimg.com/media/FNp9fYPXoAkTobt.jpg")</f>
        <v>https://pbs.twimg.com/media/FNp9fYPXoAkTobt.jpg</v>
      </c>
      <c r="W338" s="82">
        <v>44632.614050925928</v>
      </c>
      <c r="X338" s="88">
        <v>44632</v>
      </c>
      <c r="Y338" s="85" t="s">
        <v>951</v>
      </c>
      <c r="Z338" s="83" t="str">
        <f>HYPERLINK("https://twitter.com/ubbulls1/status/1502656719238881281")</f>
        <v>https://twitter.com/ubbulls1/status/1502656719238881281</v>
      </c>
      <c r="AA338" s="80"/>
      <c r="AB338" s="80"/>
      <c r="AC338" s="85" t="s">
        <v>1400</v>
      </c>
      <c r="AD338" s="80"/>
      <c r="AE338" s="80" t="b">
        <v>0</v>
      </c>
      <c r="AF338" s="80">
        <v>0</v>
      </c>
      <c r="AG338" s="85" t="s">
        <v>1635</v>
      </c>
      <c r="AH338" s="80" t="b">
        <v>0</v>
      </c>
      <c r="AI338" s="80" t="s">
        <v>1642</v>
      </c>
      <c r="AJ338" s="80"/>
      <c r="AK338" s="85" t="s">
        <v>1635</v>
      </c>
      <c r="AL338" s="80" t="b">
        <v>0</v>
      </c>
      <c r="AM338" s="80">
        <v>3</v>
      </c>
      <c r="AN338" s="85" t="s">
        <v>1474</v>
      </c>
      <c r="AO338" s="85" t="s">
        <v>1673</v>
      </c>
      <c r="AP338" s="80" t="b">
        <v>0</v>
      </c>
      <c r="AQ338" s="85" t="s">
        <v>1474</v>
      </c>
      <c r="AR338" s="80" t="s">
        <v>179</v>
      </c>
      <c r="AS338" s="80">
        <v>0</v>
      </c>
      <c r="AT338" s="80">
        <v>0</v>
      </c>
      <c r="AU338" s="80"/>
      <c r="AV338" s="80"/>
      <c r="AW338" s="80"/>
      <c r="AX338" s="80"/>
      <c r="AY338" s="80"/>
      <c r="AZ338" s="80"/>
      <c r="BA338" s="80"/>
      <c r="BB338" s="80"/>
    </row>
    <row r="339" spans="1:54" x14ac:dyDescent="0.25">
      <c r="A339" s="65" t="s">
        <v>348</v>
      </c>
      <c r="B339" s="65" t="s">
        <v>360</v>
      </c>
      <c r="C339" s="66"/>
      <c r="D339" s="67"/>
      <c r="E339" s="68"/>
      <c r="F339" s="69"/>
      <c r="G339" s="66"/>
      <c r="H339" s="70"/>
      <c r="I339" s="71"/>
      <c r="J339" s="71"/>
      <c r="K339" s="36" t="s">
        <v>65</v>
      </c>
      <c r="L339" s="78">
        <v>339</v>
      </c>
      <c r="M339" s="78"/>
      <c r="N339" s="73"/>
      <c r="O339" s="80" t="s">
        <v>415</v>
      </c>
      <c r="P339" s="82">
        <v>44632.614050925928</v>
      </c>
      <c r="Q339" s="80" t="s">
        <v>516</v>
      </c>
      <c r="R339" s="83" t="str">
        <f>HYPERLINK("https://digital.lib.buffalo.edu/collection/LIB-UA021/")</f>
        <v>https://digital.lib.buffalo.edu/collection/LIB-UA021/</v>
      </c>
      <c r="S339" s="80" t="s">
        <v>632</v>
      </c>
      <c r="T339" s="85" t="s">
        <v>665</v>
      </c>
      <c r="U339" s="83" t="str">
        <f>HYPERLINK("https://pbs.twimg.com/media/FNp9fYPXoAkTobt.jpg")</f>
        <v>https://pbs.twimg.com/media/FNp9fYPXoAkTobt.jpg</v>
      </c>
      <c r="V339" s="83" t="str">
        <f>HYPERLINK("https://pbs.twimg.com/media/FNp9fYPXoAkTobt.jpg")</f>
        <v>https://pbs.twimg.com/media/FNp9fYPXoAkTobt.jpg</v>
      </c>
      <c r="W339" s="82">
        <v>44632.614050925928</v>
      </c>
      <c r="X339" s="88">
        <v>44632</v>
      </c>
      <c r="Y339" s="85" t="s">
        <v>951</v>
      </c>
      <c r="Z339" s="83" t="str">
        <f>HYPERLINK("https://twitter.com/ubbulls1/status/1502656719238881281")</f>
        <v>https://twitter.com/ubbulls1/status/1502656719238881281</v>
      </c>
      <c r="AA339" s="80"/>
      <c r="AB339" s="80"/>
      <c r="AC339" s="85" t="s">
        <v>1400</v>
      </c>
      <c r="AD339" s="80"/>
      <c r="AE339" s="80" t="b">
        <v>0</v>
      </c>
      <c r="AF339" s="80">
        <v>0</v>
      </c>
      <c r="AG339" s="85" t="s">
        <v>1635</v>
      </c>
      <c r="AH339" s="80" t="b">
        <v>0</v>
      </c>
      <c r="AI339" s="80" t="s">
        <v>1642</v>
      </c>
      <c r="AJ339" s="80"/>
      <c r="AK339" s="85" t="s">
        <v>1635</v>
      </c>
      <c r="AL339" s="80" t="b">
        <v>0</v>
      </c>
      <c r="AM339" s="80">
        <v>3</v>
      </c>
      <c r="AN339" s="85" t="s">
        <v>1474</v>
      </c>
      <c r="AO339" s="85" t="s">
        <v>1673</v>
      </c>
      <c r="AP339" s="80" t="b">
        <v>0</v>
      </c>
      <c r="AQ339" s="85" t="s">
        <v>1474</v>
      </c>
      <c r="AR339" s="80" t="s">
        <v>179</v>
      </c>
      <c r="AS339" s="80">
        <v>0</v>
      </c>
      <c r="AT339" s="80">
        <v>0</v>
      </c>
      <c r="AU339" s="80"/>
      <c r="AV339" s="80"/>
      <c r="AW339" s="80"/>
      <c r="AX339" s="80"/>
      <c r="AY339" s="80"/>
      <c r="AZ339" s="80"/>
      <c r="BA339" s="80"/>
      <c r="BB339" s="80"/>
    </row>
    <row r="340" spans="1:54" x14ac:dyDescent="0.25">
      <c r="A340" s="65" t="s">
        <v>348</v>
      </c>
      <c r="B340" s="65" t="s">
        <v>402</v>
      </c>
      <c r="C340" s="66"/>
      <c r="D340" s="67"/>
      <c r="E340" s="68"/>
      <c r="F340" s="69"/>
      <c r="G340" s="66"/>
      <c r="H340" s="70"/>
      <c r="I340" s="71"/>
      <c r="J340" s="71"/>
      <c r="K340" s="36" t="s">
        <v>65</v>
      </c>
      <c r="L340" s="78">
        <v>340</v>
      </c>
      <c r="M340" s="78"/>
      <c r="N340" s="73"/>
      <c r="O340" s="80" t="s">
        <v>414</v>
      </c>
      <c r="P340" s="82">
        <v>44632.684178240743</v>
      </c>
      <c r="Q340" s="80" t="s">
        <v>493</v>
      </c>
      <c r="R340" s="80"/>
      <c r="S340" s="80"/>
      <c r="T340" s="85" t="s">
        <v>695</v>
      </c>
      <c r="U340" s="83" t="str">
        <f>HYPERLINK("https://pbs.twimg.com/media/FNqSbpdWYAUvzSx.jpg")</f>
        <v>https://pbs.twimg.com/media/FNqSbpdWYAUvzSx.jpg</v>
      </c>
      <c r="V340" s="83" t="str">
        <f>HYPERLINK("https://pbs.twimg.com/media/FNqSbpdWYAUvzSx.jpg")</f>
        <v>https://pbs.twimg.com/media/FNqSbpdWYAUvzSx.jpg</v>
      </c>
      <c r="W340" s="82">
        <v>44632.684178240743</v>
      </c>
      <c r="X340" s="88">
        <v>44632</v>
      </c>
      <c r="Y340" s="85" t="s">
        <v>952</v>
      </c>
      <c r="Z340" s="83" t="str">
        <f>HYPERLINK("https://twitter.com/ubbulls1/status/1502682130891091972")</f>
        <v>https://twitter.com/ubbulls1/status/1502682130891091972</v>
      </c>
      <c r="AA340" s="80"/>
      <c r="AB340" s="80"/>
      <c r="AC340" s="85" t="s">
        <v>1401</v>
      </c>
      <c r="AD340" s="80"/>
      <c r="AE340" s="80" t="b">
        <v>0</v>
      </c>
      <c r="AF340" s="80">
        <v>0</v>
      </c>
      <c r="AG340" s="85" t="s">
        <v>1635</v>
      </c>
      <c r="AH340" s="80" t="b">
        <v>0</v>
      </c>
      <c r="AI340" s="80" t="s">
        <v>1642</v>
      </c>
      <c r="AJ340" s="80"/>
      <c r="AK340" s="85" t="s">
        <v>1635</v>
      </c>
      <c r="AL340" s="80" t="b">
        <v>0</v>
      </c>
      <c r="AM340" s="80">
        <v>5</v>
      </c>
      <c r="AN340" s="85" t="s">
        <v>1438</v>
      </c>
      <c r="AO340" s="85" t="s">
        <v>1673</v>
      </c>
      <c r="AP340" s="80" t="b">
        <v>0</v>
      </c>
      <c r="AQ340" s="85" t="s">
        <v>1438</v>
      </c>
      <c r="AR340" s="80" t="s">
        <v>179</v>
      </c>
      <c r="AS340" s="80">
        <v>0</v>
      </c>
      <c r="AT340" s="80">
        <v>0</v>
      </c>
      <c r="AU340" s="80"/>
      <c r="AV340" s="80"/>
      <c r="AW340" s="80"/>
      <c r="AX340" s="80"/>
      <c r="AY340" s="80"/>
      <c r="AZ340" s="80"/>
      <c r="BA340" s="80"/>
      <c r="BB340" s="80"/>
    </row>
    <row r="341" spans="1:54" x14ac:dyDescent="0.25">
      <c r="A341" s="65" t="s">
        <v>348</v>
      </c>
      <c r="B341" s="65" t="s">
        <v>385</v>
      </c>
      <c r="C341" s="66"/>
      <c r="D341" s="67"/>
      <c r="E341" s="68"/>
      <c r="F341" s="69"/>
      <c r="G341" s="66"/>
      <c r="H341" s="70"/>
      <c r="I341" s="71"/>
      <c r="J341" s="71"/>
      <c r="K341" s="36" t="s">
        <v>65</v>
      </c>
      <c r="L341" s="78">
        <v>341</v>
      </c>
      <c r="M341" s="78"/>
      <c r="N341" s="73"/>
      <c r="O341" s="80" t="s">
        <v>414</v>
      </c>
      <c r="P341" s="82">
        <v>44632.684178240743</v>
      </c>
      <c r="Q341" s="80" t="s">
        <v>493</v>
      </c>
      <c r="R341" s="80"/>
      <c r="S341" s="80"/>
      <c r="T341" s="85" t="s">
        <v>695</v>
      </c>
      <c r="U341" s="83" t="str">
        <f>HYPERLINK("https://pbs.twimg.com/media/FNqSbpdWYAUvzSx.jpg")</f>
        <v>https://pbs.twimg.com/media/FNqSbpdWYAUvzSx.jpg</v>
      </c>
      <c r="V341" s="83" t="str">
        <f>HYPERLINK("https://pbs.twimg.com/media/FNqSbpdWYAUvzSx.jpg")</f>
        <v>https://pbs.twimg.com/media/FNqSbpdWYAUvzSx.jpg</v>
      </c>
      <c r="W341" s="82">
        <v>44632.684178240743</v>
      </c>
      <c r="X341" s="88">
        <v>44632</v>
      </c>
      <c r="Y341" s="85" t="s">
        <v>952</v>
      </c>
      <c r="Z341" s="83" t="str">
        <f>HYPERLINK("https://twitter.com/ubbulls1/status/1502682130891091972")</f>
        <v>https://twitter.com/ubbulls1/status/1502682130891091972</v>
      </c>
      <c r="AA341" s="80"/>
      <c r="AB341" s="80"/>
      <c r="AC341" s="85" t="s">
        <v>1401</v>
      </c>
      <c r="AD341" s="80"/>
      <c r="AE341" s="80" t="b">
        <v>0</v>
      </c>
      <c r="AF341" s="80">
        <v>0</v>
      </c>
      <c r="AG341" s="85" t="s">
        <v>1635</v>
      </c>
      <c r="AH341" s="80" t="b">
        <v>0</v>
      </c>
      <c r="AI341" s="80" t="s">
        <v>1642</v>
      </c>
      <c r="AJ341" s="80"/>
      <c r="AK341" s="85" t="s">
        <v>1635</v>
      </c>
      <c r="AL341" s="80" t="b">
        <v>0</v>
      </c>
      <c r="AM341" s="80">
        <v>5</v>
      </c>
      <c r="AN341" s="85" t="s">
        <v>1438</v>
      </c>
      <c r="AO341" s="85" t="s">
        <v>1673</v>
      </c>
      <c r="AP341" s="80" t="b">
        <v>0</v>
      </c>
      <c r="AQ341" s="85" t="s">
        <v>1438</v>
      </c>
      <c r="AR341" s="80" t="s">
        <v>179</v>
      </c>
      <c r="AS341" s="80">
        <v>0</v>
      </c>
      <c r="AT341" s="80">
        <v>0</v>
      </c>
      <c r="AU341" s="80"/>
      <c r="AV341" s="80"/>
      <c r="AW341" s="80"/>
      <c r="AX341" s="80"/>
      <c r="AY341" s="80"/>
      <c r="AZ341" s="80"/>
      <c r="BA341" s="80"/>
      <c r="BB341" s="80"/>
    </row>
    <row r="342" spans="1:54" x14ac:dyDescent="0.25">
      <c r="A342" s="65" t="s">
        <v>348</v>
      </c>
      <c r="B342" s="65" t="s">
        <v>358</v>
      </c>
      <c r="C342" s="66"/>
      <c r="D342" s="67"/>
      <c r="E342" s="68"/>
      <c r="F342" s="69"/>
      <c r="G342" s="66"/>
      <c r="H342" s="70"/>
      <c r="I342" s="71"/>
      <c r="J342" s="71"/>
      <c r="K342" s="36" t="s">
        <v>65</v>
      </c>
      <c r="L342" s="78">
        <v>342</v>
      </c>
      <c r="M342" s="78"/>
      <c r="N342" s="73"/>
      <c r="O342" s="80" t="s">
        <v>415</v>
      </c>
      <c r="P342" s="82">
        <v>44632.684178240743</v>
      </c>
      <c r="Q342" s="80" t="s">
        <v>493</v>
      </c>
      <c r="R342" s="80"/>
      <c r="S342" s="80"/>
      <c r="T342" s="85" t="s">
        <v>695</v>
      </c>
      <c r="U342" s="83" t="str">
        <f>HYPERLINK("https://pbs.twimg.com/media/FNqSbpdWYAUvzSx.jpg")</f>
        <v>https://pbs.twimg.com/media/FNqSbpdWYAUvzSx.jpg</v>
      </c>
      <c r="V342" s="83" t="str">
        <f>HYPERLINK("https://pbs.twimg.com/media/FNqSbpdWYAUvzSx.jpg")</f>
        <v>https://pbs.twimg.com/media/FNqSbpdWYAUvzSx.jpg</v>
      </c>
      <c r="W342" s="82">
        <v>44632.684178240743</v>
      </c>
      <c r="X342" s="88">
        <v>44632</v>
      </c>
      <c r="Y342" s="85" t="s">
        <v>952</v>
      </c>
      <c r="Z342" s="83" t="str">
        <f>HYPERLINK("https://twitter.com/ubbulls1/status/1502682130891091972")</f>
        <v>https://twitter.com/ubbulls1/status/1502682130891091972</v>
      </c>
      <c r="AA342" s="80"/>
      <c r="AB342" s="80"/>
      <c r="AC342" s="85" t="s">
        <v>1401</v>
      </c>
      <c r="AD342" s="80"/>
      <c r="AE342" s="80" t="b">
        <v>0</v>
      </c>
      <c r="AF342" s="80">
        <v>0</v>
      </c>
      <c r="AG342" s="85" t="s">
        <v>1635</v>
      </c>
      <c r="AH342" s="80" t="b">
        <v>0</v>
      </c>
      <c r="AI342" s="80" t="s">
        <v>1642</v>
      </c>
      <c r="AJ342" s="80"/>
      <c r="AK342" s="85" t="s">
        <v>1635</v>
      </c>
      <c r="AL342" s="80" t="b">
        <v>0</v>
      </c>
      <c r="AM342" s="80">
        <v>5</v>
      </c>
      <c r="AN342" s="85" t="s">
        <v>1438</v>
      </c>
      <c r="AO342" s="85" t="s">
        <v>1673</v>
      </c>
      <c r="AP342" s="80" t="b">
        <v>0</v>
      </c>
      <c r="AQ342" s="85" t="s">
        <v>1438</v>
      </c>
      <c r="AR342" s="80" t="s">
        <v>179</v>
      </c>
      <c r="AS342" s="80">
        <v>0</v>
      </c>
      <c r="AT342" s="80">
        <v>0</v>
      </c>
      <c r="AU342" s="80"/>
      <c r="AV342" s="80"/>
      <c r="AW342" s="80"/>
      <c r="AX342" s="80"/>
      <c r="AY342" s="80"/>
      <c r="AZ342" s="80"/>
      <c r="BA342" s="80"/>
      <c r="BB342" s="80"/>
    </row>
    <row r="343" spans="1:54" x14ac:dyDescent="0.25">
      <c r="A343" s="65" t="s">
        <v>348</v>
      </c>
      <c r="B343" s="65" t="s">
        <v>405</v>
      </c>
      <c r="C343" s="66"/>
      <c r="D343" s="67"/>
      <c r="E343" s="68"/>
      <c r="F343" s="69"/>
      <c r="G343" s="66"/>
      <c r="H343" s="70"/>
      <c r="I343" s="71"/>
      <c r="J343" s="71"/>
      <c r="K343" s="36" t="s">
        <v>65</v>
      </c>
      <c r="L343" s="78">
        <v>343</v>
      </c>
      <c r="M343" s="78"/>
      <c r="N343" s="73"/>
      <c r="O343" s="80" t="s">
        <v>414</v>
      </c>
      <c r="P343" s="82">
        <v>44632.759317129632</v>
      </c>
      <c r="Q343" s="80" t="s">
        <v>500</v>
      </c>
      <c r="R343" s="80"/>
      <c r="S343" s="80"/>
      <c r="T343" s="85" t="s">
        <v>697</v>
      </c>
      <c r="U343" s="80"/>
      <c r="V343" s="83" t="str">
        <f>HYPERLINK("https://pbs.twimg.com/profile_images/1419646236345389059/-CYYT9pj_normal.jpg")</f>
        <v>https://pbs.twimg.com/profile_images/1419646236345389059/-CYYT9pj_normal.jpg</v>
      </c>
      <c r="W343" s="82">
        <v>44632.759317129632</v>
      </c>
      <c r="X343" s="88">
        <v>44632</v>
      </c>
      <c r="Y343" s="85" t="s">
        <v>953</v>
      </c>
      <c r="Z343" s="83" t="str">
        <f>HYPERLINK("https://twitter.com/ubbulls1/status/1502709362720190469")</f>
        <v>https://twitter.com/ubbulls1/status/1502709362720190469</v>
      </c>
      <c r="AA343" s="80"/>
      <c r="AB343" s="80"/>
      <c r="AC343" s="85" t="s">
        <v>1402</v>
      </c>
      <c r="AD343" s="80"/>
      <c r="AE343" s="80" t="b">
        <v>0</v>
      </c>
      <c r="AF343" s="80">
        <v>0</v>
      </c>
      <c r="AG343" s="85" t="s">
        <v>1635</v>
      </c>
      <c r="AH343" s="80" t="b">
        <v>0</v>
      </c>
      <c r="AI343" s="80" t="s">
        <v>1642</v>
      </c>
      <c r="AJ343" s="80"/>
      <c r="AK343" s="85" t="s">
        <v>1635</v>
      </c>
      <c r="AL343" s="80" t="b">
        <v>0</v>
      </c>
      <c r="AM343" s="80">
        <v>7</v>
      </c>
      <c r="AN343" s="85" t="s">
        <v>1537</v>
      </c>
      <c r="AO343" s="85" t="s">
        <v>1673</v>
      </c>
      <c r="AP343" s="80" t="b">
        <v>0</v>
      </c>
      <c r="AQ343" s="85" t="s">
        <v>1537</v>
      </c>
      <c r="AR343" s="80" t="s">
        <v>179</v>
      </c>
      <c r="AS343" s="80">
        <v>0</v>
      </c>
      <c r="AT343" s="80">
        <v>0</v>
      </c>
      <c r="AU343" s="80"/>
      <c r="AV343" s="80"/>
      <c r="AW343" s="80"/>
      <c r="AX343" s="80"/>
      <c r="AY343" s="80"/>
      <c r="AZ343" s="80"/>
      <c r="BA343" s="80"/>
      <c r="BB343" s="80"/>
    </row>
    <row r="344" spans="1:54" x14ac:dyDescent="0.25">
      <c r="A344" s="65" t="s">
        <v>348</v>
      </c>
      <c r="B344" s="65" t="s">
        <v>402</v>
      </c>
      <c r="C344" s="66"/>
      <c r="D344" s="67"/>
      <c r="E344" s="68"/>
      <c r="F344" s="69"/>
      <c r="G344" s="66"/>
      <c r="H344" s="70"/>
      <c r="I344" s="71"/>
      <c r="J344" s="71"/>
      <c r="K344" s="36" t="s">
        <v>65</v>
      </c>
      <c r="L344" s="78">
        <v>344</v>
      </c>
      <c r="M344" s="78"/>
      <c r="N344" s="73"/>
      <c r="O344" s="80" t="s">
        <v>414</v>
      </c>
      <c r="P344" s="82">
        <v>44632.759317129632</v>
      </c>
      <c r="Q344" s="80" t="s">
        <v>500</v>
      </c>
      <c r="R344" s="80"/>
      <c r="S344" s="80"/>
      <c r="T344" s="85" t="s">
        <v>697</v>
      </c>
      <c r="U344" s="80"/>
      <c r="V344" s="83" t="str">
        <f>HYPERLINK("https://pbs.twimg.com/profile_images/1419646236345389059/-CYYT9pj_normal.jpg")</f>
        <v>https://pbs.twimg.com/profile_images/1419646236345389059/-CYYT9pj_normal.jpg</v>
      </c>
      <c r="W344" s="82">
        <v>44632.759317129632</v>
      </c>
      <c r="X344" s="88">
        <v>44632</v>
      </c>
      <c r="Y344" s="85" t="s">
        <v>953</v>
      </c>
      <c r="Z344" s="83" t="str">
        <f>HYPERLINK("https://twitter.com/ubbulls1/status/1502709362720190469")</f>
        <v>https://twitter.com/ubbulls1/status/1502709362720190469</v>
      </c>
      <c r="AA344" s="80"/>
      <c r="AB344" s="80"/>
      <c r="AC344" s="85" t="s">
        <v>1402</v>
      </c>
      <c r="AD344" s="80"/>
      <c r="AE344" s="80" t="b">
        <v>0</v>
      </c>
      <c r="AF344" s="80">
        <v>0</v>
      </c>
      <c r="AG344" s="85" t="s">
        <v>1635</v>
      </c>
      <c r="AH344" s="80" t="b">
        <v>0</v>
      </c>
      <c r="AI344" s="80" t="s">
        <v>1642</v>
      </c>
      <c r="AJ344" s="80"/>
      <c r="AK344" s="85" t="s">
        <v>1635</v>
      </c>
      <c r="AL344" s="80" t="b">
        <v>0</v>
      </c>
      <c r="AM344" s="80">
        <v>7</v>
      </c>
      <c r="AN344" s="85" t="s">
        <v>1537</v>
      </c>
      <c r="AO344" s="85" t="s">
        <v>1673</v>
      </c>
      <c r="AP344" s="80" t="b">
        <v>0</v>
      </c>
      <c r="AQ344" s="85" t="s">
        <v>1537</v>
      </c>
      <c r="AR344" s="80" t="s">
        <v>179</v>
      </c>
      <c r="AS344" s="80">
        <v>0</v>
      </c>
      <c r="AT344" s="80">
        <v>0</v>
      </c>
      <c r="AU344" s="80"/>
      <c r="AV344" s="80"/>
      <c r="AW344" s="80"/>
      <c r="AX344" s="80"/>
      <c r="AY344" s="80"/>
      <c r="AZ344" s="80"/>
      <c r="BA344" s="80"/>
      <c r="BB344" s="80"/>
    </row>
    <row r="345" spans="1:54" x14ac:dyDescent="0.25">
      <c r="A345" s="65" t="s">
        <v>348</v>
      </c>
      <c r="B345" s="65" t="s">
        <v>385</v>
      </c>
      <c r="C345" s="66"/>
      <c r="D345" s="67"/>
      <c r="E345" s="68"/>
      <c r="F345" s="69"/>
      <c r="G345" s="66"/>
      <c r="H345" s="70"/>
      <c r="I345" s="71"/>
      <c r="J345" s="71"/>
      <c r="K345" s="36" t="s">
        <v>65</v>
      </c>
      <c r="L345" s="78">
        <v>345</v>
      </c>
      <c r="M345" s="78"/>
      <c r="N345" s="73"/>
      <c r="O345" s="80" t="s">
        <v>414</v>
      </c>
      <c r="P345" s="82">
        <v>44632.759317129632</v>
      </c>
      <c r="Q345" s="80" t="s">
        <v>500</v>
      </c>
      <c r="R345" s="80"/>
      <c r="S345" s="80"/>
      <c r="T345" s="85" t="s">
        <v>697</v>
      </c>
      <c r="U345" s="80"/>
      <c r="V345" s="83" t="str">
        <f>HYPERLINK("https://pbs.twimg.com/profile_images/1419646236345389059/-CYYT9pj_normal.jpg")</f>
        <v>https://pbs.twimg.com/profile_images/1419646236345389059/-CYYT9pj_normal.jpg</v>
      </c>
      <c r="W345" s="82">
        <v>44632.759317129632</v>
      </c>
      <c r="X345" s="88">
        <v>44632</v>
      </c>
      <c r="Y345" s="85" t="s">
        <v>953</v>
      </c>
      <c r="Z345" s="83" t="str">
        <f>HYPERLINK("https://twitter.com/ubbulls1/status/1502709362720190469")</f>
        <v>https://twitter.com/ubbulls1/status/1502709362720190469</v>
      </c>
      <c r="AA345" s="80"/>
      <c r="AB345" s="80"/>
      <c r="AC345" s="85" t="s">
        <v>1402</v>
      </c>
      <c r="AD345" s="80"/>
      <c r="AE345" s="80" t="b">
        <v>0</v>
      </c>
      <c r="AF345" s="80">
        <v>0</v>
      </c>
      <c r="AG345" s="85" t="s">
        <v>1635</v>
      </c>
      <c r="AH345" s="80" t="b">
        <v>0</v>
      </c>
      <c r="AI345" s="80" t="s">
        <v>1642</v>
      </c>
      <c r="AJ345" s="80"/>
      <c r="AK345" s="85" t="s">
        <v>1635</v>
      </c>
      <c r="AL345" s="80" t="b">
        <v>0</v>
      </c>
      <c r="AM345" s="80">
        <v>7</v>
      </c>
      <c r="AN345" s="85" t="s">
        <v>1537</v>
      </c>
      <c r="AO345" s="85" t="s">
        <v>1673</v>
      </c>
      <c r="AP345" s="80" t="b">
        <v>0</v>
      </c>
      <c r="AQ345" s="85" t="s">
        <v>1537</v>
      </c>
      <c r="AR345" s="80" t="s">
        <v>179</v>
      </c>
      <c r="AS345" s="80">
        <v>0</v>
      </c>
      <c r="AT345" s="80">
        <v>0</v>
      </c>
      <c r="AU345" s="80"/>
      <c r="AV345" s="80"/>
      <c r="AW345" s="80"/>
      <c r="AX345" s="80"/>
      <c r="AY345" s="80"/>
      <c r="AZ345" s="80"/>
      <c r="BA345" s="80"/>
      <c r="BB345" s="80"/>
    </row>
    <row r="346" spans="1:54" x14ac:dyDescent="0.25">
      <c r="A346" s="65" t="s">
        <v>348</v>
      </c>
      <c r="B346" s="65" t="s">
        <v>372</v>
      </c>
      <c r="C346" s="66"/>
      <c r="D346" s="67"/>
      <c r="E346" s="68"/>
      <c r="F346" s="69"/>
      <c r="G346" s="66"/>
      <c r="H346" s="70"/>
      <c r="I346" s="71"/>
      <c r="J346" s="71"/>
      <c r="K346" s="36" t="s">
        <v>65</v>
      </c>
      <c r="L346" s="78">
        <v>346</v>
      </c>
      <c r="M346" s="78"/>
      <c r="N346" s="73"/>
      <c r="O346" s="80" t="s">
        <v>415</v>
      </c>
      <c r="P346" s="82">
        <v>44632.759317129632</v>
      </c>
      <c r="Q346" s="80" t="s">
        <v>500</v>
      </c>
      <c r="R346" s="80"/>
      <c r="S346" s="80"/>
      <c r="T346" s="85" t="s">
        <v>697</v>
      </c>
      <c r="U346" s="80"/>
      <c r="V346" s="83" t="str">
        <f>HYPERLINK("https://pbs.twimg.com/profile_images/1419646236345389059/-CYYT9pj_normal.jpg")</f>
        <v>https://pbs.twimg.com/profile_images/1419646236345389059/-CYYT9pj_normal.jpg</v>
      </c>
      <c r="W346" s="82">
        <v>44632.759317129632</v>
      </c>
      <c r="X346" s="88">
        <v>44632</v>
      </c>
      <c r="Y346" s="85" t="s">
        <v>953</v>
      </c>
      <c r="Z346" s="83" t="str">
        <f>HYPERLINK("https://twitter.com/ubbulls1/status/1502709362720190469")</f>
        <v>https://twitter.com/ubbulls1/status/1502709362720190469</v>
      </c>
      <c r="AA346" s="80"/>
      <c r="AB346" s="80"/>
      <c r="AC346" s="85" t="s">
        <v>1402</v>
      </c>
      <c r="AD346" s="80"/>
      <c r="AE346" s="80" t="b">
        <v>0</v>
      </c>
      <c r="AF346" s="80">
        <v>0</v>
      </c>
      <c r="AG346" s="85" t="s">
        <v>1635</v>
      </c>
      <c r="AH346" s="80" t="b">
        <v>0</v>
      </c>
      <c r="AI346" s="80" t="s">
        <v>1642</v>
      </c>
      <c r="AJ346" s="80"/>
      <c r="AK346" s="85" t="s">
        <v>1635</v>
      </c>
      <c r="AL346" s="80" t="b">
        <v>0</v>
      </c>
      <c r="AM346" s="80">
        <v>7</v>
      </c>
      <c r="AN346" s="85" t="s">
        <v>1537</v>
      </c>
      <c r="AO346" s="85" t="s">
        <v>1673</v>
      </c>
      <c r="AP346" s="80" t="b">
        <v>0</v>
      </c>
      <c r="AQ346" s="85" t="s">
        <v>1537</v>
      </c>
      <c r="AR346" s="80" t="s">
        <v>179</v>
      </c>
      <c r="AS346" s="80">
        <v>0</v>
      </c>
      <c r="AT346" s="80">
        <v>0</v>
      </c>
      <c r="AU346" s="80"/>
      <c r="AV346" s="80"/>
      <c r="AW346" s="80"/>
      <c r="AX346" s="80"/>
      <c r="AY346" s="80"/>
      <c r="AZ346" s="80"/>
      <c r="BA346" s="80"/>
      <c r="BB346" s="80"/>
    </row>
    <row r="347" spans="1:54" x14ac:dyDescent="0.25">
      <c r="A347" s="65" t="s">
        <v>348</v>
      </c>
      <c r="B347" s="65" t="s">
        <v>385</v>
      </c>
      <c r="C347" s="66"/>
      <c r="D347" s="67"/>
      <c r="E347" s="68"/>
      <c r="F347" s="69"/>
      <c r="G347" s="66"/>
      <c r="H347" s="70"/>
      <c r="I347" s="71"/>
      <c r="J347" s="71"/>
      <c r="K347" s="36" t="s">
        <v>65</v>
      </c>
      <c r="L347" s="78">
        <v>347</v>
      </c>
      <c r="M347" s="78"/>
      <c r="N347" s="73"/>
      <c r="O347" s="80" t="s">
        <v>414</v>
      </c>
      <c r="P347" s="82">
        <v>44632.759768518517</v>
      </c>
      <c r="Q347" s="80" t="s">
        <v>502</v>
      </c>
      <c r="R347" s="83" t="str">
        <f>HYPERLINK("https://twitter.com/UBAthletics/status/1502708562472148997")</f>
        <v>https://twitter.com/UBAthletics/status/1502708562472148997</v>
      </c>
      <c r="S347" s="80" t="s">
        <v>633</v>
      </c>
      <c r="T347" s="85" t="s">
        <v>698</v>
      </c>
      <c r="U347" s="80"/>
      <c r="V347" s="83" t="str">
        <f>HYPERLINK("https://pbs.twimg.com/profile_images/1419646236345389059/-CYYT9pj_normal.jpg")</f>
        <v>https://pbs.twimg.com/profile_images/1419646236345389059/-CYYT9pj_normal.jpg</v>
      </c>
      <c r="W347" s="82">
        <v>44632.759768518517</v>
      </c>
      <c r="X347" s="88">
        <v>44632</v>
      </c>
      <c r="Y347" s="85" t="s">
        <v>954</v>
      </c>
      <c r="Z347" s="83" t="str">
        <f>HYPERLINK("https://twitter.com/ubbulls1/status/1502709525467607043")</f>
        <v>https://twitter.com/ubbulls1/status/1502709525467607043</v>
      </c>
      <c r="AA347" s="80"/>
      <c r="AB347" s="80"/>
      <c r="AC347" s="85" t="s">
        <v>1403</v>
      </c>
      <c r="AD347" s="80"/>
      <c r="AE347" s="80" t="b">
        <v>0</v>
      </c>
      <c r="AF347" s="80">
        <v>0</v>
      </c>
      <c r="AG347" s="85" t="s">
        <v>1635</v>
      </c>
      <c r="AH347" s="80" t="b">
        <v>1</v>
      </c>
      <c r="AI347" s="80" t="s">
        <v>1642</v>
      </c>
      <c r="AJ347" s="80"/>
      <c r="AK347" s="85" t="s">
        <v>1652</v>
      </c>
      <c r="AL347" s="80" t="b">
        <v>0</v>
      </c>
      <c r="AM347" s="80">
        <v>8</v>
      </c>
      <c r="AN347" s="85" t="s">
        <v>1581</v>
      </c>
      <c r="AO347" s="85" t="s">
        <v>1673</v>
      </c>
      <c r="AP347" s="80" t="b">
        <v>0</v>
      </c>
      <c r="AQ347" s="85" t="s">
        <v>1581</v>
      </c>
      <c r="AR347" s="80" t="s">
        <v>179</v>
      </c>
      <c r="AS347" s="80">
        <v>0</v>
      </c>
      <c r="AT347" s="80">
        <v>0</v>
      </c>
      <c r="AU347" s="80"/>
      <c r="AV347" s="80"/>
      <c r="AW347" s="80"/>
      <c r="AX347" s="80"/>
      <c r="AY347" s="80"/>
      <c r="AZ347" s="80"/>
      <c r="BA347" s="80"/>
      <c r="BB347" s="80"/>
    </row>
    <row r="348" spans="1:54" x14ac:dyDescent="0.25">
      <c r="A348" s="65" t="s">
        <v>348</v>
      </c>
      <c r="B348" s="65" t="s">
        <v>357</v>
      </c>
      <c r="C348" s="66"/>
      <c r="D348" s="67"/>
      <c r="E348" s="68"/>
      <c r="F348" s="69"/>
      <c r="G348" s="66"/>
      <c r="H348" s="70"/>
      <c r="I348" s="71"/>
      <c r="J348" s="71"/>
      <c r="K348" s="36" t="s">
        <v>65</v>
      </c>
      <c r="L348" s="78">
        <v>348</v>
      </c>
      <c r="M348" s="78"/>
      <c r="N348" s="73"/>
      <c r="O348" s="80" t="s">
        <v>415</v>
      </c>
      <c r="P348" s="82">
        <v>44632.759768518517</v>
      </c>
      <c r="Q348" s="80" t="s">
        <v>502</v>
      </c>
      <c r="R348" s="83" t="str">
        <f>HYPERLINK("https://twitter.com/UBAthletics/status/1502708562472148997")</f>
        <v>https://twitter.com/UBAthletics/status/1502708562472148997</v>
      </c>
      <c r="S348" s="80" t="s">
        <v>633</v>
      </c>
      <c r="T348" s="85" t="s">
        <v>698</v>
      </c>
      <c r="U348" s="80"/>
      <c r="V348" s="83" t="str">
        <f>HYPERLINK("https://pbs.twimg.com/profile_images/1419646236345389059/-CYYT9pj_normal.jpg")</f>
        <v>https://pbs.twimg.com/profile_images/1419646236345389059/-CYYT9pj_normal.jpg</v>
      </c>
      <c r="W348" s="82">
        <v>44632.759768518517</v>
      </c>
      <c r="X348" s="88">
        <v>44632</v>
      </c>
      <c r="Y348" s="85" t="s">
        <v>954</v>
      </c>
      <c r="Z348" s="83" t="str">
        <f>HYPERLINK("https://twitter.com/ubbulls1/status/1502709525467607043")</f>
        <v>https://twitter.com/ubbulls1/status/1502709525467607043</v>
      </c>
      <c r="AA348" s="80"/>
      <c r="AB348" s="80"/>
      <c r="AC348" s="85" t="s">
        <v>1403</v>
      </c>
      <c r="AD348" s="80"/>
      <c r="AE348" s="80" t="b">
        <v>0</v>
      </c>
      <c r="AF348" s="80">
        <v>0</v>
      </c>
      <c r="AG348" s="85" t="s">
        <v>1635</v>
      </c>
      <c r="AH348" s="80" t="b">
        <v>1</v>
      </c>
      <c r="AI348" s="80" t="s">
        <v>1642</v>
      </c>
      <c r="AJ348" s="80"/>
      <c r="AK348" s="85" t="s">
        <v>1652</v>
      </c>
      <c r="AL348" s="80" t="b">
        <v>0</v>
      </c>
      <c r="AM348" s="80">
        <v>8</v>
      </c>
      <c r="AN348" s="85" t="s">
        <v>1581</v>
      </c>
      <c r="AO348" s="85" t="s">
        <v>1673</v>
      </c>
      <c r="AP348" s="80" t="b">
        <v>0</v>
      </c>
      <c r="AQ348" s="85" t="s">
        <v>1581</v>
      </c>
      <c r="AR348" s="80" t="s">
        <v>179</v>
      </c>
      <c r="AS348" s="80">
        <v>0</v>
      </c>
      <c r="AT348" s="80">
        <v>0</v>
      </c>
      <c r="AU348" s="80"/>
      <c r="AV348" s="80"/>
      <c r="AW348" s="80"/>
      <c r="AX348" s="80"/>
      <c r="AY348" s="80"/>
      <c r="AZ348" s="80"/>
      <c r="BA348" s="80"/>
      <c r="BB348" s="80"/>
    </row>
    <row r="349" spans="1:54" x14ac:dyDescent="0.25">
      <c r="A349" s="65" t="s">
        <v>348</v>
      </c>
      <c r="B349" s="65" t="s">
        <v>357</v>
      </c>
      <c r="C349" s="66"/>
      <c r="D349" s="67"/>
      <c r="E349" s="68"/>
      <c r="F349" s="69"/>
      <c r="G349" s="66"/>
      <c r="H349" s="70"/>
      <c r="I349" s="71"/>
      <c r="J349" s="71"/>
      <c r="K349" s="36" t="s">
        <v>65</v>
      </c>
      <c r="L349" s="78">
        <v>349</v>
      </c>
      <c r="M349" s="78"/>
      <c r="N349" s="73"/>
      <c r="O349" s="80" t="s">
        <v>415</v>
      </c>
      <c r="P349" s="82">
        <v>44632.836319444446</v>
      </c>
      <c r="Q349" s="80" t="s">
        <v>505</v>
      </c>
      <c r="R349" s="80"/>
      <c r="S349" s="80"/>
      <c r="T349" s="85" t="s">
        <v>700</v>
      </c>
      <c r="U349" s="83" t="str">
        <f>HYPERLINK("https://pbs.twimg.com/media/FNq-K9kWUAII3TB.jpg")</f>
        <v>https://pbs.twimg.com/media/FNq-K9kWUAII3TB.jpg</v>
      </c>
      <c r="V349" s="83" t="str">
        <f>HYPERLINK("https://pbs.twimg.com/media/FNq-K9kWUAII3TB.jpg")</f>
        <v>https://pbs.twimg.com/media/FNq-K9kWUAII3TB.jpg</v>
      </c>
      <c r="W349" s="82">
        <v>44632.836319444446</v>
      </c>
      <c r="X349" s="88">
        <v>44632</v>
      </c>
      <c r="Y349" s="85" t="s">
        <v>955</v>
      </c>
      <c r="Z349" s="83" t="str">
        <f>HYPERLINK("https://twitter.com/ubbulls1/status/1502737268565495808")</f>
        <v>https://twitter.com/ubbulls1/status/1502737268565495808</v>
      </c>
      <c r="AA349" s="80"/>
      <c r="AB349" s="80"/>
      <c r="AC349" s="85" t="s">
        <v>1404</v>
      </c>
      <c r="AD349" s="80"/>
      <c r="AE349" s="80" t="b">
        <v>0</v>
      </c>
      <c r="AF349" s="80">
        <v>0</v>
      </c>
      <c r="AG349" s="85" t="s">
        <v>1635</v>
      </c>
      <c r="AH349" s="80" t="b">
        <v>0</v>
      </c>
      <c r="AI349" s="80" t="s">
        <v>1642</v>
      </c>
      <c r="AJ349" s="80"/>
      <c r="AK349" s="85" t="s">
        <v>1635</v>
      </c>
      <c r="AL349" s="80" t="b">
        <v>0</v>
      </c>
      <c r="AM349" s="80">
        <v>40</v>
      </c>
      <c r="AN349" s="85" t="s">
        <v>1627</v>
      </c>
      <c r="AO349" s="85" t="s">
        <v>1673</v>
      </c>
      <c r="AP349" s="80" t="b">
        <v>0</v>
      </c>
      <c r="AQ349" s="85" t="s">
        <v>1627</v>
      </c>
      <c r="AR349" s="80" t="s">
        <v>179</v>
      </c>
      <c r="AS349" s="80">
        <v>0</v>
      </c>
      <c r="AT349" s="80">
        <v>0</v>
      </c>
      <c r="AU349" s="80"/>
      <c r="AV349" s="80"/>
      <c r="AW349" s="80"/>
      <c r="AX349" s="80"/>
      <c r="AY349" s="80"/>
      <c r="AZ349" s="80"/>
      <c r="BA349" s="80"/>
      <c r="BB349" s="80"/>
    </row>
    <row r="350" spans="1:54" x14ac:dyDescent="0.25">
      <c r="A350" s="65" t="s">
        <v>348</v>
      </c>
      <c r="B350" s="65" t="s">
        <v>353</v>
      </c>
      <c r="C350" s="66"/>
      <c r="D350" s="67"/>
      <c r="E350" s="68"/>
      <c r="F350" s="69"/>
      <c r="G350" s="66"/>
      <c r="H350" s="70"/>
      <c r="I350" s="71"/>
      <c r="J350" s="71"/>
      <c r="K350" s="36" t="s">
        <v>65</v>
      </c>
      <c r="L350" s="78">
        <v>350</v>
      </c>
      <c r="M350" s="78"/>
      <c r="N350" s="73"/>
      <c r="O350" s="80" t="s">
        <v>415</v>
      </c>
      <c r="P350" s="82">
        <v>44633.603692129633</v>
      </c>
      <c r="Q350" s="80" t="s">
        <v>525</v>
      </c>
      <c r="R350" s="83" t="str">
        <f>HYPERLINK("http://www.buffalo.edu/alumni/get-involved/fast46.html?utm_source=TWITTER&amp;utm_medium=social&amp;utm_term=20220313&amp;utm_content=100002964466833&amp;utm_campaign=General+Content&amp;linkId=100000114433772")</f>
        <v>http://www.buffalo.edu/alumni/get-involved/fast46.html?utm_source=TWITTER&amp;utm_medium=social&amp;utm_term=20220313&amp;utm_content=100002964466833&amp;utm_campaign=General+Content&amp;linkId=100000114433772</v>
      </c>
      <c r="S350" s="80" t="s">
        <v>632</v>
      </c>
      <c r="T350" s="85" t="s">
        <v>357</v>
      </c>
      <c r="U350" s="83" t="str">
        <f>HYPERLINK("https://pbs.twimg.com/media/FNuw23cX0AMyh4i.jpg")</f>
        <v>https://pbs.twimg.com/media/FNuw23cX0AMyh4i.jpg</v>
      </c>
      <c r="V350" s="83" t="str">
        <f>HYPERLINK("https://pbs.twimg.com/media/FNuw23cX0AMyh4i.jpg")</f>
        <v>https://pbs.twimg.com/media/FNuw23cX0AMyh4i.jpg</v>
      </c>
      <c r="W350" s="82">
        <v>44633.603692129633</v>
      </c>
      <c r="X350" s="88">
        <v>44633</v>
      </c>
      <c r="Y350" s="85" t="s">
        <v>956</v>
      </c>
      <c r="Z350" s="83" t="str">
        <f>HYPERLINK("https://twitter.com/ubbulls1/status/1503015352032186371")</f>
        <v>https://twitter.com/ubbulls1/status/1503015352032186371</v>
      </c>
      <c r="AA350" s="80"/>
      <c r="AB350" s="80"/>
      <c r="AC350" s="85" t="s">
        <v>1405</v>
      </c>
      <c r="AD350" s="80"/>
      <c r="AE350" s="80" t="b">
        <v>0</v>
      </c>
      <c r="AF350" s="80">
        <v>0</v>
      </c>
      <c r="AG350" s="85" t="s">
        <v>1635</v>
      </c>
      <c r="AH350" s="80" t="b">
        <v>0</v>
      </c>
      <c r="AI350" s="80" t="s">
        <v>1642</v>
      </c>
      <c r="AJ350" s="80"/>
      <c r="AK350" s="85" t="s">
        <v>1635</v>
      </c>
      <c r="AL350" s="80" t="b">
        <v>0</v>
      </c>
      <c r="AM350" s="80">
        <v>2</v>
      </c>
      <c r="AN350" s="85" t="s">
        <v>1491</v>
      </c>
      <c r="AO350" s="85" t="s">
        <v>1673</v>
      </c>
      <c r="AP350" s="80" t="b">
        <v>0</v>
      </c>
      <c r="AQ350" s="85" t="s">
        <v>1491</v>
      </c>
      <c r="AR350" s="80" t="s">
        <v>179</v>
      </c>
      <c r="AS350" s="80">
        <v>0</v>
      </c>
      <c r="AT350" s="80">
        <v>0</v>
      </c>
      <c r="AU350" s="80"/>
      <c r="AV350" s="80"/>
      <c r="AW350" s="80"/>
      <c r="AX350" s="80"/>
      <c r="AY350" s="80"/>
      <c r="AZ350" s="80"/>
      <c r="BA350" s="80"/>
      <c r="BB350" s="80"/>
    </row>
    <row r="351" spans="1:54" x14ac:dyDescent="0.25">
      <c r="A351" s="65" t="s">
        <v>348</v>
      </c>
      <c r="B351" s="65" t="s">
        <v>405</v>
      </c>
      <c r="C351" s="66"/>
      <c r="D351" s="67"/>
      <c r="E351" s="68"/>
      <c r="F351" s="69"/>
      <c r="G351" s="66"/>
      <c r="H351" s="70"/>
      <c r="I351" s="71"/>
      <c r="J351" s="71"/>
      <c r="K351" s="36" t="s">
        <v>65</v>
      </c>
      <c r="L351" s="78">
        <v>351</v>
      </c>
      <c r="M351" s="78"/>
      <c r="N351" s="73"/>
      <c r="O351" s="80" t="s">
        <v>414</v>
      </c>
      <c r="P351" s="82">
        <v>44634.025277777779</v>
      </c>
      <c r="Q351" s="80" t="s">
        <v>527</v>
      </c>
      <c r="R351" s="80"/>
      <c r="S351" s="80"/>
      <c r="T351" s="85" t="s">
        <v>702</v>
      </c>
      <c r="U351" s="83" t="str">
        <f>HYPERLINK("https://pbs.twimg.com/media/FNxSeqcaAAAZbPi.jpg")</f>
        <v>https://pbs.twimg.com/media/FNxSeqcaAAAZbPi.jpg</v>
      </c>
      <c r="V351" s="83" t="str">
        <f>HYPERLINK("https://pbs.twimg.com/media/FNxSeqcaAAAZbPi.jpg")</f>
        <v>https://pbs.twimg.com/media/FNxSeqcaAAAZbPi.jpg</v>
      </c>
      <c r="W351" s="82">
        <v>44634.025277777779</v>
      </c>
      <c r="X351" s="88">
        <v>44634</v>
      </c>
      <c r="Y351" s="85" t="s">
        <v>957</v>
      </c>
      <c r="Z351" s="83" t="str">
        <f>HYPERLINK("https://twitter.com/ubbulls1/status/1503168132155908096")</f>
        <v>https://twitter.com/ubbulls1/status/1503168132155908096</v>
      </c>
      <c r="AA351" s="80"/>
      <c r="AB351" s="80"/>
      <c r="AC351" s="85" t="s">
        <v>1406</v>
      </c>
      <c r="AD351" s="80"/>
      <c r="AE351" s="80" t="b">
        <v>0</v>
      </c>
      <c r="AF351" s="80">
        <v>0</v>
      </c>
      <c r="AG351" s="85" t="s">
        <v>1635</v>
      </c>
      <c r="AH351" s="80" t="b">
        <v>0</v>
      </c>
      <c r="AI351" s="80" t="s">
        <v>1642</v>
      </c>
      <c r="AJ351" s="80"/>
      <c r="AK351" s="85" t="s">
        <v>1635</v>
      </c>
      <c r="AL351" s="80" t="b">
        <v>0</v>
      </c>
      <c r="AM351" s="80">
        <v>3</v>
      </c>
      <c r="AN351" s="85" t="s">
        <v>1538</v>
      </c>
      <c r="AO351" s="85" t="s">
        <v>1673</v>
      </c>
      <c r="AP351" s="80" t="b">
        <v>0</v>
      </c>
      <c r="AQ351" s="85" t="s">
        <v>1538</v>
      </c>
      <c r="AR351" s="80" t="s">
        <v>179</v>
      </c>
      <c r="AS351" s="80">
        <v>0</v>
      </c>
      <c r="AT351" s="80">
        <v>0</v>
      </c>
      <c r="AU351" s="80"/>
      <c r="AV351" s="80"/>
      <c r="AW351" s="80"/>
      <c r="AX351" s="80"/>
      <c r="AY351" s="80"/>
      <c r="AZ351" s="80"/>
      <c r="BA351" s="80"/>
      <c r="BB351" s="80"/>
    </row>
    <row r="352" spans="1:54" x14ac:dyDescent="0.25">
      <c r="A352" s="65" t="s">
        <v>348</v>
      </c>
      <c r="B352" s="65" t="s">
        <v>385</v>
      </c>
      <c r="C352" s="66"/>
      <c r="D352" s="67"/>
      <c r="E352" s="68"/>
      <c r="F352" s="69"/>
      <c r="G352" s="66"/>
      <c r="H352" s="70"/>
      <c r="I352" s="71"/>
      <c r="J352" s="71"/>
      <c r="K352" s="36" t="s">
        <v>65</v>
      </c>
      <c r="L352" s="78">
        <v>352</v>
      </c>
      <c r="M352" s="78"/>
      <c r="N352" s="73"/>
      <c r="O352" s="80" t="s">
        <v>414</v>
      </c>
      <c r="P352" s="82">
        <v>44634.025277777779</v>
      </c>
      <c r="Q352" s="80" t="s">
        <v>527</v>
      </c>
      <c r="R352" s="80"/>
      <c r="S352" s="80"/>
      <c r="T352" s="85" t="s">
        <v>702</v>
      </c>
      <c r="U352" s="83" t="str">
        <f>HYPERLINK("https://pbs.twimg.com/media/FNxSeqcaAAAZbPi.jpg")</f>
        <v>https://pbs.twimg.com/media/FNxSeqcaAAAZbPi.jpg</v>
      </c>
      <c r="V352" s="83" t="str">
        <f>HYPERLINK("https://pbs.twimg.com/media/FNxSeqcaAAAZbPi.jpg")</f>
        <v>https://pbs.twimg.com/media/FNxSeqcaAAAZbPi.jpg</v>
      </c>
      <c r="W352" s="82">
        <v>44634.025277777779</v>
      </c>
      <c r="X352" s="88">
        <v>44634</v>
      </c>
      <c r="Y352" s="85" t="s">
        <v>957</v>
      </c>
      <c r="Z352" s="83" t="str">
        <f>HYPERLINK("https://twitter.com/ubbulls1/status/1503168132155908096")</f>
        <v>https://twitter.com/ubbulls1/status/1503168132155908096</v>
      </c>
      <c r="AA352" s="80"/>
      <c r="AB352" s="80"/>
      <c r="AC352" s="85" t="s">
        <v>1406</v>
      </c>
      <c r="AD352" s="80"/>
      <c r="AE352" s="80" t="b">
        <v>0</v>
      </c>
      <c r="AF352" s="80">
        <v>0</v>
      </c>
      <c r="AG352" s="85" t="s">
        <v>1635</v>
      </c>
      <c r="AH352" s="80" t="b">
        <v>0</v>
      </c>
      <c r="AI352" s="80" t="s">
        <v>1642</v>
      </c>
      <c r="AJ352" s="80"/>
      <c r="AK352" s="85" t="s">
        <v>1635</v>
      </c>
      <c r="AL352" s="80" t="b">
        <v>0</v>
      </c>
      <c r="AM352" s="80">
        <v>3</v>
      </c>
      <c r="AN352" s="85" t="s">
        <v>1538</v>
      </c>
      <c r="AO352" s="85" t="s">
        <v>1673</v>
      </c>
      <c r="AP352" s="80" t="b">
        <v>0</v>
      </c>
      <c r="AQ352" s="85" t="s">
        <v>1538</v>
      </c>
      <c r="AR352" s="80" t="s">
        <v>179</v>
      </c>
      <c r="AS352" s="80">
        <v>0</v>
      </c>
      <c r="AT352" s="80">
        <v>0</v>
      </c>
      <c r="AU352" s="80"/>
      <c r="AV352" s="80"/>
      <c r="AW352" s="80"/>
      <c r="AX352" s="80"/>
      <c r="AY352" s="80"/>
      <c r="AZ352" s="80"/>
      <c r="BA352" s="80"/>
      <c r="BB352" s="80"/>
    </row>
    <row r="353" spans="1:54" x14ac:dyDescent="0.25">
      <c r="A353" s="65" t="s">
        <v>348</v>
      </c>
      <c r="B353" s="65" t="s">
        <v>372</v>
      </c>
      <c r="C353" s="66"/>
      <c r="D353" s="67"/>
      <c r="E353" s="68"/>
      <c r="F353" s="69"/>
      <c r="G353" s="66"/>
      <c r="H353" s="70"/>
      <c r="I353" s="71"/>
      <c r="J353" s="71"/>
      <c r="K353" s="36" t="s">
        <v>65</v>
      </c>
      <c r="L353" s="78">
        <v>353</v>
      </c>
      <c r="M353" s="78"/>
      <c r="N353" s="73"/>
      <c r="O353" s="80" t="s">
        <v>415</v>
      </c>
      <c r="P353" s="82">
        <v>44634.025277777779</v>
      </c>
      <c r="Q353" s="80" t="s">
        <v>527</v>
      </c>
      <c r="R353" s="80"/>
      <c r="S353" s="80"/>
      <c r="T353" s="85" t="s">
        <v>702</v>
      </c>
      <c r="U353" s="83" t="str">
        <f>HYPERLINK("https://pbs.twimg.com/media/FNxSeqcaAAAZbPi.jpg")</f>
        <v>https://pbs.twimg.com/media/FNxSeqcaAAAZbPi.jpg</v>
      </c>
      <c r="V353" s="83" t="str">
        <f>HYPERLINK("https://pbs.twimg.com/media/FNxSeqcaAAAZbPi.jpg")</f>
        <v>https://pbs.twimg.com/media/FNxSeqcaAAAZbPi.jpg</v>
      </c>
      <c r="W353" s="82">
        <v>44634.025277777779</v>
      </c>
      <c r="X353" s="88">
        <v>44634</v>
      </c>
      <c r="Y353" s="85" t="s">
        <v>957</v>
      </c>
      <c r="Z353" s="83" t="str">
        <f>HYPERLINK("https://twitter.com/ubbulls1/status/1503168132155908096")</f>
        <v>https://twitter.com/ubbulls1/status/1503168132155908096</v>
      </c>
      <c r="AA353" s="80"/>
      <c r="AB353" s="80"/>
      <c r="AC353" s="85" t="s">
        <v>1406</v>
      </c>
      <c r="AD353" s="80"/>
      <c r="AE353" s="80" t="b">
        <v>0</v>
      </c>
      <c r="AF353" s="80">
        <v>0</v>
      </c>
      <c r="AG353" s="85" t="s">
        <v>1635</v>
      </c>
      <c r="AH353" s="80" t="b">
        <v>0</v>
      </c>
      <c r="AI353" s="80" t="s">
        <v>1642</v>
      </c>
      <c r="AJ353" s="80"/>
      <c r="AK353" s="85" t="s">
        <v>1635</v>
      </c>
      <c r="AL353" s="80" t="b">
        <v>0</v>
      </c>
      <c r="AM353" s="80">
        <v>3</v>
      </c>
      <c r="AN353" s="85" t="s">
        <v>1538</v>
      </c>
      <c r="AO353" s="85" t="s">
        <v>1673</v>
      </c>
      <c r="AP353" s="80" t="b">
        <v>0</v>
      </c>
      <c r="AQ353" s="85" t="s">
        <v>1538</v>
      </c>
      <c r="AR353" s="80" t="s">
        <v>179</v>
      </c>
      <c r="AS353" s="80">
        <v>0</v>
      </c>
      <c r="AT353" s="80">
        <v>0</v>
      </c>
      <c r="AU353" s="80"/>
      <c r="AV353" s="80"/>
      <c r="AW353" s="80"/>
      <c r="AX353" s="80"/>
      <c r="AY353" s="80"/>
      <c r="AZ353" s="80"/>
      <c r="BA353" s="80"/>
      <c r="BB353" s="80"/>
    </row>
    <row r="354" spans="1:54" x14ac:dyDescent="0.25">
      <c r="A354" s="65" t="s">
        <v>349</v>
      </c>
      <c r="B354" s="65" t="s">
        <v>405</v>
      </c>
      <c r="C354" s="66"/>
      <c r="D354" s="67"/>
      <c r="E354" s="68"/>
      <c r="F354" s="69"/>
      <c r="G354" s="66"/>
      <c r="H354" s="70"/>
      <c r="I354" s="71"/>
      <c r="J354" s="71"/>
      <c r="K354" s="36" t="s">
        <v>65</v>
      </c>
      <c r="L354" s="78">
        <v>354</v>
      </c>
      <c r="M354" s="78"/>
      <c r="N354" s="73"/>
      <c r="O354" s="80" t="s">
        <v>414</v>
      </c>
      <c r="P354" s="82">
        <v>44634.086898148147</v>
      </c>
      <c r="Q354" s="80" t="s">
        <v>527</v>
      </c>
      <c r="R354" s="80"/>
      <c r="S354" s="80"/>
      <c r="T354" s="85" t="s">
        <v>702</v>
      </c>
      <c r="U354" s="83" t="str">
        <f>HYPERLINK("https://pbs.twimg.com/media/FNxSeqcaAAAZbPi.jpg")</f>
        <v>https://pbs.twimg.com/media/FNxSeqcaAAAZbPi.jpg</v>
      </c>
      <c r="V354" s="83" t="str">
        <f>HYPERLINK("https://pbs.twimg.com/media/FNxSeqcaAAAZbPi.jpg")</f>
        <v>https://pbs.twimg.com/media/FNxSeqcaAAAZbPi.jpg</v>
      </c>
      <c r="W354" s="82">
        <v>44634.086898148147</v>
      </c>
      <c r="X354" s="88">
        <v>44634</v>
      </c>
      <c r="Y354" s="85" t="s">
        <v>958</v>
      </c>
      <c r="Z354" s="83" t="str">
        <f>HYPERLINK("https://twitter.com/ubdazzlers/status/1503190461103710210")</f>
        <v>https://twitter.com/ubdazzlers/status/1503190461103710210</v>
      </c>
      <c r="AA354" s="80"/>
      <c r="AB354" s="80"/>
      <c r="AC354" s="85" t="s">
        <v>1407</v>
      </c>
      <c r="AD354" s="80"/>
      <c r="AE354" s="80" t="b">
        <v>0</v>
      </c>
      <c r="AF354" s="80">
        <v>0</v>
      </c>
      <c r="AG354" s="85" t="s">
        <v>1635</v>
      </c>
      <c r="AH354" s="80" t="b">
        <v>0</v>
      </c>
      <c r="AI354" s="80" t="s">
        <v>1642</v>
      </c>
      <c r="AJ354" s="80"/>
      <c r="AK354" s="85" t="s">
        <v>1635</v>
      </c>
      <c r="AL354" s="80" t="b">
        <v>0</v>
      </c>
      <c r="AM354" s="80">
        <v>3</v>
      </c>
      <c r="AN354" s="85" t="s">
        <v>1538</v>
      </c>
      <c r="AO354" s="85" t="s">
        <v>1671</v>
      </c>
      <c r="AP354" s="80" t="b">
        <v>0</v>
      </c>
      <c r="AQ354" s="85" t="s">
        <v>1538</v>
      </c>
      <c r="AR354" s="80" t="s">
        <v>179</v>
      </c>
      <c r="AS354" s="80">
        <v>0</v>
      </c>
      <c r="AT354" s="80">
        <v>0</v>
      </c>
      <c r="AU354" s="80"/>
      <c r="AV354" s="80"/>
      <c r="AW354" s="80"/>
      <c r="AX354" s="80"/>
      <c r="AY354" s="80"/>
      <c r="AZ354" s="80"/>
      <c r="BA354" s="80"/>
      <c r="BB354" s="80"/>
    </row>
    <row r="355" spans="1:54" x14ac:dyDescent="0.25">
      <c r="A355" s="65" t="s">
        <v>349</v>
      </c>
      <c r="B355" s="65" t="s">
        <v>385</v>
      </c>
      <c r="C355" s="66"/>
      <c r="D355" s="67"/>
      <c r="E355" s="68"/>
      <c r="F355" s="69"/>
      <c r="G355" s="66"/>
      <c r="H355" s="70"/>
      <c r="I355" s="71"/>
      <c r="J355" s="71"/>
      <c r="K355" s="36" t="s">
        <v>65</v>
      </c>
      <c r="L355" s="78">
        <v>355</v>
      </c>
      <c r="M355" s="78"/>
      <c r="N355" s="73"/>
      <c r="O355" s="80" t="s">
        <v>414</v>
      </c>
      <c r="P355" s="82">
        <v>44634.086898148147</v>
      </c>
      <c r="Q355" s="80" t="s">
        <v>527</v>
      </c>
      <c r="R355" s="80"/>
      <c r="S355" s="80"/>
      <c r="T355" s="85" t="s">
        <v>702</v>
      </c>
      <c r="U355" s="83" t="str">
        <f>HYPERLINK("https://pbs.twimg.com/media/FNxSeqcaAAAZbPi.jpg")</f>
        <v>https://pbs.twimg.com/media/FNxSeqcaAAAZbPi.jpg</v>
      </c>
      <c r="V355" s="83" t="str">
        <f>HYPERLINK("https://pbs.twimg.com/media/FNxSeqcaAAAZbPi.jpg")</f>
        <v>https://pbs.twimg.com/media/FNxSeqcaAAAZbPi.jpg</v>
      </c>
      <c r="W355" s="82">
        <v>44634.086898148147</v>
      </c>
      <c r="X355" s="88">
        <v>44634</v>
      </c>
      <c r="Y355" s="85" t="s">
        <v>958</v>
      </c>
      <c r="Z355" s="83" t="str">
        <f>HYPERLINK("https://twitter.com/ubdazzlers/status/1503190461103710210")</f>
        <v>https://twitter.com/ubdazzlers/status/1503190461103710210</v>
      </c>
      <c r="AA355" s="80"/>
      <c r="AB355" s="80"/>
      <c r="AC355" s="85" t="s">
        <v>1407</v>
      </c>
      <c r="AD355" s="80"/>
      <c r="AE355" s="80" t="b">
        <v>0</v>
      </c>
      <c r="AF355" s="80">
        <v>0</v>
      </c>
      <c r="AG355" s="85" t="s">
        <v>1635</v>
      </c>
      <c r="AH355" s="80" t="b">
        <v>0</v>
      </c>
      <c r="AI355" s="80" t="s">
        <v>1642</v>
      </c>
      <c r="AJ355" s="80"/>
      <c r="AK355" s="85" t="s">
        <v>1635</v>
      </c>
      <c r="AL355" s="80" t="b">
        <v>0</v>
      </c>
      <c r="AM355" s="80">
        <v>3</v>
      </c>
      <c r="AN355" s="85" t="s">
        <v>1538</v>
      </c>
      <c r="AO355" s="85" t="s">
        <v>1671</v>
      </c>
      <c r="AP355" s="80" t="b">
        <v>0</v>
      </c>
      <c r="AQ355" s="85" t="s">
        <v>1538</v>
      </c>
      <c r="AR355" s="80" t="s">
        <v>179</v>
      </c>
      <c r="AS355" s="80">
        <v>0</v>
      </c>
      <c r="AT355" s="80">
        <v>0</v>
      </c>
      <c r="AU355" s="80"/>
      <c r="AV355" s="80"/>
      <c r="AW355" s="80"/>
      <c r="AX355" s="80"/>
      <c r="AY355" s="80"/>
      <c r="AZ355" s="80"/>
      <c r="BA355" s="80"/>
      <c r="BB355" s="80"/>
    </row>
    <row r="356" spans="1:54" x14ac:dyDescent="0.25">
      <c r="A356" s="65" t="s">
        <v>349</v>
      </c>
      <c r="B356" s="65" t="s">
        <v>372</v>
      </c>
      <c r="C356" s="66"/>
      <c r="D356" s="67"/>
      <c r="E356" s="68"/>
      <c r="F356" s="69"/>
      <c r="G356" s="66"/>
      <c r="H356" s="70"/>
      <c r="I356" s="71"/>
      <c r="J356" s="71"/>
      <c r="K356" s="36" t="s">
        <v>65</v>
      </c>
      <c r="L356" s="78">
        <v>356</v>
      </c>
      <c r="M356" s="78"/>
      <c r="N356" s="73"/>
      <c r="O356" s="80" t="s">
        <v>415</v>
      </c>
      <c r="P356" s="82">
        <v>44634.086898148147</v>
      </c>
      <c r="Q356" s="80" t="s">
        <v>527</v>
      </c>
      <c r="R356" s="80"/>
      <c r="S356" s="80"/>
      <c r="T356" s="85" t="s">
        <v>702</v>
      </c>
      <c r="U356" s="83" t="str">
        <f>HYPERLINK("https://pbs.twimg.com/media/FNxSeqcaAAAZbPi.jpg")</f>
        <v>https://pbs.twimg.com/media/FNxSeqcaAAAZbPi.jpg</v>
      </c>
      <c r="V356" s="83" t="str">
        <f>HYPERLINK("https://pbs.twimg.com/media/FNxSeqcaAAAZbPi.jpg")</f>
        <v>https://pbs.twimg.com/media/FNxSeqcaAAAZbPi.jpg</v>
      </c>
      <c r="W356" s="82">
        <v>44634.086898148147</v>
      </c>
      <c r="X356" s="88">
        <v>44634</v>
      </c>
      <c r="Y356" s="85" t="s">
        <v>958</v>
      </c>
      <c r="Z356" s="83" t="str">
        <f>HYPERLINK("https://twitter.com/ubdazzlers/status/1503190461103710210")</f>
        <v>https://twitter.com/ubdazzlers/status/1503190461103710210</v>
      </c>
      <c r="AA356" s="80"/>
      <c r="AB356" s="80"/>
      <c r="AC356" s="85" t="s">
        <v>1407</v>
      </c>
      <c r="AD356" s="80"/>
      <c r="AE356" s="80" t="b">
        <v>0</v>
      </c>
      <c r="AF356" s="80">
        <v>0</v>
      </c>
      <c r="AG356" s="85" t="s">
        <v>1635</v>
      </c>
      <c r="AH356" s="80" t="b">
        <v>0</v>
      </c>
      <c r="AI356" s="80" t="s">
        <v>1642</v>
      </c>
      <c r="AJ356" s="80"/>
      <c r="AK356" s="85" t="s">
        <v>1635</v>
      </c>
      <c r="AL356" s="80" t="b">
        <v>0</v>
      </c>
      <c r="AM356" s="80">
        <v>3</v>
      </c>
      <c r="AN356" s="85" t="s">
        <v>1538</v>
      </c>
      <c r="AO356" s="85" t="s">
        <v>1671</v>
      </c>
      <c r="AP356" s="80" t="b">
        <v>0</v>
      </c>
      <c r="AQ356" s="85" t="s">
        <v>1538</v>
      </c>
      <c r="AR356" s="80" t="s">
        <v>179</v>
      </c>
      <c r="AS356" s="80">
        <v>0</v>
      </c>
      <c r="AT356" s="80">
        <v>0</v>
      </c>
      <c r="AU356" s="80"/>
      <c r="AV356" s="80"/>
      <c r="AW356" s="80"/>
      <c r="AX356" s="80"/>
      <c r="AY356" s="80"/>
      <c r="AZ356" s="80"/>
      <c r="BA356" s="80"/>
      <c r="BB356" s="80"/>
    </row>
    <row r="357" spans="1:54" x14ac:dyDescent="0.25">
      <c r="A357" s="65" t="s">
        <v>349</v>
      </c>
      <c r="B357" s="65" t="s">
        <v>357</v>
      </c>
      <c r="C357" s="66"/>
      <c r="D357" s="67"/>
      <c r="E357" s="68"/>
      <c r="F357" s="69"/>
      <c r="G357" s="66"/>
      <c r="H357" s="70"/>
      <c r="I357" s="71"/>
      <c r="J357" s="71"/>
      <c r="K357" s="36" t="s">
        <v>65</v>
      </c>
      <c r="L357" s="78">
        <v>357</v>
      </c>
      <c r="M357" s="78"/>
      <c r="N357" s="73"/>
      <c r="O357" s="80" t="s">
        <v>415</v>
      </c>
      <c r="P357" s="82">
        <v>44634.08766203704</v>
      </c>
      <c r="Q357" s="80" t="s">
        <v>505</v>
      </c>
      <c r="R357" s="80"/>
      <c r="S357" s="80"/>
      <c r="T357" s="85" t="s">
        <v>700</v>
      </c>
      <c r="U357" s="83" t="str">
        <f>HYPERLINK("https://pbs.twimg.com/media/FNq-K9kWUAII3TB.jpg")</f>
        <v>https://pbs.twimg.com/media/FNq-K9kWUAII3TB.jpg</v>
      </c>
      <c r="V357" s="83" t="str">
        <f>HYPERLINK("https://pbs.twimg.com/media/FNq-K9kWUAII3TB.jpg")</f>
        <v>https://pbs.twimg.com/media/FNq-K9kWUAII3TB.jpg</v>
      </c>
      <c r="W357" s="82">
        <v>44634.08766203704</v>
      </c>
      <c r="X357" s="88">
        <v>44634</v>
      </c>
      <c r="Y357" s="85" t="s">
        <v>959</v>
      </c>
      <c r="Z357" s="83" t="str">
        <f>HYPERLINK("https://twitter.com/ubdazzlers/status/1503190736568782848")</f>
        <v>https://twitter.com/ubdazzlers/status/1503190736568782848</v>
      </c>
      <c r="AA357" s="80"/>
      <c r="AB357" s="80"/>
      <c r="AC357" s="85" t="s">
        <v>1408</v>
      </c>
      <c r="AD357" s="80"/>
      <c r="AE357" s="80" t="b">
        <v>0</v>
      </c>
      <c r="AF357" s="80">
        <v>0</v>
      </c>
      <c r="AG357" s="85" t="s">
        <v>1635</v>
      </c>
      <c r="AH357" s="80" t="b">
        <v>0</v>
      </c>
      <c r="AI357" s="80" t="s">
        <v>1642</v>
      </c>
      <c r="AJ357" s="80"/>
      <c r="AK357" s="85" t="s">
        <v>1635</v>
      </c>
      <c r="AL357" s="80" t="b">
        <v>0</v>
      </c>
      <c r="AM357" s="80">
        <v>40</v>
      </c>
      <c r="AN357" s="85" t="s">
        <v>1627</v>
      </c>
      <c r="AO357" s="85" t="s">
        <v>1671</v>
      </c>
      <c r="AP357" s="80" t="b">
        <v>0</v>
      </c>
      <c r="AQ357" s="85" t="s">
        <v>1627</v>
      </c>
      <c r="AR357" s="80" t="s">
        <v>179</v>
      </c>
      <c r="AS357" s="80">
        <v>0</v>
      </c>
      <c r="AT357" s="80">
        <v>0</v>
      </c>
      <c r="AU357" s="80"/>
      <c r="AV357" s="80"/>
      <c r="AW357" s="80"/>
      <c r="AX357" s="80"/>
      <c r="AY357" s="80"/>
      <c r="AZ357" s="80"/>
      <c r="BA357" s="80"/>
      <c r="BB357" s="80"/>
    </row>
    <row r="358" spans="1:54" x14ac:dyDescent="0.25">
      <c r="A358" s="65" t="s">
        <v>350</v>
      </c>
      <c r="B358" s="65" t="s">
        <v>357</v>
      </c>
      <c r="C358" s="66"/>
      <c r="D358" s="67"/>
      <c r="E358" s="68"/>
      <c r="F358" s="69"/>
      <c r="G358" s="66"/>
      <c r="H358" s="70"/>
      <c r="I358" s="71"/>
      <c r="J358" s="71"/>
      <c r="K358" s="36" t="s">
        <v>65</v>
      </c>
      <c r="L358" s="78">
        <v>358</v>
      </c>
      <c r="M358" s="78"/>
      <c r="N358" s="73"/>
      <c r="O358" s="80" t="s">
        <v>415</v>
      </c>
      <c r="P358" s="82">
        <v>44634.09715277778</v>
      </c>
      <c r="Q358" s="80" t="s">
        <v>505</v>
      </c>
      <c r="R358" s="80"/>
      <c r="S358" s="80"/>
      <c r="T358" s="85" t="s">
        <v>700</v>
      </c>
      <c r="U358" s="83" t="str">
        <f>HYPERLINK("https://pbs.twimg.com/media/FNq-K9kWUAII3TB.jpg")</f>
        <v>https://pbs.twimg.com/media/FNq-K9kWUAII3TB.jpg</v>
      </c>
      <c r="V358" s="83" t="str">
        <f>HYPERLINK("https://pbs.twimg.com/media/FNq-K9kWUAII3TB.jpg")</f>
        <v>https://pbs.twimg.com/media/FNq-K9kWUAII3TB.jpg</v>
      </c>
      <c r="W358" s="82">
        <v>44634.09715277778</v>
      </c>
      <c r="X358" s="88">
        <v>44634</v>
      </c>
      <c r="Y358" s="85" t="s">
        <v>960</v>
      </c>
      <c r="Z358" s="83" t="str">
        <f>HYPERLINK("https://twitter.com/samkallday23/status/1503194176975949824")</f>
        <v>https://twitter.com/samkallday23/status/1503194176975949824</v>
      </c>
      <c r="AA358" s="80"/>
      <c r="AB358" s="80"/>
      <c r="AC358" s="85" t="s">
        <v>1409</v>
      </c>
      <c r="AD358" s="80"/>
      <c r="AE358" s="80" t="b">
        <v>0</v>
      </c>
      <c r="AF358" s="80">
        <v>0</v>
      </c>
      <c r="AG358" s="85" t="s">
        <v>1635</v>
      </c>
      <c r="AH358" s="80" t="b">
        <v>0</v>
      </c>
      <c r="AI358" s="80" t="s">
        <v>1642</v>
      </c>
      <c r="AJ358" s="80"/>
      <c r="AK358" s="85" t="s">
        <v>1635</v>
      </c>
      <c r="AL358" s="80" t="b">
        <v>0</v>
      </c>
      <c r="AM358" s="80">
        <v>40</v>
      </c>
      <c r="AN358" s="85" t="s">
        <v>1627</v>
      </c>
      <c r="AO358" s="85" t="s">
        <v>1671</v>
      </c>
      <c r="AP358" s="80" t="b">
        <v>0</v>
      </c>
      <c r="AQ358" s="85" t="s">
        <v>1627</v>
      </c>
      <c r="AR358" s="80" t="s">
        <v>179</v>
      </c>
      <c r="AS358" s="80">
        <v>0</v>
      </c>
      <c r="AT358" s="80">
        <v>0</v>
      </c>
      <c r="AU358" s="80"/>
      <c r="AV358" s="80"/>
      <c r="AW358" s="80"/>
      <c r="AX358" s="80"/>
      <c r="AY358" s="80"/>
      <c r="AZ358" s="80"/>
      <c r="BA358" s="80"/>
      <c r="BB358" s="80"/>
    </row>
    <row r="359" spans="1:54" x14ac:dyDescent="0.25">
      <c r="A359" s="65" t="s">
        <v>351</v>
      </c>
      <c r="B359" s="65" t="s">
        <v>351</v>
      </c>
      <c r="C359" s="66"/>
      <c r="D359" s="67"/>
      <c r="E359" s="68"/>
      <c r="F359" s="69"/>
      <c r="G359" s="66"/>
      <c r="H359" s="70"/>
      <c r="I359" s="71"/>
      <c r="J359" s="71"/>
      <c r="K359" s="36" t="s">
        <v>65</v>
      </c>
      <c r="L359" s="78">
        <v>359</v>
      </c>
      <c r="M359" s="78"/>
      <c r="N359" s="73"/>
      <c r="O359" s="80" t="s">
        <v>179</v>
      </c>
      <c r="P359" s="82">
        <v>44627.199606481481</v>
      </c>
      <c r="Q359" s="80" t="s">
        <v>420</v>
      </c>
      <c r="R359" s="83" t="str">
        <f>HYPERLINK("https://twitter.com/ubalumni/status/1500271443057295360")</f>
        <v>https://twitter.com/ubalumni/status/1500271443057295360</v>
      </c>
      <c r="S359" s="80" t="s">
        <v>633</v>
      </c>
      <c r="T359" s="85" t="s">
        <v>662</v>
      </c>
      <c r="U359" s="80"/>
      <c r="V359" s="83" t="str">
        <f>HYPERLINK("https://pbs.twimg.com/profile_images/1442572455378227204/d3yPcxnc_normal.jpg")</f>
        <v>https://pbs.twimg.com/profile_images/1442572455378227204/d3yPcxnc_normal.jpg</v>
      </c>
      <c r="W359" s="82">
        <v>44627.199606481481</v>
      </c>
      <c r="X359" s="88">
        <v>44627</v>
      </c>
      <c r="Y359" s="85" t="s">
        <v>961</v>
      </c>
      <c r="Z359" s="83" t="str">
        <f>HYPERLINK("https://twitter.com/ubaa_president/status/1500694590478770176")</f>
        <v>https://twitter.com/ubaa_president/status/1500694590478770176</v>
      </c>
      <c r="AA359" s="80"/>
      <c r="AB359" s="80"/>
      <c r="AC359" s="85" t="s">
        <v>1410</v>
      </c>
      <c r="AD359" s="80"/>
      <c r="AE359" s="80" t="b">
        <v>0</v>
      </c>
      <c r="AF359" s="80">
        <v>4</v>
      </c>
      <c r="AG359" s="85" t="s">
        <v>1635</v>
      </c>
      <c r="AH359" s="80" t="b">
        <v>1</v>
      </c>
      <c r="AI359" s="80" t="s">
        <v>1642</v>
      </c>
      <c r="AJ359" s="80"/>
      <c r="AK359" s="85" t="s">
        <v>1481</v>
      </c>
      <c r="AL359" s="80" t="b">
        <v>0</v>
      </c>
      <c r="AM359" s="80">
        <v>4</v>
      </c>
      <c r="AN359" s="85" t="s">
        <v>1635</v>
      </c>
      <c r="AO359" s="85" t="s">
        <v>1672</v>
      </c>
      <c r="AP359" s="80" t="b">
        <v>0</v>
      </c>
      <c r="AQ359" s="85" t="s">
        <v>1410</v>
      </c>
      <c r="AR359" s="80" t="s">
        <v>179</v>
      </c>
      <c r="AS359" s="80">
        <v>0</v>
      </c>
      <c r="AT359" s="80">
        <v>0</v>
      </c>
      <c r="AU359" s="80"/>
      <c r="AV359" s="80"/>
      <c r="AW359" s="80"/>
      <c r="AX359" s="80"/>
      <c r="AY359" s="80"/>
      <c r="AZ359" s="80"/>
      <c r="BA359" s="80"/>
      <c r="BB359" s="80"/>
    </row>
    <row r="360" spans="1:54" x14ac:dyDescent="0.25">
      <c r="A360" s="65" t="s">
        <v>351</v>
      </c>
      <c r="B360" s="65" t="s">
        <v>351</v>
      </c>
      <c r="C360" s="66"/>
      <c r="D360" s="67"/>
      <c r="E360" s="68"/>
      <c r="F360" s="69"/>
      <c r="G360" s="66"/>
      <c r="H360" s="70"/>
      <c r="I360" s="71"/>
      <c r="J360" s="71"/>
      <c r="K360" s="36" t="s">
        <v>65</v>
      </c>
      <c r="L360" s="78">
        <v>360</v>
      </c>
      <c r="M360" s="78"/>
      <c r="N360" s="73"/>
      <c r="O360" s="80" t="s">
        <v>179</v>
      </c>
      <c r="P360" s="82">
        <v>44629.110729166663</v>
      </c>
      <c r="Q360" s="80" t="s">
        <v>540</v>
      </c>
      <c r="R360" s="83" t="str">
        <f>HYPERLINK("https://twitter.com/UBwomenshoops/status/1501382934640701447")</f>
        <v>https://twitter.com/UBwomenshoops/status/1501382934640701447</v>
      </c>
      <c r="S360" s="80" t="s">
        <v>633</v>
      </c>
      <c r="T360" s="85" t="s">
        <v>706</v>
      </c>
      <c r="U360" s="80"/>
      <c r="V360" s="83" t="str">
        <f>HYPERLINK("https://pbs.twimg.com/profile_images/1442572455378227204/d3yPcxnc_normal.jpg")</f>
        <v>https://pbs.twimg.com/profile_images/1442572455378227204/d3yPcxnc_normal.jpg</v>
      </c>
      <c r="W360" s="82">
        <v>44629.110729166663</v>
      </c>
      <c r="X360" s="88">
        <v>44629</v>
      </c>
      <c r="Y360" s="85" t="s">
        <v>962</v>
      </c>
      <c r="Z360" s="83" t="str">
        <f>HYPERLINK("https://twitter.com/ubaa_president/status/1501387158652923904")</f>
        <v>https://twitter.com/ubaa_president/status/1501387158652923904</v>
      </c>
      <c r="AA360" s="80"/>
      <c r="AB360" s="80"/>
      <c r="AC360" s="85" t="s">
        <v>1411</v>
      </c>
      <c r="AD360" s="80"/>
      <c r="AE360" s="80" t="b">
        <v>0</v>
      </c>
      <c r="AF360" s="80">
        <v>3</v>
      </c>
      <c r="AG360" s="85" t="s">
        <v>1635</v>
      </c>
      <c r="AH360" s="80" t="b">
        <v>1</v>
      </c>
      <c r="AI360" s="80" t="s">
        <v>1642</v>
      </c>
      <c r="AJ360" s="80"/>
      <c r="AK360" s="85" t="s">
        <v>1661</v>
      </c>
      <c r="AL360" s="80" t="b">
        <v>0</v>
      </c>
      <c r="AM360" s="80">
        <v>1</v>
      </c>
      <c r="AN360" s="85" t="s">
        <v>1635</v>
      </c>
      <c r="AO360" s="85" t="s">
        <v>1672</v>
      </c>
      <c r="AP360" s="80" t="b">
        <v>0</v>
      </c>
      <c r="AQ360" s="85" t="s">
        <v>1411</v>
      </c>
      <c r="AR360" s="80" t="s">
        <v>179</v>
      </c>
      <c r="AS360" s="80">
        <v>0</v>
      </c>
      <c r="AT360" s="80">
        <v>0</v>
      </c>
      <c r="AU360" s="80"/>
      <c r="AV360" s="80"/>
      <c r="AW360" s="80"/>
      <c r="AX360" s="80"/>
      <c r="AY360" s="80"/>
      <c r="AZ360" s="80"/>
      <c r="BA360" s="80"/>
      <c r="BB360" s="80"/>
    </row>
    <row r="361" spans="1:54" x14ac:dyDescent="0.25">
      <c r="A361" s="65" t="s">
        <v>351</v>
      </c>
      <c r="B361" s="65" t="s">
        <v>351</v>
      </c>
      <c r="C361" s="66"/>
      <c r="D361" s="67"/>
      <c r="E361" s="68"/>
      <c r="F361" s="69"/>
      <c r="G361" s="66"/>
      <c r="H361" s="70"/>
      <c r="I361" s="71"/>
      <c r="J361" s="71"/>
      <c r="K361" s="36" t="s">
        <v>65</v>
      </c>
      <c r="L361" s="78">
        <v>361</v>
      </c>
      <c r="M361" s="78"/>
      <c r="N361" s="73"/>
      <c r="O361" s="80" t="s">
        <v>179</v>
      </c>
      <c r="P361" s="82">
        <v>44629.84375</v>
      </c>
      <c r="Q361" s="80" t="s">
        <v>542</v>
      </c>
      <c r="R361" s="83" t="str">
        <f>HYPERLINK("https://twitter.com/UBAthletics/status/1501576887000309762")</f>
        <v>https://twitter.com/UBAthletics/status/1501576887000309762</v>
      </c>
      <c r="S361" s="80" t="s">
        <v>633</v>
      </c>
      <c r="T361" s="85" t="s">
        <v>665</v>
      </c>
      <c r="U361" s="80"/>
      <c r="V361" s="83" t="str">
        <f>HYPERLINK("https://pbs.twimg.com/profile_images/1442572455378227204/d3yPcxnc_normal.jpg")</f>
        <v>https://pbs.twimg.com/profile_images/1442572455378227204/d3yPcxnc_normal.jpg</v>
      </c>
      <c r="W361" s="82">
        <v>44629.84375</v>
      </c>
      <c r="X361" s="88">
        <v>44629</v>
      </c>
      <c r="Y361" s="85" t="s">
        <v>810</v>
      </c>
      <c r="Z361" s="83" t="str">
        <f>HYPERLINK("https://twitter.com/ubaa_president/status/1501652795094536193")</f>
        <v>https://twitter.com/ubaa_president/status/1501652795094536193</v>
      </c>
      <c r="AA361" s="80"/>
      <c r="AB361" s="80"/>
      <c r="AC361" s="85" t="s">
        <v>1412</v>
      </c>
      <c r="AD361" s="80"/>
      <c r="AE361" s="80" t="b">
        <v>0</v>
      </c>
      <c r="AF361" s="80">
        <v>1</v>
      </c>
      <c r="AG361" s="85" t="s">
        <v>1635</v>
      </c>
      <c r="AH361" s="80" t="b">
        <v>1</v>
      </c>
      <c r="AI361" s="80" t="s">
        <v>1642</v>
      </c>
      <c r="AJ361" s="80"/>
      <c r="AK361" s="85" t="s">
        <v>1662</v>
      </c>
      <c r="AL361" s="80" t="b">
        <v>0</v>
      </c>
      <c r="AM361" s="80">
        <v>0</v>
      </c>
      <c r="AN361" s="85" t="s">
        <v>1635</v>
      </c>
      <c r="AO361" s="85" t="s">
        <v>1672</v>
      </c>
      <c r="AP361" s="80" t="b">
        <v>0</v>
      </c>
      <c r="AQ361" s="85" t="s">
        <v>1412</v>
      </c>
      <c r="AR361" s="80" t="s">
        <v>179</v>
      </c>
      <c r="AS361" s="80">
        <v>0</v>
      </c>
      <c r="AT361" s="80">
        <v>0</v>
      </c>
      <c r="AU361" s="80"/>
      <c r="AV361" s="80"/>
      <c r="AW361" s="80"/>
      <c r="AX361" s="80"/>
      <c r="AY361" s="80"/>
      <c r="AZ361" s="80"/>
      <c r="BA361" s="80"/>
      <c r="BB361" s="80"/>
    </row>
    <row r="362" spans="1:54" x14ac:dyDescent="0.25">
      <c r="A362" s="65" t="s">
        <v>351</v>
      </c>
      <c r="B362" s="65" t="s">
        <v>385</v>
      </c>
      <c r="C362" s="66"/>
      <c r="D362" s="67"/>
      <c r="E362" s="68"/>
      <c r="F362" s="69"/>
      <c r="G362" s="66"/>
      <c r="H362" s="70"/>
      <c r="I362" s="71"/>
      <c r="J362" s="71"/>
      <c r="K362" s="36" t="s">
        <v>65</v>
      </c>
      <c r="L362" s="78">
        <v>362</v>
      </c>
      <c r="M362" s="78"/>
      <c r="N362" s="73"/>
      <c r="O362" s="80" t="s">
        <v>416</v>
      </c>
      <c r="P362" s="82">
        <v>44630.608113425929</v>
      </c>
      <c r="Q362" s="80" t="s">
        <v>543</v>
      </c>
      <c r="R362" s="83" t="str">
        <f>HYPERLINK("https://twitter.com/MACSports/status/1501692732032659462")</f>
        <v>https://twitter.com/MACSports/status/1501692732032659462</v>
      </c>
      <c r="S362" s="80" t="s">
        <v>633</v>
      </c>
      <c r="T362" s="85" t="s">
        <v>707</v>
      </c>
      <c r="U362" s="80"/>
      <c r="V362" s="83" t="str">
        <f>HYPERLINK("https://pbs.twimg.com/profile_images/1442572455378227204/d3yPcxnc_normal.jpg")</f>
        <v>https://pbs.twimg.com/profile_images/1442572455378227204/d3yPcxnc_normal.jpg</v>
      </c>
      <c r="W362" s="82">
        <v>44630.608113425929</v>
      </c>
      <c r="X362" s="88">
        <v>44630</v>
      </c>
      <c r="Y362" s="85" t="s">
        <v>963</v>
      </c>
      <c r="Z362" s="83" t="str">
        <f>HYPERLINK("https://twitter.com/ubaa_president/status/1501929790541942790")</f>
        <v>https://twitter.com/ubaa_president/status/1501929790541942790</v>
      </c>
      <c r="AA362" s="80"/>
      <c r="AB362" s="80"/>
      <c r="AC362" s="85" t="s">
        <v>1413</v>
      </c>
      <c r="AD362" s="80"/>
      <c r="AE362" s="80" t="b">
        <v>0</v>
      </c>
      <c r="AF362" s="80">
        <v>2</v>
      </c>
      <c r="AG362" s="85" t="s">
        <v>1635</v>
      </c>
      <c r="AH362" s="80" t="b">
        <v>1</v>
      </c>
      <c r="AI362" s="80" t="s">
        <v>1642</v>
      </c>
      <c r="AJ362" s="80"/>
      <c r="AK362" s="85" t="s">
        <v>1663</v>
      </c>
      <c r="AL362" s="80" t="b">
        <v>0</v>
      </c>
      <c r="AM362" s="80">
        <v>0</v>
      </c>
      <c r="AN362" s="85" t="s">
        <v>1635</v>
      </c>
      <c r="AO362" s="85" t="s">
        <v>1672</v>
      </c>
      <c r="AP362" s="80" t="b">
        <v>0</v>
      </c>
      <c r="AQ362" s="85" t="s">
        <v>1413</v>
      </c>
      <c r="AR362" s="80" t="s">
        <v>179</v>
      </c>
      <c r="AS362" s="80">
        <v>0</v>
      </c>
      <c r="AT362" s="80">
        <v>0</v>
      </c>
      <c r="AU362" s="80"/>
      <c r="AV362" s="80"/>
      <c r="AW362" s="80"/>
      <c r="AX362" s="80"/>
      <c r="AY362" s="80"/>
      <c r="AZ362" s="80"/>
      <c r="BA362" s="80"/>
      <c r="BB362" s="80"/>
    </row>
    <row r="363" spans="1:54" x14ac:dyDescent="0.25">
      <c r="A363" s="65" t="s">
        <v>351</v>
      </c>
      <c r="B363" s="65" t="s">
        <v>351</v>
      </c>
      <c r="C363" s="66"/>
      <c r="D363" s="67"/>
      <c r="E363" s="68"/>
      <c r="F363" s="69"/>
      <c r="G363" s="66"/>
      <c r="H363" s="70"/>
      <c r="I363" s="71"/>
      <c r="J363" s="71"/>
      <c r="K363" s="36" t="s">
        <v>65</v>
      </c>
      <c r="L363" s="78">
        <v>363</v>
      </c>
      <c r="M363" s="78"/>
      <c r="N363" s="73"/>
      <c r="O363" s="80" t="s">
        <v>179</v>
      </c>
      <c r="P363" s="82">
        <v>44630.740972222222</v>
      </c>
      <c r="Q363" s="80" t="s">
        <v>544</v>
      </c>
      <c r="R363" s="83" t="str">
        <f>HYPERLINK("https://twitter.com/UBmenshoops/status/1501917433128529925")</f>
        <v>https://twitter.com/UBmenshoops/status/1501917433128529925</v>
      </c>
      <c r="S363" s="80" t="s">
        <v>633</v>
      </c>
      <c r="T363" s="85" t="s">
        <v>665</v>
      </c>
      <c r="U363" s="80"/>
      <c r="V363" s="83" t="str">
        <f>HYPERLINK("https://pbs.twimg.com/profile_images/1442572455378227204/d3yPcxnc_normal.jpg")</f>
        <v>https://pbs.twimg.com/profile_images/1442572455378227204/d3yPcxnc_normal.jpg</v>
      </c>
      <c r="W363" s="82">
        <v>44630.740972222222</v>
      </c>
      <c r="X363" s="88">
        <v>44630</v>
      </c>
      <c r="Y363" s="85" t="s">
        <v>964</v>
      </c>
      <c r="Z363" s="83" t="str">
        <f>HYPERLINK("https://twitter.com/ubaa_president/status/1501977936999555072")</f>
        <v>https://twitter.com/ubaa_president/status/1501977936999555072</v>
      </c>
      <c r="AA363" s="80"/>
      <c r="AB363" s="80"/>
      <c r="AC363" s="85" t="s">
        <v>1414</v>
      </c>
      <c r="AD363" s="80"/>
      <c r="AE363" s="80" t="b">
        <v>0</v>
      </c>
      <c r="AF363" s="80">
        <v>0</v>
      </c>
      <c r="AG363" s="85" t="s">
        <v>1635</v>
      </c>
      <c r="AH363" s="80" t="b">
        <v>1</v>
      </c>
      <c r="AI363" s="80" t="s">
        <v>1642</v>
      </c>
      <c r="AJ363" s="80"/>
      <c r="AK363" s="85" t="s">
        <v>1664</v>
      </c>
      <c r="AL363" s="80" t="b">
        <v>0</v>
      </c>
      <c r="AM363" s="80">
        <v>0</v>
      </c>
      <c r="AN363" s="85" t="s">
        <v>1635</v>
      </c>
      <c r="AO363" s="85" t="s">
        <v>1672</v>
      </c>
      <c r="AP363" s="80" t="b">
        <v>0</v>
      </c>
      <c r="AQ363" s="85" t="s">
        <v>1414</v>
      </c>
      <c r="AR363" s="80" t="s">
        <v>179</v>
      </c>
      <c r="AS363" s="80">
        <v>0</v>
      </c>
      <c r="AT363" s="80">
        <v>0</v>
      </c>
      <c r="AU363" s="80"/>
      <c r="AV363" s="80"/>
      <c r="AW363" s="80"/>
      <c r="AX363" s="80"/>
      <c r="AY363" s="80"/>
      <c r="AZ363" s="80"/>
      <c r="BA363" s="80"/>
      <c r="BB363" s="80"/>
    </row>
    <row r="364" spans="1:54" x14ac:dyDescent="0.25">
      <c r="A364" s="65" t="s">
        <v>351</v>
      </c>
      <c r="B364" s="65" t="s">
        <v>386</v>
      </c>
      <c r="C364" s="66"/>
      <c r="D364" s="67"/>
      <c r="E364" s="68"/>
      <c r="F364" s="69"/>
      <c r="G364" s="66"/>
      <c r="H364" s="70"/>
      <c r="I364" s="71"/>
      <c r="J364" s="71"/>
      <c r="K364" s="36" t="s">
        <v>65</v>
      </c>
      <c r="L364" s="78">
        <v>364</v>
      </c>
      <c r="M364" s="78"/>
      <c r="N364" s="73"/>
      <c r="O364" s="80" t="s">
        <v>416</v>
      </c>
      <c r="P364" s="82">
        <v>44631.671087962961</v>
      </c>
      <c r="Q364" s="80" t="s">
        <v>545</v>
      </c>
      <c r="R364" s="83" t="str">
        <f>HYPERLINK("https://twitter.com/UBmenshoops/status/1502020303219798018")</f>
        <v>https://twitter.com/UBmenshoops/status/1502020303219798018</v>
      </c>
      <c r="S364" s="80" t="s">
        <v>633</v>
      </c>
      <c r="T364" s="85" t="s">
        <v>708</v>
      </c>
      <c r="U364" s="80"/>
      <c r="V364" s="83" t="str">
        <f>HYPERLINK("https://pbs.twimg.com/profile_images/1442572455378227204/d3yPcxnc_normal.jpg")</f>
        <v>https://pbs.twimg.com/profile_images/1442572455378227204/d3yPcxnc_normal.jpg</v>
      </c>
      <c r="W364" s="82">
        <v>44631.671087962961</v>
      </c>
      <c r="X364" s="88">
        <v>44631</v>
      </c>
      <c r="Y364" s="85" t="s">
        <v>965</v>
      </c>
      <c r="Z364" s="83" t="str">
        <f>HYPERLINK("https://twitter.com/ubaa_president/status/1502314999615827970")</f>
        <v>https://twitter.com/ubaa_president/status/1502314999615827970</v>
      </c>
      <c r="AA364" s="80"/>
      <c r="AB364" s="80"/>
      <c r="AC364" s="85" t="s">
        <v>1415</v>
      </c>
      <c r="AD364" s="80"/>
      <c r="AE364" s="80" t="b">
        <v>0</v>
      </c>
      <c r="AF364" s="80">
        <v>4</v>
      </c>
      <c r="AG364" s="85" t="s">
        <v>1635</v>
      </c>
      <c r="AH364" s="80" t="b">
        <v>1</v>
      </c>
      <c r="AI364" s="80" t="s">
        <v>1642</v>
      </c>
      <c r="AJ364" s="80"/>
      <c r="AK364" s="85" t="s">
        <v>1658</v>
      </c>
      <c r="AL364" s="80" t="b">
        <v>0</v>
      </c>
      <c r="AM364" s="80">
        <v>0</v>
      </c>
      <c r="AN364" s="85" t="s">
        <v>1635</v>
      </c>
      <c r="AO364" s="85" t="s">
        <v>1672</v>
      </c>
      <c r="AP364" s="80" t="b">
        <v>0</v>
      </c>
      <c r="AQ364" s="85" t="s">
        <v>1415</v>
      </c>
      <c r="AR364" s="80" t="s">
        <v>179</v>
      </c>
      <c r="AS364" s="80">
        <v>0</v>
      </c>
      <c r="AT364" s="80">
        <v>0</v>
      </c>
      <c r="AU364" s="80"/>
      <c r="AV364" s="80"/>
      <c r="AW364" s="80"/>
      <c r="AX364" s="80"/>
      <c r="AY364" s="80"/>
      <c r="AZ364" s="80"/>
      <c r="BA364" s="80"/>
      <c r="BB364" s="80"/>
    </row>
    <row r="365" spans="1:54" x14ac:dyDescent="0.25">
      <c r="A365" s="65" t="s">
        <v>351</v>
      </c>
      <c r="B365" s="65" t="s">
        <v>385</v>
      </c>
      <c r="C365" s="66"/>
      <c r="D365" s="67"/>
      <c r="E365" s="68"/>
      <c r="F365" s="69"/>
      <c r="G365" s="66"/>
      <c r="H365" s="70"/>
      <c r="I365" s="71"/>
      <c r="J365" s="71"/>
      <c r="K365" s="36" t="s">
        <v>65</v>
      </c>
      <c r="L365" s="78">
        <v>365</v>
      </c>
      <c r="M365" s="78"/>
      <c r="N365" s="73"/>
      <c r="O365" s="80" t="s">
        <v>416</v>
      </c>
      <c r="P365" s="82">
        <v>44631.714583333334</v>
      </c>
      <c r="Q365" s="80" t="s">
        <v>546</v>
      </c>
      <c r="R365" s="83" t="str">
        <f>HYPERLINK("https://twitter.com/UBwomenshoops/status/1502289815450099715")</f>
        <v>https://twitter.com/UBwomenshoops/status/1502289815450099715</v>
      </c>
      <c r="S365" s="80" t="s">
        <v>633</v>
      </c>
      <c r="T365" s="85" t="s">
        <v>707</v>
      </c>
      <c r="U365" s="80"/>
      <c r="V365" s="83" t="str">
        <f>HYPERLINK("https://pbs.twimg.com/profile_images/1442572455378227204/d3yPcxnc_normal.jpg")</f>
        <v>https://pbs.twimg.com/profile_images/1442572455378227204/d3yPcxnc_normal.jpg</v>
      </c>
      <c r="W365" s="82">
        <v>44631.714583333334</v>
      </c>
      <c r="X365" s="88">
        <v>44631</v>
      </c>
      <c r="Y365" s="85" t="s">
        <v>966</v>
      </c>
      <c r="Z365" s="83" t="str">
        <f>HYPERLINK("https://twitter.com/ubaa_president/status/1502330761831010304")</f>
        <v>https://twitter.com/ubaa_president/status/1502330761831010304</v>
      </c>
      <c r="AA365" s="80"/>
      <c r="AB365" s="80"/>
      <c r="AC365" s="85" t="s">
        <v>1416</v>
      </c>
      <c r="AD365" s="80"/>
      <c r="AE365" s="80" t="b">
        <v>0</v>
      </c>
      <c r="AF365" s="80">
        <v>2</v>
      </c>
      <c r="AG365" s="85" t="s">
        <v>1635</v>
      </c>
      <c r="AH365" s="80" t="b">
        <v>1</v>
      </c>
      <c r="AI365" s="80" t="s">
        <v>1642</v>
      </c>
      <c r="AJ365" s="80"/>
      <c r="AK365" s="85" t="s">
        <v>1665</v>
      </c>
      <c r="AL365" s="80" t="b">
        <v>0</v>
      </c>
      <c r="AM365" s="80">
        <v>0</v>
      </c>
      <c r="AN365" s="85" t="s">
        <v>1635</v>
      </c>
      <c r="AO365" s="85" t="s">
        <v>1672</v>
      </c>
      <c r="AP365" s="80" t="b">
        <v>0</v>
      </c>
      <c r="AQ365" s="85" t="s">
        <v>1416</v>
      </c>
      <c r="AR365" s="80" t="s">
        <v>179</v>
      </c>
      <c r="AS365" s="80">
        <v>0</v>
      </c>
      <c r="AT365" s="80">
        <v>0</v>
      </c>
      <c r="AU365" s="80"/>
      <c r="AV365" s="80"/>
      <c r="AW365" s="80"/>
      <c r="AX365" s="80"/>
      <c r="AY365" s="80"/>
      <c r="AZ365" s="80"/>
      <c r="BA365" s="80"/>
      <c r="BB365" s="80"/>
    </row>
    <row r="366" spans="1:54" x14ac:dyDescent="0.25">
      <c r="A366" s="65" t="s">
        <v>351</v>
      </c>
      <c r="B366" s="65" t="s">
        <v>385</v>
      </c>
      <c r="C366" s="66"/>
      <c r="D366" s="67"/>
      <c r="E366" s="68"/>
      <c r="F366" s="69"/>
      <c r="G366" s="66"/>
      <c r="H366" s="70"/>
      <c r="I366" s="71"/>
      <c r="J366" s="71"/>
      <c r="K366" s="36" t="s">
        <v>65</v>
      </c>
      <c r="L366" s="78">
        <v>366</v>
      </c>
      <c r="M366" s="78"/>
      <c r="N366" s="73"/>
      <c r="O366" s="80" t="s">
        <v>416</v>
      </c>
      <c r="P366" s="82">
        <v>44632.168900462966</v>
      </c>
      <c r="Q366" s="80" t="s">
        <v>547</v>
      </c>
      <c r="R366" s="83" t="str">
        <f>HYPERLINK("https://twitter.com/UBAthletics/status/1502368515000578055")</f>
        <v>https://twitter.com/UBAthletics/status/1502368515000578055</v>
      </c>
      <c r="S366" s="80" t="s">
        <v>633</v>
      </c>
      <c r="T366" s="85" t="s">
        <v>709</v>
      </c>
      <c r="U366" s="80"/>
      <c r="V366" s="83" t="str">
        <f>HYPERLINK("https://pbs.twimg.com/profile_images/1442572455378227204/d3yPcxnc_normal.jpg")</f>
        <v>https://pbs.twimg.com/profile_images/1442572455378227204/d3yPcxnc_normal.jpg</v>
      </c>
      <c r="W366" s="82">
        <v>44632.168900462966</v>
      </c>
      <c r="X366" s="88">
        <v>44632</v>
      </c>
      <c r="Y366" s="85" t="s">
        <v>967</v>
      </c>
      <c r="Z366" s="83" t="str">
        <f>HYPERLINK("https://twitter.com/ubaa_president/status/1502495402968371200")</f>
        <v>https://twitter.com/ubaa_president/status/1502495402968371200</v>
      </c>
      <c r="AA366" s="80"/>
      <c r="AB366" s="80"/>
      <c r="AC366" s="85" t="s">
        <v>1417</v>
      </c>
      <c r="AD366" s="80"/>
      <c r="AE366" s="80" t="b">
        <v>0</v>
      </c>
      <c r="AF366" s="80">
        <v>4</v>
      </c>
      <c r="AG366" s="85" t="s">
        <v>1635</v>
      </c>
      <c r="AH366" s="80" t="b">
        <v>1</v>
      </c>
      <c r="AI366" s="80" t="s">
        <v>1642</v>
      </c>
      <c r="AJ366" s="80"/>
      <c r="AK366" s="85" t="s">
        <v>1666</v>
      </c>
      <c r="AL366" s="80" t="b">
        <v>0</v>
      </c>
      <c r="AM366" s="80">
        <v>0</v>
      </c>
      <c r="AN366" s="85" t="s">
        <v>1635</v>
      </c>
      <c r="AO366" s="85" t="s">
        <v>1672</v>
      </c>
      <c r="AP366" s="80" t="b">
        <v>0</v>
      </c>
      <c r="AQ366" s="85" t="s">
        <v>1417</v>
      </c>
      <c r="AR366" s="80" t="s">
        <v>179</v>
      </c>
      <c r="AS366" s="80">
        <v>0</v>
      </c>
      <c r="AT366" s="80">
        <v>0</v>
      </c>
      <c r="AU366" s="80"/>
      <c r="AV366" s="80"/>
      <c r="AW366" s="80"/>
      <c r="AX366" s="80"/>
      <c r="AY366" s="80"/>
      <c r="AZ366" s="80"/>
      <c r="BA366" s="80"/>
      <c r="BB366" s="80"/>
    </row>
    <row r="367" spans="1:54" x14ac:dyDescent="0.25">
      <c r="A367" s="65" t="s">
        <v>351</v>
      </c>
      <c r="B367" s="65" t="s">
        <v>351</v>
      </c>
      <c r="C367" s="66"/>
      <c r="D367" s="67"/>
      <c r="E367" s="68"/>
      <c r="F367" s="69"/>
      <c r="G367" s="66"/>
      <c r="H367" s="70"/>
      <c r="I367" s="71"/>
      <c r="J367" s="71"/>
      <c r="K367" s="36" t="s">
        <v>65</v>
      </c>
      <c r="L367" s="78">
        <v>367</v>
      </c>
      <c r="M367" s="78"/>
      <c r="N367" s="73"/>
      <c r="O367" s="80" t="s">
        <v>179</v>
      </c>
      <c r="P367" s="82">
        <v>44632.597430555557</v>
      </c>
      <c r="Q367" s="80" t="s">
        <v>548</v>
      </c>
      <c r="R367" s="83" t="str">
        <f>HYPERLINK("https://twitter.com/MACSports/status/1502645010528931842")</f>
        <v>https://twitter.com/MACSports/status/1502645010528931842</v>
      </c>
      <c r="S367" s="80" t="s">
        <v>633</v>
      </c>
      <c r="T367" s="85" t="s">
        <v>707</v>
      </c>
      <c r="U367" s="80"/>
      <c r="V367" s="83" t="str">
        <f>HYPERLINK("https://pbs.twimg.com/profile_images/1442572455378227204/d3yPcxnc_normal.jpg")</f>
        <v>https://pbs.twimg.com/profile_images/1442572455378227204/d3yPcxnc_normal.jpg</v>
      </c>
      <c r="W367" s="82">
        <v>44632.597430555557</v>
      </c>
      <c r="X367" s="88">
        <v>44632</v>
      </c>
      <c r="Y367" s="85" t="s">
        <v>968</v>
      </c>
      <c r="Z367" s="83" t="str">
        <f>HYPERLINK("https://twitter.com/ubaa_president/status/1502650695811584010")</f>
        <v>https://twitter.com/ubaa_president/status/1502650695811584010</v>
      </c>
      <c r="AA367" s="80"/>
      <c r="AB367" s="80"/>
      <c r="AC367" s="85" t="s">
        <v>1418</v>
      </c>
      <c r="AD367" s="80"/>
      <c r="AE367" s="80" t="b">
        <v>0</v>
      </c>
      <c r="AF367" s="80">
        <v>2</v>
      </c>
      <c r="AG367" s="85" t="s">
        <v>1635</v>
      </c>
      <c r="AH367" s="80" t="b">
        <v>1</v>
      </c>
      <c r="AI367" s="80" t="s">
        <v>1642</v>
      </c>
      <c r="AJ367" s="80"/>
      <c r="AK367" s="85" t="s">
        <v>1659</v>
      </c>
      <c r="AL367" s="80" t="b">
        <v>0</v>
      </c>
      <c r="AM367" s="80">
        <v>0</v>
      </c>
      <c r="AN367" s="85" t="s">
        <v>1635</v>
      </c>
      <c r="AO367" s="85" t="s">
        <v>1672</v>
      </c>
      <c r="AP367" s="80" t="b">
        <v>0</v>
      </c>
      <c r="AQ367" s="85" t="s">
        <v>1418</v>
      </c>
      <c r="AR367" s="80" t="s">
        <v>179</v>
      </c>
      <c r="AS367" s="80">
        <v>0</v>
      </c>
      <c r="AT367" s="80">
        <v>0</v>
      </c>
      <c r="AU367" s="80"/>
      <c r="AV367" s="80"/>
      <c r="AW367" s="80"/>
      <c r="AX367" s="80"/>
      <c r="AY367" s="80"/>
      <c r="AZ367" s="80"/>
      <c r="BA367" s="80"/>
      <c r="BB367" s="80"/>
    </row>
    <row r="368" spans="1:54" x14ac:dyDescent="0.25">
      <c r="A368" s="65" t="s">
        <v>351</v>
      </c>
      <c r="B368" s="65" t="s">
        <v>351</v>
      </c>
      <c r="C368" s="66"/>
      <c r="D368" s="67"/>
      <c r="E368" s="68"/>
      <c r="F368" s="69"/>
      <c r="G368" s="66"/>
      <c r="H368" s="70"/>
      <c r="I368" s="71"/>
      <c r="J368" s="71"/>
      <c r="K368" s="36" t="s">
        <v>65</v>
      </c>
      <c r="L368" s="78">
        <v>368</v>
      </c>
      <c r="M368" s="78"/>
      <c r="N368" s="73"/>
      <c r="O368" s="80" t="s">
        <v>179</v>
      </c>
      <c r="P368" s="82">
        <v>44632.703645833331</v>
      </c>
      <c r="Q368" s="80" t="s">
        <v>549</v>
      </c>
      <c r="R368" s="83" t="str">
        <f>HYPERLINK("https://twitter.com/ubalumni/status/1502668318322282504")</f>
        <v>https://twitter.com/ubalumni/status/1502668318322282504</v>
      </c>
      <c r="S368" s="80" t="s">
        <v>633</v>
      </c>
      <c r="T368" s="85" t="s">
        <v>710</v>
      </c>
      <c r="U368" s="80"/>
      <c r="V368" s="83" t="str">
        <f>HYPERLINK("https://pbs.twimg.com/profile_images/1442572455378227204/d3yPcxnc_normal.jpg")</f>
        <v>https://pbs.twimg.com/profile_images/1442572455378227204/d3yPcxnc_normal.jpg</v>
      </c>
      <c r="W368" s="82">
        <v>44632.703645833331</v>
      </c>
      <c r="X368" s="88">
        <v>44632</v>
      </c>
      <c r="Y368" s="85" t="s">
        <v>969</v>
      </c>
      <c r="Z368" s="83" t="str">
        <f>HYPERLINK("https://twitter.com/ubaa_president/status/1502689187253870597")</f>
        <v>https://twitter.com/ubaa_president/status/1502689187253870597</v>
      </c>
      <c r="AA368" s="80"/>
      <c r="AB368" s="80"/>
      <c r="AC368" s="85" t="s">
        <v>1419</v>
      </c>
      <c r="AD368" s="80"/>
      <c r="AE368" s="80" t="b">
        <v>0</v>
      </c>
      <c r="AF368" s="80">
        <v>4</v>
      </c>
      <c r="AG368" s="85" t="s">
        <v>1635</v>
      </c>
      <c r="AH368" s="80" t="b">
        <v>1</v>
      </c>
      <c r="AI368" s="80" t="s">
        <v>1642</v>
      </c>
      <c r="AJ368" s="80"/>
      <c r="AK368" s="85" t="s">
        <v>1633</v>
      </c>
      <c r="AL368" s="80" t="b">
        <v>0</v>
      </c>
      <c r="AM368" s="80">
        <v>0</v>
      </c>
      <c r="AN368" s="85" t="s">
        <v>1635</v>
      </c>
      <c r="AO368" s="85" t="s">
        <v>1672</v>
      </c>
      <c r="AP368" s="80" t="b">
        <v>0</v>
      </c>
      <c r="AQ368" s="85" t="s">
        <v>1419</v>
      </c>
      <c r="AR368" s="80" t="s">
        <v>179</v>
      </c>
      <c r="AS368" s="80">
        <v>0</v>
      </c>
      <c r="AT368" s="80">
        <v>0</v>
      </c>
      <c r="AU368" s="80"/>
      <c r="AV368" s="80"/>
      <c r="AW368" s="80"/>
      <c r="AX368" s="80"/>
      <c r="AY368" s="80"/>
      <c r="AZ368" s="80"/>
      <c r="BA368" s="80"/>
      <c r="BB368" s="80"/>
    </row>
    <row r="369" spans="1:54" x14ac:dyDescent="0.25">
      <c r="A369" s="65" t="s">
        <v>351</v>
      </c>
      <c r="B369" s="65" t="s">
        <v>361</v>
      </c>
      <c r="C369" s="66"/>
      <c r="D369" s="67"/>
      <c r="E369" s="68"/>
      <c r="F369" s="69"/>
      <c r="G369" s="66"/>
      <c r="H369" s="70"/>
      <c r="I369" s="71"/>
      <c r="J369" s="71"/>
      <c r="K369" s="36" t="s">
        <v>65</v>
      </c>
      <c r="L369" s="78">
        <v>369</v>
      </c>
      <c r="M369" s="78"/>
      <c r="N369" s="73"/>
      <c r="O369" s="80" t="s">
        <v>416</v>
      </c>
      <c r="P369" s="82">
        <v>44632.765335648146</v>
      </c>
      <c r="Q369" s="80" t="s">
        <v>550</v>
      </c>
      <c r="R369" s="83" t="str">
        <f>HYPERLINK("https://twitter.com/UBwomenshoops/status/1502707861029326854")</f>
        <v>https://twitter.com/UBwomenshoops/status/1502707861029326854</v>
      </c>
      <c r="S369" s="80" t="s">
        <v>633</v>
      </c>
      <c r="T369" s="85" t="s">
        <v>711</v>
      </c>
      <c r="U369" s="80"/>
      <c r="V369" s="83" t="str">
        <f>HYPERLINK("https://pbs.twimg.com/profile_images/1442572455378227204/d3yPcxnc_normal.jpg")</f>
        <v>https://pbs.twimg.com/profile_images/1442572455378227204/d3yPcxnc_normal.jpg</v>
      </c>
      <c r="W369" s="82">
        <v>44632.765335648146</v>
      </c>
      <c r="X369" s="88">
        <v>44632</v>
      </c>
      <c r="Y369" s="85" t="s">
        <v>970</v>
      </c>
      <c r="Z369" s="83" t="str">
        <f>HYPERLINK("https://twitter.com/ubaa_president/status/1502711542571274245")</f>
        <v>https://twitter.com/ubaa_president/status/1502711542571274245</v>
      </c>
      <c r="AA369" s="80"/>
      <c r="AB369" s="80"/>
      <c r="AC369" s="85" t="s">
        <v>1420</v>
      </c>
      <c r="AD369" s="80"/>
      <c r="AE369" s="80" t="b">
        <v>0</v>
      </c>
      <c r="AF369" s="80">
        <v>7</v>
      </c>
      <c r="AG369" s="85" t="s">
        <v>1635</v>
      </c>
      <c r="AH369" s="80" t="b">
        <v>1</v>
      </c>
      <c r="AI369" s="80" t="s">
        <v>1642</v>
      </c>
      <c r="AJ369" s="80"/>
      <c r="AK369" s="85" t="s">
        <v>1651</v>
      </c>
      <c r="AL369" s="80" t="b">
        <v>0</v>
      </c>
      <c r="AM369" s="80">
        <v>1</v>
      </c>
      <c r="AN369" s="85" t="s">
        <v>1635</v>
      </c>
      <c r="AO369" s="85" t="s">
        <v>1672</v>
      </c>
      <c r="AP369" s="80" t="b">
        <v>0</v>
      </c>
      <c r="AQ369" s="85" t="s">
        <v>1420</v>
      </c>
      <c r="AR369" s="80" t="s">
        <v>179</v>
      </c>
      <c r="AS369" s="80">
        <v>0</v>
      </c>
      <c r="AT369" s="80">
        <v>0</v>
      </c>
      <c r="AU369" s="80"/>
      <c r="AV369" s="80"/>
      <c r="AW369" s="80"/>
      <c r="AX369" s="80"/>
      <c r="AY369" s="80"/>
      <c r="AZ369" s="80"/>
      <c r="BA369" s="80"/>
      <c r="BB369" s="80"/>
    </row>
    <row r="370" spans="1:54" x14ac:dyDescent="0.25">
      <c r="A370" s="65" t="s">
        <v>351</v>
      </c>
      <c r="B370" s="65" t="s">
        <v>385</v>
      </c>
      <c r="C370" s="66"/>
      <c r="D370" s="67"/>
      <c r="E370" s="68"/>
      <c r="F370" s="69"/>
      <c r="G370" s="66"/>
      <c r="H370" s="70"/>
      <c r="I370" s="71"/>
      <c r="J370" s="71"/>
      <c r="K370" s="36" t="s">
        <v>65</v>
      </c>
      <c r="L370" s="78">
        <v>370</v>
      </c>
      <c r="M370" s="78"/>
      <c r="N370" s="73"/>
      <c r="O370" s="80" t="s">
        <v>416</v>
      </c>
      <c r="P370" s="82">
        <v>44632.765335648146</v>
      </c>
      <c r="Q370" s="80" t="s">
        <v>550</v>
      </c>
      <c r="R370" s="83" t="str">
        <f>HYPERLINK("https://twitter.com/UBwomenshoops/status/1502707861029326854")</f>
        <v>https://twitter.com/UBwomenshoops/status/1502707861029326854</v>
      </c>
      <c r="S370" s="80" t="s">
        <v>633</v>
      </c>
      <c r="T370" s="85" t="s">
        <v>711</v>
      </c>
      <c r="U370" s="80"/>
      <c r="V370" s="83" t="str">
        <f>HYPERLINK("https://pbs.twimg.com/profile_images/1442572455378227204/d3yPcxnc_normal.jpg")</f>
        <v>https://pbs.twimg.com/profile_images/1442572455378227204/d3yPcxnc_normal.jpg</v>
      </c>
      <c r="W370" s="82">
        <v>44632.765335648146</v>
      </c>
      <c r="X370" s="88">
        <v>44632</v>
      </c>
      <c r="Y370" s="85" t="s">
        <v>970</v>
      </c>
      <c r="Z370" s="83" t="str">
        <f>HYPERLINK("https://twitter.com/ubaa_president/status/1502711542571274245")</f>
        <v>https://twitter.com/ubaa_president/status/1502711542571274245</v>
      </c>
      <c r="AA370" s="80"/>
      <c r="AB370" s="80"/>
      <c r="AC370" s="85" t="s">
        <v>1420</v>
      </c>
      <c r="AD370" s="80"/>
      <c r="AE370" s="80" t="b">
        <v>0</v>
      </c>
      <c r="AF370" s="80">
        <v>7</v>
      </c>
      <c r="AG370" s="85" t="s">
        <v>1635</v>
      </c>
      <c r="AH370" s="80" t="b">
        <v>1</v>
      </c>
      <c r="AI370" s="80" t="s">
        <v>1642</v>
      </c>
      <c r="AJ370" s="80"/>
      <c r="AK370" s="85" t="s">
        <v>1651</v>
      </c>
      <c r="AL370" s="80" t="b">
        <v>0</v>
      </c>
      <c r="AM370" s="80">
        <v>1</v>
      </c>
      <c r="AN370" s="85" t="s">
        <v>1635</v>
      </c>
      <c r="AO370" s="85" t="s">
        <v>1672</v>
      </c>
      <c r="AP370" s="80" t="b">
        <v>0</v>
      </c>
      <c r="AQ370" s="85" t="s">
        <v>1420</v>
      </c>
      <c r="AR370" s="80" t="s">
        <v>179</v>
      </c>
      <c r="AS370" s="80">
        <v>0</v>
      </c>
      <c r="AT370" s="80">
        <v>0</v>
      </c>
      <c r="AU370" s="80"/>
      <c r="AV370" s="80"/>
      <c r="AW370" s="80"/>
      <c r="AX370" s="80"/>
      <c r="AY370" s="80"/>
      <c r="AZ370" s="80"/>
      <c r="BA370" s="80"/>
      <c r="BB370" s="80"/>
    </row>
    <row r="371" spans="1:54" x14ac:dyDescent="0.25">
      <c r="A371" s="65" t="s">
        <v>352</v>
      </c>
      <c r="B371" s="65" t="s">
        <v>351</v>
      </c>
      <c r="C371" s="66"/>
      <c r="D371" s="67"/>
      <c r="E371" s="68"/>
      <c r="F371" s="69"/>
      <c r="G371" s="66"/>
      <c r="H371" s="70"/>
      <c r="I371" s="71"/>
      <c r="J371" s="71"/>
      <c r="K371" s="36" t="s">
        <v>65</v>
      </c>
      <c r="L371" s="78">
        <v>371</v>
      </c>
      <c r="M371" s="78"/>
      <c r="N371" s="73"/>
      <c r="O371" s="80" t="s">
        <v>415</v>
      </c>
      <c r="P371" s="82">
        <v>44632.810925925929</v>
      </c>
      <c r="Q371" s="80" t="s">
        <v>550</v>
      </c>
      <c r="R371" s="83" t="str">
        <f>HYPERLINK("https://twitter.com/UBwomenshoops/status/1502707861029326854")</f>
        <v>https://twitter.com/UBwomenshoops/status/1502707861029326854</v>
      </c>
      <c r="S371" s="80" t="s">
        <v>633</v>
      </c>
      <c r="T371" s="85" t="s">
        <v>711</v>
      </c>
      <c r="U371" s="80"/>
      <c r="V371" s="83" t="str">
        <f>HYPERLINK("https://pbs.twimg.com/profile_images/1453137037998100483/V5KnAqWn_normal.jpg")</f>
        <v>https://pbs.twimg.com/profile_images/1453137037998100483/V5KnAqWn_normal.jpg</v>
      </c>
      <c r="W371" s="82">
        <v>44632.810925925929</v>
      </c>
      <c r="X371" s="88">
        <v>44632</v>
      </c>
      <c r="Y371" s="85" t="s">
        <v>971</v>
      </c>
      <c r="Z371" s="83" t="str">
        <f>HYPERLINK("https://twitter.com/ub_etgross/status/1502728065235001349")</f>
        <v>https://twitter.com/ub_etgross/status/1502728065235001349</v>
      </c>
      <c r="AA371" s="80"/>
      <c r="AB371" s="80"/>
      <c r="AC371" s="85" t="s">
        <v>1421</v>
      </c>
      <c r="AD371" s="80"/>
      <c r="AE371" s="80" t="b">
        <v>0</v>
      </c>
      <c r="AF371" s="80">
        <v>0</v>
      </c>
      <c r="AG371" s="85" t="s">
        <v>1635</v>
      </c>
      <c r="AH371" s="80" t="b">
        <v>1</v>
      </c>
      <c r="AI371" s="80" t="s">
        <v>1642</v>
      </c>
      <c r="AJ371" s="80"/>
      <c r="AK371" s="85" t="s">
        <v>1651</v>
      </c>
      <c r="AL371" s="80" t="b">
        <v>0</v>
      </c>
      <c r="AM371" s="80">
        <v>1</v>
      </c>
      <c r="AN371" s="85" t="s">
        <v>1420</v>
      </c>
      <c r="AO371" s="85" t="s">
        <v>1671</v>
      </c>
      <c r="AP371" s="80" t="b">
        <v>0</v>
      </c>
      <c r="AQ371" s="85" t="s">
        <v>1420</v>
      </c>
      <c r="AR371" s="80" t="s">
        <v>179</v>
      </c>
      <c r="AS371" s="80">
        <v>0</v>
      </c>
      <c r="AT371" s="80">
        <v>0</v>
      </c>
      <c r="AU371" s="80"/>
      <c r="AV371" s="80"/>
      <c r="AW371" s="80"/>
      <c r="AX371" s="80"/>
      <c r="AY371" s="80"/>
      <c r="AZ371" s="80"/>
      <c r="BA371" s="80"/>
      <c r="BB371" s="80"/>
    </row>
    <row r="372" spans="1:54" x14ac:dyDescent="0.25">
      <c r="A372" s="65" t="s">
        <v>353</v>
      </c>
      <c r="B372" s="65" t="s">
        <v>351</v>
      </c>
      <c r="C372" s="66"/>
      <c r="D372" s="67"/>
      <c r="E372" s="68"/>
      <c r="F372" s="69"/>
      <c r="G372" s="66"/>
      <c r="H372" s="70"/>
      <c r="I372" s="71"/>
      <c r="J372" s="71"/>
      <c r="K372" s="36" t="s">
        <v>65</v>
      </c>
      <c r="L372" s="78">
        <v>372</v>
      </c>
      <c r="M372" s="78"/>
      <c r="N372" s="73"/>
      <c r="O372" s="80" t="s">
        <v>415</v>
      </c>
      <c r="P372" s="82">
        <v>44627.45821759259</v>
      </c>
      <c r="Q372" s="80" t="s">
        <v>420</v>
      </c>
      <c r="R372" s="83" t="str">
        <f>HYPERLINK("https://twitter.com/ubalumni/status/1500271443057295360")</f>
        <v>https://twitter.com/ubalumni/status/1500271443057295360</v>
      </c>
      <c r="S372" s="80" t="s">
        <v>633</v>
      </c>
      <c r="T372" s="85" t="s">
        <v>662</v>
      </c>
      <c r="U372" s="80"/>
      <c r="V372" s="83" t="str">
        <f>HYPERLINK("https://pbs.twimg.com/profile_images/1060537291154878469/YDggWrP4_normal.jpg")</f>
        <v>https://pbs.twimg.com/profile_images/1060537291154878469/YDggWrP4_normal.jpg</v>
      </c>
      <c r="W372" s="82">
        <v>44627.45821759259</v>
      </c>
      <c r="X372" s="88">
        <v>44627</v>
      </c>
      <c r="Y372" s="85" t="s">
        <v>972</v>
      </c>
      <c r="Z372" s="83" t="str">
        <f>HYPERLINK("https://twitter.com/ubalumni/status/1500788306497445895")</f>
        <v>https://twitter.com/ubalumni/status/1500788306497445895</v>
      </c>
      <c r="AA372" s="80"/>
      <c r="AB372" s="80"/>
      <c r="AC372" s="85" t="s">
        <v>1422</v>
      </c>
      <c r="AD372" s="80"/>
      <c r="AE372" s="80" t="b">
        <v>0</v>
      </c>
      <c r="AF372" s="80">
        <v>0</v>
      </c>
      <c r="AG372" s="85" t="s">
        <v>1635</v>
      </c>
      <c r="AH372" s="80" t="b">
        <v>1</v>
      </c>
      <c r="AI372" s="80" t="s">
        <v>1642</v>
      </c>
      <c r="AJ372" s="80"/>
      <c r="AK372" s="85" t="s">
        <v>1481</v>
      </c>
      <c r="AL372" s="80" t="b">
        <v>0</v>
      </c>
      <c r="AM372" s="80">
        <v>4</v>
      </c>
      <c r="AN372" s="85" t="s">
        <v>1410</v>
      </c>
      <c r="AO372" s="85" t="s">
        <v>1671</v>
      </c>
      <c r="AP372" s="80" t="b">
        <v>0</v>
      </c>
      <c r="AQ372" s="85" t="s">
        <v>1410</v>
      </c>
      <c r="AR372" s="80" t="s">
        <v>179</v>
      </c>
      <c r="AS372" s="80">
        <v>0</v>
      </c>
      <c r="AT372" s="80">
        <v>0</v>
      </c>
      <c r="AU372" s="80"/>
      <c r="AV372" s="80"/>
      <c r="AW372" s="80"/>
      <c r="AX372" s="80"/>
      <c r="AY372" s="80"/>
      <c r="AZ372" s="80"/>
      <c r="BA372" s="80"/>
      <c r="BB372" s="80"/>
    </row>
    <row r="373" spans="1:54" x14ac:dyDescent="0.25">
      <c r="A373" s="65" t="s">
        <v>353</v>
      </c>
      <c r="B373" s="65" t="s">
        <v>386</v>
      </c>
      <c r="C373" s="66"/>
      <c r="D373" s="67"/>
      <c r="E373" s="68"/>
      <c r="F373" s="69"/>
      <c r="G373" s="66"/>
      <c r="H373" s="70"/>
      <c r="I373" s="71"/>
      <c r="J373" s="71"/>
      <c r="K373" s="36" t="s">
        <v>65</v>
      </c>
      <c r="L373" s="78">
        <v>373</v>
      </c>
      <c r="M373" s="78"/>
      <c r="N373" s="73"/>
      <c r="O373" s="80" t="s">
        <v>416</v>
      </c>
      <c r="P373" s="82">
        <v>44627.69872685185</v>
      </c>
      <c r="Q373" s="80" t="s">
        <v>426</v>
      </c>
      <c r="R373" s="83" t="str">
        <f>HYPERLINK("https://ubbulls.com/sports/2022/2/24/mac-basketball-2022.aspx?linkId=100000113931700")</f>
        <v>https://ubbulls.com/sports/2022/2/24/mac-basketball-2022.aspx?linkId=100000113931700</v>
      </c>
      <c r="S373" s="80" t="s">
        <v>638</v>
      </c>
      <c r="T373" s="85" t="s">
        <v>665</v>
      </c>
      <c r="U373" s="83" t="str">
        <f>HYPERLINK("https://pbs.twimg.com/media/FNQuP6DXsAUvTIT.jpg")</f>
        <v>https://pbs.twimg.com/media/FNQuP6DXsAUvTIT.jpg</v>
      </c>
      <c r="V373" s="83" t="str">
        <f>HYPERLINK("https://pbs.twimg.com/media/FNQuP6DXsAUvTIT.jpg")</f>
        <v>https://pbs.twimg.com/media/FNQuP6DXsAUvTIT.jpg</v>
      </c>
      <c r="W373" s="82">
        <v>44627.69872685185</v>
      </c>
      <c r="X373" s="88">
        <v>44627</v>
      </c>
      <c r="Y373" s="85" t="s">
        <v>973</v>
      </c>
      <c r="Z373" s="83" t="str">
        <f>HYPERLINK("https://twitter.com/ubalumni/status/1500875464071647237")</f>
        <v>https://twitter.com/ubalumni/status/1500875464071647237</v>
      </c>
      <c r="AA373" s="80"/>
      <c r="AB373" s="80"/>
      <c r="AC373" s="85" t="s">
        <v>1423</v>
      </c>
      <c r="AD373" s="80"/>
      <c r="AE373" s="80" t="b">
        <v>0</v>
      </c>
      <c r="AF373" s="80">
        <v>16</v>
      </c>
      <c r="AG373" s="85" t="s">
        <v>1635</v>
      </c>
      <c r="AH373" s="80" t="b">
        <v>0</v>
      </c>
      <c r="AI373" s="80" t="s">
        <v>1642</v>
      </c>
      <c r="AJ373" s="80"/>
      <c r="AK373" s="85" t="s">
        <v>1635</v>
      </c>
      <c r="AL373" s="80" t="b">
        <v>0</v>
      </c>
      <c r="AM373" s="80">
        <v>5</v>
      </c>
      <c r="AN373" s="85" t="s">
        <v>1635</v>
      </c>
      <c r="AO373" s="85" t="s">
        <v>1679</v>
      </c>
      <c r="AP373" s="80" t="b">
        <v>0</v>
      </c>
      <c r="AQ373" s="85" t="s">
        <v>1423</v>
      </c>
      <c r="AR373" s="80" t="s">
        <v>179</v>
      </c>
      <c r="AS373" s="80">
        <v>0</v>
      </c>
      <c r="AT373" s="80">
        <v>0</v>
      </c>
      <c r="AU373" s="80"/>
      <c r="AV373" s="80"/>
      <c r="AW373" s="80"/>
      <c r="AX373" s="80"/>
      <c r="AY373" s="80"/>
      <c r="AZ373" s="80"/>
      <c r="BA373" s="80"/>
      <c r="BB373" s="80"/>
    </row>
    <row r="374" spans="1:54" x14ac:dyDescent="0.25">
      <c r="A374" s="65" t="s">
        <v>354</v>
      </c>
      <c r="B374" s="65" t="s">
        <v>354</v>
      </c>
      <c r="C374" s="66"/>
      <c r="D374" s="67"/>
      <c r="E374" s="68"/>
      <c r="F374" s="69"/>
      <c r="G374" s="66"/>
      <c r="H374" s="70"/>
      <c r="I374" s="71"/>
      <c r="J374" s="71"/>
      <c r="K374" s="36" t="s">
        <v>65</v>
      </c>
      <c r="L374" s="78">
        <v>374</v>
      </c>
      <c r="M374" s="78"/>
      <c r="N374" s="73"/>
      <c r="O374" s="80" t="s">
        <v>179</v>
      </c>
      <c r="P374" s="82">
        <v>44628.920543981483</v>
      </c>
      <c r="Q374" s="80" t="s">
        <v>551</v>
      </c>
      <c r="R374" s="80"/>
      <c r="S374" s="80"/>
      <c r="T374" s="85" t="s">
        <v>357</v>
      </c>
      <c r="U374" s="83" t="str">
        <f>HYPERLINK("https://pbs.twimg.com/media/FNXA6sMXwAgSFRD.png")</f>
        <v>https://pbs.twimg.com/media/FNXA6sMXwAgSFRD.png</v>
      </c>
      <c r="V374" s="83" t="str">
        <f>HYPERLINK("https://pbs.twimg.com/media/FNXA6sMXwAgSFRD.png")</f>
        <v>https://pbs.twimg.com/media/FNXA6sMXwAgSFRD.png</v>
      </c>
      <c r="W374" s="82">
        <v>44628.920543981483</v>
      </c>
      <c r="X374" s="88">
        <v>44628</v>
      </c>
      <c r="Y374" s="85" t="s">
        <v>974</v>
      </c>
      <c r="Z374" s="83" t="str">
        <f>HYPERLINK("https://twitter.com/ubschooloflaw/status/1501318234976444424")</f>
        <v>https://twitter.com/ubschooloflaw/status/1501318234976444424</v>
      </c>
      <c r="AA374" s="80"/>
      <c r="AB374" s="80"/>
      <c r="AC374" s="85" t="s">
        <v>1424</v>
      </c>
      <c r="AD374" s="80"/>
      <c r="AE374" s="80" t="b">
        <v>0</v>
      </c>
      <c r="AF374" s="80">
        <v>5</v>
      </c>
      <c r="AG374" s="85" t="s">
        <v>1635</v>
      </c>
      <c r="AH374" s="80" t="b">
        <v>0</v>
      </c>
      <c r="AI374" s="80" t="s">
        <v>1642</v>
      </c>
      <c r="AJ374" s="80"/>
      <c r="AK374" s="85" t="s">
        <v>1635</v>
      </c>
      <c r="AL374" s="80" t="b">
        <v>0</v>
      </c>
      <c r="AM374" s="80">
        <v>0</v>
      </c>
      <c r="AN374" s="85" t="s">
        <v>1635</v>
      </c>
      <c r="AO374" s="85" t="s">
        <v>1672</v>
      </c>
      <c r="AP374" s="80" t="b">
        <v>0</v>
      </c>
      <c r="AQ374" s="85" t="s">
        <v>1424</v>
      </c>
      <c r="AR374" s="80" t="s">
        <v>179</v>
      </c>
      <c r="AS374" s="80">
        <v>0</v>
      </c>
      <c r="AT374" s="80">
        <v>0</v>
      </c>
      <c r="AU374" s="80"/>
      <c r="AV374" s="80"/>
      <c r="AW374" s="80"/>
      <c r="AX374" s="80"/>
      <c r="AY374" s="80"/>
      <c r="AZ374" s="80"/>
      <c r="BA374" s="80"/>
      <c r="BB374" s="80"/>
    </row>
    <row r="375" spans="1:54" x14ac:dyDescent="0.25">
      <c r="A375" s="65" t="s">
        <v>353</v>
      </c>
      <c r="B375" s="65" t="s">
        <v>354</v>
      </c>
      <c r="C375" s="66"/>
      <c r="D375" s="67"/>
      <c r="E375" s="68"/>
      <c r="F375" s="69"/>
      <c r="G375" s="66"/>
      <c r="H375" s="70"/>
      <c r="I375" s="71"/>
      <c r="J375" s="71"/>
      <c r="K375" s="36" t="s">
        <v>65</v>
      </c>
      <c r="L375" s="78">
        <v>375</v>
      </c>
      <c r="M375" s="78"/>
      <c r="N375" s="73"/>
      <c r="O375" s="80" t="s">
        <v>416</v>
      </c>
      <c r="P375" s="82">
        <v>44630.531956018516</v>
      </c>
      <c r="Q375" s="80" t="s">
        <v>541</v>
      </c>
      <c r="R375" s="83" t="str">
        <f>HYPERLINK("https://www.law.buffalo.edu/links/2022-January/rose-gift.html?utm_source=TWITTER&amp;utm_medium=social&amp;utm_term=20220224&amp;utm_content=100002916220435&amp;utm_campaign=General+Content&amp;linkId=100000110222512")</f>
        <v>https://www.law.buffalo.edu/links/2022-January/rose-gift.html?utm_source=TWITTER&amp;utm_medium=social&amp;utm_term=20220224&amp;utm_content=100002916220435&amp;utm_campaign=General+Content&amp;linkId=100000110222512</v>
      </c>
      <c r="S375" s="80" t="s">
        <v>632</v>
      </c>
      <c r="T375" s="85" t="s">
        <v>357</v>
      </c>
      <c r="U375" s="83" t="str">
        <f>HYPERLINK("https://pbs.twimg.com/media/FNfUFfFX0AY9Wv0.png")</f>
        <v>https://pbs.twimg.com/media/FNfUFfFX0AY9Wv0.png</v>
      </c>
      <c r="V375" s="83" t="str">
        <f>HYPERLINK("https://pbs.twimg.com/media/FNfUFfFX0AY9Wv0.png")</f>
        <v>https://pbs.twimg.com/media/FNfUFfFX0AY9Wv0.png</v>
      </c>
      <c r="W375" s="82">
        <v>44630.531956018516</v>
      </c>
      <c r="X375" s="88">
        <v>44630</v>
      </c>
      <c r="Y375" s="85" t="s">
        <v>975</v>
      </c>
      <c r="Z375" s="83" t="str">
        <f>HYPERLINK("https://twitter.com/ubalumni/status/1501902194609635328")</f>
        <v>https://twitter.com/ubalumni/status/1501902194609635328</v>
      </c>
      <c r="AA375" s="80"/>
      <c r="AB375" s="80"/>
      <c r="AC375" s="85" t="s">
        <v>1425</v>
      </c>
      <c r="AD375" s="80"/>
      <c r="AE375" s="80" t="b">
        <v>0</v>
      </c>
      <c r="AF375" s="80">
        <v>2</v>
      </c>
      <c r="AG375" s="85" t="s">
        <v>1635</v>
      </c>
      <c r="AH375" s="80" t="b">
        <v>0</v>
      </c>
      <c r="AI375" s="80" t="s">
        <v>1642</v>
      </c>
      <c r="AJ375" s="80"/>
      <c r="AK375" s="85" t="s">
        <v>1635</v>
      </c>
      <c r="AL375" s="80" t="b">
        <v>0</v>
      </c>
      <c r="AM375" s="80">
        <v>1</v>
      </c>
      <c r="AN375" s="85" t="s">
        <v>1635</v>
      </c>
      <c r="AO375" s="85" t="s">
        <v>1679</v>
      </c>
      <c r="AP375" s="80" t="b">
        <v>0</v>
      </c>
      <c r="AQ375" s="85" t="s">
        <v>1425</v>
      </c>
      <c r="AR375" s="80" t="s">
        <v>179</v>
      </c>
      <c r="AS375" s="80">
        <v>0</v>
      </c>
      <c r="AT375" s="80">
        <v>0</v>
      </c>
      <c r="AU375" s="80"/>
      <c r="AV375" s="80"/>
      <c r="AW375" s="80"/>
      <c r="AX375" s="80"/>
      <c r="AY375" s="80"/>
      <c r="AZ375" s="80"/>
      <c r="BA375" s="80"/>
      <c r="BB375" s="80"/>
    </row>
    <row r="376" spans="1:54" x14ac:dyDescent="0.25">
      <c r="A376" s="65" t="s">
        <v>353</v>
      </c>
      <c r="B376" s="65" t="s">
        <v>398</v>
      </c>
      <c r="C376" s="66"/>
      <c r="D376" s="67"/>
      <c r="E376" s="68"/>
      <c r="F376" s="69"/>
      <c r="G376" s="66"/>
      <c r="H376" s="70"/>
      <c r="I376" s="71"/>
      <c r="J376" s="71"/>
      <c r="K376" s="36" t="s">
        <v>65</v>
      </c>
      <c r="L376" s="78">
        <v>376</v>
      </c>
      <c r="M376" s="78"/>
      <c r="N376" s="73"/>
      <c r="O376" s="80" t="s">
        <v>416</v>
      </c>
      <c r="P376" s="82">
        <v>44631.532048611109</v>
      </c>
      <c r="Q376" s="80" t="s">
        <v>520</v>
      </c>
      <c r="R376" s="80"/>
      <c r="S376" s="80"/>
      <c r="T376" s="85" t="s">
        <v>671</v>
      </c>
      <c r="U376" s="83" t="str">
        <f>HYPERLINK("https://pbs.twimg.com/tweet_video_thumb/FNkdrK3XsAwFa9M.jpg")</f>
        <v>https://pbs.twimg.com/tweet_video_thumb/FNkdrK3XsAwFa9M.jpg</v>
      </c>
      <c r="V376" s="83" t="str">
        <f>HYPERLINK("https://pbs.twimg.com/tweet_video_thumb/FNkdrK3XsAwFa9M.jpg")</f>
        <v>https://pbs.twimg.com/tweet_video_thumb/FNkdrK3XsAwFa9M.jpg</v>
      </c>
      <c r="W376" s="82">
        <v>44631.532048611109</v>
      </c>
      <c r="X376" s="88">
        <v>44631</v>
      </c>
      <c r="Y376" s="85" t="s">
        <v>976</v>
      </c>
      <c r="Z376" s="83" t="str">
        <f>HYPERLINK("https://twitter.com/ubalumni/status/1502264613605359624")</f>
        <v>https://twitter.com/ubalumni/status/1502264613605359624</v>
      </c>
      <c r="AA376" s="80"/>
      <c r="AB376" s="80"/>
      <c r="AC376" s="85" t="s">
        <v>1426</v>
      </c>
      <c r="AD376" s="80"/>
      <c r="AE376" s="80" t="b">
        <v>0</v>
      </c>
      <c r="AF376" s="80">
        <v>11</v>
      </c>
      <c r="AG376" s="85" t="s">
        <v>1635</v>
      </c>
      <c r="AH376" s="80" t="b">
        <v>0</v>
      </c>
      <c r="AI376" s="80" t="s">
        <v>1642</v>
      </c>
      <c r="AJ376" s="80"/>
      <c r="AK376" s="85" t="s">
        <v>1635</v>
      </c>
      <c r="AL376" s="80" t="b">
        <v>0</v>
      </c>
      <c r="AM376" s="80">
        <v>1</v>
      </c>
      <c r="AN376" s="85" t="s">
        <v>1635</v>
      </c>
      <c r="AO376" s="85" t="s">
        <v>1679</v>
      </c>
      <c r="AP376" s="80" t="b">
        <v>0</v>
      </c>
      <c r="AQ376" s="85" t="s">
        <v>1426</v>
      </c>
      <c r="AR376" s="80" t="s">
        <v>179</v>
      </c>
      <c r="AS376" s="80">
        <v>0</v>
      </c>
      <c r="AT376" s="80">
        <v>0</v>
      </c>
      <c r="AU376" s="80"/>
      <c r="AV376" s="80"/>
      <c r="AW376" s="80"/>
      <c r="AX376" s="80"/>
      <c r="AY376" s="80"/>
      <c r="AZ376" s="80"/>
      <c r="BA376" s="80"/>
      <c r="BB376" s="80"/>
    </row>
    <row r="377" spans="1:54" x14ac:dyDescent="0.25">
      <c r="A377" s="65" t="s">
        <v>353</v>
      </c>
      <c r="B377" s="65" t="s">
        <v>406</v>
      </c>
      <c r="C377" s="66"/>
      <c r="D377" s="67"/>
      <c r="E377" s="68"/>
      <c r="F377" s="69"/>
      <c r="G377" s="66"/>
      <c r="H377" s="70"/>
      <c r="I377" s="71"/>
      <c r="J377" s="71"/>
      <c r="K377" s="36" t="s">
        <v>65</v>
      </c>
      <c r="L377" s="78">
        <v>377</v>
      </c>
      <c r="M377" s="78"/>
      <c r="N377" s="73"/>
      <c r="O377" s="80" t="s">
        <v>416</v>
      </c>
      <c r="P377" s="82">
        <v>44634.490289351852</v>
      </c>
      <c r="Q377" s="80" t="s">
        <v>552</v>
      </c>
      <c r="R377" s="83" t="str">
        <f>HYPERLINK("https://www.youtube.com/watch?v=PvHijrOHvFY&amp;linkId=100000114434066")</f>
        <v>https://www.youtube.com/watch?v=PvHijrOHvFY&amp;linkId=100000114434066</v>
      </c>
      <c r="S377" s="80" t="s">
        <v>634</v>
      </c>
      <c r="T377" s="85" t="s">
        <v>357</v>
      </c>
      <c r="U377" s="83" t="str">
        <f>HYPERLINK("https://pbs.twimg.com/media/FNzstftXoAkhIJM.jpg")</f>
        <v>https://pbs.twimg.com/media/FNzstftXoAkhIJM.jpg</v>
      </c>
      <c r="V377" s="83" t="str">
        <f>HYPERLINK("https://pbs.twimg.com/media/FNzstftXoAkhIJM.jpg")</f>
        <v>https://pbs.twimg.com/media/FNzstftXoAkhIJM.jpg</v>
      </c>
      <c r="W377" s="82">
        <v>44634.490289351852</v>
      </c>
      <c r="X377" s="88">
        <v>44634</v>
      </c>
      <c r="Y377" s="85" t="s">
        <v>977</v>
      </c>
      <c r="Z377" s="83" t="str">
        <f>HYPERLINK("https://twitter.com/ubalumni/status/1503336645147480067")</f>
        <v>https://twitter.com/ubalumni/status/1503336645147480067</v>
      </c>
      <c r="AA377" s="80"/>
      <c r="AB377" s="80"/>
      <c r="AC377" s="85" t="s">
        <v>1427</v>
      </c>
      <c r="AD377" s="80"/>
      <c r="AE377" s="80" t="b">
        <v>0</v>
      </c>
      <c r="AF377" s="80">
        <v>2</v>
      </c>
      <c r="AG377" s="85" t="s">
        <v>1635</v>
      </c>
      <c r="AH377" s="80" t="b">
        <v>0</v>
      </c>
      <c r="AI377" s="80" t="s">
        <v>1642</v>
      </c>
      <c r="AJ377" s="80"/>
      <c r="AK377" s="85" t="s">
        <v>1635</v>
      </c>
      <c r="AL377" s="80" t="b">
        <v>0</v>
      </c>
      <c r="AM377" s="80">
        <v>0</v>
      </c>
      <c r="AN377" s="85" t="s">
        <v>1635</v>
      </c>
      <c r="AO377" s="85" t="s">
        <v>1679</v>
      </c>
      <c r="AP377" s="80" t="b">
        <v>0</v>
      </c>
      <c r="AQ377" s="85" t="s">
        <v>1427</v>
      </c>
      <c r="AR377" s="80" t="s">
        <v>179</v>
      </c>
      <c r="AS377" s="80">
        <v>0</v>
      </c>
      <c r="AT377" s="80">
        <v>0</v>
      </c>
      <c r="AU377" s="80"/>
      <c r="AV377" s="80"/>
      <c r="AW377" s="80"/>
      <c r="AX377" s="80"/>
      <c r="AY377" s="80"/>
      <c r="AZ377" s="80"/>
      <c r="BA377" s="80"/>
      <c r="BB377" s="80"/>
    </row>
    <row r="378" spans="1:54" x14ac:dyDescent="0.25">
      <c r="A378" s="65" t="s">
        <v>355</v>
      </c>
      <c r="B378" s="65" t="s">
        <v>355</v>
      </c>
      <c r="C378" s="66"/>
      <c r="D378" s="67"/>
      <c r="E378" s="68"/>
      <c r="F378" s="69"/>
      <c r="G378" s="66"/>
      <c r="H378" s="70"/>
      <c r="I378" s="71"/>
      <c r="J378" s="71"/>
      <c r="K378" s="36" t="s">
        <v>65</v>
      </c>
      <c r="L378" s="78">
        <v>378</v>
      </c>
      <c r="M378" s="78"/>
      <c r="N378" s="73"/>
      <c r="O378" s="80" t="s">
        <v>179</v>
      </c>
      <c r="P378" s="82">
        <v>44634.5000462963</v>
      </c>
      <c r="Q378" s="80" t="s">
        <v>553</v>
      </c>
      <c r="R378" s="83" t="str">
        <f>HYPERLINK("https://www.allmysportsteamssuck.com/ncaa-college-basketball-rankings/")</f>
        <v>https://www.allmysportsteamssuck.com/ncaa-college-basketball-rankings/</v>
      </c>
      <c r="S378" s="80" t="s">
        <v>655</v>
      </c>
      <c r="T378" s="85" t="s">
        <v>712</v>
      </c>
      <c r="U378" s="80"/>
      <c r="V378" s="83" t="str">
        <f>HYPERLINK("https://pbs.twimg.com/profile_images/692050386069364736/oGiV581l_normal.png")</f>
        <v>https://pbs.twimg.com/profile_images/692050386069364736/oGiV581l_normal.png</v>
      </c>
      <c r="W378" s="82">
        <v>44634.5000462963</v>
      </c>
      <c r="X378" s="88">
        <v>44634</v>
      </c>
      <c r="Y378" s="85" t="s">
        <v>978</v>
      </c>
      <c r="Z378" s="83" t="str">
        <f>HYPERLINK("https://twitter.com/amsts/status/1503340182174863366")</f>
        <v>https://twitter.com/amsts/status/1503340182174863366</v>
      </c>
      <c r="AA378" s="80"/>
      <c r="AB378" s="80"/>
      <c r="AC378" s="85" t="s">
        <v>1428</v>
      </c>
      <c r="AD378" s="85" t="s">
        <v>1631</v>
      </c>
      <c r="AE378" s="80" t="b">
        <v>0</v>
      </c>
      <c r="AF378" s="80">
        <v>0</v>
      </c>
      <c r="AG378" s="85" t="s">
        <v>1637</v>
      </c>
      <c r="AH378" s="80" t="b">
        <v>0</v>
      </c>
      <c r="AI378" s="80" t="s">
        <v>1642</v>
      </c>
      <c r="AJ378" s="80"/>
      <c r="AK378" s="85" t="s">
        <v>1635</v>
      </c>
      <c r="AL378" s="80" t="b">
        <v>0</v>
      </c>
      <c r="AM378" s="80">
        <v>0</v>
      </c>
      <c r="AN378" s="85" t="s">
        <v>1635</v>
      </c>
      <c r="AO378" s="85" t="s">
        <v>1685</v>
      </c>
      <c r="AP378" s="80" t="b">
        <v>0</v>
      </c>
      <c r="AQ378" s="85" t="s">
        <v>1631</v>
      </c>
      <c r="AR378" s="80" t="s">
        <v>179</v>
      </c>
      <c r="AS378" s="80">
        <v>0</v>
      </c>
      <c r="AT378" s="80">
        <v>0</v>
      </c>
      <c r="AU378" s="80"/>
      <c r="AV378" s="80"/>
      <c r="AW378" s="80"/>
      <c r="AX378" s="80"/>
      <c r="AY378" s="80"/>
      <c r="AZ378" s="80"/>
      <c r="BA378" s="80"/>
      <c r="BB378" s="80"/>
    </row>
    <row r="379" spans="1:54" x14ac:dyDescent="0.25">
      <c r="A379" s="65" t="s">
        <v>356</v>
      </c>
      <c r="B379" s="65" t="s">
        <v>381</v>
      </c>
      <c r="C379" s="66"/>
      <c r="D379" s="67"/>
      <c r="E379" s="68"/>
      <c r="F379" s="69"/>
      <c r="G379" s="66"/>
      <c r="H379" s="70"/>
      <c r="I379" s="71"/>
      <c r="J379" s="71"/>
      <c r="K379" s="36" t="s">
        <v>65</v>
      </c>
      <c r="L379" s="78">
        <v>379</v>
      </c>
      <c r="M379" s="78"/>
      <c r="N379" s="73"/>
      <c r="O379" s="80" t="s">
        <v>416</v>
      </c>
      <c r="P379" s="82">
        <v>44623.750231481485</v>
      </c>
      <c r="Q379" s="80" t="s">
        <v>419</v>
      </c>
      <c r="R379" s="83" t="s">
        <v>623</v>
      </c>
      <c r="S379" s="80" t="s">
        <v>632</v>
      </c>
      <c r="T379" s="85" t="s">
        <v>357</v>
      </c>
      <c r="U379" s="80"/>
      <c r="V379" s="83" t="str">
        <f>HYPERLINK("https://pbs.twimg.com/profile_images/1363910960424095744/19lDyEUm_normal.jpg")</f>
        <v>https://pbs.twimg.com/profile_images/1363910960424095744/19lDyEUm_normal.jpg</v>
      </c>
      <c r="W379" s="82">
        <v>44623.750231481485</v>
      </c>
      <c r="X379" s="88">
        <v>44623</v>
      </c>
      <c r="Y379" s="85" t="s">
        <v>979</v>
      </c>
      <c r="Z379" s="83" t="str">
        <f>HYPERLINK("https://twitter.com/ubnursing/status/1499444579996741638")</f>
        <v>https://twitter.com/ubnursing/status/1499444579996741638</v>
      </c>
      <c r="AA379" s="80"/>
      <c r="AB379" s="80"/>
      <c r="AC379" s="85" t="s">
        <v>1429</v>
      </c>
      <c r="AD379" s="80"/>
      <c r="AE379" s="80" t="b">
        <v>0</v>
      </c>
      <c r="AF379" s="80">
        <v>0</v>
      </c>
      <c r="AG379" s="85" t="s">
        <v>1635</v>
      </c>
      <c r="AH379" s="80" t="b">
        <v>0</v>
      </c>
      <c r="AI379" s="80" t="s">
        <v>1642</v>
      </c>
      <c r="AJ379" s="80"/>
      <c r="AK379" s="85" t="s">
        <v>1635</v>
      </c>
      <c r="AL379" s="80" t="b">
        <v>0</v>
      </c>
      <c r="AM379" s="80">
        <v>1</v>
      </c>
      <c r="AN379" s="85" t="s">
        <v>1635</v>
      </c>
      <c r="AO379" s="85" t="s">
        <v>1680</v>
      </c>
      <c r="AP379" s="80" t="b">
        <v>0</v>
      </c>
      <c r="AQ379" s="85" t="s">
        <v>1429</v>
      </c>
      <c r="AR379" s="80" t="s">
        <v>415</v>
      </c>
      <c r="AS379" s="80">
        <v>0</v>
      </c>
      <c r="AT379" s="80">
        <v>0</v>
      </c>
      <c r="AU379" s="80"/>
      <c r="AV379" s="80"/>
      <c r="AW379" s="80"/>
      <c r="AX379" s="80"/>
      <c r="AY379" s="80"/>
      <c r="AZ379" s="80"/>
      <c r="BA379" s="80"/>
      <c r="BB379" s="80"/>
    </row>
    <row r="380" spans="1:54" x14ac:dyDescent="0.25">
      <c r="A380" s="65" t="s">
        <v>356</v>
      </c>
      <c r="B380" s="65" t="s">
        <v>407</v>
      </c>
      <c r="C380" s="66"/>
      <c r="D380" s="67"/>
      <c r="E380" s="68"/>
      <c r="F380" s="69"/>
      <c r="G380" s="66"/>
      <c r="H380" s="70"/>
      <c r="I380" s="71"/>
      <c r="J380" s="71"/>
      <c r="K380" s="36" t="s">
        <v>65</v>
      </c>
      <c r="L380" s="78">
        <v>380</v>
      </c>
      <c r="M380" s="78"/>
      <c r="N380" s="73"/>
      <c r="O380" s="80" t="s">
        <v>416</v>
      </c>
      <c r="P380" s="82">
        <v>44631.750428240739</v>
      </c>
      <c r="Q380" s="80" t="s">
        <v>554</v>
      </c>
      <c r="R380" s="83" t="str">
        <f>HYPERLINK("https://nursing.buffalo.edu/news-events/upcoming_events/bullough-lecture-register.html?utm_source=twitter&amp;utm_medium=social-organic&amp;utm_term=&amp;utm_content=dc8dd2ad-635a-402f-9dc5-b86462832cc5&amp;utm_campaign=son-social")</f>
        <v>https://nursing.buffalo.edu/news-events/upcoming_events/bullough-lecture-register.html?utm_source=twitter&amp;utm_medium=social-organic&amp;utm_term=&amp;utm_content=dc8dd2ad-635a-402f-9dc5-b86462832cc5&amp;utm_campaign=son-social</v>
      </c>
      <c r="S380" s="80" t="s">
        <v>632</v>
      </c>
      <c r="T380" s="85" t="s">
        <v>357</v>
      </c>
      <c r="U380" s="83" t="str">
        <f>HYPERLINK("https://pbs.twimg.com/media/FNllrecXwAADo8S.jpg")</f>
        <v>https://pbs.twimg.com/media/FNllrecXwAADo8S.jpg</v>
      </c>
      <c r="V380" s="83" t="str">
        <f>HYPERLINK("https://pbs.twimg.com/media/FNllrecXwAADo8S.jpg")</f>
        <v>https://pbs.twimg.com/media/FNllrecXwAADo8S.jpg</v>
      </c>
      <c r="W380" s="82">
        <v>44631.750428240739</v>
      </c>
      <c r="X380" s="88">
        <v>44631</v>
      </c>
      <c r="Y380" s="85" t="s">
        <v>980</v>
      </c>
      <c r="Z380" s="83" t="str">
        <f>HYPERLINK("https://twitter.com/ubnursing/status/1502343750865109003")</f>
        <v>https://twitter.com/ubnursing/status/1502343750865109003</v>
      </c>
      <c r="AA380" s="80"/>
      <c r="AB380" s="80"/>
      <c r="AC380" s="85" t="s">
        <v>1430</v>
      </c>
      <c r="AD380" s="80"/>
      <c r="AE380" s="80" t="b">
        <v>0</v>
      </c>
      <c r="AF380" s="80">
        <v>1</v>
      </c>
      <c r="AG380" s="85" t="s">
        <v>1635</v>
      </c>
      <c r="AH380" s="80" t="b">
        <v>0</v>
      </c>
      <c r="AI380" s="80" t="s">
        <v>1642</v>
      </c>
      <c r="AJ380" s="80"/>
      <c r="AK380" s="85" t="s">
        <v>1635</v>
      </c>
      <c r="AL380" s="80" t="b">
        <v>0</v>
      </c>
      <c r="AM380" s="80">
        <v>0</v>
      </c>
      <c r="AN380" s="85" t="s">
        <v>1635</v>
      </c>
      <c r="AO380" s="85" t="s">
        <v>1680</v>
      </c>
      <c r="AP380" s="80" t="b">
        <v>0</v>
      </c>
      <c r="AQ380" s="85" t="s">
        <v>1430</v>
      </c>
      <c r="AR380" s="80" t="s">
        <v>179</v>
      </c>
      <c r="AS380" s="80">
        <v>0</v>
      </c>
      <c r="AT380" s="80">
        <v>0</v>
      </c>
      <c r="AU380" s="80"/>
      <c r="AV380" s="80"/>
      <c r="AW380" s="80"/>
      <c r="AX380" s="80"/>
      <c r="AY380" s="80"/>
      <c r="AZ380" s="80"/>
      <c r="BA380" s="80"/>
      <c r="BB380" s="80"/>
    </row>
    <row r="381" spans="1:54" x14ac:dyDescent="0.25">
      <c r="A381" s="65" t="s">
        <v>356</v>
      </c>
      <c r="B381" s="65" t="s">
        <v>356</v>
      </c>
      <c r="C381" s="66"/>
      <c r="D381" s="67"/>
      <c r="E381" s="68"/>
      <c r="F381" s="69"/>
      <c r="G381" s="66"/>
      <c r="H381" s="70"/>
      <c r="I381" s="71"/>
      <c r="J381" s="71"/>
      <c r="K381" s="36" t="s">
        <v>65</v>
      </c>
      <c r="L381" s="78">
        <v>381</v>
      </c>
      <c r="M381" s="78"/>
      <c r="N381" s="73"/>
      <c r="O381" s="80" t="s">
        <v>179</v>
      </c>
      <c r="P381" s="82">
        <v>44628.833784722221</v>
      </c>
      <c r="Q381" s="80" t="s">
        <v>555</v>
      </c>
      <c r="R381" s="83" t="s">
        <v>624</v>
      </c>
      <c r="S381" s="80" t="s">
        <v>632</v>
      </c>
      <c r="T381" s="85" t="s">
        <v>357</v>
      </c>
      <c r="U381" s="80"/>
      <c r="V381" s="83" t="str">
        <f>HYPERLINK("https://pbs.twimg.com/profile_images/1363910960424095744/19lDyEUm_normal.jpg")</f>
        <v>https://pbs.twimg.com/profile_images/1363910960424095744/19lDyEUm_normal.jpg</v>
      </c>
      <c r="W381" s="82">
        <v>44628.833784722221</v>
      </c>
      <c r="X381" s="88">
        <v>44628</v>
      </c>
      <c r="Y381" s="85" t="s">
        <v>981</v>
      </c>
      <c r="Z381" s="83" t="str">
        <f>HYPERLINK("https://twitter.com/ubnursing/status/1501286797237751810")</f>
        <v>https://twitter.com/ubnursing/status/1501286797237751810</v>
      </c>
      <c r="AA381" s="80"/>
      <c r="AB381" s="80"/>
      <c r="AC381" s="85" t="s">
        <v>1431</v>
      </c>
      <c r="AD381" s="80"/>
      <c r="AE381" s="80" t="b">
        <v>0</v>
      </c>
      <c r="AF381" s="80">
        <v>2</v>
      </c>
      <c r="AG381" s="85" t="s">
        <v>1635</v>
      </c>
      <c r="AH381" s="80" t="b">
        <v>0</v>
      </c>
      <c r="AI381" s="80" t="s">
        <v>1642</v>
      </c>
      <c r="AJ381" s="80"/>
      <c r="AK381" s="85" t="s">
        <v>1635</v>
      </c>
      <c r="AL381" s="80" t="b">
        <v>0</v>
      </c>
      <c r="AM381" s="80">
        <v>0</v>
      </c>
      <c r="AN381" s="85" t="s">
        <v>1635</v>
      </c>
      <c r="AO381" s="85" t="s">
        <v>1680</v>
      </c>
      <c r="AP381" s="80" t="b">
        <v>0</v>
      </c>
      <c r="AQ381" s="85" t="s">
        <v>1431</v>
      </c>
      <c r="AR381" s="80" t="s">
        <v>179</v>
      </c>
      <c r="AS381" s="80">
        <v>0</v>
      </c>
      <c r="AT381" s="80">
        <v>0</v>
      </c>
      <c r="AU381" s="80"/>
      <c r="AV381" s="80"/>
      <c r="AW381" s="80"/>
      <c r="AX381" s="80"/>
      <c r="AY381" s="80"/>
      <c r="AZ381" s="80"/>
      <c r="BA381" s="80"/>
      <c r="BB381" s="80"/>
    </row>
    <row r="382" spans="1:54" x14ac:dyDescent="0.25">
      <c r="A382" s="65" t="s">
        <v>356</v>
      </c>
      <c r="B382" s="65" t="s">
        <v>356</v>
      </c>
      <c r="C382" s="66"/>
      <c r="D382" s="67"/>
      <c r="E382" s="68"/>
      <c r="F382" s="69"/>
      <c r="G382" s="66"/>
      <c r="H382" s="70"/>
      <c r="I382" s="71"/>
      <c r="J382" s="71"/>
      <c r="K382" s="36" t="s">
        <v>65</v>
      </c>
      <c r="L382" s="78">
        <v>382</v>
      </c>
      <c r="M382" s="78"/>
      <c r="N382" s="73"/>
      <c r="O382" s="80" t="s">
        <v>179</v>
      </c>
      <c r="P382" s="82">
        <v>44629.833761574075</v>
      </c>
      <c r="Q382" s="80" t="s">
        <v>491</v>
      </c>
      <c r="R382" s="83" t="str">
        <f>HYPERLINK("https://nursing.buffalo.edu/additional-info/alumni/award-nomination-form.html?utm_source=twitter&amp;utm_medium=social-organic&amp;utm_term=&amp;utm_content=2eb9dab6-cfb0-4788-a653-c8ad48a2e5e3&amp;utm_campaign=son-social")</f>
        <v>https://nursing.buffalo.edu/additional-info/alumni/award-nomination-form.html?utm_source=twitter&amp;utm_medium=social-organic&amp;utm_term=&amp;utm_content=2eb9dab6-cfb0-4788-a653-c8ad48a2e5e3&amp;utm_campaign=son-social</v>
      </c>
      <c r="S382" s="80" t="s">
        <v>632</v>
      </c>
      <c r="T382" s="85" t="s">
        <v>357</v>
      </c>
      <c r="U382" s="80"/>
      <c r="V382" s="83" t="str">
        <f>HYPERLINK("https://pbs.twimg.com/profile_images/1363910960424095744/19lDyEUm_normal.jpg")</f>
        <v>https://pbs.twimg.com/profile_images/1363910960424095744/19lDyEUm_normal.jpg</v>
      </c>
      <c r="W382" s="82">
        <v>44629.833761574075</v>
      </c>
      <c r="X382" s="88">
        <v>44629</v>
      </c>
      <c r="Y382" s="85" t="s">
        <v>982</v>
      </c>
      <c r="Z382" s="83" t="str">
        <f>HYPERLINK("https://twitter.com/ubnursing/status/1501649174143643649")</f>
        <v>https://twitter.com/ubnursing/status/1501649174143643649</v>
      </c>
      <c r="AA382" s="80"/>
      <c r="AB382" s="80"/>
      <c r="AC382" s="85" t="s">
        <v>1432</v>
      </c>
      <c r="AD382" s="80"/>
      <c r="AE382" s="80" t="b">
        <v>0</v>
      </c>
      <c r="AF382" s="80">
        <v>2</v>
      </c>
      <c r="AG382" s="85" t="s">
        <v>1635</v>
      </c>
      <c r="AH382" s="80" t="b">
        <v>0</v>
      </c>
      <c r="AI382" s="80" t="s">
        <v>1642</v>
      </c>
      <c r="AJ382" s="80"/>
      <c r="AK382" s="85" t="s">
        <v>1635</v>
      </c>
      <c r="AL382" s="80" t="b">
        <v>0</v>
      </c>
      <c r="AM382" s="80">
        <v>1</v>
      </c>
      <c r="AN382" s="85" t="s">
        <v>1635</v>
      </c>
      <c r="AO382" s="85" t="s">
        <v>1680</v>
      </c>
      <c r="AP382" s="80" t="b">
        <v>0</v>
      </c>
      <c r="AQ382" s="85" t="s">
        <v>1432</v>
      </c>
      <c r="AR382" s="80" t="s">
        <v>179</v>
      </c>
      <c r="AS382" s="80">
        <v>0</v>
      </c>
      <c r="AT382" s="80">
        <v>0</v>
      </c>
      <c r="AU382" s="80"/>
      <c r="AV382" s="80"/>
      <c r="AW382" s="80"/>
      <c r="AX382" s="80"/>
      <c r="AY382" s="80"/>
      <c r="AZ382" s="80"/>
      <c r="BA382" s="80"/>
      <c r="BB382" s="80"/>
    </row>
    <row r="383" spans="1:54" x14ac:dyDescent="0.25">
      <c r="A383" s="65" t="s">
        <v>356</v>
      </c>
      <c r="B383" s="65" t="s">
        <v>356</v>
      </c>
      <c r="C383" s="66"/>
      <c r="D383" s="67"/>
      <c r="E383" s="68"/>
      <c r="F383" s="69"/>
      <c r="G383" s="66"/>
      <c r="H383" s="70"/>
      <c r="I383" s="71"/>
      <c r="J383" s="71"/>
      <c r="K383" s="36" t="s">
        <v>65</v>
      </c>
      <c r="L383" s="78">
        <v>383</v>
      </c>
      <c r="M383" s="78"/>
      <c r="N383" s="73"/>
      <c r="O383" s="80" t="s">
        <v>179</v>
      </c>
      <c r="P383" s="82">
        <v>44630.770972222221</v>
      </c>
      <c r="Q383" s="80" t="s">
        <v>556</v>
      </c>
      <c r="R383" s="83" t="str">
        <f>HYPERLINK("https://nursing.buffalo.edu/dnp?utm_source=twitter&amp;utm_medium=social-organic&amp;utm_term=&amp;utm_content=fcdc6d8a-0a88-41e8-a633-5ca753f44ed8&amp;utm_campaign=son-social")</f>
        <v>https://nursing.buffalo.edu/dnp?utm_source=twitter&amp;utm_medium=social-organic&amp;utm_term=&amp;utm_content=fcdc6d8a-0a88-41e8-a633-5ca753f44ed8&amp;utm_campaign=son-social</v>
      </c>
      <c r="S383" s="80" t="s">
        <v>632</v>
      </c>
      <c r="T383" s="85" t="s">
        <v>357</v>
      </c>
      <c r="U383" s="83" t="str">
        <f>HYPERLINK("https://pbs.twimg.com/media/FNgi3LUXwAs4ZYc.jpg")</f>
        <v>https://pbs.twimg.com/media/FNgi3LUXwAs4ZYc.jpg</v>
      </c>
      <c r="V383" s="83" t="str">
        <f>HYPERLINK("https://pbs.twimg.com/media/FNgi3LUXwAs4ZYc.jpg")</f>
        <v>https://pbs.twimg.com/media/FNgi3LUXwAs4ZYc.jpg</v>
      </c>
      <c r="W383" s="82">
        <v>44630.770972222221</v>
      </c>
      <c r="X383" s="88">
        <v>44630</v>
      </c>
      <c r="Y383" s="85" t="s">
        <v>983</v>
      </c>
      <c r="Z383" s="83" t="str">
        <f>HYPERLINK("https://twitter.com/ubnursing/status/1501988808967004162")</f>
        <v>https://twitter.com/ubnursing/status/1501988808967004162</v>
      </c>
      <c r="AA383" s="80"/>
      <c r="AB383" s="80"/>
      <c r="AC383" s="85" t="s">
        <v>1433</v>
      </c>
      <c r="AD383" s="80"/>
      <c r="AE383" s="80" t="b">
        <v>0</v>
      </c>
      <c r="AF383" s="80">
        <v>2</v>
      </c>
      <c r="AG383" s="85" t="s">
        <v>1635</v>
      </c>
      <c r="AH383" s="80" t="b">
        <v>0</v>
      </c>
      <c r="AI383" s="80" t="s">
        <v>1642</v>
      </c>
      <c r="AJ383" s="80"/>
      <c r="AK383" s="85" t="s">
        <v>1635</v>
      </c>
      <c r="AL383" s="80" t="b">
        <v>0</v>
      </c>
      <c r="AM383" s="80">
        <v>0</v>
      </c>
      <c r="AN383" s="85" t="s">
        <v>1635</v>
      </c>
      <c r="AO383" s="85" t="s">
        <v>1680</v>
      </c>
      <c r="AP383" s="80" t="b">
        <v>0</v>
      </c>
      <c r="AQ383" s="85" t="s">
        <v>1433</v>
      </c>
      <c r="AR383" s="80" t="s">
        <v>179</v>
      </c>
      <c r="AS383" s="80">
        <v>0</v>
      </c>
      <c r="AT383" s="80">
        <v>0</v>
      </c>
      <c r="AU383" s="80"/>
      <c r="AV383" s="80"/>
      <c r="AW383" s="80"/>
      <c r="AX383" s="80"/>
      <c r="AY383" s="80"/>
      <c r="AZ383" s="80"/>
      <c r="BA383" s="80"/>
      <c r="BB383" s="80"/>
    </row>
    <row r="384" spans="1:54" x14ac:dyDescent="0.25">
      <c r="A384" s="65" t="s">
        <v>356</v>
      </c>
      <c r="B384" s="65" t="s">
        <v>356</v>
      </c>
      <c r="C384" s="66"/>
      <c r="D384" s="67"/>
      <c r="E384" s="68"/>
      <c r="F384" s="69"/>
      <c r="G384" s="66"/>
      <c r="H384" s="70"/>
      <c r="I384" s="71"/>
      <c r="J384" s="71"/>
      <c r="K384" s="36" t="s">
        <v>65</v>
      </c>
      <c r="L384" s="78">
        <v>384</v>
      </c>
      <c r="M384" s="78"/>
      <c r="N384" s="73"/>
      <c r="O384" s="80" t="s">
        <v>179</v>
      </c>
      <c r="P384" s="82">
        <v>44632.667129629626</v>
      </c>
      <c r="Q384" s="80" t="s">
        <v>492</v>
      </c>
      <c r="R384" s="83" t="str">
        <f>HYPERLINK("https://nursing.buffalo.edu/additional-info/alumni.html?utm_source=twitter&amp;utm_medium=social-organic&amp;utm_term=&amp;utm_content=555f92f0-dbbf-48af-adb3-1c541c014fac&amp;utm_campaign=son-social")</f>
        <v>https://nursing.buffalo.edu/additional-info/alumni.html?utm_source=twitter&amp;utm_medium=social-organic&amp;utm_term=&amp;utm_content=555f92f0-dbbf-48af-adb3-1c541c014fac&amp;utm_campaign=son-social</v>
      </c>
      <c r="S384" s="80" t="s">
        <v>632</v>
      </c>
      <c r="T384" s="85" t="s">
        <v>357</v>
      </c>
      <c r="U384" s="83" t="str">
        <f>HYPERLINK("https://pbs.twimg.com/media/FNqT0OFWUAAaFQ0.jpg")</f>
        <v>https://pbs.twimg.com/media/FNqT0OFWUAAaFQ0.jpg</v>
      </c>
      <c r="V384" s="83" t="str">
        <f>HYPERLINK("https://pbs.twimg.com/media/FNqT0OFWUAAaFQ0.jpg")</f>
        <v>https://pbs.twimg.com/media/FNqT0OFWUAAaFQ0.jpg</v>
      </c>
      <c r="W384" s="82">
        <v>44632.667129629626</v>
      </c>
      <c r="X384" s="88">
        <v>44632</v>
      </c>
      <c r="Y384" s="85" t="s">
        <v>984</v>
      </c>
      <c r="Z384" s="83" t="str">
        <f>HYPERLINK("https://twitter.com/ubnursing/status/1502675952618323969")</f>
        <v>https://twitter.com/ubnursing/status/1502675952618323969</v>
      </c>
      <c r="AA384" s="80"/>
      <c r="AB384" s="80"/>
      <c r="AC384" s="85" t="s">
        <v>1434</v>
      </c>
      <c r="AD384" s="80"/>
      <c r="AE384" s="80" t="b">
        <v>0</v>
      </c>
      <c r="AF384" s="80">
        <v>2</v>
      </c>
      <c r="AG384" s="85" t="s">
        <v>1635</v>
      </c>
      <c r="AH384" s="80" t="b">
        <v>0</v>
      </c>
      <c r="AI384" s="80" t="s">
        <v>1642</v>
      </c>
      <c r="AJ384" s="80"/>
      <c r="AK384" s="85" t="s">
        <v>1635</v>
      </c>
      <c r="AL384" s="80" t="b">
        <v>0</v>
      </c>
      <c r="AM384" s="80">
        <v>1</v>
      </c>
      <c r="AN384" s="85" t="s">
        <v>1635</v>
      </c>
      <c r="AO384" s="85" t="s">
        <v>1680</v>
      </c>
      <c r="AP384" s="80" t="b">
        <v>0</v>
      </c>
      <c r="AQ384" s="85" t="s">
        <v>1434</v>
      </c>
      <c r="AR384" s="80" t="s">
        <v>179</v>
      </c>
      <c r="AS384" s="80">
        <v>0</v>
      </c>
      <c r="AT384" s="80">
        <v>0</v>
      </c>
      <c r="AU384" s="80"/>
      <c r="AV384" s="80"/>
      <c r="AW384" s="80"/>
      <c r="AX384" s="80"/>
      <c r="AY384" s="80"/>
      <c r="AZ384" s="80"/>
      <c r="BA384" s="80"/>
      <c r="BB384" s="80"/>
    </row>
    <row r="385" spans="1:54" x14ac:dyDescent="0.25">
      <c r="A385" s="65" t="s">
        <v>356</v>
      </c>
      <c r="B385" s="65" t="s">
        <v>357</v>
      </c>
      <c r="C385" s="66"/>
      <c r="D385" s="67"/>
      <c r="E385" s="68"/>
      <c r="F385" s="69"/>
      <c r="G385" s="66"/>
      <c r="H385" s="70"/>
      <c r="I385" s="71"/>
      <c r="J385" s="71"/>
      <c r="K385" s="36" t="s">
        <v>65</v>
      </c>
      <c r="L385" s="78">
        <v>385</v>
      </c>
      <c r="M385" s="78"/>
      <c r="N385" s="73"/>
      <c r="O385" s="80" t="s">
        <v>415</v>
      </c>
      <c r="P385" s="82">
        <v>44634.541805555556</v>
      </c>
      <c r="Q385" s="80" t="s">
        <v>489</v>
      </c>
      <c r="R385" s="83" t="str">
        <f>HYPERLINK("https://www.buffalo.edu/how/articles.host.html/content/shared/www/eub/here-is-how/neighborhood-health.detail.html")</f>
        <v>https://www.buffalo.edu/how/articles.host.html/content/shared/www/eub/here-is-how/neighborhood-health.detail.html</v>
      </c>
      <c r="S385" s="80" t="s">
        <v>632</v>
      </c>
      <c r="T385" s="85" t="s">
        <v>693</v>
      </c>
      <c r="U385" s="83" t="str">
        <f>HYPERLINK("https://pbs.twimg.com/media/FNpko7NXIAAYxbs.jpg")</f>
        <v>https://pbs.twimg.com/media/FNpko7NXIAAYxbs.jpg</v>
      </c>
      <c r="V385" s="83" t="str">
        <f>HYPERLINK("https://pbs.twimg.com/media/FNpko7NXIAAYxbs.jpg")</f>
        <v>https://pbs.twimg.com/media/FNpko7NXIAAYxbs.jpg</v>
      </c>
      <c r="W385" s="82">
        <v>44634.541805555556</v>
      </c>
      <c r="X385" s="88">
        <v>44634</v>
      </c>
      <c r="Y385" s="85" t="s">
        <v>985</v>
      </c>
      <c r="Z385" s="83" t="str">
        <f>HYPERLINK("https://twitter.com/ubnursing/status/1503355315194114052")</f>
        <v>https://twitter.com/ubnursing/status/1503355315194114052</v>
      </c>
      <c r="AA385" s="80"/>
      <c r="AB385" s="80"/>
      <c r="AC385" s="85" t="s">
        <v>1435</v>
      </c>
      <c r="AD385" s="80"/>
      <c r="AE385" s="80" t="b">
        <v>0</v>
      </c>
      <c r="AF385" s="80">
        <v>0</v>
      </c>
      <c r="AG385" s="85" t="s">
        <v>1635</v>
      </c>
      <c r="AH385" s="80" t="b">
        <v>0</v>
      </c>
      <c r="AI385" s="80" t="s">
        <v>1642</v>
      </c>
      <c r="AJ385" s="80"/>
      <c r="AK385" s="85" t="s">
        <v>1635</v>
      </c>
      <c r="AL385" s="80" t="b">
        <v>0</v>
      </c>
      <c r="AM385" s="80">
        <v>2</v>
      </c>
      <c r="AN385" s="85" t="s">
        <v>1622</v>
      </c>
      <c r="AO385" s="85" t="s">
        <v>1672</v>
      </c>
      <c r="AP385" s="80" t="b">
        <v>0</v>
      </c>
      <c r="AQ385" s="85" t="s">
        <v>1622</v>
      </c>
      <c r="AR385" s="80" t="s">
        <v>179</v>
      </c>
      <c r="AS385" s="80">
        <v>0</v>
      </c>
      <c r="AT385" s="80">
        <v>0</v>
      </c>
      <c r="AU385" s="80"/>
      <c r="AV385" s="80"/>
      <c r="AW385" s="80"/>
      <c r="AX385" s="80"/>
      <c r="AY385" s="80"/>
      <c r="AZ385" s="80"/>
      <c r="BA385" s="80"/>
      <c r="BB385" s="80"/>
    </row>
    <row r="386" spans="1:54" x14ac:dyDescent="0.25">
      <c r="A386" s="65" t="s">
        <v>352</v>
      </c>
      <c r="B386" s="65" t="s">
        <v>357</v>
      </c>
      <c r="C386" s="66"/>
      <c r="D386" s="67"/>
      <c r="E386" s="68"/>
      <c r="F386" s="69"/>
      <c r="G386" s="66"/>
      <c r="H386" s="70"/>
      <c r="I386" s="71"/>
      <c r="J386" s="71"/>
      <c r="K386" s="36" t="s">
        <v>66</v>
      </c>
      <c r="L386" s="78">
        <v>386</v>
      </c>
      <c r="M386" s="78"/>
      <c r="N386" s="73"/>
      <c r="O386" s="80" t="s">
        <v>415</v>
      </c>
      <c r="P386" s="82">
        <v>44632.810474537036</v>
      </c>
      <c r="Q386" s="80" t="s">
        <v>505</v>
      </c>
      <c r="R386" s="80"/>
      <c r="S386" s="80"/>
      <c r="T386" s="85" t="s">
        <v>700</v>
      </c>
      <c r="U386" s="83" t="str">
        <f>HYPERLINK("https://pbs.twimg.com/media/FNq-K9kWUAII3TB.jpg")</f>
        <v>https://pbs.twimg.com/media/FNq-K9kWUAII3TB.jpg</v>
      </c>
      <c r="V386" s="83" t="str">
        <f>HYPERLINK("https://pbs.twimg.com/media/FNq-K9kWUAII3TB.jpg")</f>
        <v>https://pbs.twimg.com/media/FNq-K9kWUAII3TB.jpg</v>
      </c>
      <c r="W386" s="82">
        <v>44632.810474537036</v>
      </c>
      <c r="X386" s="88">
        <v>44632</v>
      </c>
      <c r="Y386" s="85" t="s">
        <v>986</v>
      </c>
      <c r="Z386" s="83" t="str">
        <f>HYPERLINK("https://twitter.com/ub_etgross/status/1502727898737872906")</f>
        <v>https://twitter.com/ub_etgross/status/1502727898737872906</v>
      </c>
      <c r="AA386" s="80"/>
      <c r="AB386" s="80"/>
      <c r="AC386" s="85" t="s">
        <v>1436</v>
      </c>
      <c r="AD386" s="80"/>
      <c r="AE386" s="80" t="b">
        <v>0</v>
      </c>
      <c r="AF386" s="80">
        <v>0</v>
      </c>
      <c r="AG386" s="85" t="s">
        <v>1635</v>
      </c>
      <c r="AH386" s="80" t="b">
        <v>0</v>
      </c>
      <c r="AI386" s="80" t="s">
        <v>1642</v>
      </c>
      <c r="AJ386" s="80"/>
      <c r="AK386" s="85" t="s">
        <v>1635</v>
      </c>
      <c r="AL386" s="80" t="b">
        <v>0</v>
      </c>
      <c r="AM386" s="80">
        <v>40</v>
      </c>
      <c r="AN386" s="85" t="s">
        <v>1627</v>
      </c>
      <c r="AO386" s="85" t="s">
        <v>1671</v>
      </c>
      <c r="AP386" s="80" t="b">
        <v>0</v>
      </c>
      <c r="AQ386" s="85" t="s">
        <v>1627</v>
      </c>
      <c r="AR386" s="80" t="s">
        <v>179</v>
      </c>
      <c r="AS386" s="80">
        <v>0</v>
      </c>
      <c r="AT386" s="80">
        <v>0</v>
      </c>
      <c r="AU386" s="80"/>
      <c r="AV386" s="80"/>
      <c r="AW386" s="80"/>
      <c r="AX386" s="80"/>
      <c r="AY386" s="80"/>
      <c r="AZ386" s="80"/>
      <c r="BA386" s="80"/>
      <c r="BB386" s="80"/>
    </row>
    <row r="387" spans="1:54" x14ac:dyDescent="0.25">
      <c r="A387" s="65" t="s">
        <v>352</v>
      </c>
      <c r="B387" s="65" t="s">
        <v>361</v>
      </c>
      <c r="C387" s="66"/>
      <c r="D387" s="67"/>
      <c r="E387" s="68"/>
      <c r="F387" s="69"/>
      <c r="G387" s="66"/>
      <c r="H387" s="70"/>
      <c r="I387" s="71"/>
      <c r="J387" s="71"/>
      <c r="K387" s="36" t="s">
        <v>65</v>
      </c>
      <c r="L387" s="78">
        <v>387</v>
      </c>
      <c r="M387" s="78"/>
      <c r="N387" s="73"/>
      <c r="O387" s="80" t="s">
        <v>414</v>
      </c>
      <c r="P387" s="82">
        <v>44632.810925925929</v>
      </c>
      <c r="Q387" s="80" t="s">
        <v>550</v>
      </c>
      <c r="R387" s="83" t="str">
        <f>HYPERLINK("https://twitter.com/UBwomenshoops/status/1502707861029326854")</f>
        <v>https://twitter.com/UBwomenshoops/status/1502707861029326854</v>
      </c>
      <c r="S387" s="80" t="s">
        <v>633</v>
      </c>
      <c r="T387" s="85" t="s">
        <v>711</v>
      </c>
      <c r="U387" s="80"/>
      <c r="V387" s="83" t="str">
        <f>HYPERLINK("https://pbs.twimg.com/profile_images/1453137037998100483/V5KnAqWn_normal.jpg")</f>
        <v>https://pbs.twimg.com/profile_images/1453137037998100483/V5KnAqWn_normal.jpg</v>
      </c>
      <c r="W387" s="82">
        <v>44632.810925925929</v>
      </c>
      <c r="X387" s="88">
        <v>44632</v>
      </c>
      <c r="Y387" s="85" t="s">
        <v>971</v>
      </c>
      <c r="Z387" s="83" t="str">
        <f>HYPERLINK("https://twitter.com/ub_etgross/status/1502728065235001349")</f>
        <v>https://twitter.com/ub_etgross/status/1502728065235001349</v>
      </c>
      <c r="AA387" s="80"/>
      <c r="AB387" s="80"/>
      <c r="AC387" s="85" t="s">
        <v>1421</v>
      </c>
      <c r="AD387" s="80"/>
      <c r="AE387" s="80" t="b">
        <v>0</v>
      </c>
      <c r="AF387" s="80">
        <v>0</v>
      </c>
      <c r="AG387" s="85" t="s">
        <v>1635</v>
      </c>
      <c r="AH387" s="80" t="b">
        <v>1</v>
      </c>
      <c r="AI387" s="80" t="s">
        <v>1642</v>
      </c>
      <c r="AJ387" s="80"/>
      <c r="AK387" s="85" t="s">
        <v>1651</v>
      </c>
      <c r="AL387" s="80" t="b">
        <v>0</v>
      </c>
      <c r="AM387" s="80">
        <v>1</v>
      </c>
      <c r="AN387" s="85" t="s">
        <v>1420</v>
      </c>
      <c r="AO387" s="85" t="s">
        <v>1671</v>
      </c>
      <c r="AP387" s="80" t="b">
        <v>0</v>
      </c>
      <c r="AQ387" s="85" t="s">
        <v>1420</v>
      </c>
      <c r="AR387" s="80" t="s">
        <v>179</v>
      </c>
      <c r="AS387" s="80">
        <v>0</v>
      </c>
      <c r="AT387" s="80">
        <v>0</v>
      </c>
      <c r="AU387" s="80"/>
      <c r="AV387" s="80"/>
      <c r="AW387" s="80"/>
      <c r="AX387" s="80"/>
      <c r="AY387" s="80"/>
      <c r="AZ387" s="80"/>
      <c r="BA387" s="80"/>
      <c r="BB387" s="80"/>
    </row>
    <row r="388" spans="1:54" x14ac:dyDescent="0.25">
      <c r="A388" s="65" t="s">
        <v>352</v>
      </c>
      <c r="B388" s="65" t="s">
        <v>385</v>
      </c>
      <c r="C388" s="66"/>
      <c r="D388" s="67"/>
      <c r="E388" s="68"/>
      <c r="F388" s="69"/>
      <c r="G388" s="66"/>
      <c r="H388" s="70"/>
      <c r="I388" s="71"/>
      <c r="J388" s="71"/>
      <c r="K388" s="36" t="s">
        <v>65</v>
      </c>
      <c r="L388" s="78">
        <v>388</v>
      </c>
      <c r="M388" s="78"/>
      <c r="N388" s="73"/>
      <c r="O388" s="80" t="s">
        <v>414</v>
      </c>
      <c r="P388" s="82">
        <v>44632.810925925929</v>
      </c>
      <c r="Q388" s="80" t="s">
        <v>550</v>
      </c>
      <c r="R388" s="83" t="str">
        <f>HYPERLINK("https://twitter.com/UBwomenshoops/status/1502707861029326854")</f>
        <v>https://twitter.com/UBwomenshoops/status/1502707861029326854</v>
      </c>
      <c r="S388" s="80" t="s">
        <v>633</v>
      </c>
      <c r="T388" s="85" t="s">
        <v>711</v>
      </c>
      <c r="U388" s="80"/>
      <c r="V388" s="83" t="str">
        <f>HYPERLINK("https://pbs.twimg.com/profile_images/1453137037998100483/V5KnAqWn_normal.jpg")</f>
        <v>https://pbs.twimg.com/profile_images/1453137037998100483/V5KnAqWn_normal.jpg</v>
      </c>
      <c r="W388" s="82">
        <v>44632.810925925929</v>
      </c>
      <c r="X388" s="88">
        <v>44632</v>
      </c>
      <c r="Y388" s="85" t="s">
        <v>971</v>
      </c>
      <c r="Z388" s="83" t="str">
        <f>HYPERLINK("https://twitter.com/ub_etgross/status/1502728065235001349")</f>
        <v>https://twitter.com/ub_etgross/status/1502728065235001349</v>
      </c>
      <c r="AA388" s="80"/>
      <c r="AB388" s="80"/>
      <c r="AC388" s="85" t="s">
        <v>1421</v>
      </c>
      <c r="AD388" s="80"/>
      <c r="AE388" s="80" t="b">
        <v>0</v>
      </c>
      <c r="AF388" s="80">
        <v>0</v>
      </c>
      <c r="AG388" s="85" t="s">
        <v>1635</v>
      </c>
      <c r="AH388" s="80" t="b">
        <v>1</v>
      </c>
      <c r="AI388" s="80" t="s">
        <v>1642</v>
      </c>
      <c r="AJ388" s="80"/>
      <c r="AK388" s="85" t="s">
        <v>1651</v>
      </c>
      <c r="AL388" s="80" t="b">
        <v>0</v>
      </c>
      <c r="AM388" s="80">
        <v>1</v>
      </c>
      <c r="AN388" s="85" t="s">
        <v>1420</v>
      </c>
      <c r="AO388" s="85" t="s">
        <v>1671</v>
      </c>
      <c r="AP388" s="80" t="b">
        <v>0</v>
      </c>
      <c r="AQ388" s="85" t="s">
        <v>1420</v>
      </c>
      <c r="AR388" s="80" t="s">
        <v>179</v>
      </c>
      <c r="AS388" s="80">
        <v>0</v>
      </c>
      <c r="AT388" s="80">
        <v>0</v>
      </c>
      <c r="AU388" s="80"/>
      <c r="AV388" s="80"/>
      <c r="AW388" s="80"/>
      <c r="AX388" s="80"/>
      <c r="AY388" s="80"/>
      <c r="AZ388" s="80"/>
      <c r="BA388" s="80"/>
      <c r="BB388" s="80"/>
    </row>
    <row r="389" spans="1:54" x14ac:dyDescent="0.25">
      <c r="A389" s="65" t="s">
        <v>357</v>
      </c>
      <c r="B389" s="65" t="s">
        <v>352</v>
      </c>
      <c r="C389" s="66"/>
      <c r="D389" s="67"/>
      <c r="E389" s="68"/>
      <c r="F389" s="69"/>
      <c r="G389" s="66"/>
      <c r="H389" s="70"/>
      <c r="I389" s="71"/>
      <c r="J389" s="71"/>
      <c r="K389" s="36" t="s">
        <v>66</v>
      </c>
      <c r="L389" s="78">
        <v>389</v>
      </c>
      <c r="M389" s="78"/>
      <c r="N389" s="73"/>
      <c r="O389" s="80" t="s">
        <v>416</v>
      </c>
      <c r="P389" s="82">
        <v>44629.072581018518</v>
      </c>
      <c r="Q389" s="80" t="s">
        <v>557</v>
      </c>
      <c r="R389" s="80"/>
      <c r="S389" s="80"/>
      <c r="T389" s="85" t="s">
        <v>357</v>
      </c>
      <c r="U389" s="80"/>
      <c r="V389" s="83" t="str">
        <f>HYPERLINK("https://pbs.twimg.com/profile_images/991327943317213185/Hgte82Vq_normal.jpg")</f>
        <v>https://pbs.twimg.com/profile_images/991327943317213185/Hgte82Vq_normal.jpg</v>
      </c>
      <c r="W389" s="82">
        <v>44629.072581018518</v>
      </c>
      <c r="X389" s="88">
        <v>44629</v>
      </c>
      <c r="Y389" s="85" t="s">
        <v>987</v>
      </c>
      <c r="Z389" s="83" t="str">
        <f>HYPERLINK("https://twitter.com/ubuffalo/status/1501373332884758549")</f>
        <v>https://twitter.com/ubuffalo/status/1501373332884758549</v>
      </c>
      <c r="AA389" s="80"/>
      <c r="AB389" s="80"/>
      <c r="AC389" s="85" t="s">
        <v>1437</v>
      </c>
      <c r="AD389" s="85" t="s">
        <v>1632</v>
      </c>
      <c r="AE389" s="80" t="b">
        <v>0</v>
      </c>
      <c r="AF389" s="80">
        <v>1</v>
      </c>
      <c r="AG389" s="85" t="s">
        <v>1638</v>
      </c>
      <c r="AH389" s="80" t="b">
        <v>0</v>
      </c>
      <c r="AI389" s="80" t="s">
        <v>1642</v>
      </c>
      <c r="AJ389" s="80"/>
      <c r="AK389" s="85" t="s">
        <v>1635</v>
      </c>
      <c r="AL389" s="80" t="b">
        <v>0</v>
      </c>
      <c r="AM389" s="80">
        <v>0</v>
      </c>
      <c r="AN389" s="85" t="s">
        <v>1635</v>
      </c>
      <c r="AO389" s="85" t="s">
        <v>1672</v>
      </c>
      <c r="AP389" s="80" t="b">
        <v>0</v>
      </c>
      <c r="AQ389" s="85" t="s">
        <v>1632</v>
      </c>
      <c r="AR389" s="80" t="s">
        <v>179</v>
      </c>
      <c r="AS389" s="80">
        <v>0</v>
      </c>
      <c r="AT389" s="80">
        <v>0</v>
      </c>
      <c r="AU389" s="80"/>
      <c r="AV389" s="80"/>
      <c r="AW389" s="80"/>
      <c r="AX389" s="80"/>
      <c r="AY389" s="80"/>
      <c r="AZ389" s="80"/>
      <c r="BA389" s="80"/>
      <c r="BB389" s="80"/>
    </row>
    <row r="390" spans="1:54" x14ac:dyDescent="0.25">
      <c r="A390" s="65" t="s">
        <v>357</v>
      </c>
      <c r="B390" s="65" t="s">
        <v>408</v>
      </c>
      <c r="C390" s="66"/>
      <c r="D390" s="67"/>
      <c r="E390" s="68"/>
      <c r="F390" s="69"/>
      <c r="G390" s="66"/>
      <c r="H390" s="70"/>
      <c r="I390" s="71"/>
      <c r="J390" s="71"/>
      <c r="K390" s="36" t="s">
        <v>65</v>
      </c>
      <c r="L390" s="78">
        <v>390</v>
      </c>
      <c r="M390" s="78"/>
      <c r="N390" s="73"/>
      <c r="O390" s="80" t="s">
        <v>416</v>
      </c>
      <c r="P390" s="82">
        <v>44629.072581018518</v>
      </c>
      <c r="Q390" s="80" t="s">
        <v>557</v>
      </c>
      <c r="R390" s="80"/>
      <c r="S390" s="80"/>
      <c r="T390" s="85" t="s">
        <v>357</v>
      </c>
      <c r="U390" s="80"/>
      <c r="V390" s="83" t="str">
        <f>HYPERLINK("https://pbs.twimg.com/profile_images/991327943317213185/Hgte82Vq_normal.jpg")</f>
        <v>https://pbs.twimg.com/profile_images/991327943317213185/Hgte82Vq_normal.jpg</v>
      </c>
      <c r="W390" s="82">
        <v>44629.072581018518</v>
      </c>
      <c r="X390" s="88">
        <v>44629</v>
      </c>
      <c r="Y390" s="85" t="s">
        <v>987</v>
      </c>
      <c r="Z390" s="83" t="str">
        <f>HYPERLINK("https://twitter.com/ubuffalo/status/1501373332884758549")</f>
        <v>https://twitter.com/ubuffalo/status/1501373332884758549</v>
      </c>
      <c r="AA390" s="80"/>
      <c r="AB390" s="80"/>
      <c r="AC390" s="85" t="s">
        <v>1437</v>
      </c>
      <c r="AD390" s="85" t="s">
        <v>1632</v>
      </c>
      <c r="AE390" s="80" t="b">
        <v>0</v>
      </c>
      <c r="AF390" s="80">
        <v>1</v>
      </c>
      <c r="AG390" s="85" t="s">
        <v>1638</v>
      </c>
      <c r="AH390" s="80" t="b">
        <v>0</v>
      </c>
      <c r="AI390" s="80" t="s">
        <v>1642</v>
      </c>
      <c r="AJ390" s="80"/>
      <c r="AK390" s="85" t="s">
        <v>1635</v>
      </c>
      <c r="AL390" s="80" t="b">
        <v>0</v>
      </c>
      <c r="AM390" s="80">
        <v>0</v>
      </c>
      <c r="AN390" s="85" t="s">
        <v>1635</v>
      </c>
      <c r="AO390" s="85" t="s">
        <v>1672</v>
      </c>
      <c r="AP390" s="80" t="b">
        <v>0</v>
      </c>
      <c r="AQ390" s="85" t="s">
        <v>1632</v>
      </c>
      <c r="AR390" s="80" t="s">
        <v>179</v>
      </c>
      <c r="AS390" s="80">
        <v>0</v>
      </c>
      <c r="AT390" s="80">
        <v>0</v>
      </c>
      <c r="AU390" s="80"/>
      <c r="AV390" s="80"/>
      <c r="AW390" s="80"/>
      <c r="AX390" s="80"/>
      <c r="AY390" s="80"/>
      <c r="AZ390" s="80"/>
      <c r="BA390" s="80"/>
      <c r="BB390" s="80"/>
    </row>
    <row r="391" spans="1:54" x14ac:dyDescent="0.25">
      <c r="A391" s="65" t="s">
        <v>358</v>
      </c>
      <c r="B391" s="65" t="s">
        <v>402</v>
      </c>
      <c r="C391" s="66"/>
      <c r="D391" s="67"/>
      <c r="E391" s="68"/>
      <c r="F391" s="69"/>
      <c r="G391" s="66"/>
      <c r="H391" s="70"/>
      <c r="I391" s="71"/>
      <c r="J391" s="71"/>
      <c r="K391" s="36" t="s">
        <v>65</v>
      </c>
      <c r="L391" s="78">
        <v>391</v>
      </c>
      <c r="M391" s="78"/>
      <c r="N391" s="73"/>
      <c r="O391" s="80" t="s">
        <v>416</v>
      </c>
      <c r="P391" s="82">
        <v>44632.662939814814</v>
      </c>
      <c r="Q391" s="80" t="s">
        <v>493</v>
      </c>
      <c r="R391" s="80"/>
      <c r="S391" s="80"/>
      <c r="T391" s="85" t="s">
        <v>695</v>
      </c>
      <c r="U391" s="83" t="str">
        <f>HYPERLINK("https://pbs.twimg.com/media/FNqSbpdWYAUvzSx.jpg")</f>
        <v>https://pbs.twimg.com/media/FNqSbpdWYAUvzSx.jpg</v>
      </c>
      <c r="V391" s="83" t="str">
        <f>HYPERLINK("https://pbs.twimg.com/media/FNqSbpdWYAUvzSx.jpg")</f>
        <v>https://pbs.twimg.com/media/FNqSbpdWYAUvzSx.jpg</v>
      </c>
      <c r="W391" s="82">
        <v>44632.662939814814</v>
      </c>
      <c r="X391" s="88">
        <v>44632</v>
      </c>
      <c r="Y391" s="85" t="s">
        <v>988</v>
      </c>
      <c r="Z391" s="83" t="str">
        <f>HYPERLINK("https://twitter.com/ubathletics/status/1502674437228974083")</f>
        <v>https://twitter.com/ubathletics/status/1502674437228974083</v>
      </c>
      <c r="AA391" s="80"/>
      <c r="AB391" s="80"/>
      <c r="AC391" s="85" t="s">
        <v>1438</v>
      </c>
      <c r="AD391" s="80"/>
      <c r="AE391" s="80" t="b">
        <v>0</v>
      </c>
      <c r="AF391" s="80">
        <v>38</v>
      </c>
      <c r="AG391" s="85" t="s">
        <v>1635</v>
      </c>
      <c r="AH391" s="80" t="b">
        <v>0</v>
      </c>
      <c r="AI391" s="80" t="s">
        <v>1642</v>
      </c>
      <c r="AJ391" s="80"/>
      <c r="AK391" s="85" t="s">
        <v>1635</v>
      </c>
      <c r="AL391" s="80" t="b">
        <v>0</v>
      </c>
      <c r="AM391" s="80">
        <v>5</v>
      </c>
      <c r="AN391" s="85" t="s">
        <v>1635</v>
      </c>
      <c r="AO391" s="85" t="s">
        <v>1671</v>
      </c>
      <c r="AP391" s="80" t="b">
        <v>0</v>
      </c>
      <c r="AQ391" s="85" t="s">
        <v>1438</v>
      </c>
      <c r="AR391" s="80" t="s">
        <v>179</v>
      </c>
      <c r="AS391" s="80">
        <v>0</v>
      </c>
      <c r="AT391" s="80">
        <v>0</v>
      </c>
      <c r="AU391" s="80"/>
      <c r="AV391" s="80"/>
      <c r="AW391" s="80"/>
      <c r="AX391" s="80"/>
      <c r="AY391" s="80"/>
      <c r="AZ391" s="80"/>
      <c r="BA391" s="80"/>
      <c r="BB391" s="80"/>
    </row>
    <row r="392" spans="1:54" x14ac:dyDescent="0.25">
      <c r="A392" s="65" t="s">
        <v>358</v>
      </c>
      <c r="B392" s="65" t="s">
        <v>385</v>
      </c>
      <c r="C392" s="66"/>
      <c r="D392" s="67"/>
      <c r="E392" s="68"/>
      <c r="F392" s="69"/>
      <c r="G392" s="66"/>
      <c r="H392" s="70"/>
      <c r="I392" s="71"/>
      <c r="J392" s="71"/>
      <c r="K392" s="36" t="s">
        <v>65</v>
      </c>
      <c r="L392" s="78">
        <v>392</v>
      </c>
      <c r="M392" s="78"/>
      <c r="N392" s="73"/>
      <c r="O392" s="80" t="s">
        <v>416</v>
      </c>
      <c r="P392" s="82">
        <v>44632.662939814814</v>
      </c>
      <c r="Q392" s="80" t="s">
        <v>493</v>
      </c>
      <c r="R392" s="80"/>
      <c r="S392" s="80"/>
      <c r="T392" s="85" t="s">
        <v>695</v>
      </c>
      <c r="U392" s="83" t="str">
        <f>HYPERLINK("https://pbs.twimg.com/media/FNqSbpdWYAUvzSx.jpg")</f>
        <v>https://pbs.twimg.com/media/FNqSbpdWYAUvzSx.jpg</v>
      </c>
      <c r="V392" s="83" t="str">
        <f>HYPERLINK("https://pbs.twimg.com/media/FNqSbpdWYAUvzSx.jpg")</f>
        <v>https://pbs.twimg.com/media/FNqSbpdWYAUvzSx.jpg</v>
      </c>
      <c r="W392" s="82">
        <v>44632.662939814814</v>
      </c>
      <c r="X392" s="88">
        <v>44632</v>
      </c>
      <c r="Y392" s="85" t="s">
        <v>988</v>
      </c>
      <c r="Z392" s="83" t="str">
        <f>HYPERLINK("https://twitter.com/ubathletics/status/1502674437228974083")</f>
        <v>https://twitter.com/ubathletics/status/1502674437228974083</v>
      </c>
      <c r="AA392" s="80"/>
      <c r="AB392" s="80"/>
      <c r="AC392" s="85" t="s">
        <v>1438</v>
      </c>
      <c r="AD392" s="80"/>
      <c r="AE392" s="80" t="b">
        <v>0</v>
      </c>
      <c r="AF392" s="80">
        <v>38</v>
      </c>
      <c r="AG392" s="85" t="s">
        <v>1635</v>
      </c>
      <c r="AH392" s="80" t="b">
        <v>0</v>
      </c>
      <c r="AI392" s="80" t="s">
        <v>1642</v>
      </c>
      <c r="AJ392" s="80"/>
      <c r="AK392" s="85" t="s">
        <v>1635</v>
      </c>
      <c r="AL392" s="80" t="b">
        <v>0</v>
      </c>
      <c r="AM392" s="80">
        <v>5</v>
      </c>
      <c r="AN392" s="85" t="s">
        <v>1635</v>
      </c>
      <c r="AO392" s="85" t="s">
        <v>1671</v>
      </c>
      <c r="AP392" s="80" t="b">
        <v>0</v>
      </c>
      <c r="AQ392" s="85" t="s">
        <v>1438</v>
      </c>
      <c r="AR392" s="80" t="s">
        <v>179</v>
      </c>
      <c r="AS392" s="80">
        <v>0</v>
      </c>
      <c r="AT392" s="80">
        <v>0</v>
      </c>
      <c r="AU392" s="80"/>
      <c r="AV392" s="80"/>
      <c r="AW392" s="80"/>
      <c r="AX392" s="80"/>
      <c r="AY392" s="80"/>
      <c r="AZ392" s="80"/>
      <c r="BA392" s="80"/>
      <c r="BB392" s="80"/>
    </row>
    <row r="393" spans="1:54" x14ac:dyDescent="0.25">
      <c r="A393" s="65" t="s">
        <v>358</v>
      </c>
      <c r="B393" s="65" t="s">
        <v>357</v>
      </c>
      <c r="C393" s="66"/>
      <c r="D393" s="67"/>
      <c r="E393" s="68"/>
      <c r="F393" s="69"/>
      <c r="G393" s="66"/>
      <c r="H393" s="70"/>
      <c r="I393" s="71"/>
      <c r="J393" s="71"/>
      <c r="K393" s="36" t="s">
        <v>66</v>
      </c>
      <c r="L393" s="78">
        <v>393</v>
      </c>
      <c r="M393" s="78"/>
      <c r="N393" s="73"/>
      <c r="O393" s="80" t="s">
        <v>415</v>
      </c>
      <c r="P393" s="82">
        <v>44633.061597222222</v>
      </c>
      <c r="Q393" s="80" t="s">
        <v>505</v>
      </c>
      <c r="R393" s="80"/>
      <c r="S393" s="80"/>
      <c r="T393" s="85" t="s">
        <v>700</v>
      </c>
      <c r="U393" s="83" t="str">
        <f>HYPERLINK("https://pbs.twimg.com/media/FNq-K9kWUAII3TB.jpg")</f>
        <v>https://pbs.twimg.com/media/FNq-K9kWUAII3TB.jpg</v>
      </c>
      <c r="V393" s="83" t="str">
        <f>HYPERLINK("https://pbs.twimg.com/media/FNq-K9kWUAII3TB.jpg")</f>
        <v>https://pbs.twimg.com/media/FNq-K9kWUAII3TB.jpg</v>
      </c>
      <c r="W393" s="82">
        <v>44633.061597222222</v>
      </c>
      <c r="X393" s="88">
        <v>44633</v>
      </c>
      <c r="Y393" s="85" t="s">
        <v>989</v>
      </c>
      <c r="Z393" s="83" t="str">
        <f>HYPERLINK("https://twitter.com/ubathletics/status/1502818904879640577")</f>
        <v>https://twitter.com/ubathletics/status/1502818904879640577</v>
      </c>
      <c r="AA393" s="80"/>
      <c r="AB393" s="80"/>
      <c r="AC393" s="85" t="s">
        <v>1439</v>
      </c>
      <c r="AD393" s="80"/>
      <c r="AE393" s="80" t="b">
        <v>0</v>
      </c>
      <c r="AF393" s="80">
        <v>0</v>
      </c>
      <c r="AG393" s="85" t="s">
        <v>1635</v>
      </c>
      <c r="AH393" s="80" t="b">
        <v>0</v>
      </c>
      <c r="AI393" s="80" t="s">
        <v>1642</v>
      </c>
      <c r="AJ393" s="80"/>
      <c r="AK393" s="85" t="s">
        <v>1635</v>
      </c>
      <c r="AL393" s="80" t="b">
        <v>0</v>
      </c>
      <c r="AM393" s="80">
        <v>40</v>
      </c>
      <c r="AN393" s="85" t="s">
        <v>1627</v>
      </c>
      <c r="AO393" s="85" t="s">
        <v>1671</v>
      </c>
      <c r="AP393" s="80" t="b">
        <v>0</v>
      </c>
      <c r="AQ393" s="85" t="s">
        <v>1627</v>
      </c>
      <c r="AR393" s="80" t="s">
        <v>179</v>
      </c>
      <c r="AS393" s="80">
        <v>0</v>
      </c>
      <c r="AT393" s="80">
        <v>0</v>
      </c>
      <c r="AU393" s="80"/>
      <c r="AV393" s="80"/>
      <c r="AW393" s="80"/>
      <c r="AX393" s="80"/>
      <c r="AY393" s="80"/>
      <c r="AZ393" s="80"/>
      <c r="BA393" s="80"/>
      <c r="BB393" s="80"/>
    </row>
    <row r="394" spans="1:54" x14ac:dyDescent="0.25">
      <c r="A394" s="65" t="s">
        <v>353</v>
      </c>
      <c r="B394" s="65" t="s">
        <v>358</v>
      </c>
      <c r="C394" s="66"/>
      <c r="D394" s="67"/>
      <c r="E394" s="68"/>
      <c r="F394" s="69"/>
      <c r="G394" s="66"/>
      <c r="H394" s="70"/>
      <c r="I394" s="71"/>
      <c r="J394" s="71"/>
      <c r="K394" s="36" t="s">
        <v>65</v>
      </c>
      <c r="L394" s="78">
        <v>394</v>
      </c>
      <c r="M394" s="78"/>
      <c r="N394" s="73"/>
      <c r="O394" s="80" t="s">
        <v>415</v>
      </c>
      <c r="P394" s="82">
        <v>44632.663935185185</v>
      </c>
      <c r="Q394" s="80" t="s">
        <v>493</v>
      </c>
      <c r="R394" s="80"/>
      <c r="S394" s="80"/>
      <c r="T394" s="85" t="s">
        <v>695</v>
      </c>
      <c r="U394" s="83" t="str">
        <f>HYPERLINK("https://pbs.twimg.com/media/FNqSbpdWYAUvzSx.jpg")</f>
        <v>https://pbs.twimg.com/media/FNqSbpdWYAUvzSx.jpg</v>
      </c>
      <c r="V394" s="83" t="str">
        <f>HYPERLINK("https://pbs.twimg.com/media/FNqSbpdWYAUvzSx.jpg")</f>
        <v>https://pbs.twimg.com/media/FNqSbpdWYAUvzSx.jpg</v>
      </c>
      <c r="W394" s="82">
        <v>44632.663935185185</v>
      </c>
      <c r="X394" s="88">
        <v>44632</v>
      </c>
      <c r="Y394" s="85" t="s">
        <v>990</v>
      </c>
      <c r="Z394" s="83" t="str">
        <f>HYPERLINK("https://twitter.com/ubalumni/status/1502674796823420933")</f>
        <v>https://twitter.com/ubalumni/status/1502674796823420933</v>
      </c>
      <c r="AA394" s="80"/>
      <c r="AB394" s="80"/>
      <c r="AC394" s="85" t="s">
        <v>1440</v>
      </c>
      <c r="AD394" s="80"/>
      <c r="AE394" s="80" t="b">
        <v>0</v>
      </c>
      <c r="AF394" s="80">
        <v>0</v>
      </c>
      <c r="AG394" s="85" t="s">
        <v>1635</v>
      </c>
      <c r="AH394" s="80" t="b">
        <v>0</v>
      </c>
      <c r="AI394" s="80" t="s">
        <v>1642</v>
      </c>
      <c r="AJ394" s="80"/>
      <c r="AK394" s="85" t="s">
        <v>1635</v>
      </c>
      <c r="AL394" s="80" t="b">
        <v>0</v>
      </c>
      <c r="AM394" s="80">
        <v>5</v>
      </c>
      <c r="AN394" s="85" t="s">
        <v>1438</v>
      </c>
      <c r="AO394" s="85" t="s">
        <v>1671</v>
      </c>
      <c r="AP394" s="80" t="b">
        <v>0</v>
      </c>
      <c r="AQ394" s="85" t="s">
        <v>1438</v>
      </c>
      <c r="AR394" s="80" t="s">
        <v>179</v>
      </c>
      <c r="AS394" s="80">
        <v>0</v>
      </c>
      <c r="AT394" s="80">
        <v>0</v>
      </c>
      <c r="AU394" s="80"/>
      <c r="AV394" s="80"/>
      <c r="AW394" s="80"/>
      <c r="AX394" s="80"/>
      <c r="AY394" s="80"/>
      <c r="AZ394" s="80"/>
      <c r="BA394" s="80"/>
      <c r="BB394" s="80"/>
    </row>
    <row r="395" spans="1:54" x14ac:dyDescent="0.25">
      <c r="A395" s="65" t="s">
        <v>357</v>
      </c>
      <c r="B395" s="65" t="s">
        <v>358</v>
      </c>
      <c r="C395" s="66"/>
      <c r="D395" s="67"/>
      <c r="E395" s="68"/>
      <c r="F395" s="69"/>
      <c r="G395" s="66"/>
      <c r="H395" s="70"/>
      <c r="I395" s="71"/>
      <c r="J395" s="71"/>
      <c r="K395" s="36" t="s">
        <v>66</v>
      </c>
      <c r="L395" s="78">
        <v>395</v>
      </c>
      <c r="M395" s="78"/>
      <c r="N395" s="73"/>
      <c r="O395" s="80" t="s">
        <v>416</v>
      </c>
      <c r="P395" s="82">
        <v>44629.072581018518</v>
      </c>
      <c r="Q395" s="80" t="s">
        <v>557</v>
      </c>
      <c r="R395" s="80"/>
      <c r="S395" s="80"/>
      <c r="T395" s="85" t="s">
        <v>357</v>
      </c>
      <c r="U395" s="80"/>
      <c r="V395" s="83" t="str">
        <f>HYPERLINK("https://pbs.twimg.com/profile_images/991327943317213185/Hgte82Vq_normal.jpg")</f>
        <v>https://pbs.twimg.com/profile_images/991327943317213185/Hgte82Vq_normal.jpg</v>
      </c>
      <c r="W395" s="82">
        <v>44629.072581018518</v>
      </c>
      <c r="X395" s="88">
        <v>44629</v>
      </c>
      <c r="Y395" s="85" t="s">
        <v>987</v>
      </c>
      <c r="Z395" s="83" t="str">
        <f>HYPERLINK("https://twitter.com/ubuffalo/status/1501373332884758549")</f>
        <v>https://twitter.com/ubuffalo/status/1501373332884758549</v>
      </c>
      <c r="AA395" s="80"/>
      <c r="AB395" s="80"/>
      <c r="AC395" s="85" t="s">
        <v>1437</v>
      </c>
      <c r="AD395" s="85" t="s">
        <v>1632</v>
      </c>
      <c r="AE395" s="80" t="b">
        <v>0</v>
      </c>
      <c r="AF395" s="80">
        <v>1</v>
      </c>
      <c r="AG395" s="85" t="s">
        <v>1638</v>
      </c>
      <c r="AH395" s="80" t="b">
        <v>0</v>
      </c>
      <c r="AI395" s="80" t="s">
        <v>1642</v>
      </c>
      <c r="AJ395" s="80"/>
      <c r="AK395" s="85" t="s">
        <v>1635</v>
      </c>
      <c r="AL395" s="80" t="b">
        <v>0</v>
      </c>
      <c r="AM395" s="80">
        <v>0</v>
      </c>
      <c r="AN395" s="85" t="s">
        <v>1635</v>
      </c>
      <c r="AO395" s="85" t="s">
        <v>1672</v>
      </c>
      <c r="AP395" s="80" t="b">
        <v>0</v>
      </c>
      <c r="AQ395" s="85" t="s">
        <v>1632</v>
      </c>
      <c r="AR395" s="80" t="s">
        <v>179</v>
      </c>
      <c r="AS395" s="80">
        <v>0</v>
      </c>
      <c r="AT395" s="80">
        <v>0</v>
      </c>
      <c r="AU395" s="80"/>
      <c r="AV395" s="80"/>
      <c r="AW395" s="80"/>
      <c r="AX395" s="80"/>
      <c r="AY395" s="80"/>
      <c r="AZ395" s="80"/>
      <c r="BA395" s="80"/>
      <c r="BB395" s="80"/>
    </row>
    <row r="396" spans="1:54" x14ac:dyDescent="0.25">
      <c r="A396" s="65" t="s">
        <v>357</v>
      </c>
      <c r="B396" s="65" t="s">
        <v>409</v>
      </c>
      <c r="C396" s="66"/>
      <c r="D396" s="67"/>
      <c r="E396" s="68"/>
      <c r="F396" s="69"/>
      <c r="G396" s="66"/>
      <c r="H396" s="70"/>
      <c r="I396" s="71"/>
      <c r="J396" s="71"/>
      <c r="K396" s="36" t="s">
        <v>65</v>
      </c>
      <c r="L396" s="78">
        <v>396</v>
      </c>
      <c r="M396" s="78"/>
      <c r="N396" s="73"/>
      <c r="O396" s="80" t="s">
        <v>417</v>
      </c>
      <c r="P396" s="82">
        <v>44629.072581018518</v>
      </c>
      <c r="Q396" s="80" t="s">
        <v>557</v>
      </c>
      <c r="R396" s="80"/>
      <c r="S396" s="80"/>
      <c r="T396" s="85" t="s">
        <v>357</v>
      </c>
      <c r="U396" s="80"/>
      <c r="V396" s="83" t="str">
        <f>HYPERLINK("https://pbs.twimg.com/profile_images/991327943317213185/Hgte82Vq_normal.jpg")</f>
        <v>https://pbs.twimg.com/profile_images/991327943317213185/Hgte82Vq_normal.jpg</v>
      </c>
      <c r="W396" s="82">
        <v>44629.072581018518</v>
      </c>
      <c r="X396" s="88">
        <v>44629</v>
      </c>
      <c r="Y396" s="85" t="s">
        <v>987</v>
      </c>
      <c r="Z396" s="83" t="str">
        <f>HYPERLINK("https://twitter.com/ubuffalo/status/1501373332884758549")</f>
        <v>https://twitter.com/ubuffalo/status/1501373332884758549</v>
      </c>
      <c r="AA396" s="80"/>
      <c r="AB396" s="80"/>
      <c r="AC396" s="85" t="s">
        <v>1437</v>
      </c>
      <c r="AD396" s="85" t="s">
        <v>1632</v>
      </c>
      <c r="AE396" s="80" t="b">
        <v>0</v>
      </c>
      <c r="AF396" s="80">
        <v>1</v>
      </c>
      <c r="AG396" s="85" t="s">
        <v>1638</v>
      </c>
      <c r="AH396" s="80" t="b">
        <v>0</v>
      </c>
      <c r="AI396" s="80" t="s">
        <v>1642</v>
      </c>
      <c r="AJ396" s="80"/>
      <c r="AK396" s="85" t="s">
        <v>1635</v>
      </c>
      <c r="AL396" s="80" t="b">
        <v>0</v>
      </c>
      <c r="AM396" s="80">
        <v>0</v>
      </c>
      <c r="AN396" s="85" t="s">
        <v>1635</v>
      </c>
      <c r="AO396" s="85" t="s">
        <v>1672</v>
      </c>
      <c r="AP396" s="80" t="b">
        <v>0</v>
      </c>
      <c r="AQ396" s="85" t="s">
        <v>1632</v>
      </c>
      <c r="AR396" s="80" t="s">
        <v>179</v>
      </c>
      <c r="AS396" s="80">
        <v>0</v>
      </c>
      <c r="AT396" s="80">
        <v>0</v>
      </c>
      <c r="AU396" s="80"/>
      <c r="AV396" s="80"/>
      <c r="AW396" s="80"/>
      <c r="AX396" s="80"/>
      <c r="AY396" s="80"/>
      <c r="AZ396" s="80"/>
      <c r="BA396" s="80"/>
      <c r="BB396" s="80"/>
    </row>
    <row r="397" spans="1:54" x14ac:dyDescent="0.25">
      <c r="A397" s="65" t="s">
        <v>359</v>
      </c>
      <c r="B397" s="65" t="s">
        <v>410</v>
      </c>
      <c r="C397" s="66"/>
      <c r="D397" s="67"/>
      <c r="E397" s="68"/>
      <c r="F397" s="69"/>
      <c r="G397" s="66"/>
      <c r="H397" s="70"/>
      <c r="I397" s="71"/>
      <c r="J397" s="71"/>
      <c r="K397" s="36" t="s">
        <v>65</v>
      </c>
      <c r="L397" s="78">
        <v>397</v>
      </c>
      <c r="M397" s="78"/>
      <c r="N397" s="73"/>
      <c r="O397" s="80" t="s">
        <v>416</v>
      </c>
      <c r="P397" s="82">
        <v>44629.541666666664</v>
      </c>
      <c r="Q397" s="80" t="s">
        <v>558</v>
      </c>
      <c r="R397" s="83" t="str">
        <f>HYPERLINK("https://library.buffalo.edu/news/2022/03/08/announcing-ub-libraries-2022-student-poetry-competitions/")</f>
        <v>https://library.buffalo.edu/news/2022/03/08/announcing-ub-libraries-2022-student-poetry-competitions/</v>
      </c>
      <c r="S397" s="80" t="s">
        <v>632</v>
      </c>
      <c r="T397" s="85" t="s">
        <v>713</v>
      </c>
      <c r="U397" s="83" t="str">
        <f>HYPERLINK("https://pbs.twimg.com/media/FNV4etoXMAIgzTi.jpg")</f>
        <v>https://pbs.twimg.com/media/FNV4etoXMAIgzTi.jpg</v>
      </c>
      <c r="V397" s="83" t="str">
        <f>HYPERLINK("https://pbs.twimg.com/media/FNV4etoXMAIgzTi.jpg")</f>
        <v>https://pbs.twimg.com/media/FNV4etoXMAIgzTi.jpg</v>
      </c>
      <c r="W397" s="82">
        <v>44629.541666666664</v>
      </c>
      <c r="X397" s="88">
        <v>44629</v>
      </c>
      <c r="Y397" s="85" t="s">
        <v>991</v>
      </c>
      <c r="Z397" s="83" t="str">
        <f>HYPERLINK("https://twitter.com/ublibraries/status/1501543325349789696")</f>
        <v>https://twitter.com/ublibraries/status/1501543325349789696</v>
      </c>
      <c r="AA397" s="80"/>
      <c r="AB397" s="80"/>
      <c r="AC397" s="85" t="s">
        <v>1441</v>
      </c>
      <c r="AD397" s="80"/>
      <c r="AE397" s="80" t="b">
        <v>0</v>
      </c>
      <c r="AF397" s="80">
        <v>3</v>
      </c>
      <c r="AG397" s="85" t="s">
        <v>1635</v>
      </c>
      <c r="AH397" s="80" t="b">
        <v>0</v>
      </c>
      <c r="AI397" s="80" t="s">
        <v>1642</v>
      </c>
      <c r="AJ397" s="80"/>
      <c r="AK397" s="85" t="s">
        <v>1635</v>
      </c>
      <c r="AL397" s="80" t="b">
        <v>0</v>
      </c>
      <c r="AM397" s="80">
        <v>1</v>
      </c>
      <c r="AN397" s="85" t="s">
        <v>1635</v>
      </c>
      <c r="AO397" s="85" t="s">
        <v>1686</v>
      </c>
      <c r="AP397" s="80" t="b">
        <v>0</v>
      </c>
      <c r="AQ397" s="85" t="s">
        <v>1441</v>
      </c>
      <c r="AR397" s="80" t="s">
        <v>179</v>
      </c>
      <c r="AS397" s="80">
        <v>0</v>
      </c>
      <c r="AT397" s="80">
        <v>0</v>
      </c>
      <c r="AU397" s="80"/>
      <c r="AV397" s="80"/>
      <c r="AW397" s="80"/>
      <c r="AX397" s="80"/>
      <c r="AY397" s="80"/>
      <c r="AZ397" s="80"/>
      <c r="BA397" s="80"/>
      <c r="BB397" s="80"/>
    </row>
    <row r="398" spans="1:54" x14ac:dyDescent="0.25">
      <c r="A398" s="65" t="s">
        <v>357</v>
      </c>
      <c r="B398" s="65" t="s">
        <v>410</v>
      </c>
      <c r="C398" s="66"/>
      <c r="D398" s="67"/>
      <c r="E398" s="68"/>
      <c r="F398" s="69"/>
      <c r="G398" s="66"/>
      <c r="H398" s="70"/>
      <c r="I398" s="71"/>
      <c r="J398" s="71"/>
      <c r="K398" s="36" t="s">
        <v>65</v>
      </c>
      <c r="L398" s="78">
        <v>398</v>
      </c>
      <c r="M398" s="78"/>
      <c r="N398" s="73"/>
      <c r="O398" s="80" t="s">
        <v>414</v>
      </c>
      <c r="P398" s="82">
        <v>44629.606006944443</v>
      </c>
      <c r="Q398" s="80" t="s">
        <v>558</v>
      </c>
      <c r="R398" s="83" t="str">
        <f>HYPERLINK("https://library.buffalo.edu/news/2022/03/08/announcing-ub-libraries-2022-student-poetry-competitions/")</f>
        <v>https://library.buffalo.edu/news/2022/03/08/announcing-ub-libraries-2022-student-poetry-competitions/</v>
      </c>
      <c r="S398" s="80" t="s">
        <v>632</v>
      </c>
      <c r="T398" s="85" t="s">
        <v>713</v>
      </c>
      <c r="U398" s="83" t="str">
        <f>HYPERLINK("https://pbs.twimg.com/media/FNV4etoXMAIgzTi.jpg")</f>
        <v>https://pbs.twimg.com/media/FNV4etoXMAIgzTi.jpg</v>
      </c>
      <c r="V398" s="83" t="str">
        <f>HYPERLINK("https://pbs.twimg.com/media/FNV4etoXMAIgzTi.jpg")</f>
        <v>https://pbs.twimg.com/media/FNV4etoXMAIgzTi.jpg</v>
      </c>
      <c r="W398" s="82">
        <v>44629.606006944443</v>
      </c>
      <c r="X398" s="88">
        <v>44629</v>
      </c>
      <c r="Y398" s="85" t="s">
        <v>992</v>
      </c>
      <c r="Z398" s="83" t="str">
        <f>HYPERLINK("https://twitter.com/ubuffalo/status/1501566641255194636")</f>
        <v>https://twitter.com/ubuffalo/status/1501566641255194636</v>
      </c>
      <c r="AA398" s="80"/>
      <c r="AB398" s="80"/>
      <c r="AC398" s="85" t="s">
        <v>1442</v>
      </c>
      <c r="AD398" s="80"/>
      <c r="AE398" s="80" t="b">
        <v>0</v>
      </c>
      <c r="AF398" s="80">
        <v>0</v>
      </c>
      <c r="AG398" s="85" t="s">
        <v>1635</v>
      </c>
      <c r="AH398" s="80" t="b">
        <v>0</v>
      </c>
      <c r="AI398" s="80" t="s">
        <v>1642</v>
      </c>
      <c r="AJ398" s="80"/>
      <c r="AK398" s="85" t="s">
        <v>1635</v>
      </c>
      <c r="AL398" s="80" t="b">
        <v>0</v>
      </c>
      <c r="AM398" s="80">
        <v>1</v>
      </c>
      <c r="AN398" s="85" t="s">
        <v>1441</v>
      </c>
      <c r="AO398" s="85" t="s">
        <v>1672</v>
      </c>
      <c r="AP398" s="80" t="b">
        <v>0</v>
      </c>
      <c r="AQ398" s="85" t="s">
        <v>1441</v>
      </c>
      <c r="AR398" s="80" t="s">
        <v>179</v>
      </c>
      <c r="AS398" s="80">
        <v>0</v>
      </c>
      <c r="AT398" s="80">
        <v>0</v>
      </c>
      <c r="AU398" s="80"/>
      <c r="AV398" s="80"/>
      <c r="AW398" s="80"/>
      <c r="AX398" s="80"/>
      <c r="AY398" s="80"/>
      <c r="AZ398" s="80"/>
      <c r="BA398" s="80"/>
      <c r="BB398" s="80"/>
    </row>
    <row r="399" spans="1:54" x14ac:dyDescent="0.25">
      <c r="A399" s="65" t="s">
        <v>284</v>
      </c>
      <c r="B399" s="65" t="s">
        <v>284</v>
      </c>
      <c r="C399" s="66"/>
      <c r="D399" s="67"/>
      <c r="E399" s="68"/>
      <c r="F399" s="69"/>
      <c r="G399" s="66"/>
      <c r="H399" s="70"/>
      <c r="I399" s="71"/>
      <c r="J399" s="71"/>
      <c r="K399" s="36" t="s">
        <v>65</v>
      </c>
      <c r="L399" s="78">
        <v>399</v>
      </c>
      <c r="M399" s="78"/>
      <c r="N399" s="73"/>
      <c r="O399" s="80" t="s">
        <v>179</v>
      </c>
      <c r="P399" s="82">
        <v>44627.859988425924</v>
      </c>
      <c r="Q399" s="80" t="s">
        <v>559</v>
      </c>
      <c r="R399" s="83" t="str">
        <f>HYPERLINK("https://buffalo.zoom.us/meeting/register/tJYuc-qrqzIpG9K0b2m-XA5YW3eDYS1wI0ba")</f>
        <v>https://buffalo.zoom.us/meeting/register/tJYuc-qrqzIpG9K0b2m-XA5YW3eDYS1wI0ba</v>
      </c>
      <c r="S399" s="80" t="s">
        <v>637</v>
      </c>
      <c r="T399" s="85" t="s">
        <v>714</v>
      </c>
      <c r="U399" s="83" t="str">
        <f>HYPERLINK("https://pbs.twimg.com/media/FNRizKmXwA0UsPk.jpg")</f>
        <v>https://pbs.twimg.com/media/FNRizKmXwA0UsPk.jpg</v>
      </c>
      <c r="V399" s="83" t="str">
        <f>HYPERLINK("https://pbs.twimg.com/media/FNRizKmXwA0UsPk.jpg")</f>
        <v>https://pbs.twimg.com/media/FNRizKmXwA0UsPk.jpg</v>
      </c>
      <c r="W399" s="82">
        <v>44627.859988425924</v>
      </c>
      <c r="X399" s="88">
        <v>44627</v>
      </c>
      <c r="Y399" s="85" t="s">
        <v>993</v>
      </c>
      <c r="Z399" s="83" t="str">
        <f>HYPERLINK("https://twitter.com/ubschoolofmgt/status/1500933902512410632")</f>
        <v>https://twitter.com/ubschoolofmgt/status/1500933902512410632</v>
      </c>
      <c r="AA399" s="80"/>
      <c r="AB399" s="80"/>
      <c r="AC399" s="85" t="s">
        <v>1443</v>
      </c>
      <c r="AD399" s="80"/>
      <c r="AE399" s="80" t="b">
        <v>0</v>
      </c>
      <c r="AF399" s="80">
        <v>2</v>
      </c>
      <c r="AG399" s="85" t="s">
        <v>1635</v>
      </c>
      <c r="AH399" s="80" t="b">
        <v>0</v>
      </c>
      <c r="AI399" s="80" t="s">
        <v>1642</v>
      </c>
      <c r="AJ399" s="80"/>
      <c r="AK399" s="85" t="s">
        <v>1635</v>
      </c>
      <c r="AL399" s="80" t="b">
        <v>0</v>
      </c>
      <c r="AM399" s="80">
        <v>1</v>
      </c>
      <c r="AN399" s="85" t="s">
        <v>1635</v>
      </c>
      <c r="AO399" s="85" t="s">
        <v>1672</v>
      </c>
      <c r="AP399" s="80" t="b">
        <v>0</v>
      </c>
      <c r="AQ399" s="85" t="s">
        <v>1443</v>
      </c>
      <c r="AR399" s="80" t="s">
        <v>179</v>
      </c>
      <c r="AS399" s="80">
        <v>0</v>
      </c>
      <c r="AT399" s="80">
        <v>0</v>
      </c>
      <c r="AU399" s="80"/>
      <c r="AV399" s="80"/>
      <c r="AW399" s="80"/>
      <c r="AX399" s="80"/>
      <c r="AY399" s="80"/>
      <c r="AZ399" s="80"/>
      <c r="BA399" s="80"/>
      <c r="BB399" s="80"/>
    </row>
    <row r="400" spans="1:54" x14ac:dyDescent="0.25">
      <c r="A400" s="65" t="s">
        <v>284</v>
      </c>
      <c r="B400" s="65" t="s">
        <v>357</v>
      </c>
      <c r="C400" s="66"/>
      <c r="D400" s="67"/>
      <c r="E400" s="68"/>
      <c r="F400" s="69"/>
      <c r="G400" s="66"/>
      <c r="H400" s="70"/>
      <c r="I400" s="71"/>
      <c r="J400" s="71"/>
      <c r="K400" s="36" t="s">
        <v>66</v>
      </c>
      <c r="L400" s="78">
        <v>400</v>
      </c>
      <c r="M400" s="78"/>
      <c r="N400" s="73"/>
      <c r="O400" s="80" t="s">
        <v>415</v>
      </c>
      <c r="P400" s="82">
        <v>44628.536319444444</v>
      </c>
      <c r="Q400" s="80" t="s">
        <v>441</v>
      </c>
      <c r="R400" s="83" t="str">
        <f>HYPERLINK("https://financialaid.buffalo.edu/did-you-know/?utm_source=TWITTER&amp;utm_medium=social&amp;utm_term=20220307&amp;utm_content=100002956838777&amp;utm_campaign=General+Content&amp;linkId=100000113938382")</f>
        <v>https://financialaid.buffalo.edu/did-you-know/?utm_source=TWITTER&amp;utm_medium=social&amp;utm_term=20220307&amp;utm_content=100002956838777&amp;utm_campaign=General+Content&amp;linkId=100000113938382</v>
      </c>
      <c r="S400" s="80" t="s">
        <v>632</v>
      </c>
      <c r="T400" s="85" t="s">
        <v>357</v>
      </c>
      <c r="U400" s="83" t="str">
        <f>HYPERLINK("https://pbs.twimg.com/media/FNQs34JWYAEwXVa.jpg")</f>
        <v>https://pbs.twimg.com/media/FNQs34JWYAEwXVa.jpg</v>
      </c>
      <c r="V400" s="83" t="str">
        <f>HYPERLINK("https://pbs.twimg.com/media/FNQs34JWYAEwXVa.jpg")</f>
        <v>https://pbs.twimg.com/media/FNQs34JWYAEwXVa.jpg</v>
      </c>
      <c r="W400" s="82">
        <v>44628.536319444444</v>
      </c>
      <c r="X400" s="88">
        <v>44628</v>
      </c>
      <c r="Y400" s="85" t="s">
        <v>994</v>
      </c>
      <c r="Z400" s="83" t="str">
        <f>HYPERLINK("https://twitter.com/ubschoolofmgt/status/1501179000315600904")</f>
        <v>https://twitter.com/ubschoolofmgt/status/1501179000315600904</v>
      </c>
      <c r="AA400" s="80"/>
      <c r="AB400" s="80"/>
      <c r="AC400" s="85" t="s">
        <v>1444</v>
      </c>
      <c r="AD400" s="80"/>
      <c r="AE400" s="80" t="b">
        <v>0</v>
      </c>
      <c r="AF400" s="80">
        <v>0</v>
      </c>
      <c r="AG400" s="85" t="s">
        <v>1635</v>
      </c>
      <c r="AH400" s="80" t="b">
        <v>0</v>
      </c>
      <c r="AI400" s="80" t="s">
        <v>1642</v>
      </c>
      <c r="AJ400" s="80"/>
      <c r="AK400" s="85" t="s">
        <v>1635</v>
      </c>
      <c r="AL400" s="80" t="b">
        <v>0</v>
      </c>
      <c r="AM400" s="80">
        <v>6</v>
      </c>
      <c r="AN400" s="85" t="s">
        <v>1615</v>
      </c>
      <c r="AO400" s="85" t="s">
        <v>1686</v>
      </c>
      <c r="AP400" s="80" t="b">
        <v>0</v>
      </c>
      <c r="AQ400" s="85" t="s">
        <v>1615</v>
      </c>
      <c r="AR400" s="80" t="s">
        <v>179</v>
      </c>
      <c r="AS400" s="80">
        <v>0</v>
      </c>
      <c r="AT400" s="80">
        <v>0</v>
      </c>
      <c r="AU400" s="80"/>
      <c r="AV400" s="80"/>
      <c r="AW400" s="80"/>
      <c r="AX400" s="80"/>
      <c r="AY400" s="80"/>
      <c r="AZ400" s="80"/>
      <c r="BA400" s="80"/>
      <c r="BB400" s="80"/>
    </row>
    <row r="401" spans="1:54" x14ac:dyDescent="0.25">
      <c r="A401" s="65" t="s">
        <v>284</v>
      </c>
      <c r="B401" s="65" t="s">
        <v>284</v>
      </c>
      <c r="C401" s="66"/>
      <c r="D401" s="67"/>
      <c r="E401" s="68"/>
      <c r="F401" s="69"/>
      <c r="G401" s="66"/>
      <c r="H401" s="70"/>
      <c r="I401" s="71"/>
      <c r="J401" s="71"/>
      <c r="K401" s="36" t="s">
        <v>65</v>
      </c>
      <c r="L401" s="78">
        <v>401</v>
      </c>
      <c r="M401" s="78"/>
      <c r="N401" s="73"/>
      <c r="O401" s="80" t="s">
        <v>179</v>
      </c>
      <c r="P401" s="82">
        <v>44628.605636574073</v>
      </c>
      <c r="Q401" s="80" t="s">
        <v>435</v>
      </c>
      <c r="R401" s="80"/>
      <c r="S401" s="80"/>
      <c r="T401" s="85" t="s">
        <v>670</v>
      </c>
      <c r="U401" s="83" t="str">
        <f>HYPERLINK("https://pbs.twimg.com/media/FNVYG3UXMAAm7aZ.jpg")</f>
        <v>https://pbs.twimg.com/media/FNVYG3UXMAAm7aZ.jpg</v>
      </c>
      <c r="V401" s="83" t="str">
        <f>HYPERLINK("https://pbs.twimg.com/media/FNVYG3UXMAAm7aZ.jpg")</f>
        <v>https://pbs.twimg.com/media/FNVYG3UXMAAm7aZ.jpg</v>
      </c>
      <c r="W401" s="82">
        <v>44628.605636574073</v>
      </c>
      <c r="X401" s="88">
        <v>44628</v>
      </c>
      <c r="Y401" s="85" t="s">
        <v>995</v>
      </c>
      <c r="Z401" s="83" t="str">
        <f>HYPERLINK("https://twitter.com/ubschoolofmgt/status/1501204120128176128")</f>
        <v>https://twitter.com/ubschoolofmgt/status/1501204120128176128</v>
      </c>
      <c r="AA401" s="80"/>
      <c r="AB401" s="80"/>
      <c r="AC401" s="85" t="s">
        <v>1445</v>
      </c>
      <c r="AD401" s="80"/>
      <c r="AE401" s="80" t="b">
        <v>0</v>
      </c>
      <c r="AF401" s="80">
        <v>13</v>
      </c>
      <c r="AG401" s="85" t="s">
        <v>1635</v>
      </c>
      <c r="AH401" s="80" t="b">
        <v>0</v>
      </c>
      <c r="AI401" s="80" t="s">
        <v>1642</v>
      </c>
      <c r="AJ401" s="80"/>
      <c r="AK401" s="85" t="s">
        <v>1635</v>
      </c>
      <c r="AL401" s="80" t="b">
        <v>0</v>
      </c>
      <c r="AM401" s="80">
        <v>2</v>
      </c>
      <c r="AN401" s="85" t="s">
        <v>1635</v>
      </c>
      <c r="AO401" s="85" t="s">
        <v>1672</v>
      </c>
      <c r="AP401" s="80" t="b">
        <v>0</v>
      </c>
      <c r="AQ401" s="85" t="s">
        <v>1445</v>
      </c>
      <c r="AR401" s="80" t="s">
        <v>179</v>
      </c>
      <c r="AS401" s="80">
        <v>0</v>
      </c>
      <c r="AT401" s="80">
        <v>0</v>
      </c>
      <c r="AU401" s="80"/>
      <c r="AV401" s="80"/>
      <c r="AW401" s="80"/>
      <c r="AX401" s="80"/>
      <c r="AY401" s="80"/>
      <c r="AZ401" s="80"/>
      <c r="BA401" s="80"/>
      <c r="BB401" s="80"/>
    </row>
    <row r="402" spans="1:54" x14ac:dyDescent="0.25">
      <c r="A402" s="65" t="s">
        <v>284</v>
      </c>
      <c r="B402" s="65" t="s">
        <v>284</v>
      </c>
      <c r="C402" s="66"/>
      <c r="D402" s="67"/>
      <c r="E402" s="68"/>
      <c r="F402" s="69"/>
      <c r="G402" s="66"/>
      <c r="H402" s="70"/>
      <c r="I402" s="71"/>
      <c r="J402" s="71"/>
      <c r="K402" s="36" t="s">
        <v>65</v>
      </c>
      <c r="L402" s="78">
        <v>402</v>
      </c>
      <c r="M402" s="78"/>
      <c r="N402" s="73"/>
      <c r="O402" s="80" t="s">
        <v>179</v>
      </c>
      <c r="P402" s="82">
        <v>44629.600543981483</v>
      </c>
      <c r="Q402" s="80" t="s">
        <v>560</v>
      </c>
      <c r="R402" s="83" t="str">
        <f>HYPERLINK("https://management.buffalo.edu/about/buffalo-business/2022spring/features/leveling-up.html")</f>
        <v>https://management.buffalo.edu/about/buffalo-business/2022spring/features/leveling-up.html</v>
      </c>
      <c r="S402" s="80" t="s">
        <v>632</v>
      </c>
      <c r="T402" s="85" t="s">
        <v>690</v>
      </c>
      <c r="U402" s="80"/>
      <c r="V402" s="83" t="str">
        <f>HYPERLINK("https://pbs.twimg.com/profile_images/1349057594313363458/2umQAp4m_normal.jpg")</f>
        <v>https://pbs.twimg.com/profile_images/1349057594313363458/2umQAp4m_normal.jpg</v>
      </c>
      <c r="W402" s="82">
        <v>44629.600543981483</v>
      </c>
      <c r="X402" s="88">
        <v>44629</v>
      </c>
      <c r="Y402" s="85" t="s">
        <v>996</v>
      </c>
      <c r="Z402" s="83" t="str">
        <f>HYPERLINK("https://twitter.com/ubschoolofmgt/status/1501564661635891203")</f>
        <v>https://twitter.com/ubschoolofmgt/status/1501564661635891203</v>
      </c>
      <c r="AA402" s="80"/>
      <c r="AB402" s="80"/>
      <c r="AC402" s="85" t="s">
        <v>1446</v>
      </c>
      <c r="AD402" s="80"/>
      <c r="AE402" s="80" t="b">
        <v>0</v>
      </c>
      <c r="AF402" s="80">
        <v>4</v>
      </c>
      <c r="AG402" s="85" t="s">
        <v>1635</v>
      </c>
      <c r="AH402" s="80" t="b">
        <v>0</v>
      </c>
      <c r="AI402" s="80" t="s">
        <v>1642</v>
      </c>
      <c r="AJ402" s="80"/>
      <c r="AK402" s="85" t="s">
        <v>1635</v>
      </c>
      <c r="AL402" s="80" t="b">
        <v>0</v>
      </c>
      <c r="AM402" s="80">
        <v>1</v>
      </c>
      <c r="AN402" s="85" t="s">
        <v>1635</v>
      </c>
      <c r="AO402" s="85" t="s">
        <v>1672</v>
      </c>
      <c r="AP402" s="80" t="b">
        <v>0</v>
      </c>
      <c r="AQ402" s="85" t="s">
        <v>1446</v>
      </c>
      <c r="AR402" s="80" t="s">
        <v>179</v>
      </c>
      <c r="AS402" s="80">
        <v>0</v>
      </c>
      <c r="AT402" s="80">
        <v>0</v>
      </c>
      <c r="AU402" s="80"/>
      <c r="AV402" s="80"/>
      <c r="AW402" s="80"/>
      <c r="AX402" s="80"/>
      <c r="AY402" s="80"/>
      <c r="AZ402" s="80"/>
      <c r="BA402" s="80"/>
      <c r="BB402" s="80"/>
    </row>
    <row r="403" spans="1:54" x14ac:dyDescent="0.25">
      <c r="A403" s="65" t="s">
        <v>284</v>
      </c>
      <c r="B403" s="65" t="s">
        <v>284</v>
      </c>
      <c r="C403" s="66"/>
      <c r="D403" s="67"/>
      <c r="E403" s="68"/>
      <c r="F403" s="69"/>
      <c r="G403" s="66"/>
      <c r="H403" s="70"/>
      <c r="I403" s="71"/>
      <c r="J403" s="71"/>
      <c r="K403" s="36" t="s">
        <v>65</v>
      </c>
      <c r="L403" s="78">
        <v>403</v>
      </c>
      <c r="M403" s="78"/>
      <c r="N403" s="73"/>
      <c r="O403" s="80" t="s">
        <v>179</v>
      </c>
      <c r="P403" s="82">
        <v>44629.786585648151</v>
      </c>
      <c r="Q403" s="80" t="s">
        <v>465</v>
      </c>
      <c r="R403" s="80" t="s">
        <v>628</v>
      </c>
      <c r="S403" s="80" t="s">
        <v>648</v>
      </c>
      <c r="T403" s="85" t="s">
        <v>684</v>
      </c>
      <c r="U403" s="80"/>
      <c r="V403" s="83" t="str">
        <f>HYPERLINK("https://pbs.twimg.com/profile_images/1349057594313363458/2umQAp4m_normal.jpg")</f>
        <v>https://pbs.twimg.com/profile_images/1349057594313363458/2umQAp4m_normal.jpg</v>
      </c>
      <c r="W403" s="82">
        <v>44629.786585648151</v>
      </c>
      <c r="X403" s="88">
        <v>44629</v>
      </c>
      <c r="Y403" s="85" t="s">
        <v>997</v>
      </c>
      <c r="Z403" s="83" t="str">
        <f>HYPERLINK("https://twitter.com/ubschoolofmgt/status/1501632081427894283")</f>
        <v>https://twitter.com/ubschoolofmgt/status/1501632081427894283</v>
      </c>
      <c r="AA403" s="80"/>
      <c r="AB403" s="80"/>
      <c r="AC403" s="85" t="s">
        <v>1447</v>
      </c>
      <c r="AD403" s="80"/>
      <c r="AE403" s="80" t="b">
        <v>0</v>
      </c>
      <c r="AF403" s="80">
        <v>2</v>
      </c>
      <c r="AG403" s="85" t="s">
        <v>1635</v>
      </c>
      <c r="AH403" s="80" t="b">
        <v>1</v>
      </c>
      <c r="AI403" s="80" t="s">
        <v>1642</v>
      </c>
      <c r="AJ403" s="80"/>
      <c r="AK403" s="85" t="s">
        <v>1646</v>
      </c>
      <c r="AL403" s="80" t="b">
        <v>0</v>
      </c>
      <c r="AM403" s="80">
        <v>1</v>
      </c>
      <c r="AN403" s="85" t="s">
        <v>1635</v>
      </c>
      <c r="AO403" s="85" t="s">
        <v>1672</v>
      </c>
      <c r="AP403" s="80" t="b">
        <v>0</v>
      </c>
      <c r="AQ403" s="85" t="s">
        <v>1447</v>
      </c>
      <c r="AR403" s="80" t="s">
        <v>179</v>
      </c>
      <c r="AS403" s="80">
        <v>0</v>
      </c>
      <c r="AT403" s="80">
        <v>0</v>
      </c>
      <c r="AU403" s="80"/>
      <c r="AV403" s="80"/>
      <c r="AW403" s="80"/>
      <c r="AX403" s="80"/>
      <c r="AY403" s="80"/>
      <c r="AZ403" s="80"/>
      <c r="BA403" s="80"/>
      <c r="BB403" s="80"/>
    </row>
    <row r="404" spans="1:54" x14ac:dyDescent="0.25">
      <c r="A404" s="65" t="s">
        <v>284</v>
      </c>
      <c r="B404" s="65" t="s">
        <v>368</v>
      </c>
      <c r="C404" s="66"/>
      <c r="D404" s="67"/>
      <c r="E404" s="68"/>
      <c r="F404" s="69"/>
      <c r="G404" s="66"/>
      <c r="H404" s="70"/>
      <c r="I404" s="71"/>
      <c r="J404" s="71"/>
      <c r="K404" s="36" t="s">
        <v>65</v>
      </c>
      <c r="L404" s="78">
        <v>404</v>
      </c>
      <c r="M404" s="78"/>
      <c r="N404" s="73"/>
      <c r="O404" s="80" t="s">
        <v>415</v>
      </c>
      <c r="P404" s="82">
        <v>44629.812592592592</v>
      </c>
      <c r="Q404" s="80" t="s">
        <v>450</v>
      </c>
      <c r="R404" s="80"/>
      <c r="S404" s="80"/>
      <c r="T404" s="85" t="s">
        <v>357</v>
      </c>
      <c r="U404" s="83" t="str">
        <f>HYPERLINK("https://pbs.twimg.com/ext_tw_video_thumb/1501561093814165506/pu/img/zcMRFGF0HHs8KwPm.jpg")</f>
        <v>https://pbs.twimg.com/ext_tw_video_thumb/1501561093814165506/pu/img/zcMRFGF0HHs8KwPm.jpg</v>
      </c>
      <c r="V404" s="83" t="str">
        <f>HYPERLINK("https://pbs.twimg.com/ext_tw_video_thumb/1501561093814165506/pu/img/zcMRFGF0HHs8KwPm.jpg")</f>
        <v>https://pbs.twimg.com/ext_tw_video_thumb/1501561093814165506/pu/img/zcMRFGF0HHs8KwPm.jpg</v>
      </c>
      <c r="W404" s="82">
        <v>44629.812592592592</v>
      </c>
      <c r="X404" s="88">
        <v>44629</v>
      </c>
      <c r="Y404" s="85" t="s">
        <v>998</v>
      </c>
      <c r="Z404" s="83" t="str">
        <f>HYPERLINK("https://twitter.com/ubschoolofmgt/status/1501641504812675076")</f>
        <v>https://twitter.com/ubschoolofmgt/status/1501641504812675076</v>
      </c>
      <c r="AA404" s="80"/>
      <c r="AB404" s="80"/>
      <c r="AC404" s="85" t="s">
        <v>1448</v>
      </c>
      <c r="AD404" s="80"/>
      <c r="AE404" s="80" t="b">
        <v>0</v>
      </c>
      <c r="AF404" s="80">
        <v>0</v>
      </c>
      <c r="AG404" s="85" t="s">
        <v>1635</v>
      </c>
      <c r="AH404" s="80" t="b">
        <v>0</v>
      </c>
      <c r="AI404" s="80" t="s">
        <v>1642</v>
      </c>
      <c r="AJ404" s="80"/>
      <c r="AK404" s="85" t="s">
        <v>1635</v>
      </c>
      <c r="AL404" s="80" t="b">
        <v>0</v>
      </c>
      <c r="AM404" s="80">
        <v>5</v>
      </c>
      <c r="AN404" s="85" t="s">
        <v>1560</v>
      </c>
      <c r="AO404" s="85" t="s">
        <v>1671</v>
      </c>
      <c r="AP404" s="80" t="b">
        <v>0</v>
      </c>
      <c r="AQ404" s="85" t="s">
        <v>1560</v>
      </c>
      <c r="AR404" s="80" t="s">
        <v>179</v>
      </c>
      <c r="AS404" s="80">
        <v>0</v>
      </c>
      <c r="AT404" s="80">
        <v>0</v>
      </c>
      <c r="AU404" s="80"/>
      <c r="AV404" s="80"/>
      <c r="AW404" s="80"/>
      <c r="AX404" s="80"/>
      <c r="AY404" s="80"/>
      <c r="AZ404" s="80"/>
      <c r="BA404" s="80"/>
      <c r="BB404" s="80"/>
    </row>
    <row r="405" spans="1:54" x14ac:dyDescent="0.25">
      <c r="A405" s="65" t="s">
        <v>284</v>
      </c>
      <c r="B405" s="65" t="s">
        <v>284</v>
      </c>
      <c r="C405" s="66"/>
      <c r="D405" s="67"/>
      <c r="E405" s="68"/>
      <c r="F405" s="69"/>
      <c r="G405" s="66"/>
      <c r="H405" s="70"/>
      <c r="I405" s="71"/>
      <c r="J405" s="71"/>
      <c r="K405" s="36" t="s">
        <v>65</v>
      </c>
      <c r="L405" s="78">
        <v>405</v>
      </c>
      <c r="M405" s="78"/>
      <c r="N405" s="73"/>
      <c r="O405" s="80" t="s">
        <v>179</v>
      </c>
      <c r="P405" s="82">
        <v>44631.785081018519</v>
      </c>
      <c r="Q405" s="80" t="s">
        <v>561</v>
      </c>
      <c r="R405" s="83" t="str">
        <f>HYPERLINK("https://management.buffalo.edu/about/news.host.html/content/shared/mgt/news/haves-have-nots-health-information-exchanges.detail.html")</f>
        <v>https://management.buffalo.edu/about/news.host.html/content/shared/mgt/news/haves-have-nots-health-information-exchanges.detail.html</v>
      </c>
      <c r="S405" s="80" t="s">
        <v>632</v>
      </c>
      <c r="T405" s="85" t="s">
        <v>715</v>
      </c>
      <c r="U405" s="80"/>
      <c r="V405" s="83" t="str">
        <f>HYPERLINK("https://pbs.twimg.com/profile_images/1349057594313363458/2umQAp4m_normal.jpg")</f>
        <v>https://pbs.twimg.com/profile_images/1349057594313363458/2umQAp4m_normal.jpg</v>
      </c>
      <c r="W405" s="82">
        <v>44631.785081018519</v>
      </c>
      <c r="X405" s="88">
        <v>44631</v>
      </c>
      <c r="Y405" s="85" t="s">
        <v>999</v>
      </c>
      <c r="Z405" s="83" t="str">
        <f>HYPERLINK("https://twitter.com/ubschoolofmgt/status/1502356312260329472")</f>
        <v>https://twitter.com/ubschoolofmgt/status/1502356312260329472</v>
      </c>
      <c r="AA405" s="80"/>
      <c r="AB405" s="80"/>
      <c r="AC405" s="85" t="s">
        <v>1449</v>
      </c>
      <c r="AD405" s="80"/>
      <c r="AE405" s="80" t="b">
        <v>0</v>
      </c>
      <c r="AF405" s="80">
        <v>1</v>
      </c>
      <c r="AG405" s="85" t="s">
        <v>1635</v>
      </c>
      <c r="AH405" s="80" t="b">
        <v>0</v>
      </c>
      <c r="AI405" s="80" t="s">
        <v>1642</v>
      </c>
      <c r="AJ405" s="80"/>
      <c r="AK405" s="85" t="s">
        <v>1635</v>
      </c>
      <c r="AL405" s="80" t="b">
        <v>0</v>
      </c>
      <c r="AM405" s="80">
        <v>0</v>
      </c>
      <c r="AN405" s="85" t="s">
        <v>1635</v>
      </c>
      <c r="AO405" s="85" t="s">
        <v>1672</v>
      </c>
      <c r="AP405" s="80" t="b">
        <v>0</v>
      </c>
      <c r="AQ405" s="85" t="s">
        <v>1449</v>
      </c>
      <c r="AR405" s="80" t="s">
        <v>179</v>
      </c>
      <c r="AS405" s="80">
        <v>0</v>
      </c>
      <c r="AT405" s="80">
        <v>0</v>
      </c>
      <c r="AU405" s="80"/>
      <c r="AV405" s="80"/>
      <c r="AW405" s="80"/>
      <c r="AX405" s="80"/>
      <c r="AY405" s="80"/>
      <c r="AZ405" s="80"/>
      <c r="BA405" s="80"/>
      <c r="BB405" s="80"/>
    </row>
    <row r="406" spans="1:54" x14ac:dyDescent="0.25">
      <c r="A406" s="65" t="s">
        <v>353</v>
      </c>
      <c r="B406" s="65" t="s">
        <v>284</v>
      </c>
      <c r="C406" s="66"/>
      <c r="D406" s="67"/>
      <c r="E406" s="68"/>
      <c r="F406" s="69"/>
      <c r="G406" s="66"/>
      <c r="H406" s="70"/>
      <c r="I406" s="71"/>
      <c r="J406" s="71"/>
      <c r="K406" s="36" t="s">
        <v>65</v>
      </c>
      <c r="L406" s="78">
        <v>406</v>
      </c>
      <c r="M406" s="78"/>
      <c r="N406" s="73"/>
      <c r="O406" s="80" t="s">
        <v>415</v>
      </c>
      <c r="P406" s="82">
        <v>44627.861643518518</v>
      </c>
      <c r="Q406" s="80" t="s">
        <v>559</v>
      </c>
      <c r="R406" s="83" t="str">
        <f>HYPERLINK("https://buffalo.zoom.us/meeting/register/tJYuc-qrqzIpG9K0b2m-XA5YW3eDYS1wI0ba")</f>
        <v>https://buffalo.zoom.us/meeting/register/tJYuc-qrqzIpG9K0b2m-XA5YW3eDYS1wI0ba</v>
      </c>
      <c r="S406" s="80" t="s">
        <v>637</v>
      </c>
      <c r="T406" s="85" t="s">
        <v>714</v>
      </c>
      <c r="U406" s="83" t="str">
        <f>HYPERLINK("https://pbs.twimg.com/media/FNRizKmXwA0UsPk.jpg")</f>
        <v>https://pbs.twimg.com/media/FNRizKmXwA0UsPk.jpg</v>
      </c>
      <c r="V406" s="83" t="str">
        <f>HYPERLINK("https://pbs.twimg.com/media/FNRizKmXwA0UsPk.jpg")</f>
        <v>https://pbs.twimg.com/media/FNRizKmXwA0UsPk.jpg</v>
      </c>
      <c r="W406" s="82">
        <v>44627.861643518518</v>
      </c>
      <c r="X406" s="88">
        <v>44627</v>
      </c>
      <c r="Y406" s="85" t="s">
        <v>1000</v>
      </c>
      <c r="Z406" s="83" t="str">
        <f>HYPERLINK("https://twitter.com/ubalumni/status/1500934505665900551")</f>
        <v>https://twitter.com/ubalumni/status/1500934505665900551</v>
      </c>
      <c r="AA406" s="80"/>
      <c r="AB406" s="80"/>
      <c r="AC406" s="85" t="s">
        <v>1450</v>
      </c>
      <c r="AD406" s="80"/>
      <c r="AE406" s="80" t="b">
        <v>0</v>
      </c>
      <c r="AF406" s="80">
        <v>0</v>
      </c>
      <c r="AG406" s="85" t="s">
        <v>1635</v>
      </c>
      <c r="AH406" s="80" t="b">
        <v>0</v>
      </c>
      <c r="AI406" s="80" t="s">
        <v>1642</v>
      </c>
      <c r="AJ406" s="80"/>
      <c r="AK406" s="85" t="s">
        <v>1635</v>
      </c>
      <c r="AL406" s="80" t="b">
        <v>0</v>
      </c>
      <c r="AM406" s="80">
        <v>1</v>
      </c>
      <c r="AN406" s="85" t="s">
        <v>1443</v>
      </c>
      <c r="AO406" s="85" t="s">
        <v>1673</v>
      </c>
      <c r="AP406" s="80" t="b">
        <v>0</v>
      </c>
      <c r="AQ406" s="85" t="s">
        <v>1443</v>
      </c>
      <c r="AR406" s="80" t="s">
        <v>179</v>
      </c>
      <c r="AS406" s="80">
        <v>0</v>
      </c>
      <c r="AT406" s="80">
        <v>0</v>
      </c>
      <c r="AU406" s="80"/>
      <c r="AV406" s="80"/>
      <c r="AW406" s="80"/>
      <c r="AX406" s="80"/>
      <c r="AY406" s="80"/>
      <c r="AZ406" s="80"/>
      <c r="BA406" s="80"/>
      <c r="BB406" s="80"/>
    </row>
    <row r="407" spans="1:54" x14ac:dyDescent="0.25">
      <c r="A407" s="65" t="s">
        <v>353</v>
      </c>
      <c r="B407" s="65" t="s">
        <v>284</v>
      </c>
      <c r="C407" s="66"/>
      <c r="D407" s="67"/>
      <c r="E407" s="68"/>
      <c r="F407" s="69"/>
      <c r="G407" s="66"/>
      <c r="H407" s="70"/>
      <c r="I407" s="71"/>
      <c r="J407" s="71"/>
      <c r="K407" s="36" t="s">
        <v>65</v>
      </c>
      <c r="L407" s="78">
        <v>407</v>
      </c>
      <c r="M407" s="78"/>
      <c r="N407" s="73"/>
      <c r="O407" s="80" t="s">
        <v>415</v>
      </c>
      <c r="P407" s="82">
        <v>44628.661747685182</v>
      </c>
      <c r="Q407" s="80" t="s">
        <v>435</v>
      </c>
      <c r="R407" s="80"/>
      <c r="S407" s="80"/>
      <c r="T407" s="85" t="s">
        <v>670</v>
      </c>
      <c r="U407" s="83" t="str">
        <f>HYPERLINK("https://pbs.twimg.com/media/FNVYG3UXMAAm7aZ.jpg")</f>
        <v>https://pbs.twimg.com/media/FNVYG3UXMAAm7aZ.jpg</v>
      </c>
      <c r="V407" s="83" t="str">
        <f>HYPERLINK("https://pbs.twimg.com/media/FNVYG3UXMAAm7aZ.jpg")</f>
        <v>https://pbs.twimg.com/media/FNVYG3UXMAAm7aZ.jpg</v>
      </c>
      <c r="W407" s="82">
        <v>44628.661747685182</v>
      </c>
      <c r="X407" s="88">
        <v>44628</v>
      </c>
      <c r="Y407" s="85" t="s">
        <v>1001</v>
      </c>
      <c r="Z407" s="83" t="str">
        <f>HYPERLINK("https://twitter.com/ubalumni/status/1501224453216342018")</f>
        <v>https://twitter.com/ubalumni/status/1501224453216342018</v>
      </c>
      <c r="AA407" s="80"/>
      <c r="AB407" s="80"/>
      <c r="AC407" s="85" t="s">
        <v>1451</v>
      </c>
      <c r="AD407" s="80"/>
      <c r="AE407" s="80" t="b">
        <v>0</v>
      </c>
      <c r="AF407" s="80">
        <v>0</v>
      </c>
      <c r="AG407" s="85" t="s">
        <v>1635</v>
      </c>
      <c r="AH407" s="80" t="b">
        <v>0</v>
      </c>
      <c r="AI407" s="80" t="s">
        <v>1642</v>
      </c>
      <c r="AJ407" s="80"/>
      <c r="AK407" s="85" t="s">
        <v>1635</v>
      </c>
      <c r="AL407" s="80" t="b">
        <v>0</v>
      </c>
      <c r="AM407" s="80">
        <v>2</v>
      </c>
      <c r="AN407" s="85" t="s">
        <v>1445</v>
      </c>
      <c r="AO407" s="85" t="s">
        <v>1672</v>
      </c>
      <c r="AP407" s="80" t="b">
        <v>0</v>
      </c>
      <c r="AQ407" s="85" t="s">
        <v>1445</v>
      </c>
      <c r="AR407" s="80" t="s">
        <v>179</v>
      </c>
      <c r="AS407" s="80">
        <v>0</v>
      </c>
      <c r="AT407" s="80">
        <v>0</v>
      </c>
      <c r="AU407" s="80"/>
      <c r="AV407" s="80"/>
      <c r="AW407" s="80"/>
      <c r="AX407" s="80"/>
      <c r="AY407" s="80"/>
      <c r="AZ407" s="80"/>
      <c r="BA407" s="80"/>
      <c r="BB407" s="80"/>
    </row>
    <row r="408" spans="1:54" x14ac:dyDescent="0.25">
      <c r="A408" s="65" t="s">
        <v>357</v>
      </c>
      <c r="B408" s="65" t="s">
        <v>284</v>
      </c>
      <c r="C408" s="66"/>
      <c r="D408" s="67"/>
      <c r="E408" s="68"/>
      <c r="F408" s="69"/>
      <c r="G408" s="66"/>
      <c r="H408" s="70"/>
      <c r="I408" s="71"/>
      <c r="J408" s="71"/>
      <c r="K408" s="36" t="s">
        <v>66</v>
      </c>
      <c r="L408" s="78">
        <v>408</v>
      </c>
      <c r="M408" s="78"/>
      <c r="N408" s="73"/>
      <c r="O408" s="80" t="s">
        <v>415</v>
      </c>
      <c r="P408" s="82">
        <v>44629.606504629628</v>
      </c>
      <c r="Q408" s="80" t="s">
        <v>560</v>
      </c>
      <c r="R408" s="83" t="str">
        <f>HYPERLINK("https://management.buffalo.edu/about/buffalo-business/2022spring/features/leveling-up.html")</f>
        <v>https://management.buffalo.edu/about/buffalo-business/2022spring/features/leveling-up.html</v>
      </c>
      <c r="S408" s="80" t="s">
        <v>632</v>
      </c>
      <c r="T408" s="85" t="s">
        <v>690</v>
      </c>
      <c r="U408" s="80"/>
      <c r="V408" s="83" t="str">
        <f>HYPERLINK("https://pbs.twimg.com/profile_images/991327943317213185/Hgte82Vq_normal.jpg")</f>
        <v>https://pbs.twimg.com/profile_images/991327943317213185/Hgte82Vq_normal.jpg</v>
      </c>
      <c r="W408" s="82">
        <v>44629.606504629628</v>
      </c>
      <c r="X408" s="88">
        <v>44629</v>
      </c>
      <c r="Y408" s="85" t="s">
        <v>1002</v>
      </c>
      <c r="Z408" s="83" t="str">
        <f>HYPERLINK("https://twitter.com/ubuffalo/status/1501566820582834179")</f>
        <v>https://twitter.com/ubuffalo/status/1501566820582834179</v>
      </c>
      <c r="AA408" s="80"/>
      <c r="AB408" s="80"/>
      <c r="AC408" s="85" t="s">
        <v>1452</v>
      </c>
      <c r="AD408" s="80"/>
      <c r="AE408" s="80" t="b">
        <v>0</v>
      </c>
      <c r="AF408" s="80">
        <v>0</v>
      </c>
      <c r="AG408" s="85" t="s">
        <v>1635</v>
      </c>
      <c r="AH408" s="80" t="b">
        <v>0</v>
      </c>
      <c r="AI408" s="80" t="s">
        <v>1642</v>
      </c>
      <c r="AJ408" s="80"/>
      <c r="AK408" s="85" t="s">
        <v>1635</v>
      </c>
      <c r="AL408" s="80" t="b">
        <v>0</v>
      </c>
      <c r="AM408" s="80">
        <v>1</v>
      </c>
      <c r="AN408" s="85" t="s">
        <v>1446</v>
      </c>
      <c r="AO408" s="85" t="s">
        <v>1672</v>
      </c>
      <c r="AP408" s="80" t="b">
        <v>0</v>
      </c>
      <c r="AQ408" s="85" t="s">
        <v>1446</v>
      </c>
      <c r="AR408" s="80" t="s">
        <v>179</v>
      </c>
      <c r="AS408" s="80">
        <v>0</v>
      </c>
      <c r="AT408" s="80">
        <v>0</v>
      </c>
      <c r="AU408" s="80"/>
      <c r="AV408" s="80"/>
      <c r="AW408" s="80"/>
      <c r="AX408" s="80"/>
      <c r="AY408" s="80"/>
      <c r="AZ408" s="80"/>
      <c r="BA408" s="80"/>
      <c r="BB408" s="80"/>
    </row>
    <row r="409" spans="1:54" x14ac:dyDescent="0.25">
      <c r="A409" s="65" t="s">
        <v>307</v>
      </c>
      <c r="B409" s="65" t="s">
        <v>307</v>
      </c>
      <c r="C409" s="66"/>
      <c r="D409" s="67"/>
      <c r="E409" s="68"/>
      <c r="F409" s="69"/>
      <c r="G409" s="66"/>
      <c r="H409" s="70"/>
      <c r="I409" s="71"/>
      <c r="J409" s="71"/>
      <c r="K409" s="36" t="s">
        <v>65</v>
      </c>
      <c r="L409" s="78">
        <v>409</v>
      </c>
      <c r="M409" s="78"/>
      <c r="N409" s="73"/>
      <c r="O409" s="80" t="s">
        <v>179</v>
      </c>
      <c r="P409" s="82">
        <v>44627.809571759259</v>
      </c>
      <c r="Q409" s="80" t="s">
        <v>562</v>
      </c>
      <c r="R409" s="80" t="s">
        <v>629</v>
      </c>
      <c r="S409" s="80" t="s">
        <v>656</v>
      </c>
      <c r="T409" s="85" t="s">
        <v>689</v>
      </c>
      <c r="U409" s="83" t="str">
        <f>HYPERLINK("https://pbs.twimg.com/media/FNRS0E-XwAk1oHT.jpg")</f>
        <v>https://pbs.twimg.com/media/FNRS0E-XwAk1oHT.jpg</v>
      </c>
      <c r="V409" s="83" t="str">
        <f>HYPERLINK("https://pbs.twimg.com/media/FNRS0E-XwAk1oHT.jpg")</f>
        <v>https://pbs.twimg.com/media/FNRS0E-XwAk1oHT.jpg</v>
      </c>
      <c r="W409" s="82">
        <v>44627.809571759259</v>
      </c>
      <c r="X409" s="88">
        <v>44627</v>
      </c>
      <c r="Y409" s="85" t="s">
        <v>1003</v>
      </c>
      <c r="Z409" s="83" t="str">
        <f>HYPERLINK("https://twitter.com/jacobs_med_ub/status/1500915633722175494")</f>
        <v>https://twitter.com/jacobs_med_ub/status/1500915633722175494</v>
      </c>
      <c r="AA409" s="80"/>
      <c r="AB409" s="80"/>
      <c r="AC409" s="85" t="s">
        <v>1453</v>
      </c>
      <c r="AD409" s="80"/>
      <c r="AE409" s="80" t="b">
        <v>0</v>
      </c>
      <c r="AF409" s="80">
        <v>3</v>
      </c>
      <c r="AG409" s="85" t="s">
        <v>1635</v>
      </c>
      <c r="AH409" s="80" t="b">
        <v>0</v>
      </c>
      <c r="AI409" s="80" t="s">
        <v>1642</v>
      </c>
      <c r="AJ409" s="80"/>
      <c r="AK409" s="85" t="s">
        <v>1635</v>
      </c>
      <c r="AL409" s="80" t="b">
        <v>0</v>
      </c>
      <c r="AM409" s="80">
        <v>1</v>
      </c>
      <c r="AN409" s="85" t="s">
        <v>1635</v>
      </c>
      <c r="AO409" s="85" t="s">
        <v>1677</v>
      </c>
      <c r="AP409" s="80" t="b">
        <v>0</v>
      </c>
      <c r="AQ409" s="85" t="s">
        <v>1453</v>
      </c>
      <c r="AR409" s="80" t="s">
        <v>179</v>
      </c>
      <c r="AS409" s="80">
        <v>0</v>
      </c>
      <c r="AT409" s="80">
        <v>0</v>
      </c>
      <c r="AU409" s="80"/>
      <c r="AV409" s="80"/>
      <c r="AW409" s="80"/>
      <c r="AX409" s="80"/>
      <c r="AY409" s="80"/>
      <c r="AZ409" s="80"/>
      <c r="BA409" s="80"/>
      <c r="BB409" s="80"/>
    </row>
    <row r="410" spans="1:54" x14ac:dyDescent="0.25">
      <c r="A410" s="65" t="s">
        <v>307</v>
      </c>
      <c r="B410" s="65" t="s">
        <v>357</v>
      </c>
      <c r="C410" s="66"/>
      <c r="D410" s="67"/>
      <c r="E410" s="68"/>
      <c r="F410" s="69"/>
      <c r="G410" s="66"/>
      <c r="H410" s="70"/>
      <c r="I410" s="71"/>
      <c r="J410" s="71"/>
      <c r="K410" s="36" t="s">
        <v>66</v>
      </c>
      <c r="L410" s="78">
        <v>410</v>
      </c>
      <c r="M410" s="78"/>
      <c r="N410" s="73"/>
      <c r="O410" s="80" t="s">
        <v>415</v>
      </c>
      <c r="P410" s="82">
        <v>44627.952523148146</v>
      </c>
      <c r="Q410" s="80" t="s">
        <v>563</v>
      </c>
      <c r="R410" s="83" t="s">
        <v>625</v>
      </c>
      <c r="S410" s="80" t="s">
        <v>632</v>
      </c>
      <c r="T410" s="85" t="s">
        <v>357</v>
      </c>
      <c r="U410" s="80"/>
      <c r="V410" s="83" t="str">
        <f>HYPERLINK("https://pbs.twimg.com/profile_images/1248235117631307776/UpNAGSpJ_normal.jpg")</f>
        <v>https://pbs.twimg.com/profile_images/1248235117631307776/UpNAGSpJ_normal.jpg</v>
      </c>
      <c r="W410" s="82">
        <v>44627.952523148146</v>
      </c>
      <c r="X410" s="88">
        <v>44627</v>
      </c>
      <c r="Y410" s="85" t="s">
        <v>1004</v>
      </c>
      <c r="Z410" s="83" t="str">
        <f>HYPERLINK("https://twitter.com/jacobs_med_ub/status/1500967436409270273")</f>
        <v>https://twitter.com/jacobs_med_ub/status/1500967436409270273</v>
      </c>
      <c r="AA410" s="80"/>
      <c r="AB410" s="80"/>
      <c r="AC410" s="85" t="s">
        <v>1454</v>
      </c>
      <c r="AD410" s="80"/>
      <c r="AE410" s="80" t="b">
        <v>0</v>
      </c>
      <c r="AF410" s="80">
        <v>0</v>
      </c>
      <c r="AG410" s="85" t="s">
        <v>1635</v>
      </c>
      <c r="AH410" s="80" t="b">
        <v>0</v>
      </c>
      <c r="AI410" s="80" t="s">
        <v>1642</v>
      </c>
      <c r="AJ410" s="80"/>
      <c r="AK410" s="85" t="s">
        <v>1635</v>
      </c>
      <c r="AL410" s="80" t="b">
        <v>0</v>
      </c>
      <c r="AM410" s="80">
        <v>13</v>
      </c>
      <c r="AN410" s="85" t="s">
        <v>1614</v>
      </c>
      <c r="AO410" s="85" t="s">
        <v>1672</v>
      </c>
      <c r="AP410" s="80" t="b">
        <v>0</v>
      </c>
      <c r="AQ410" s="85" t="s">
        <v>1614</v>
      </c>
      <c r="AR410" s="80" t="s">
        <v>179</v>
      </c>
      <c r="AS410" s="80">
        <v>0</v>
      </c>
      <c r="AT410" s="80">
        <v>0</v>
      </c>
      <c r="AU410" s="80"/>
      <c r="AV410" s="80"/>
      <c r="AW410" s="80"/>
      <c r="AX410" s="80"/>
      <c r="AY410" s="80"/>
      <c r="AZ410" s="80"/>
      <c r="BA410" s="80"/>
      <c r="BB410" s="80"/>
    </row>
    <row r="411" spans="1:54" x14ac:dyDescent="0.25">
      <c r="A411" s="65" t="s">
        <v>307</v>
      </c>
      <c r="B411" s="65" t="s">
        <v>307</v>
      </c>
      <c r="C411" s="66"/>
      <c r="D411" s="67"/>
      <c r="E411" s="68"/>
      <c r="F411" s="69"/>
      <c r="G411" s="66"/>
      <c r="H411" s="70"/>
      <c r="I411" s="71"/>
      <c r="J411" s="71"/>
      <c r="K411" s="36" t="s">
        <v>65</v>
      </c>
      <c r="L411" s="78">
        <v>411</v>
      </c>
      <c r="M411" s="78"/>
      <c r="N411" s="73"/>
      <c r="O411" s="80" t="s">
        <v>179</v>
      </c>
      <c r="P411" s="82">
        <v>44628.968784722223</v>
      </c>
      <c r="Q411" s="80" t="s">
        <v>564</v>
      </c>
      <c r="R411" s="83" t="str">
        <f>HYPERLINK("https://medicine.buffalo.edu/about/students_faculty_alumni/our_alumni.host.html/content/shared/smbs/faces_and_voices/alumni/brianna-tylec.detail.html")</f>
        <v>https://medicine.buffalo.edu/about/students_faculty_alumni/our_alumni.host.html/content/shared/smbs/faces_and_voices/alumni/brianna-tylec.detail.html</v>
      </c>
      <c r="S411" s="80" t="s">
        <v>632</v>
      </c>
      <c r="T411" s="85" t="s">
        <v>699</v>
      </c>
      <c r="U411" s="83" t="str">
        <f>HYPERLINK("https://pbs.twimg.com/media/FNXQ4LcWYAcOcAf.jpg")</f>
        <v>https://pbs.twimg.com/media/FNXQ4LcWYAcOcAf.jpg</v>
      </c>
      <c r="V411" s="83" t="str">
        <f>HYPERLINK("https://pbs.twimg.com/media/FNXQ4LcWYAcOcAf.jpg")</f>
        <v>https://pbs.twimg.com/media/FNXQ4LcWYAcOcAf.jpg</v>
      </c>
      <c r="W411" s="82">
        <v>44628.968784722223</v>
      </c>
      <c r="X411" s="88">
        <v>44628</v>
      </c>
      <c r="Y411" s="85" t="s">
        <v>1005</v>
      </c>
      <c r="Z411" s="83" t="str">
        <f>HYPERLINK("https://twitter.com/jacobs_med_ub/status/1501335717733183492")</f>
        <v>https://twitter.com/jacobs_med_ub/status/1501335717733183492</v>
      </c>
      <c r="AA411" s="80"/>
      <c r="AB411" s="80"/>
      <c r="AC411" s="85" t="s">
        <v>1455</v>
      </c>
      <c r="AD411" s="80"/>
      <c r="AE411" s="80" t="b">
        <v>0</v>
      </c>
      <c r="AF411" s="80">
        <v>5</v>
      </c>
      <c r="AG411" s="85" t="s">
        <v>1635</v>
      </c>
      <c r="AH411" s="80" t="b">
        <v>0</v>
      </c>
      <c r="AI411" s="80" t="s">
        <v>1642</v>
      </c>
      <c r="AJ411" s="80"/>
      <c r="AK411" s="85" t="s">
        <v>1635</v>
      </c>
      <c r="AL411" s="80" t="b">
        <v>0</v>
      </c>
      <c r="AM411" s="80">
        <v>1</v>
      </c>
      <c r="AN411" s="85" t="s">
        <v>1635</v>
      </c>
      <c r="AO411" s="85" t="s">
        <v>1677</v>
      </c>
      <c r="AP411" s="80" t="b">
        <v>0</v>
      </c>
      <c r="AQ411" s="85" t="s">
        <v>1455</v>
      </c>
      <c r="AR411" s="80" t="s">
        <v>179</v>
      </c>
      <c r="AS411" s="80">
        <v>0</v>
      </c>
      <c r="AT411" s="80">
        <v>0</v>
      </c>
      <c r="AU411" s="80"/>
      <c r="AV411" s="80"/>
      <c r="AW411" s="80"/>
      <c r="AX411" s="80"/>
      <c r="AY411" s="80"/>
      <c r="AZ411" s="80"/>
      <c r="BA411" s="80"/>
      <c r="BB411" s="80"/>
    </row>
    <row r="412" spans="1:54" x14ac:dyDescent="0.25">
      <c r="A412" s="65" t="s">
        <v>307</v>
      </c>
      <c r="B412" s="65" t="s">
        <v>307</v>
      </c>
      <c r="C412" s="66"/>
      <c r="D412" s="67"/>
      <c r="E412" s="68"/>
      <c r="F412" s="69"/>
      <c r="G412" s="66"/>
      <c r="H412" s="70"/>
      <c r="I412" s="71"/>
      <c r="J412" s="71"/>
      <c r="K412" s="36" t="s">
        <v>65</v>
      </c>
      <c r="L412" s="78">
        <v>412</v>
      </c>
      <c r="M412" s="78"/>
      <c r="N412" s="73"/>
      <c r="O412" s="80" t="s">
        <v>179</v>
      </c>
      <c r="P412" s="82">
        <v>44629.041724537034</v>
      </c>
      <c r="Q412" s="80" t="s">
        <v>478</v>
      </c>
      <c r="R412" s="80"/>
      <c r="S412" s="80"/>
      <c r="T412" s="85" t="s">
        <v>668</v>
      </c>
      <c r="U412" s="83" t="str">
        <f>HYPERLINK("https://pbs.twimg.com/media/FNXo62eXoAEyQvR.jpg")</f>
        <v>https://pbs.twimg.com/media/FNXo62eXoAEyQvR.jpg</v>
      </c>
      <c r="V412" s="83" t="str">
        <f>HYPERLINK("https://pbs.twimg.com/media/FNXo62eXoAEyQvR.jpg")</f>
        <v>https://pbs.twimg.com/media/FNXo62eXoAEyQvR.jpg</v>
      </c>
      <c r="W412" s="82">
        <v>44629.041724537034</v>
      </c>
      <c r="X412" s="88">
        <v>44629</v>
      </c>
      <c r="Y412" s="85" t="s">
        <v>1006</v>
      </c>
      <c r="Z412" s="83" t="str">
        <f>HYPERLINK("https://twitter.com/jacobs_med_ub/status/1501362151621074959")</f>
        <v>https://twitter.com/jacobs_med_ub/status/1501362151621074959</v>
      </c>
      <c r="AA412" s="80"/>
      <c r="AB412" s="80"/>
      <c r="AC412" s="85" t="s">
        <v>1456</v>
      </c>
      <c r="AD412" s="80"/>
      <c r="AE412" s="80" t="b">
        <v>0</v>
      </c>
      <c r="AF412" s="80">
        <v>8</v>
      </c>
      <c r="AG412" s="85" t="s">
        <v>1635</v>
      </c>
      <c r="AH412" s="80" t="b">
        <v>0</v>
      </c>
      <c r="AI412" s="80" t="s">
        <v>1642</v>
      </c>
      <c r="AJ412" s="80"/>
      <c r="AK412" s="85" t="s">
        <v>1635</v>
      </c>
      <c r="AL412" s="80" t="b">
        <v>0</v>
      </c>
      <c r="AM412" s="80">
        <v>2</v>
      </c>
      <c r="AN412" s="85" t="s">
        <v>1635</v>
      </c>
      <c r="AO412" s="85" t="s">
        <v>1677</v>
      </c>
      <c r="AP412" s="80" t="b">
        <v>0</v>
      </c>
      <c r="AQ412" s="85" t="s">
        <v>1456</v>
      </c>
      <c r="AR412" s="80" t="s">
        <v>179</v>
      </c>
      <c r="AS412" s="80">
        <v>0</v>
      </c>
      <c r="AT412" s="80">
        <v>0</v>
      </c>
      <c r="AU412" s="80"/>
      <c r="AV412" s="80"/>
      <c r="AW412" s="80"/>
      <c r="AX412" s="80"/>
      <c r="AY412" s="80"/>
      <c r="AZ412" s="80"/>
      <c r="BA412" s="80"/>
      <c r="BB412" s="80"/>
    </row>
    <row r="413" spans="1:54" x14ac:dyDescent="0.25">
      <c r="A413" s="65" t="s">
        <v>307</v>
      </c>
      <c r="B413" s="65" t="s">
        <v>307</v>
      </c>
      <c r="C413" s="66"/>
      <c r="D413" s="67"/>
      <c r="E413" s="68"/>
      <c r="F413" s="69"/>
      <c r="G413" s="66"/>
      <c r="H413" s="70"/>
      <c r="I413" s="71"/>
      <c r="J413" s="71"/>
      <c r="K413" s="36" t="s">
        <v>65</v>
      </c>
      <c r="L413" s="78">
        <v>413</v>
      </c>
      <c r="M413" s="78"/>
      <c r="N413" s="73"/>
      <c r="O413" s="80" t="s">
        <v>179</v>
      </c>
      <c r="P413" s="82">
        <v>44629.583541666667</v>
      </c>
      <c r="Q413" s="80" t="s">
        <v>565</v>
      </c>
      <c r="R413" s="83" t="str">
        <f>HYPERLINK("https://medicine.buffalo.edu/news_and_events/news/2022/02/dandona-testosterone-14463.html")</f>
        <v>https://medicine.buffalo.edu/news_and_events/news/2022/02/dandona-testosterone-14463.html</v>
      </c>
      <c r="S413" s="80" t="s">
        <v>632</v>
      </c>
      <c r="T413" s="85" t="s">
        <v>716</v>
      </c>
      <c r="U413" s="83" t="str">
        <f>HYPERLINK("https://pbs.twimg.com/media/FNabf48XMAMjksn.jpg")</f>
        <v>https://pbs.twimg.com/media/FNabf48XMAMjksn.jpg</v>
      </c>
      <c r="V413" s="83" t="str">
        <f>HYPERLINK("https://pbs.twimg.com/media/FNabf48XMAMjksn.jpg")</f>
        <v>https://pbs.twimg.com/media/FNabf48XMAMjksn.jpg</v>
      </c>
      <c r="W413" s="82">
        <v>44629.583541666667</v>
      </c>
      <c r="X413" s="88">
        <v>44629</v>
      </c>
      <c r="Y413" s="85" t="s">
        <v>1007</v>
      </c>
      <c r="Z413" s="83" t="str">
        <f>HYPERLINK("https://twitter.com/jacobs_med_ub/status/1501558501138735108")</f>
        <v>https://twitter.com/jacobs_med_ub/status/1501558501138735108</v>
      </c>
      <c r="AA413" s="80"/>
      <c r="AB413" s="80"/>
      <c r="AC413" s="85" t="s">
        <v>1457</v>
      </c>
      <c r="AD413" s="80"/>
      <c r="AE413" s="80" t="b">
        <v>0</v>
      </c>
      <c r="AF413" s="80">
        <v>3</v>
      </c>
      <c r="AG413" s="85" t="s">
        <v>1635</v>
      </c>
      <c r="AH413" s="80" t="b">
        <v>0</v>
      </c>
      <c r="AI413" s="80" t="s">
        <v>1642</v>
      </c>
      <c r="AJ413" s="80"/>
      <c r="AK413" s="85" t="s">
        <v>1635</v>
      </c>
      <c r="AL413" s="80" t="b">
        <v>0</v>
      </c>
      <c r="AM413" s="80">
        <v>0</v>
      </c>
      <c r="AN413" s="85" t="s">
        <v>1635</v>
      </c>
      <c r="AO413" s="85" t="s">
        <v>1677</v>
      </c>
      <c r="AP413" s="80" t="b">
        <v>0</v>
      </c>
      <c r="AQ413" s="85" t="s">
        <v>1457</v>
      </c>
      <c r="AR413" s="80" t="s">
        <v>179</v>
      </c>
      <c r="AS413" s="80">
        <v>0</v>
      </c>
      <c r="AT413" s="80">
        <v>0</v>
      </c>
      <c r="AU413" s="80"/>
      <c r="AV413" s="80"/>
      <c r="AW413" s="80"/>
      <c r="AX413" s="80"/>
      <c r="AY413" s="80"/>
      <c r="AZ413" s="80"/>
      <c r="BA413" s="80"/>
      <c r="BB413" s="80"/>
    </row>
    <row r="414" spans="1:54" x14ac:dyDescent="0.25">
      <c r="A414" s="65" t="s">
        <v>307</v>
      </c>
      <c r="B414" s="65" t="s">
        <v>307</v>
      </c>
      <c r="C414" s="66"/>
      <c r="D414" s="67"/>
      <c r="E414" s="68"/>
      <c r="F414" s="69"/>
      <c r="G414" s="66"/>
      <c r="H414" s="70"/>
      <c r="I414" s="71"/>
      <c r="J414" s="71"/>
      <c r="K414" s="36" t="s">
        <v>65</v>
      </c>
      <c r="L414" s="78">
        <v>414</v>
      </c>
      <c r="M414" s="78"/>
      <c r="N414" s="73"/>
      <c r="O414" s="80" t="s">
        <v>179</v>
      </c>
      <c r="P414" s="82">
        <v>44629.771087962959</v>
      </c>
      <c r="Q414" s="80" t="s">
        <v>566</v>
      </c>
      <c r="R414" s="83" t="str">
        <f>HYPERLINK("https://medicine.buffalo.edu/news_and_events/news/2022/03/dermatology-community-outreach-14418.html")</f>
        <v>https://medicine.buffalo.edu/news_and_events/news/2022/03/dermatology-community-outreach-14418.html</v>
      </c>
      <c r="S414" s="80" t="s">
        <v>632</v>
      </c>
      <c r="T414" s="85" t="s">
        <v>357</v>
      </c>
      <c r="U414" s="83" t="str">
        <f>HYPERLINK("https://pbs.twimg.com/media/FNbZTpeVgAAtWph.jpg")</f>
        <v>https://pbs.twimg.com/media/FNbZTpeVgAAtWph.jpg</v>
      </c>
      <c r="V414" s="83" t="str">
        <f>HYPERLINK("https://pbs.twimg.com/media/FNbZTpeVgAAtWph.jpg")</f>
        <v>https://pbs.twimg.com/media/FNbZTpeVgAAtWph.jpg</v>
      </c>
      <c r="W414" s="82">
        <v>44629.771087962959</v>
      </c>
      <c r="X414" s="88">
        <v>44629</v>
      </c>
      <c r="Y414" s="85" t="s">
        <v>1008</v>
      </c>
      <c r="Z414" s="83" t="str">
        <f>HYPERLINK("https://twitter.com/jacobs_med_ub/status/1501626462201389057")</f>
        <v>https://twitter.com/jacobs_med_ub/status/1501626462201389057</v>
      </c>
      <c r="AA414" s="80"/>
      <c r="AB414" s="80"/>
      <c r="AC414" s="85" t="s">
        <v>1458</v>
      </c>
      <c r="AD414" s="80"/>
      <c r="AE414" s="80" t="b">
        <v>0</v>
      </c>
      <c r="AF414" s="80">
        <v>4</v>
      </c>
      <c r="AG414" s="85" t="s">
        <v>1635</v>
      </c>
      <c r="AH414" s="80" t="b">
        <v>0</v>
      </c>
      <c r="AI414" s="80" t="s">
        <v>1642</v>
      </c>
      <c r="AJ414" s="80"/>
      <c r="AK414" s="85" t="s">
        <v>1635</v>
      </c>
      <c r="AL414" s="80" t="b">
        <v>0</v>
      </c>
      <c r="AM414" s="80">
        <v>1</v>
      </c>
      <c r="AN414" s="85" t="s">
        <v>1635</v>
      </c>
      <c r="AO414" s="85" t="s">
        <v>1677</v>
      </c>
      <c r="AP414" s="80" t="b">
        <v>0</v>
      </c>
      <c r="AQ414" s="85" t="s">
        <v>1458</v>
      </c>
      <c r="AR414" s="80" t="s">
        <v>179</v>
      </c>
      <c r="AS414" s="80">
        <v>0</v>
      </c>
      <c r="AT414" s="80">
        <v>0</v>
      </c>
      <c r="AU414" s="80"/>
      <c r="AV414" s="80"/>
      <c r="AW414" s="80"/>
      <c r="AX414" s="80"/>
      <c r="AY414" s="80"/>
      <c r="AZ414" s="80"/>
      <c r="BA414" s="80"/>
      <c r="BB414" s="80"/>
    </row>
    <row r="415" spans="1:54" x14ac:dyDescent="0.25">
      <c r="A415" s="65" t="s">
        <v>307</v>
      </c>
      <c r="B415" s="65" t="s">
        <v>388</v>
      </c>
      <c r="C415" s="66"/>
      <c r="D415" s="67"/>
      <c r="E415" s="68"/>
      <c r="F415" s="69"/>
      <c r="G415" s="66"/>
      <c r="H415" s="70"/>
      <c r="I415" s="71"/>
      <c r="J415" s="71"/>
      <c r="K415" s="36" t="s">
        <v>65</v>
      </c>
      <c r="L415" s="78">
        <v>415</v>
      </c>
      <c r="M415" s="78"/>
      <c r="N415" s="73"/>
      <c r="O415" s="80" t="s">
        <v>416</v>
      </c>
      <c r="P415" s="82">
        <v>44630.0000462963</v>
      </c>
      <c r="Q415" s="80" t="s">
        <v>567</v>
      </c>
      <c r="R415" s="80" t="s">
        <v>630</v>
      </c>
      <c r="S415" s="80" t="s">
        <v>657</v>
      </c>
      <c r="T415" s="85" t="s">
        <v>357</v>
      </c>
      <c r="U415" s="83" t="str">
        <f>HYPERLINK("https://pbs.twimg.com/media/FNckxTtXEAUxOBw.jpg")</f>
        <v>https://pbs.twimg.com/media/FNckxTtXEAUxOBw.jpg</v>
      </c>
      <c r="V415" s="83" t="str">
        <f>HYPERLINK("https://pbs.twimg.com/media/FNckxTtXEAUxOBw.jpg")</f>
        <v>https://pbs.twimg.com/media/FNckxTtXEAUxOBw.jpg</v>
      </c>
      <c r="W415" s="82">
        <v>44630.0000462963</v>
      </c>
      <c r="X415" s="88">
        <v>44630</v>
      </c>
      <c r="Y415" s="85" t="s">
        <v>1009</v>
      </c>
      <c r="Z415" s="83" t="str">
        <f>HYPERLINK("https://twitter.com/jacobs_med_ub/status/1501709433679892497")</f>
        <v>https://twitter.com/jacobs_med_ub/status/1501709433679892497</v>
      </c>
      <c r="AA415" s="80"/>
      <c r="AB415" s="80"/>
      <c r="AC415" s="85" t="s">
        <v>1459</v>
      </c>
      <c r="AD415" s="80"/>
      <c r="AE415" s="80" t="b">
        <v>0</v>
      </c>
      <c r="AF415" s="80">
        <v>3</v>
      </c>
      <c r="AG415" s="85" t="s">
        <v>1635</v>
      </c>
      <c r="AH415" s="80" t="b">
        <v>0</v>
      </c>
      <c r="AI415" s="80" t="s">
        <v>1642</v>
      </c>
      <c r="AJ415" s="80"/>
      <c r="AK415" s="85" t="s">
        <v>1635</v>
      </c>
      <c r="AL415" s="80" t="b">
        <v>0</v>
      </c>
      <c r="AM415" s="80">
        <v>0</v>
      </c>
      <c r="AN415" s="85" t="s">
        <v>1635</v>
      </c>
      <c r="AO415" s="85" t="s">
        <v>1677</v>
      </c>
      <c r="AP415" s="80" t="b">
        <v>0</v>
      </c>
      <c r="AQ415" s="85" t="s">
        <v>1459</v>
      </c>
      <c r="AR415" s="80" t="s">
        <v>179</v>
      </c>
      <c r="AS415" s="80">
        <v>0</v>
      </c>
      <c r="AT415" s="80">
        <v>0</v>
      </c>
      <c r="AU415" s="80"/>
      <c r="AV415" s="80"/>
      <c r="AW415" s="80"/>
      <c r="AX415" s="80"/>
      <c r="AY415" s="80"/>
      <c r="AZ415" s="80"/>
      <c r="BA415" s="80"/>
      <c r="BB415" s="80"/>
    </row>
    <row r="416" spans="1:54" x14ac:dyDescent="0.25">
      <c r="A416" s="65" t="s">
        <v>307</v>
      </c>
      <c r="B416" s="65" t="s">
        <v>307</v>
      </c>
      <c r="C416" s="66"/>
      <c r="D416" s="67"/>
      <c r="E416" s="68"/>
      <c r="F416" s="69"/>
      <c r="G416" s="66"/>
      <c r="H416" s="70"/>
      <c r="I416" s="71"/>
      <c r="J416" s="71"/>
      <c r="K416" s="36" t="s">
        <v>65</v>
      </c>
      <c r="L416" s="78">
        <v>416</v>
      </c>
      <c r="M416" s="78"/>
      <c r="N416" s="73"/>
      <c r="O416" s="80" t="s">
        <v>179</v>
      </c>
      <c r="P416" s="82">
        <v>44630.583703703705</v>
      </c>
      <c r="Q416" s="80" t="s">
        <v>470</v>
      </c>
      <c r="R416" s="83" t="str">
        <f>HYPERLINK("https://medicine.buffalo.edu/oiace/diversity/diversity-month/women-history-month.host.html/content/shared/smbs/instruction_and_help_oiace/women/mary-blair-moody.detail.html")</f>
        <v>https://medicine.buffalo.edu/oiace/diversity/diversity-month/women-history-month.host.html/content/shared/smbs/instruction_and_help_oiace/women/mary-blair-moody.detail.html</v>
      </c>
      <c r="S416" s="80" t="s">
        <v>632</v>
      </c>
      <c r="T416" s="85" t="s">
        <v>687</v>
      </c>
      <c r="U416" s="83" t="str">
        <f>HYPERLINK("https://pbs.twimg.com/media/FNflJFgXIAIjHEn.jpg")</f>
        <v>https://pbs.twimg.com/media/FNflJFgXIAIjHEn.jpg</v>
      </c>
      <c r="V416" s="83" t="str">
        <f>HYPERLINK("https://pbs.twimg.com/media/FNflJFgXIAIjHEn.jpg")</f>
        <v>https://pbs.twimg.com/media/FNflJFgXIAIjHEn.jpg</v>
      </c>
      <c r="W416" s="82">
        <v>44630.583703703705</v>
      </c>
      <c r="X416" s="88">
        <v>44630</v>
      </c>
      <c r="Y416" s="85" t="s">
        <v>1010</v>
      </c>
      <c r="Z416" s="83" t="str">
        <f>HYPERLINK("https://twitter.com/jacobs_med_ub/status/1501920947741200388")</f>
        <v>https://twitter.com/jacobs_med_ub/status/1501920947741200388</v>
      </c>
      <c r="AA416" s="80"/>
      <c r="AB416" s="80"/>
      <c r="AC416" s="85" t="s">
        <v>1460</v>
      </c>
      <c r="AD416" s="80"/>
      <c r="AE416" s="80" t="b">
        <v>0</v>
      </c>
      <c r="AF416" s="80">
        <v>13</v>
      </c>
      <c r="AG416" s="85" t="s">
        <v>1635</v>
      </c>
      <c r="AH416" s="80" t="b">
        <v>0</v>
      </c>
      <c r="AI416" s="80" t="s">
        <v>1642</v>
      </c>
      <c r="AJ416" s="80"/>
      <c r="AK416" s="85" t="s">
        <v>1635</v>
      </c>
      <c r="AL416" s="80" t="b">
        <v>0</v>
      </c>
      <c r="AM416" s="80">
        <v>4</v>
      </c>
      <c r="AN416" s="85" t="s">
        <v>1635</v>
      </c>
      <c r="AO416" s="85" t="s">
        <v>1677</v>
      </c>
      <c r="AP416" s="80" t="b">
        <v>0</v>
      </c>
      <c r="AQ416" s="85" t="s">
        <v>1460</v>
      </c>
      <c r="AR416" s="80" t="s">
        <v>179</v>
      </c>
      <c r="AS416" s="80">
        <v>0</v>
      </c>
      <c r="AT416" s="80">
        <v>0</v>
      </c>
      <c r="AU416" s="80"/>
      <c r="AV416" s="80"/>
      <c r="AW416" s="80"/>
      <c r="AX416" s="80"/>
      <c r="AY416" s="80"/>
      <c r="AZ416" s="80"/>
      <c r="BA416" s="80"/>
      <c r="BB416" s="80"/>
    </row>
    <row r="417" spans="1:54" x14ac:dyDescent="0.25">
      <c r="A417" s="65" t="s">
        <v>353</v>
      </c>
      <c r="B417" s="65" t="s">
        <v>307</v>
      </c>
      <c r="C417" s="66"/>
      <c r="D417" s="67"/>
      <c r="E417" s="68"/>
      <c r="F417" s="69"/>
      <c r="G417" s="66"/>
      <c r="H417" s="70"/>
      <c r="I417" s="71"/>
      <c r="J417" s="71"/>
      <c r="K417" s="36" t="s">
        <v>65</v>
      </c>
      <c r="L417" s="78">
        <v>417</v>
      </c>
      <c r="M417" s="78"/>
      <c r="N417" s="73"/>
      <c r="O417" s="80" t="s">
        <v>415</v>
      </c>
      <c r="P417" s="82">
        <v>44630.908553240741</v>
      </c>
      <c r="Q417" s="80" t="s">
        <v>470</v>
      </c>
      <c r="R417" s="83" t="str">
        <f>HYPERLINK("https://medicine.buffalo.edu/oiace/diversity/diversity-month/women-history-month.host.html/content/shared/smbs/instruction_and_help_oiace/women/mary-blair-moody.detail.html")</f>
        <v>https://medicine.buffalo.edu/oiace/diversity/diversity-month/women-history-month.host.html/content/shared/smbs/instruction_and_help_oiace/women/mary-blair-moody.detail.html</v>
      </c>
      <c r="S417" s="80" t="s">
        <v>632</v>
      </c>
      <c r="T417" s="85" t="s">
        <v>687</v>
      </c>
      <c r="U417" s="83" t="str">
        <f>HYPERLINK("https://pbs.twimg.com/media/FNflJFgXIAIjHEn.jpg")</f>
        <v>https://pbs.twimg.com/media/FNflJFgXIAIjHEn.jpg</v>
      </c>
      <c r="V417" s="83" t="str">
        <f>HYPERLINK("https://pbs.twimg.com/media/FNflJFgXIAIjHEn.jpg")</f>
        <v>https://pbs.twimg.com/media/FNflJFgXIAIjHEn.jpg</v>
      </c>
      <c r="W417" s="82">
        <v>44630.908553240741</v>
      </c>
      <c r="X417" s="88">
        <v>44630</v>
      </c>
      <c r="Y417" s="85" t="s">
        <v>1011</v>
      </c>
      <c r="Z417" s="83" t="str">
        <f>HYPERLINK("https://twitter.com/ubalumni/status/1502038669254873092")</f>
        <v>https://twitter.com/ubalumni/status/1502038669254873092</v>
      </c>
      <c r="AA417" s="80"/>
      <c r="AB417" s="80"/>
      <c r="AC417" s="85" t="s">
        <v>1461</v>
      </c>
      <c r="AD417" s="80"/>
      <c r="AE417" s="80" t="b">
        <v>0</v>
      </c>
      <c r="AF417" s="80">
        <v>0</v>
      </c>
      <c r="AG417" s="85" t="s">
        <v>1635</v>
      </c>
      <c r="AH417" s="80" t="b">
        <v>0</v>
      </c>
      <c r="AI417" s="80" t="s">
        <v>1642</v>
      </c>
      <c r="AJ417" s="80"/>
      <c r="AK417" s="85" t="s">
        <v>1635</v>
      </c>
      <c r="AL417" s="80" t="b">
        <v>0</v>
      </c>
      <c r="AM417" s="80">
        <v>4</v>
      </c>
      <c r="AN417" s="85" t="s">
        <v>1460</v>
      </c>
      <c r="AO417" s="85" t="s">
        <v>1672</v>
      </c>
      <c r="AP417" s="80" t="b">
        <v>0</v>
      </c>
      <c r="AQ417" s="85" t="s">
        <v>1460</v>
      </c>
      <c r="AR417" s="80" t="s">
        <v>179</v>
      </c>
      <c r="AS417" s="80">
        <v>0</v>
      </c>
      <c r="AT417" s="80">
        <v>0</v>
      </c>
      <c r="AU417" s="80"/>
      <c r="AV417" s="80"/>
      <c r="AW417" s="80"/>
      <c r="AX417" s="80"/>
      <c r="AY417" s="80"/>
      <c r="AZ417" s="80"/>
      <c r="BA417" s="80"/>
      <c r="BB417" s="80"/>
    </row>
    <row r="418" spans="1:54" x14ac:dyDescent="0.25">
      <c r="A418" s="65" t="s">
        <v>357</v>
      </c>
      <c r="B418" s="65" t="s">
        <v>307</v>
      </c>
      <c r="C418" s="66"/>
      <c r="D418" s="67"/>
      <c r="E418" s="68"/>
      <c r="F418" s="69"/>
      <c r="G418" s="66"/>
      <c r="H418" s="70"/>
      <c r="I418" s="71"/>
      <c r="J418" s="71"/>
      <c r="K418" s="36" t="s">
        <v>66</v>
      </c>
      <c r="L418" s="78">
        <v>418</v>
      </c>
      <c r="M418" s="78"/>
      <c r="N418" s="73"/>
      <c r="O418" s="80" t="s">
        <v>415</v>
      </c>
      <c r="P418" s="82">
        <v>44627.896921296298</v>
      </c>
      <c r="Q418" s="80" t="s">
        <v>562</v>
      </c>
      <c r="R418" s="80" t="s">
        <v>629</v>
      </c>
      <c r="S418" s="80" t="s">
        <v>656</v>
      </c>
      <c r="T418" s="85" t="s">
        <v>689</v>
      </c>
      <c r="U418" s="83" t="str">
        <f>HYPERLINK("https://pbs.twimg.com/media/FNRS0E-XwAk1oHT.jpg")</f>
        <v>https://pbs.twimg.com/media/FNRS0E-XwAk1oHT.jpg</v>
      </c>
      <c r="V418" s="83" t="str">
        <f>HYPERLINK("https://pbs.twimg.com/media/FNRS0E-XwAk1oHT.jpg")</f>
        <v>https://pbs.twimg.com/media/FNRS0E-XwAk1oHT.jpg</v>
      </c>
      <c r="W418" s="82">
        <v>44627.896921296298</v>
      </c>
      <c r="X418" s="88">
        <v>44627</v>
      </c>
      <c r="Y418" s="85" t="s">
        <v>1012</v>
      </c>
      <c r="Z418" s="83" t="str">
        <f>HYPERLINK("https://twitter.com/ubuffalo/status/1500947287136219138")</f>
        <v>https://twitter.com/ubuffalo/status/1500947287136219138</v>
      </c>
      <c r="AA418" s="80"/>
      <c r="AB418" s="80"/>
      <c r="AC418" s="85" t="s">
        <v>1462</v>
      </c>
      <c r="AD418" s="80"/>
      <c r="AE418" s="80" t="b">
        <v>0</v>
      </c>
      <c r="AF418" s="80">
        <v>0</v>
      </c>
      <c r="AG418" s="85" t="s">
        <v>1635</v>
      </c>
      <c r="AH418" s="80" t="b">
        <v>0</v>
      </c>
      <c r="AI418" s="80" t="s">
        <v>1642</v>
      </c>
      <c r="AJ418" s="80"/>
      <c r="AK418" s="85" t="s">
        <v>1635</v>
      </c>
      <c r="AL418" s="80" t="b">
        <v>0</v>
      </c>
      <c r="AM418" s="80">
        <v>1</v>
      </c>
      <c r="AN418" s="85" t="s">
        <v>1453</v>
      </c>
      <c r="AO418" s="85" t="s">
        <v>1672</v>
      </c>
      <c r="AP418" s="80" t="b">
        <v>0</v>
      </c>
      <c r="AQ418" s="85" t="s">
        <v>1453</v>
      </c>
      <c r="AR418" s="80" t="s">
        <v>179</v>
      </c>
      <c r="AS418" s="80">
        <v>0</v>
      </c>
      <c r="AT418" s="80">
        <v>0</v>
      </c>
      <c r="AU418" s="80"/>
      <c r="AV418" s="80"/>
      <c r="AW418" s="80"/>
      <c r="AX418" s="80"/>
      <c r="AY418" s="80"/>
      <c r="AZ418" s="80"/>
      <c r="BA418" s="80"/>
      <c r="BB418" s="80"/>
    </row>
    <row r="419" spans="1:54" x14ac:dyDescent="0.25">
      <c r="A419" s="65" t="s">
        <v>357</v>
      </c>
      <c r="B419" s="65" t="s">
        <v>307</v>
      </c>
      <c r="C419" s="66"/>
      <c r="D419" s="67"/>
      <c r="E419" s="68"/>
      <c r="F419" s="69"/>
      <c r="G419" s="66"/>
      <c r="H419" s="70"/>
      <c r="I419" s="71"/>
      <c r="J419" s="71"/>
      <c r="K419" s="36" t="s">
        <v>66</v>
      </c>
      <c r="L419" s="78">
        <v>419</v>
      </c>
      <c r="M419" s="78"/>
      <c r="N419" s="73"/>
      <c r="O419" s="80" t="s">
        <v>414</v>
      </c>
      <c r="P419" s="82">
        <v>44629.607094907406</v>
      </c>
      <c r="Q419" s="80" t="s">
        <v>564</v>
      </c>
      <c r="R419" s="83" t="str">
        <f>HYPERLINK("https://medicine.buffalo.edu/about/students_faculty_alumni/our_alumni.host.html/content/shared/smbs/faces_and_voices/alumni/brianna-tylec.detail.html")</f>
        <v>https://medicine.buffalo.edu/about/students_faculty_alumni/our_alumni.host.html/content/shared/smbs/faces_and_voices/alumni/brianna-tylec.detail.html</v>
      </c>
      <c r="S419" s="80" t="s">
        <v>632</v>
      </c>
      <c r="T419" s="85" t="s">
        <v>699</v>
      </c>
      <c r="U419" s="83" t="str">
        <f>HYPERLINK("https://pbs.twimg.com/media/FNXQ4LcWYAcOcAf.jpg")</f>
        <v>https://pbs.twimg.com/media/FNXQ4LcWYAcOcAf.jpg</v>
      </c>
      <c r="V419" s="83" t="str">
        <f>HYPERLINK("https://pbs.twimg.com/media/FNXQ4LcWYAcOcAf.jpg")</f>
        <v>https://pbs.twimg.com/media/FNXQ4LcWYAcOcAf.jpg</v>
      </c>
      <c r="W419" s="82">
        <v>44629.607094907406</v>
      </c>
      <c r="X419" s="88">
        <v>44629</v>
      </c>
      <c r="Y419" s="85" t="s">
        <v>1013</v>
      </c>
      <c r="Z419" s="83" t="str">
        <f>HYPERLINK("https://twitter.com/ubuffalo/status/1501567034878042120")</f>
        <v>https://twitter.com/ubuffalo/status/1501567034878042120</v>
      </c>
      <c r="AA419" s="80"/>
      <c r="AB419" s="80"/>
      <c r="AC419" s="85" t="s">
        <v>1463</v>
      </c>
      <c r="AD419" s="80"/>
      <c r="AE419" s="80" t="b">
        <v>0</v>
      </c>
      <c r="AF419" s="80">
        <v>0</v>
      </c>
      <c r="AG419" s="85" t="s">
        <v>1635</v>
      </c>
      <c r="AH419" s="80" t="b">
        <v>0</v>
      </c>
      <c r="AI419" s="80" t="s">
        <v>1642</v>
      </c>
      <c r="AJ419" s="80"/>
      <c r="AK419" s="85" t="s">
        <v>1635</v>
      </c>
      <c r="AL419" s="80" t="b">
        <v>0</v>
      </c>
      <c r="AM419" s="80">
        <v>1</v>
      </c>
      <c r="AN419" s="85" t="s">
        <v>1455</v>
      </c>
      <c r="AO419" s="85" t="s">
        <v>1672</v>
      </c>
      <c r="AP419" s="80" t="b">
        <v>0</v>
      </c>
      <c r="AQ419" s="85" t="s">
        <v>1455</v>
      </c>
      <c r="AR419" s="80" t="s">
        <v>179</v>
      </c>
      <c r="AS419" s="80">
        <v>0</v>
      </c>
      <c r="AT419" s="80">
        <v>0</v>
      </c>
      <c r="AU419" s="80"/>
      <c r="AV419" s="80"/>
      <c r="AW419" s="80"/>
      <c r="AX419" s="80"/>
      <c r="AY419" s="80"/>
      <c r="AZ419" s="80"/>
      <c r="BA419" s="80"/>
      <c r="BB419" s="80"/>
    </row>
    <row r="420" spans="1:54" x14ac:dyDescent="0.25">
      <c r="A420" s="65" t="s">
        <v>357</v>
      </c>
      <c r="B420" s="65" t="s">
        <v>307</v>
      </c>
      <c r="C420" s="66"/>
      <c r="D420" s="67"/>
      <c r="E420" s="68"/>
      <c r="F420" s="69"/>
      <c r="G420" s="66"/>
      <c r="H420" s="70"/>
      <c r="I420" s="71"/>
      <c r="J420" s="71"/>
      <c r="K420" s="36" t="s">
        <v>66</v>
      </c>
      <c r="L420" s="78">
        <v>420</v>
      </c>
      <c r="M420" s="78"/>
      <c r="N420" s="73"/>
      <c r="O420" s="80" t="s">
        <v>415</v>
      </c>
      <c r="P420" s="82">
        <v>44629.607094907406</v>
      </c>
      <c r="Q420" s="80" t="s">
        <v>564</v>
      </c>
      <c r="R420" s="83" t="str">
        <f>HYPERLINK("https://medicine.buffalo.edu/about/students_faculty_alumni/our_alumni.host.html/content/shared/smbs/faces_and_voices/alumni/brianna-tylec.detail.html")</f>
        <v>https://medicine.buffalo.edu/about/students_faculty_alumni/our_alumni.host.html/content/shared/smbs/faces_and_voices/alumni/brianna-tylec.detail.html</v>
      </c>
      <c r="S420" s="80" t="s">
        <v>632</v>
      </c>
      <c r="T420" s="85" t="s">
        <v>699</v>
      </c>
      <c r="U420" s="83" t="str">
        <f>HYPERLINK("https://pbs.twimg.com/media/FNXQ4LcWYAcOcAf.jpg")</f>
        <v>https://pbs.twimg.com/media/FNXQ4LcWYAcOcAf.jpg</v>
      </c>
      <c r="V420" s="83" t="str">
        <f>HYPERLINK("https://pbs.twimg.com/media/FNXQ4LcWYAcOcAf.jpg")</f>
        <v>https://pbs.twimg.com/media/FNXQ4LcWYAcOcAf.jpg</v>
      </c>
      <c r="W420" s="82">
        <v>44629.607094907406</v>
      </c>
      <c r="X420" s="88">
        <v>44629</v>
      </c>
      <c r="Y420" s="85" t="s">
        <v>1013</v>
      </c>
      <c r="Z420" s="83" t="str">
        <f>HYPERLINK("https://twitter.com/ubuffalo/status/1501567034878042120")</f>
        <v>https://twitter.com/ubuffalo/status/1501567034878042120</v>
      </c>
      <c r="AA420" s="80"/>
      <c r="AB420" s="80"/>
      <c r="AC420" s="85" t="s">
        <v>1463</v>
      </c>
      <c r="AD420" s="80"/>
      <c r="AE420" s="80" t="b">
        <v>0</v>
      </c>
      <c r="AF420" s="80">
        <v>0</v>
      </c>
      <c r="AG420" s="85" t="s">
        <v>1635</v>
      </c>
      <c r="AH420" s="80" t="b">
        <v>0</v>
      </c>
      <c r="AI420" s="80" t="s">
        <v>1642</v>
      </c>
      <c r="AJ420" s="80"/>
      <c r="AK420" s="85" t="s">
        <v>1635</v>
      </c>
      <c r="AL420" s="80" t="b">
        <v>0</v>
      </c>
      <c r="AM420" s="80">
        <v>1</v>
      </c>
      <c r="AN420" s="85" t="s">
        <v>1455</v>
      </c>
      <c r="AO420" s="85" t="s">
        <v>1672</v>
      </c>
      <c r="AP420" s="80" t="b">
        <v>0</v>
      </c>
      <c r="AQ420" s="85" t="s">
        <v>1455</v>
      </c>
      <c r="AR420" s="80" t="s">
        <v>179</v>
      </c>
      <c r="AS420" s="80">
        <v>0</v>
      </c>
      <c r="AT420" s="80">
        <v>0</v>
      </c>
      <c r="AU420" s="80"/>
      <c r="AV420" s="80"/>
      <c r="AW420" s="80"/>
      <c r="AX420" s="80"/>
      <c r="AY420" s="80"/>
      <c r="AZ420" s="80"/>
      <c r="BA420" s="80"/>
      <c r="BB420" s="80"/>
    </row>
    <row r="421" spans="1:54" x14ac:dyDescent="0.25">
      <c r="A421" s="65" t="s">
        <v>357</v>
      </c>
      <c r="B421" s="65" t="s">
        <v>307</v>
      </c>
      <c r="C421" s="66"/>
      <c r="D421" s="67"/>
      <c r="E421" s="68"/>
      <c r="F421" s="69"/>
      <c r="G421" s="66"/>
      <c r="H421" s="70"/>
      <c r="I421" s="71"/>
      <c r="J421" s="71"/>
      <c r="K421" s="36" t="s">
        <v>66</v>
      </c>
      <c r="L421" s="78">
        <v>421</v>
      </c>
      <c r="M421" s="78"/>
      <c r="N421" s="73"/>
      <c r="O421" s="80" t="s">
        <v>415</v>
      </c>
      <c r="P421" s="82">
        <v>44629.800370370373</v>
      </c>
      <c r="Q421" s="80" t="s">
        <v>566</v>
      </c>
      <c r="R421" s="83" t="str">
        <f>HYPERLINK("https://medicine.buffalo.edu/news_and_events/news/2022/03/dermatology-community-outreach-14418.html")</f>
        <v>https://medicine.buffalo.edu/news_and_events/news/2022/03/dermatology-community-outreach-14418.html</v>
      </c>
      <c r="S421" s="80" t="s">
        <v>632</v>
      </c>
      <c r="T421" s="85" t="s">
        <v>357</v>
      </c>
      <c r="U421" s="83" t="str">
        <f>HYPERLINK("https://pbs.twimg.com/media/FNbZTpeVgAAtWph.jpg")</f>
        <v>https://pbs.twimg.com/media/FNbZTpeVgAAtWph.jpg</v>
      </c>
      <c r="V421" s="83" t="str">
        <f>HYPERLINK("https://pbs.twimg.com/media/FNbZTpeVgAAtWph.jpg")</f>
        <v>https://pbs.twimg.com/media/FNbZTpeVgAAtWph.jpg</v>
      </c>
      <c r="W421" s="82">
        <v>44629.800370370373</v>
      </c>
      <c r="X421" s="88">
        <v>44629</v>
      </c>
      <c r="Y421" s="85" t="s">
        <v>1014</v>
      </c>
      <c r="Z421" s="83" t="str">
        <f>HYPERLINK("https://twitter.com/ubuffalo/status/1501637073782063105")</f>
        <v>https://twitter.com/ubuffalo/status/1501637073782063105</v>
      </c>
      <c r="AA421" s="80"/>
      <c r="AB421" s="80"/>
      <c r="AC421" s="85" t="s">
        <v>1464</v>
      </c>
      <c r="AD421" s="80"/>
      <c r="AE421" s="80" t="b">
        <v>0</v>
      </c>
      <c r="AF421" s="80">
        <v>0</v>
      </c>
      <c r="AG421" s="85" t="s">
        <v>1635</v>
      </c>
      <c r="AH421" s="80" t="b">
        <v>0</v>
      </c>
      <c r="AI421" s="80" t="s">
        <v>1642</v>
      </c>
      <c r="AJ421" s="80"/>
      <c r="AK421" s="85" t="s">
        <v>1635</v>
      </c>
      <c r="AL421" s="80" t="b">
        <v>0</v>
      </c>
      <c r="AM421" s="80">
        <v>1</v>
      </c>
      <c r="AN421" s="85" t="s">
        <v>1458</v>
      </c>
      <c r="AO421" s="85" t="s">
        <v>1672</v>
      </c>
      <c r="AP421" s="80" t="b">
        <v>0</v>
      </c>
      <c r="AQ421" s="85" t="s">
        <v>1458</v>
      </c>
      <c r="AR421" s="80" t="s">
        <v>179</v>
      </c>
      <c r="AS421" s="80">
        <v>0</v>
      </c>
      <c r="AT421" s="80">
        <v>0</v>
      </c>
      <c r="AU421" s="80"/>
      <c r="AV421" s="80"/>
      <c r="AW421" s="80"/>
      <c r="AX421" s="80"/>
      <c r="AY421" s="80"/>
      <c r="AZ421" s="80"/>
      <c r="BA421" s="80"/>
      <c r="BB421" s="80"/>
    </row>
    <row r="422" spans="1:54" x14ac:dyDescent="0.25">
      <c r="A422" s="65" t="s">
        <v>357</v>
      </c>
      <c r="B422" s="65" t="s">
        <v>307</v>
      </c>
      <c r="C422" s="66"/>
      <c r="D422" s="67"/>
      <c r="E422" s="68"/>
      <c r="F422" s="69"/>
      <c r="G422" s="66"/>
      <c r="H422" s="70"/>
      <c r="I422" s="71"/>
      <c r="J422" s="71"/>
      <c r="K422" s="36" t="s">
        <v>66</v>
      </c>
      <c r="L422" s="78">
        <v>422</v>
      </c>
      <c r="M422" s="78"/>
      <c r="N422" s="73"/>
      <c r="O422" s="80" t="s">
        <v>415</v>
      </c>
      <c r="P422" s="82">
        <v>44630.88175925926</v>
      </c>
      <c r="Q422" s="80" t="s">
        <v>470</v>
      </c>
      <c r="R422" s="83" t="str">
        <f>HYPERLINK("https://medicine.buffalo.edu/oiace/diversity/diversity-month/women-history-month.host.html/content/shared/smbs/instruction_and_help_oiace/women/mary-blair-moody.detail.html")</f>
        <v>https://medicine.buffalo.edu/oiace/diversity/diversity-month/women-history-month.host.html/content/shared/smbs/instruction_and_help_oiace/women/mary-blair-moody.detail.html</v>
      </c>
      <c r="S422" s="80" t="s">
        <v>632</v>
      </c>
      <c r="T422" s="85" t="s">
        <v>687</v>
      </c>
      <c r="U422" s="83" t="str">
        <f>HYPERLINK("https://pbs.twimg.com/media/FNflJFgXIAIjHEn.jpg")</f>
        <v>https://pbs.twimg.com/media/FNflJFgXIAIjHEn.jpg</v>
      </c>
      <c r="V422" s="83" t="str">
        <f>HYPERLINK("https://pbs.twimg.com/media/FNflJFgXIAIjHEn.jpg")</f>
        <v>https://pbs.twimg.com/media/FNflJFgXIAIjHEn.jpg</v>
      </c>
      <c r="W422" s="82">
        <v>44630.88175925926</v>
      </c>
      <c r="X422" s="88">
        <v>44630</v>
      </c>
      <c r="Y422" s="85" t="s">
        <v>1015</v>
      </c>
      <c r="Z422" s="83" t="str">
        <f>HYPERLINK("https://twitter.com/ubuffalo/status/1502028957201604608")</f>
        <v>https://twitter.com/ubuffalo/status/1502028957201604608</v>
      </c>
      <c r="AA422" s="80"/>
      <c r="AB422" s="80"/>
      <c r="AC422" s="85" t="s">
        <v>1465</v>
      </c>
      <c r="AD422" s="80"/>
      <c r="AE422" s="80" t="b">
        <v>0</v>
      </c>
      <c r="AF422" s="80">
        <v>0</v>
      </c>
      <c r="AG422" s="85" t="s">
        <v>1635</v>
      </c>
      <c r="AH422" s="80" t="b">
        <v>0</v>
      </c>
      <c r="AI422" s="80" t="s">
        <v>1642</v>
      </c>
      <c r="AJ422" s="80"/>
      <c r="AK422" s="85" t="s">
        <v>1635</v>
      </c>
      <c r="AL422" s="80" t="b">
        <v>0</v>
      </c>
      <c r="AM422" s="80">
        <v>4</v>
      </c>
      <c r="AN422" s="85" t="s">
        <v>1460</v>
      </c>
      <c r="AO422" s="85" t="s">
        <v>1672</v>
      </c>
      <c r="AP422" s="80" t="b">
        <v>0</v>
      </c>
      <c r="AQ422" s="85" t="s">
        <v>1460</v>
      </c>
      <c r="AR422" s="80" t="s">
        <v>179</v>
      </c>
      <c r="AS422" s="80">
        <v>0</v>
      </c>
      <c r="AT422" s="80">
        <v>0</v>
      </c>
      <c r="AU422" s="80"/>
      <c r="AV422" s="80"/>
      <c r="AW422" s="80"/>
      <c r="AX422" s="80"/>
      <c r="AY422" s="80"/>
      <c r="AZ422" s="80"/>
      <c r="BA422" s="80"/>
      <c r="BB422" s="80"/>
    </row>
    <row r="423" spans="1:54" x14ac:dyDescent="0.25">
      <c r="A423" s="65" t="s">
        <v>304</v>
      </c>
      <c r="B423" s="65" t="s">
        <v>304</v>
      </c>
      <c r="C423" s="66"/>
      <c r="D423" s="67"/>
      <c r="E423" s="68"/>
      <c r="F423" s="69"/>
      <c r="G423" s="66"/>
      <c r="H423" s="70"/>
      <c r="I423" s="71"/>
      <c r="J423" s="71"/>
      <c r="K423" s="36" t="s">
        <v>65</v>
      </c>
      <c r="L423" s="78">
        <v>423</v>
      </c>
      <c r="M423" s="78"/>
      <c r="N423" s="73"/>
      <c r="O423" s="80" t="s">
        <v>179</v>
      </c>
      <c r="P423" s="82">
        <v>44483.761562500003</v>
      </c>
      <c r="Q423" s="80" t="s">
        <v>526</v>
      </c>
      <c r="R423" s="83" t="str">
        <f>HYPERLINK("https://www.buffalo.edu/news/releases/2021/10/016.html")</f>
        <v>https://www.buffalo.edu/news/releases/2021/10/016.html</v>
      </c>
      <c r="S423" s="80" t="s">
        <v>632</v>
      </c>
      <c r="T423" s="85" t="s">
        <v>357</v>
      </c>
      <c r="U423" s="83" t="str">
        <f>HYPERLINK("https://pbs.twimg.com/media/FBreCdvXMAQnRCF.jpg")</f>
        <v>https://pbs.twimg.com/media/FBreCdvXMAQnRCF.jpg</v>
      </c>
      <c r="V423" s="83" t="str">
        <f>HYPERLINK("https://pbs.twimg.com/media/FBreCdvXMAQnRCF.jpg")</f>
        <v>https://pbs.twimg.com/media/FBreCdvXMAQnRCF.jpg</v>
      </c>
      <c r="W423" s="82">
        <v>44483.761562500003</v>
      </c>
      <c r="X423" s="88">
        <v>44483</v>
      </c>
      <c r="Y423" s="85" t="s">
        <v>1016</v>
      </c>
      <c r="Z423" s="83" t="str">
        <f>HYPERLINK("https://twitter.com/ubengineering/status/1448714381513084930")</f>
        <v>https://twitter.com/ubengineering/status/1448714381513084930</v>
      </c>
      <c r="AA423" s="80"/>
      <c r="AB423" s="80"/>
      <c r="AC423" s="85" t="s">
        <v>1466</v>
      </c>
      <c r="AD423" s="80"/>
      <c r="AE423" s="80" t="b">
        <v>0</v>
      </c>
      <c r="AF423" s="80">
        <v>10</v>
      </c>
      <c r="AG423" s="85" t="s">
        <v>1635</v>
      </c>
      <c r="AH423" s="80" t="b">
        <v>0</v>
      </c>
      <c r="AI423" s="80" t="s">
        <v>1642</v>
      </c>
      <c r="AJ423" s="80"/>
      <c r="AK423" s="85" t="s">
        <v>1635</v>
      </c>
      <c r="AL423" s="80" t="b">
        <v>0</v>
      </c>
      <c r="AM423" s="80">
        <v>6</v>
      </c>
      <c r="AN423" s="85" t="s">
        <v>1635</v>
      </c>
      <c r="AO423" s="85" t="s">
        <v>1672</v>
      </c>
      <c r="AP423" s="80" t="b">
        <v>0</v>
      </c>
      <c r="AQ423" s="85" t="s">
        <v>1466</v>
      </c>
      <c r="AR423" s="80" t="s">
        <v>415</v>
      </c>
      <c r="AS423" s="80">
        <v>0</v>
      </c>
      <c r="AT423" s="80">
        <v>0</v>
      </c>
      <c r="AU423" s="80"/>
      <c r="AV423" s="80"/>
      <c r="AW423" s="80"/>
      <c r="AX423" s="80"/>
      <c r="AY423" s="80"/>
      <c r="AZ423" s="80"/>
      <c r="BA423" s="80"/>
      <c r="BB423" s="80"/>
    </row>
    <row r="424" spans="1:54" x14ac:dyDescent="0.25">
      <c r="A424" s="65" t="s">
        <v>304</v>
      </c>
      <c r="B424" s="65" t="s">
        <v>357</v>
      </c>
      <c r="C424" s="66"/>
      <c r="D424" s="67"/>
      <c r="E424" s="68"/>
      <c r="F424" s="69"/>
      <c r="G424" s="66"/>
      <c r="H424" s="70"/>
      <c r="I424" s="71"/>
      <c r="J424" s="71"/>
      <c r="K424" s="36" t="s">
        <v>66</v>
      </c>
      <c r="L424" s="78">
        <v>424</v>
      </c>
      <c r="M424" s="78"/>
      <c r="N424" s="73"/>
      <c r="O424" s="80" t="s">
        <v>415</v>
      </c>
      <c r="P424" s="82">
        <v>44631.705474537041</v>
      </c>
      <c r="Q424" s="80" t="s">
        <v>480</v>
      </c>
      <c r="R424" s="83" t="str">
        <f>HYPERLINK("https://www.buffalo.edu/ubnow/stories/2022/03/hari-srihari-obit.html?utm_source=TWITTER&amp;utm_medium=social&amp;utm_term=20220311&amp;utm_content=100002967032042&amp;utm_campaign=General+Content&amp;linkId=100000114633763")</f>
        <v>https://www.buffalo.edu/ubnow/stories/2022/03/hari-srihari-obit.html?utm_source=TWITTER&amp;utm_medium=social&amp;utm_term=20220311&amp;utm_content=100002967032042&amp;utm_campaign=General+Content&amp;linkId=100000114633763</v>
      </c>
      <c r="S424" s="80" t="s">
        <v>632</v>
      </c>
      <c r="T424" s="85" t="s">
        <v>357</v>
      </c>
      <c r="U424" s="80"/>
      <c r="V424" s="83" t="str">
        <f>HYPERLINK("https://pbs.twimg.com/profile_images/1272985762523471872/3YZZE5LD_normal.jpg")</f>
        <v>https://pbs.twimg.com/profile_images/1272985762523471872/3YZZE5LD_normal.jpg</v>
      </c>
      <c r="W424" s="82">
        <v>44631.705474537041</v>
      </c>
      <c r="X424" s="88">
        <v>44631</v>
      </c>
      <c r="Y424" s="85" t="s">
        <v>1017</v>
      </c>
      <c r="Z424" s="83" t="str">
        <f>HYPERLINK("https://twitter.com/ubengineering/status/1502327463241826310")</f>
        <v>https://twitter.com/ubengineering/status/1502327463241826310</v>
      </c>
      <c r="AA424" s="80"/>
      <c r="AB424" s="80"/>
      <c r="AC424" s="85" t="s">
        <v>1467</v>
      </c>
      <c r="AD424" s="80"/>
      <c r="AE424" s="80" t="b">
        <v>0</v>
      </c>
      <c r="AF424" s="80">
        <v>0</v>
      </c>
      <c r="AG424" s="85" t="s">
        <v>1635</v>
      </c>
      <c r="AH424" s="80" t="b">
        <v>0</v>
      </c>
      <c r="AI424" s="80" t="s">
        <v>1642</v>
      </c>
      <c r="AJ424" s="80"/>
      <c r="AK424" s="85" t="s">
        <v>1635</v>
      </c>
      <c r="AL424" s="80" t="b">
        <v>0</v>
      </c>
      <c r="AM424" s="80">
        <v>4</v>
      </c>
      <c r="AN424" s="85" t="s">
        <v>1469</v>
      </c>
      <c r="AO424" s="85" t="s">
        <v>1672</v>
      </c>
      <c r="AP424" s="80" t="b">
        <v>0</v>
      </c>
      <c r="AQ424" s="85" t="s">
        <v>1469</v>
      </c>
      <c r="AR424" s="80" t="s">
        <v>179</v>
      </c>
      <c r="AS424" s="80">
        <v>0</v>
      </c>
      <c r="AT424" s="80">
        <v>0</v>
      </c>
      <c r="AU424" s="80"/>
      <c r="AV424" s="80"/>
      <c r="AW424" s="80"/>
      <c r="AX424" s="80"/>
      <c r="AY424" s="80"/>
      <c r="AZ424" s="80"/>
      <c r="BA424" s="80"/>
      <c r="BB424" s="80"/>
    </row>
    <row r="425" spans="1:54" x14ac:dyDescent="0.25">
      <c r="A425" s="65" t="s">
        <v>304</v>
      </c>
      <c r="B425" s="65" t="s">
        <v>405</v>
      </c>
      <c r="C425" s="66"/>
      <c r="D425" s="67"/>
      <c r="E425" s="68"/>
      <c r="F425" s="69"/>
      <c r="G425" s="66"/>
      <c r="H425" s="70"/>
      <c r="I425" s="71"/>
      <c r="J425" s="71"/>
      <c r="K425" s="36" t="s">
        <v>65</v>
      </c>
      <c r="L425" s="78">
        <v>425</v>
      </c>
      <c r="M425" s="78"/>
      <c r="N425" s="73"/>
      <c r="O425" s="80" t="s">
        <v>414</v>
      </c>
      <c r="P425" s="82">
        <v>44632.772685185184</v>
      </c>
      <c r="Q425" s="80" t="s">
        <v>500</v>
      </c>
      <c r="R425" s="80"/>
      <c r="S425" s="80"/>
      <c r="T425" s="85" t="s">
        <v>697</v>
      </c>
      <c r="U425" s="80"/>
      <c r="V425" s="83" t="str">
        <f>HYPERLINK("https://pbs.twimg.com/profile_images/1272985762523471872/3YZZE5LD_normal.jpg")</f>
        <v>https://pbs.twimg.com/profile_images/1272985762523471872/3YZZE5LD_normal.jpg</v>
      </c>
      <c r="W425" s="82">
        <v>44632.772685185184</v>
      </c>
      <c r="X425" s="88">
        <v>44632</v>
      </c>
      <c r="Y425" s="85" t="s">
        <v>1018</v>
      </c>
      <c r="Z425" s="83" t="str">
        <f>HYPERLINK("https://twitter.com/ubengineering/status/1502714207636238342")</f>
        <v>https://twitter.com/ubengineering/status/1502714207636238342</v>
      </c>
      <c r="AA425" s="80"/>
      <c r="AB425" s="80"/>
      <c r="AC425" s="85" t="s">
        <v>1468</v>
      </c>
      <c r="AD425" s="80"/>
      <c r="AE425" s="80" t="b">
        <v>0</v>
      </c>
      <c r="AF425" s="80">
        <v>0</v>
      </c>
      <c r="AG425" s="85" t="s">
        <v>1635</v>
      </c>
      <c r="AH425" s="80" t="b">
        <v>0</v>
      </c>
      <c r="AI425" s="80" t="s">
        <v>1642</v>
      </c>
      <c r="AJ425" s="80"/>
      <c r="AK425" s="85" t="s">
        <v>1635</v>
      </c>
      <c r="AL425" s="80" t="b">
        <v>0</v>
      </c>
      <c r="AM425" s="80">
        <v>7</v>
      </c>
      <c r="AN425" s="85" t="s">
        <v>1537</v>
      </c>
      <c r="AO425" s="85" t="s">
        <v>1672</v>
      </c>
      <c r="AP425" s="80" t="b">
        <v>0</v>
      </c>
      <c r="AQ425" s="85" t="s">
        <v>1537</v>
      </c>
      <c r="AR425" s="80" t="s">
        <v>179</v>
      </c>
      <c r="AS425" s="80">
        <v>0</v>
      </c>
      <c r="AT425" s="80">
        <v>0</v>
      </c>
      <c r="AU425" s="80"/>
      <c r="AV425" s="80"/>
      <c r="AW425" s="80"/>
      <c r="AX425" s="80"/>
      <c r="AY425" s="80"/>
      <c r="AZ425" s="80"/>
      <c r="BA425" s="80"/>
      <c r="BB425" s="80"/>
    </row>
    <row r="426" spans="1:54" x14ac:dyDescent="0.25">
      <c r="A426" s="65" t="s">
        <v>304</v>
      </c>
      <c r="B426" s="65" t="s">
        <v>402</v>
      </c>
      <c r="C426" s="66"/>
      <c r="D426" s="67"/>
      <c r="E426" s="68"/>
      <c r="F426" s="69"/>
      <c r="G426" s="66"/>
      <c r="H426" s="70"/>
      <c r="I426" s="71"/>
      <c r="J426" s="71"/>
      <c r="K426" s="36" t="s">
        <v>65</v>
      </c>
      <c r="L426" s="78">
        <v>426</v>
      </c>
      <c r="M426" s="78"/>
      <c r="N426" s="73"/>
      <c r="O426" s="80" t="s">
        <v>414</v>
      </c>
      <c r="P426" s="82">
        <v>44632.772685185184</v>
      </c>
      <c r="Q426" s="80" t="s">
        <v>500</v>
      </c>
      <c r="R426" s="80"/>
      <c r="S426" s="80"/>
      <c r="T426" s="85" t="s">
        <v>697</v>
      </c>
      <c r="U426" s="80"/>
      <c r="V426" s="83" t="str">
        <f>HYPERLINK("https://pbs.twimg.com/profile_images/1272985762523471872/3YZZE5LD_normal.jpg")</f>
        <v>https://pbs.twimg.com/profile_images/1272985762523471872/3YZZE5LD_normal.jpg</v>
      </c>
      <c r="W426" s="82">
        <v>44632.772685185184</v>
      </c>
      <c r="X426" s="88">
        <v>44632</v>
      </c>
      <c r="Y426" s="85" t="s">
        <v>1018</v>
      </c>
      <c r="Z426" s="83" t="str">
        <f>HYPERLINK("https://twitter.com/ubengineering/status/1502714207636238342")</f>
        <v>https://twitter.com/ubengineering/status/1502714207636238342</v>
      </c>
      <c r="AA426" s="80"/>
      <c r="AB426" s="80"/>
      <c r="AC426" s="85" t="s">
        <v>1468</v>
      </c>
      <c r="AD426" s="80"/>
      <c r="AE426" s="80" t="b">
        <v>0</v>
      </c>
      <c r="AF426" s="80">
        <v>0</v>
      </c>
      <c r="AG426" s="85" t="s">
        <v>1635</v>
      </c>
      <c r="AH426" s="80" t="b">
        <v>0</v>
      </c>
      <c r="AI426" s="80" t="s">
        <v>1642</v>
      </c>
      <c r="AJ426" s="80"/>
      <c r="AK426" s="85" t="s">
        <v>1635</v>
      </c>
      <c r="AL426" s="80" t="b">
        <v>0</v>
      </c>
      <c r="AM426" s="80">
        <v>7</v>
      </c>
      <c r="AN426" s="85" t="s">
        <v>1537</v>
      </c>
      <c r="AO426" s="85" t="s">
        <v>1672</v>
      </c>
      <c r="AP426" s="80" t="b">
        <v>0</v>
      </c>
      <c r="AQ426" s="85" t="s">
        <v>1537</v>
      </c>
      <c r="AR426" s="80" t="s">
        <v>179</v>
      </c>
      <c r="AS426" s="80">
        <v>0</v>
      </c>
      <c r="AT426" s="80">
        <v>0</v>
      </c>
      <c r="AU426" s="80"/>
      <c r="AV426" s="80"/>
      <c r="AW426" s="80"/>
      <c r="AX426" s="80"/>
      <c r="AY426" s="80"/>
      <c r="AZ426" s="80"/>
      <c r="BA426" s="80"/>
      <c r="BB426" s="80"/>
    </row>
    <row r="427" spans="1:54" x14ac:dyDescent="0.25">
      <c r="A427" s="65" t="s">
        <v>304</v>
      </c>
      <c r="B427" s="65" t="s">
        <v>385</v>
      </c>
      <c r="C427" s="66"/>
      <c r="D427" s="67"/>
      <c r="E427" s="68"/>
      <c r="F427" s="69"/>
      <c r="G427" s="66"/>
      <c r="H427" s="70"/>
      <c r="I427" s="71"/>
      <c r="J427" s="71"/>
      <c r="K427" s="36" t="s">
        <v>65</v>
      </c>
      <c r="L427" s="78">
        <v>427</v>
      </c>
      <c r="M427" s="78"/>
      <c r="N427" s="73"/>
      <c r="O427" s="80" t="s">
        <v>414</v>
      </c>
      <c r="P427" s="82">
        <v>44632.772685185184</v>
      </c>
      <c r="Q427" s="80" t="s">
        <v>500</v>
      </c>
      <c r="R427" s="80"/>
      <c r="S427" s="80"/>
      <c r="T427" s="85" t="s">
        <v>697</v>
      </c>
      <c r="U427" s="80"/>
      <c r="V427" s="83" t="str">
        <f>HYPERLINK("https://pbs.twimg.com/profile_images/1272985762523471872/3YZZE5LD_normal.jpg")</f>
        <v>https://pbs.twimg.com/profile_images/1272985762523471872/3YZZE5LD_normal.jpg</v>
      </c>
      <c r="W427" s="82">
        <v>44632.772685185184</v>
      </c>
      <c r="X427" s="88">
        <v>44632</v>
      </c>
      <c r="Y427" s="85" t="s">
        <v>1018</v>
      </c>
      <c r="Z427" s="83" t="str">
        <f>HYPERLINK("https://twitter.com/ubengineering/status/1502714207636238342")</f>
        <v>https://twitter.com/ubengineering/status/1502714207636238342</v>
      </c>
      <c r="AA427" s="80"/>
      <c r="AB427" s="80"/>
      <c r="AC427" s="85" t="s">
        <v>1468</v>
      </c>
      <c r="AD427" s="80"/>
      <c r="AE427" s="80" t="b">
        <v>0</v>
      </c>
      <c r="AF427" s="80">
        <v>0</v>
      </c>
      <c r="AG427" s="85" t="s">
        <v>1635</v>
      </c>
      <c r="AH427" s="80" t="b">
        <v>0</v>
      </c>
      <c r="AI427" s="80" t="s">
        <v>1642</v>
      </c>
      <c r="AJ427" s="80"/>
      <c r="AK427" s="85" t="s">
        <v>1635</v>
      </c>
      <c r="AL427" s="80" t="b">
        <v>0</v>
      </c>
      <c r="AM427" s="80">
        <v>7</v>
      </c>
      <c r="AN427" s="85" t="s">
        <v>1537</v>
      </c>
      <c r="AO427" s="85" t="s">
        <v>1672</v>
      </c>
      <c r="AP427" s="80" t="b">
        <v>0</v>
      </c>
      <c r="AQ427" s="85" t="s">
        <v>1537</v>
      </c>
      <c r="AR427" s="80" t="s">
        <v>179</v>
      </c>
      <c r="AS427" s="80">
        <v>0</v>
      </c>
      <c r="AT427" s="80">
        <v>0</v>
      </c>
      <c r="AU427" s="80"/>
      <c r="AV427" s="80"/>
      <c r="AW427" s="80"/>
      <c r="AX427" s="80"/>
      <c r="AY427" s="80"/>
      <c r="AZ427" s="80"/>
      <c r="BA427" s="80"/>
      <c r="BB427" s="80"/>
    </row>
    <row r="428" spans="1:54" x14ac:dyDescent="0.25">
      <c r="A428" s="65" t="s">
        <v>304</v>
      </c>
      <c r="B428" s="65" t="s">
        <v>372</v>
      </c>
      <c r="C428" s="66"/>
      <c r="D428" s="67"/>
      <c r="E428" s="68"/>
      <c r="F428" s="69"/>
      <c r="G428" s="66"/>
      <c r="H428" s="70"/>
      <c r="I428" s="71"/>
      <c r="J428" s="71"/>
      <c r="K428" s="36" t="s">
        <v>65</v>
      </c>
      <c r="L428" s="78">
        <v>428</v>
      </c>
      <c r="M428" s="78"/>
      <c r="N428" s="73"/>
      <c r="O428" s="80" t="s">
        <v>415</v>
      </c>
      <c r="P428" s="82">
        <v>44632.772685185184</v>
      </c>
      <c r="Q428" s="80" t="s">
        <v>500</v>
      </c>
      <c r="R428" s="80"/>
      <c r="S428" s="80"/>
      <c r="T428" s="85" t="s">
        <v>697</v>
      </c>
      <c r="U428" s="80"/>
      <c r="V428" s="83" t="str">
        <f>HYPERLINK("https://pbs.twimg.com/profile_images/1272985762523471872/3YZZE5LD_normal.jpg")</f>
        <v>https://pbs.twimg.com/profile_images/1272985762523471872/3YZZE5LD_normal.jpg</v>
      </c>
      <c r="W428" s="82">
        <v>44632.772685185184</v>
      </c>
      <c r="X428" s="88">
        <v>44632</v>
      </c>
      <c r="Y428" s="85" t="s">
        <v>1018</v>
      </c>
      <c r="Z428" s="83" t="str">
        <f>HYPERLINK("https://twitter.com/ubengineering/status/1502714207636238342")</f>
        <v>https://twitter.com/ubengineering/status/1502714207636238342</v>
      </c>
      <c r="AA428" s="80"/>
      <c r="AB428" s="80"/>
      <c r="AC428" s="85" t="s">
        <v>1468</v>
      </c>
      <c r="AD428" s="80"/>
      <c r="AE428" s="80" t="b">
        <v>0</v>
      </c>
      <c r="AF428" s="80">
        <v>0</v>
      </c>
      <c r="AG428" s="85" t="s">
        <v>1635</v>
      </c>
      <c r="AH428" s="80" t="b">
        <v>0</v>
      </c>
      <c r="AI428" s="80" t="s">
        <v>1642</v>
      </c>
      <c r="AJ428" s="80"/>
      <c r="AK428" s="85" t="s">
        <v>1635</v>
      </c>
      <c r="AL428" s="80" t="b">
        <v>0</v>
      </c>
      <c r="AM428" s="80">
        <v>7</v>
      </c>
      <c r="AN428" s="85" t="s">
        <v>1537</v>
      </c>
      <c r="AO428" s="85" t="s">
        <v>1672</v>
      </c>
      <c r="AP428" s="80" t="b">
        <v>0</v>
      </c>
      <c r="AQ428" s="85" t="s">
        <v>1537</v>
      </c>
      <c r="AR428" s="80" t="s">
        <v>179</v>
      </c>
      <c r="AS428" s="80">
        <v>0</v>
      </c>
      <c r="AT428" s="80">
        <v>0</v>
      </c>
      <c r="AU428" s="80"/>
      <c r="AV428" s="80"/>
      <c r="AW428" s="80"/>
      <c r="AX428" s="80"/>
      <c r="AY428" s="80"/>
      <c r="AZ428" s="80"/>
      <c r="BA428" s="80"/>
      <c r="BB428" s="80"/>
    </row>
    <row r="429" spans="1:54" x14ac:dyDescent="0.25">
      <c r="A429" s="65" t="s">
        <v>357</v>
      </c>
      <c r="B429" s="65" t="s">
        <v>304</v>
      </c>
      <c r="C429" s="66"/>
      <c r="D429" s="67"/>
      <c r="E429" s="68"/>
      <c r="F429" s="69"/>
      <c r="G429" s="66"/>
      <c r="H429" s="70"/>
      <c r="I429" s="71"/>
      <c r="J429" s="71"/>
      <c r="K429" s="36" t="s">
        <v>66</v>
      </c>
      <c r="L429" s="78">
        <v>429</v>
      </c>
      <c r="M429" s="78"/>
      <c r="N429" s="73"/>
      <c r="O429" s="80" t="s">
        <v>416</v>
      </c>
      <c r="P429" s="82">
        <v>44631.675706018519</v>
      </c>
      <c r="Q429" s="80" t="s">
        <v>480</v>
      </c>
      <c r="R429" s="83" t="str">
        <f>HYPERLINK("https://www.buffalo.edu/ubnow/stories/2022/03/hari-srihari-obit.html?utm_source=TWITTER&amp;utm_medium=social&amp;utm_term=20220311&amp;utm_content=100002967032042&amp;utm_campaign=General+Content&amp;linkId=100000114633763")</f>
        <v>https://www.buffalo.edu/ubnow/stories/2022/03/hari-srihari-obit.html?utm_source=TWITTER&amp;utm_medium=social&amp;utm_term=20220311&amp;utm_content=100002967032042&amp;utm_campaign=General+Content&amp;linkId=100000114633763</v>
      </c>
      <c r="S429" s="80" t="s">
        <v>632</v>
      </c>
      <c r="T429" s="85" t="s">
        <v>357</v>
      </c>
      <c r="U429" s="80"/>
      <c r="V429" s="83" t="str">
        <f>HYPERLINK("https://pbs.twimg.com/profile_images/991327943317213185/Hgte82Vq_normal.jpg")</f>
        <v>https://pbs.twimg.com/profile_images/991327943317213185/Hgte82Vq_normal.jpg</v>
      </c>
      <c r="W429" s="82">
        <v>44631.675706018519</v>
      </c>
      <c r="X429" s="88">
        <v>44631</v>
      </c>
      <c r="Y429" s="85" t="s">
        <v>1019</v>
      </c>
      <c r="Z429" s="83" t="str">
        <f>HYPERLINK("https://twitter.com/ubuffalo/status/1502316672476237824")</f>
        <v>https://twitter.com/ubuffalo/status/1502316672476237824</v>
      </c>
      <c r="AA429" s="80"/>
      <c r="AB429" s="80"/>
      <c r="AC429" s="85" t="s">
        <v>1469</v>
      </c>
      <c r="AD429" s="80"/>
      <c r="AE429" s="80" t="b">
        <v>0</v>
      </c>
      <c r="AF429" s="80">
        <v>9</v>
      </c>
      <c r="AG429" s="85" t="s">
        <v>1635</v>
      </c>
      <c r="AH429" s="80" t="b">
        <v>0</v>
      </c>
      <c r="AI429" s="80" t="s">
        <v>1642</v>
      </c>
      <c r="AJ429" s="80"/>
      <c r="AK429" s="85" t="s">
        <v>1635</v>
      </c>
      <c r="AL429" s="80" t="b">
        <v>0</v>
      </c>
      <c r="AM429" s="80">
        <v>4</v>
      </c>
      <c r="AN429" s="85" t="s">
        <v>1635</v>
      </c>
      <c r="AO429" s="85" t="s">
        <v>1679</v>
      </c>
      <c r="AP429" s="80" t="b">
        <v>0</v>
      </c>
      <c r="AQ429" s="85" t="s">
        <v>1469</v>
      </c>
      <c r="AR429" s="80" t="s">
        <v>179</v>
      </c>
      <c r="AS429" s="80">
        <v>0</v>
      </c>
      <c r="AT429" s="80">
        <v>0</v>
      </c>
      <c r="AU429" s="80"/>
      <c r="AV429" s="80"/>
      <c r="AW429" s="80"/>
      <c r="AX429" s="80"/>
      <c r="AY429" s="80"/>
      <c r="AZ429" s="80"/>
      <c r="BA429" s="80"/>
      <c r="BB429" s="80"/>
    </row>
    <row r="430" spans="1:54" x14ac:dyDescent="0.25">
      <c r="A430" s="65" t="s">
        <v>360</v>
      </c>
      <c r="B430" s="65" t="s">
        <v>360</v>
      </c>
      <c r="C430" s="66"/>
      <c r="D430" s="67"/>
      <c r="E430" s="68"/>
      <c r="F430" s="69"/>
      <c r="G430" s="66"/>
      <c r="H430" s="70"/>
      <c r="I430" s="71"/>
      <c r="J430" s="71"/>
      <c r="K430" s="36" t="s">
        <v>65</v>
      </c>
      <c r="L430" s="78">
        <v>430</v>
      </c>
      <c r="M430" s="78"/>
      <c r="N430" s="73"/>
      <c r="O430" s="80" t="s">
        <v>179</v>
      </c>
      <c r="P430" s="82">
        <v>44628.235173611109</v>
      </c>
      <c r="Q430" s="80" t="s">
        <v>437</v>
      </c>
      <c r="R430" s="80"/>
      <c r="S430" s="80"/>
      <c r="T430" s="85" t="s">
        <v>671</v>
      </c>
      <c r="U430" s="83" t="str">
        <f>HYPERLINK("https://pbs.twimg.com/media/FNTfFtyX0AEWqWF.jpg")</f>
        <v>https://pbs.twimg.com/media/FNTfFtyX0AEWqWF.jpg</v>
      </c>
      <c r="V430" s="83" t="str">
        <f>HYPERLINK("https://pbs.twimg.com/media/FNTfFtyX0AEWqWF.jpg")</f>
        <v>https://pbs.twimg.com/media/FNTfFtyX0AEWqWF.jpg</v>
      </c>
      <c r="W430" s="82">
        <v>44628.235173611109</v>
      </c>
      <c r="X430" s="88">
        <v>44628</v>
      </c>
      <c r="Y430" s="85" t="s">
        <v>1020</v>
      </c>
      <c r="Z430" s="83" t="str">
        <f>HYPERLINK("https://twitter.com/shollander2/status/1501069867725869059")</f>
        <v>https://twitter.com/shollander2/status/1501069867725869059</v>
      </c>
      <c r="AA430" s="80"/>
      <c r="AB430" s="80"/>
      <c r="AC430" s="85" t="s">
        <v>1470</v>
      </c>
      <c r="AD430" s="80"/>
      <c r="AE430" s="80" t="b">
        <v>0</v>
      </c>
      <c r="AF430" s="80">
        <v>6</v>
      </c>
      <c r="AG430" s="85" t="s">
        <v>1635</v>
      </c>
      <c r="AH430" s="80" t="b">
        <v>0</v>
      </c>
      <c r="AI430" s="80" t="s">
        <v>1642</v>
      </c>
      <c r="AJ430" s="80"/>
      <c r="AK430" s="85" t="s">
        <v>1635</v>
      </c>
      <c r="AL430" s="80" t="b">
        <v>0</v>
      </c>
      <c r="AM430" s="80">
        <v>4</v>
      </c>
      <c r="AN430" s="85" t="s">
        <v>1635</v>
      </c>
      <c r="AO430" s="85" t="s">
        <v>1678</v>
      </c>
      <c r="AP430" s="80" t="b">
        <v>0</v>
      </c>
      <c r="AQ430" s="85" t="s">
        <v>1470</v>
      </c>
      <c r="AR430" s="80" t="s">
        <v>179</v>
      </c>
      <c r="AS430" s="80">
        <v>0</v>
      </c>
      <c r="AT430" s="80">
        <v>0</v>
      </c>
      <c r="AU430" s="80"/>
      <c r="AV430" s="80"/>
      <c r="AW430" s="80"/>
      <c r="AX430" s="80"/>
      <c r="AY430" s="80"/>
      <c r="AZ430" s="80"/>
      <c r="BA430" s="80"/>
      <c r="BB430" s="80"/>
    </row>
    <row r="431" spans="1:54" x14ac:dyDescent="0.25">
      <c r="A431" s="65" t="s">
        <v>360</v>
      </c>
      <c r="B431" s="65" t="s">
        <v>360</v>
      </c>
      <c r="C431" s="66"/>
      <c r="D431" s="67"/>
      <c r="E431" s="68"/>
      <c r="F431" s="69"/>
      <c r="G431" s="66"/>
      <c r="H431" s="70"/>
      <c r="I431" s="71"/>
      <c r="J431" s="71"/>
      <c r="K431" s="36" t="s">
        <v>65</v>
      </c>
      <c r="L431" s="78">
        <v>431</v>
      </c>
      <c r="M431" s="78"/>
      <c r="N431" s="73"/>
      <c r="O431" s="80" t="s">
        <v>179</v>
      </c>
      <c r="P431" s="82">
        <v>44630.133159722223</v>
      </c>
      <c r="Q431" s="80" t="s">
        <v>458</v>
      </c>
      <c r="R431" s="83" t="str">
        <f>HYPERLINK("https://library.buffalo.edu/ub-sports/")</f>
        <v>https://library.buffalo.edu/ub-sports/</v>
      </c>
      <c r="S431" s="80" t="s">
        <v>632</v>
      </c>
      <c r="T431" s="85" t="s">
        <v>682</v>
      </c>
      <c r="U431" s="83" t="str">
        <f>HYPERLINK("https://pbs.twimg.com/media/FNdQpFMX0AAU1af.jpg")</f>
        <v>https://pbs.twimg.com/media/FNdQpFMX0AAU1af.jpg</v>
      </c>
      <c r="V431" s="83" t="str">
        <f>HYPERLINK("https://pbs.twimg.com/media/FNdQpFMX0AAU1af.jpg")</f>
        <v>https://pbs.twimg.com/media/FNdQpFMX0AAU1af.jpg</v>
      </c>
      <c r="W431" s="82">
        <v>44630.133159722223</v>
      </c>
      <c r="X431" s="88">
        <v>44630</v>
      </c>
      <c r="Y431" s="85" t="s">
        <v>1021</v>
      </c>
      <c r="Z431" s="83" t="str">
        <f>HYPERLINK("https://twitter.com/shollander2/status/1501757672588255232")</f>
        <v>https://twitter.com/shollander2/status/1501757672588255232</v>
      </c>
      <c r="AA431" s="80"/>
      <c r="AB431" s="80"/>
      <c r="AC431" s="85" t="s">
        <v>1471</v>
      </c>
      <c r="AD431" s="80"/>
      <c r="AE431" s="80" t="b">
        <v>0</v>
      </c>
      <c r="AF431" s="80">
        <v>10</v>
      </c>
      <c r="AG431" s="85" t="s">
        <v>1635</v>
      </c>
      <c r="AH431" s="80" t="b">
        <v>0</v>
      </c>
      <c r="AI431" s="80" t="s">
        <v>1642</v>
      </c>
      <c r="AJ431" s="80"/>
      <c r="AK431" s="85" t="s">
        <v>1635</v>
      </c>
      <c r="AL431" s="80" t="b">
        <v>0</v>
      </c>
      <c r="AM431" s="80">
        <v>3</v>
      </c>
      <c r="AN431" s="85" t="s">
        <v>1635</v>
      </c>
      <c r="AO431" s="85" t="s">
        <v>1678</v>
      </c>
      <c r="AP431" s="80" t="b">
        <v>0</v>
      </c>
      <c r="AQ431" s="85" t="s">
        <v>1471</v>
      </c>
      <c r="AR431" s="80" t="s">
        <v>179</v>
      </c>
      <c r="AS431" s="80">
        <v>0</v>
      </c>
      <c r="AT431" s="80">
        <v>0</v>
      </c>
      <c r="AU431" s="80"/>
      <c r="AV431" s="80"/>
      <c r="AW431" s="80"/>
      <c r="AX431" s="80"/>
      <c r="AY431" s="80"/>
      <c r="AZ431" s="80"/>
      <c r="BA431" s="80"/>
      <c r="BB431" s="80"/>
    </row>
    <row r="432" spans="1:54" x14ac:dyDescent="0.25">
      <c r="A432" s="65" t="s">
        <v>360</v>
      </c>
      <c r="B432" s="65" t="s">
        <v>360</v>
      </c>
      <c r="C432" s="66"/>
      <c r="D432" s="67"/>
      <c r="E432" s="68"/>
      <c r="F432" s="69"/>
      <c r="G432" s="66"/>
      <c r="H432" s="70"/>
      <c r="I432" s="71"/>
      <c r="J432" s="71"/>
      <c r="K432" s="36" t="s">
        <v>65</v>
      </c>
      <c r="L432" s="78">
        <v>432</v>
      </c>
      <c r="M432" s="78"/>
      <c r="N432" s="73"/>
      <c r="O432" s="80" t="s">
        <v>179</v>
      </c>
      <c r="P432" s="82">
        <v>44631.710057870368</v>
      </c>
      <c r="Q432" s="80" t="s">
        <v>515</v>
      </c>
      <c r="R432" s="83" t="str">
        <f>HYPERLINK("https://digital.lib.buffalo.edu/items/show/83413")</f>
        <v>https://digital.lib.buffalo.edu/items/show/83413</v>
      </c>
      <c r="S432" s="80" t="s">
        <v>632</v>
      </c>
      <c r="T432" s="85" t="s">
        <v>701</v>
      </c>
      <c r="U432" s="83" t="str">
        <f>HYPERLINK("https://pbs.twimg.com/ext_tw_video_thumb/1502329070947901450/pu/img/NAxEjYVOdw6nFVJo.jpg")</f>
        <v>https://pbs.twimg.com/ext_tw_video_thumb/1502329070947901450/pu/img/NAxEjYVOdw6nFVJo.jpg</v>
      </c>
      <c r="V432" s="83" t="str">
        <f>HYPERLINK("https://pbs.twimg.com/ext_tw_video_thumb/1502329070947901450/pu/img/NAxEjYVOdw6nFVJo.jpg")</f>
        <v>https://pbs.twimg.com/ext_tw_video_thumb/1502329070947901450/pu/img/NAxEjYVOdw6nFVJo.jpg</v>
      </c>
      <c r="W432" s="82">
        <v>44631.710057870368</v>
      </c>
      <c r="X432" s="88">
        <v>44631</v>
      </c>
      <c r="Y432" s="85" t="s">
        <v>1022</v>
      </c>
      <c r="Z432" s="83" t="str">
        <f>HYPERLINK("https://twitter.com/shollander2/status/1502329123758395395")</f>
        <v>https://twitter.com/shollander2/status/1502329123758395395</v>
      </c>
      <c r="AA432" s="80"/>
      <c r="AB432" s="80"/>
      <c r="AC432" s="85" t="s">
        <v>1472</v>
      </c>
      <c r="AD432" s="80"/>
      <c r="AE432" s="80" t="b">
        <v>0</v>
      </c>
      <c r="AF432" s="80">
        <v>7</v>
      </c>
      <c r="AG432" s="85" t="s">
        <v>1635</v>
      </c>
      <c r="AH432" s="80" t="b">
        <v>0</v>
      </c>
      <c r="AI432" s="80" t="s">
        <v>1642</v>
      </c>
      <c r="AJ432" s="80"/>
      <c r="AK432" s="85" t="s">
        <v>1635</v>
      </c>
      <c r="AL432" s="80" t="b">
        <v>0</v>
      </c>
      <c r="AM432" s="80">
        <v>3</v>
      </c>
      <c r="AN432" s="85" t="s">
        <v>1635</v>
      </c>
      <c r="AO432" s="85" t="s">
        <v>1678</v>
      </c>
      <c r="AP432" s="80" t="b">
        <v>0</v>
      </c>
      <c r="AQ432" s="85" t="s">
        <v>1472</v>
      </c>
      <c r="AR432" s="80" t="s">
        <v>179</v>
      </c>
      <c r="AS432" s="80">
        <v>0</v>
      </c>
      <c r="AT432" s="80">
        <v>0</v>
      </c>
      <c r="AU432" s="80"/>
      <c r="AV432" s="80"/>
      <c r="AW432" s="80"/>
      <c r="AX432" s="80"/>
      <c r="AY432" s="80"/>
      <c r="AZ432" s="80"/>
      <c r="BA432" s="80"/>
      <c r="BB432" s="80"/>
    </row>
    <row r="433" spans="1:54" x14ac:dyDescent="0.25">
      <c r="A433" s="65" t="s">
        <v>360</v>
      </c>
      <c r="B433" s="65" t="s">
        <v>360</v>
      </c>
      <c r="C433" s="66"/>
      <c r="D433" s="67"/>
      <c r="E433" s="68"/>
      <c r="F433" s="69"/>
      <c r="G433" s="66"/>
      <c r="H433" s="70"/>
      <c r="I433" s="71"/>
      <c r="J433" s="71"/>
      <c r="K433" s="36" t="s">
        <v>65</v>
      </c>
      <c r="L433" s="78">
        <v>433</v>
      </c>
      <c r="M433" s="78"/>
      <c r="N433" s="73"/>
      <c r="O433" s="80" t="s">
        <v>179</v>
      </c>
      <c r="P433" s="82">
        <v>44632.09165509259</v>
      </c>
      <c r="Q433" s="80" t="s">
        <v>486</v>
      </c>
      <c r="R433" s="83" t="str">
        <f>HYPERLINK("https://library.buffalo.edu/ub-sports/mens-sports/football/1899-buffalo-football/")</f>
        <v>https://library.buffalo.edu/ub-sports/mens-sports/football/1899-buffalo-football/</v>
      </c>
      <c r="S433" s="80" t="s">
        <v>632</v>
      </c>
      <c r="T433" s="85" t="s">
        <v>357</v>
      </c>
      <c r="U433" s="83" t="str">
        <f>HYPERLINK("https://pbs.twimg.com/media/FNnWJWrXIAA8Q0T.jpg")</f>
        <v>https://pbs.twimg.com/media/FNnWJWrXIAA8Q0T.jpg</v>
      </c>
      <c r="V433" s="83" t="str">
        <f>HYPERLINK("https://pbs.twimg.com/media/FNnWJWrXIAA8Q0T.jpg")</f>
        <v>https://pbs.twimg.com/media/FNnWJWrXIAA8Q0T.jpg</v>
      </c>
      <c r="W433" s="82">
        <v>44632.09165509259</v>
      </c>
      <c r="X433" s="88">
        <v>44632</v>
      </c>
      <c r="Y433" s="85" t="s">
        <v>1023</v>
      </c>
      <c r="Z433" s="83" t="str">
        <f>HYPERLINK("https://twitter.com/shollander2/status/1502467411156639752")</f>
        <v>https://twitter.com/shollander2/status/1502467411156639752</v>
      </c>
      <c r="AA433" s="80"/>
      <c r="AB433" s="80"/>
      <c r="AC433" s="85" t="s">
        <v>1473</v>
      </c>
      <c r="AD433" s="80"/>
      <c r="AE433" s="80" t="b">
        <v>0</v>
      </c>
      <c r="AF433" s="80">
        <v>7</v>
      </c>
      <c r="AG433" s="85" t="s">
        <v>1635</v>
      </c>
      <c r="AH433" s="80" t="b">
        <v>0</v>
      </c>
      <c r="AI433" s="80" t="s">
        <v>1642</v>
      </c>
      <c r="AJ433" s="80"/>
      <c r="AK433" s="85" t="s">
        <v>1635</v>
      </c>
      <c r="AL433" s="80" t="b">
        <v>0</v>
      </c>
      <c r="AM433" s="80">
        <v>4</v>
      </c>
      <c r="AN433" s="85" t="s">
        <v>1635</v>
      </c>
      <c r="AO433" s="85" t="s">
        <v>1671</v>
      </c>
      <c r="AP433" s="80" t="b">
        <v>0</v>
      </c>
      <c r="AQ433" s="85" t="s">
        <v>1473</v>
      </c>
      <c r="AR433" s="80" t="s">
        <v>179</v>
      </c>
      <c r="AS433" s="80">
        <v>0</v>
      </c>
      <c r="AT433" s="80">
        <v>0</v>
      </c>
      <c r="AU433" s="80"/>
      <c r="AV433" s="80"/>
      <c r="AW433" s="80"/>
      <c r="AX433" s="80"/>
      <c r="AY433" s="80"/>
      <c r="AZ433" s="80"/>
      <c r="BA433" s="80"/>
      <c r="BB433" s="80"/>
    </row>
    <row r="434" spans="1:54" x14ac:dyDescent="0.25">
      <c r="A434" s="65" t="s">
        <v>360</v>
      </c>
      <c r="B434" s="65" t="s">
        <v>385</v>
      </c>
      <c r="C434" s="66"/>
      <c r="D434" s="67"/>
      <c r="E434" s="68"/>
      <c r="F434" s="69"/>
      <c r="G434" s="66"/>
      <c r="H434" s="70"/>
      <c r="I434" s="71"/>
      <c r="J434" s="71"/>
      <c r="K434" s="36" t="s">
        <v>65</v>
      </c>
      <c r="L434" s="78">
        <v>434</v>
      </c>
      <c r="M434" s="78"/>
      <c r="N434" s="73"/>
      <c r="O434" s="80" t="s">
        <v>416</v>
      </c>
      <c r="P434" s="82">
        <v>44632.599398148152</v>
      </c>
      <c r="Q434" s="80" t="s">
        <v>516</v>
      </c>
      <c r="R434" s="83" t="str">
        <f>HYPERLINK("https://digital.lib.buffalo.edu/collection/LIB-UA021/")</f>
        <v>https://digital.lib.buffalo.edu/collection/LIB-UA021/</v>
      </c>
      <c r="S434" s="80" t="s">
        <v>632</v>
      </c>
      <c r="T434" s="85" t="s">
        <v>665</v>
      </c>
      <c r="U434" s="83" t="str">
        <f>HYPERLINK("https://pbs.twimg.com/media/FNp9fYPXoAkTobt.jpg")</f>
        <v>https://pbs.twimg.com/media/FNp9fYPXoAkTobt.jpg</v>
      </c>
      <c r="V434" s="83" t="str">
        <f>HYPERLINK("https://pbs.twimg.com/media/FNp9fYPXoAkTobt.jpg")</f>
        <v>https://pbs.twimg.com/media/FNp9fYPXoAkTobt.jpg</v>
      </c>
      <c r="W434" s="82">
        <v>44632.599398148152</v>
      </c>
      <c r="X434" s="88">
        <v>44632</v>
      </c>
      <c r="Y434" s="85" t="s">
        <v>1024</v>
      </c>
      <c r="Z434" s="83" t="str">
        <f>HYPERLINK("https://twitter.com/shollander2/status/1502651407081562118")</f>
        <v>https://twitter.com/shollander2/status/1502651407081562118</v>
      </c>
      <c r="AA434" s="80"/>
      <c r="AB434" s="80"/>
      <c r="AC434" s="85" t="s">
        <v>1474</v>
      </c>
      <c r="AD434" s="80"/>
      <c r="AE434" s="80" t="b">
        <v>0</v>
      </c>
      <c r="AF434" s="80">
        <v>8</v>
      </c>
      <c r="AG434" s="85" t="s">
        <v>1635</v>
      </c>
      <c r="AH434" s="80" t="b">
        <v>0</v>
      </c>
      <c r="AI434" s="80" t="s">
        <v>1642</v>
      </c>
      <c r="AJ434" s="80"/>
      <c r="AK434" s="85" t="s">
        <v>1635</v>
      </c>
      <c r="AL434" s="80" t="b">
        <v>0</v>
      </c>
      <c r="AM434" s="80">
        <v>3</v>
      </c>
      <c r="AN434" s="85" t="s">
        <v>1635</v>
      </c>
      <c r="AO434" s="85" t="s">
        <v>1678</v>
      </c>
      <c r="AP434" s="80" t="b">
        <v>0</v>
      </c>
      <c r="AQ434" s="85" t="s">
        <v>1474</v>
      </c>
      <c r="AR434" s="80" t="s">
        <v>179</v>
      </c>
      <c r="AS434" s="80">
        <v>0</v>
      </c>
      <c r="AT434" s="80">
        <v>0</v>
      </c>
      <c r="AU434" s="80"/>
      <c r="AV434" s="80"/>
      <c r="AW434" s="80"/>
      <c r="AX434" s="80"/>
      <c r="AY434" s="80"/>
      <c r="AZ434" s="80"/>
      <c r="BA434" s="80"/>
      <c r="BB434" s="80"/>
    </row>
    <row r="435" spans="1:54" x14ac:dyDescent="0.25">
      <c r="A435" s="65" t="s">
        <v>353</v>
      </c>
      <c r="B435" s="65" t="s">
        <v>360</v>
      </c>
      <c r="C435" s="66"/>
      <c r="D435" s="67"/>
      <c r="E435" s="68"/>
      <c r="F435" s="69"/>
      <c r="G435" s="66"/>
      <c r="H435" s="70"/>
      <c r="I435" s="71"/>
      <c r="J435" s="71"/>
      <c r="K435" s="36" t="s">
        <v>65</v>
      </c>
      <c r="L435" s="78">
        <v>435</v>
      </c>
      <c r="M435" s="78"/>
      <c r="N435" s="73"/>
      <c r="O435" s="80" t="s">
        <v>415</v>
      </c>
      <c r="P435" s="82">
        <v>44631.901678240742</v>
      </c>
      <c r="Q435" s="80" t="s">
        <v>515</v>
      </c>
      <c r="R435" s="83" t="str">
        <f>HYPERLINK("https://digital.lib.buffalo.edu/items/show/83413")</f>
        <v>https://digital.lib.buffalo.edu/items/show/83413</v>
      </c>
      <c r="S435" s="80" t="s">
        <v>632</v>
      </c>
      <c r="T435" s="85" t="s">
        <v>701</v>
      </c>
      <c r="U435" s="83" t="str">
        <f>HYPERLINK("https://pbs.twimg.com/ext_tw_video_thumb/1502329070947901450/pu/img/NAxEjYVOdw6nFVJo.jpg")</f>
        <v>https://pbs.twimg.com/ext_tw_video_thumb/1502329070947901450/pu/img/NAxEjYVOdw6nFVJo.jpg</v>
      </c>
      <c r="V435" s="83" t="str">
        <f>HYPERLINK("https://pbs.twimg.com/ext_tw_video_thumb/1502329070947901450/pu/img/NAxEjYVOdw6nFVJo.jpg")</f>
        <v>https://pbs.twimg.com/ext_tw_video_thumb/1502329070947901450/pu/img/NAxEjYVOdw6nFVJo.jpg</v>
      </c>
      <c r="W435" s="82">
        <v>44631.901678240742</v>
      </c>
      <c r="X435" s="88">
        <v>44631</v>
      </c>
      <c r="Y435" s="85" t="s">
        <v>1025</v>
      </c>
      <c r="Z435" s="83" t="str">
        <f>HYPERLINK("https://twitter.com/ubalumni/status/1502398565221650442")</f>
        <v>https://twitter.com/ubalumni/status/1502398565221650442</v>
      </c>
      <c r="AA435" s="80"/>
      <c r="AB435" s="80"/>
      <c r="AC435" s="85" t="s">
        <v>1475</v>
      </c>
      <c r="AD435" s="80"/>
      <c r="AE435" s="80" t="b">
        <v>0</v>
      </c>
      <c r="AF435" s="80">
        <v>0</v>
      </c>
      <c r="AG435" s="85" t="s">
        <v>1635</v>
      </c>
      <c r="AH435" s="80" t="b">
        <v>0</v>
      </c>
      <c r="AI435" s="80" t="s">
        <v>1642</v>
      </c>
      <c r="AJ435" s="80"/>
      <c r="AK435" s="85" t="s">
        <v>1635</v>
      </c>
      <c r="AL435" s="80" t="b">
        <v>0</v>
      </c>
      <c r="AM435" s="80">
        <v>3</v>
      </c>
      <c r="AN435" s="85" t="s">
        <v>1472</v>
      </c>
      <c r="AO435" s="85" t="s">
        <v>1671</v>
      </c>
      <c r="AP435" s="80" t="b">
        <v>0</v>
      </c>
      <c r="AQ435" s="85" t="s">
        <v>1472</v>
      </c>
      <c r="AR435" s="80" t="s">
        <v>179</v>
      </c>
      <c r="AS435" s="80">
        <v>0</v>
      </c>
      <c r="AT435" s="80">
        <v>0</v>
      </c>
      <c r="AU435" s="80"/>
      <c r="AV435" s="80"/>
      <c r="AW435" s="80"/>
      <c r="AX435" s="80"/>
      <c r="AY435" s="80"/>
      <c r="AZ435" s="80"/>
      <c r="BA435" s="80"/>
      <c r="BB435" s="80"/>
    </row>
    <row r="436" spans="1:54" x14ac:dyDescent="0.25">
      <c r="A436" s="65" t="s">
        <v>353</v>
      </c>
      <c r="B436" s="65" t="s">
        <v>360</v>
      </c>
      <c r="C436" s="66"/>
      <c r="D436" s="67"/>
      <c r="E436" s="68"/>
      <c r="F436" s="69"/>
      <c r="G436" s="66"/>
      <c r="H436" s="70"/>
      <c r="I436" s="71"/>
      <c r="J436" s="71"/>
      <c r="K436" s="36" t="s">
        <v>65</v>
      </c>
      <c r="L436" s="78">
        <v>436</v>
      </c>
      <c r="M436" s="78"/>
      <c r="N436" s="73"/>
      <c r="O436" s="80" t="s">
        <v>415</v>
      </c>
      <c r="P436" s="82">
        <v>44632.0934375</v>
      </c>
      <c r="Q436" s="80" t="s">
        <v>486</v>
      </c>
      <c r="R436" s="83" t="str">
        <f>HYPERLINK("https://library.buffalo.edu/ub-sports/mens-sports/football/1899-buffalo-football/")</f>
        <v>https://library.buffalo.edu/ub-sports/mens-sports/football/1899-buffalo-football/</v>
      </c>
      <c r="S436" s="80" t="s">
        <v>632</v>
      </c>
      <c r="T436" s="85" t="s">
        <v>357</v>
      </c>
      <c r="U436" s="83" t="str">
        <f>HYPERLINK("https://pbs.twimg.com/media/FNnWJWrXIAA8Q0T.jpg")</f>
        <v>https://pbs.twimg.com/media/FNnWJWrXIAA8Q0T.jpg</v>
      </c>
      <c r="V436" s="83" t="str">
        <f>HYPERLINK("https://pbs.twimg.com/media/FNnWJWrXIAA8Q0T.jpg")</f>
        <v>https://pbs.twimg.com/media/FNnWJWrXIAA8Q0T.jpg</v>
      </c>
      <c r="W436" s="82">
        <v>44632.0934375</v>
      </c>
      <c r="X436" s="88">
        <v>44632</v>
      </c>
      <c r="Y436" s="85" t="s">
        <v>1026</v>
      </c>
      <c r="Z436" s="83" t="str">
        <f>HYPERLINK("https://twitter.com/ubalumni/status/1502468055477194753")</f>
        <v>https://twitter.com/ubalumni/status/1502468055477194753</v>
      </c>
      <c r="AA436" s="80"/>
      <c r="AB436" s="80"/>
      <c r="AC436" s="85" t="s">
        <v>1476</v>
      </c>
      <c r="AD436" s="80"/>
      <c r="AE436" s="80" t="b">
        <v>0</v>
      </c>
      <c r="AF436" s="80">
        <v>0</v>
      </c>
      <c r="AG436" s="85" t="s">
        <v>1635</v>
      </c>
      <c r="AH436" s="80" t="b">
        <v>0</v>
      </c>
      <c r="AI436" s="80" t="s">
        <v>1642</v>
      </c>
      <c r="AJ436" s="80"/>
      <c r="AK436" s="85" t="s">
        <v>1635</v>
      </c>
      <c r="AL436" s="80" t="b">
        <v>0</v>
      </c>
      <c r="AM436" s="80">
        <v>4</v>
      </c>
      <c r="AN436" s="85" t="s">
        <v>1473</v>
      </c>
      <c r="AO436" s="85" t="s">
        <v>1673</v>
      </c>
      <c r="AP436" s="80" t="b">
        <v>0</v>
      </c>
      <c r="AQ436" s="85" t="s">
        <v>1473</v>
      </c>
      <c r="AR436" s="80" t="s">
        <v>179</v>
      </c>
      <c r="AS436" s="80">
        <v>0</v>
      </c>
      <c r="AT436" s="80">
        <v>0</v>
      </c>
      <c r="AU436" s="80"/>
      <c r="AV436" s="80"/>
      <c r="AW436" s="80"/>
      <c r="AX436" s="80"/>
      <c r="AY436" s="80"/>
      <c r="AZ436" s="80"/>
      <c r="BA436" s="80"/>
      <c r="BB436" s="80"/>
    </row>
    <row r="437" spans="1:54" x14ac:dyDescent="0.25">
      <c r="A437" s="65" t="s">
        <v>357</v>
      </c>
      <c r="B437" s="65" t="s">
        <v>360</v>
      </c>
      <c r="C437" s="66"/>
      <c r="D437" s="67"/>
      <c r="E437" s="68"/>
      <c r="F437" s="69"/>
      <c r="G437" s="66"/>
      <c r="H437" s="70"/>
      <c r="I437" s="71"/>
      <c r="J437" s="71"/>
      <c r="K437" s="36" t="s">
        <v>65</v>
      </c>
      <c r="L437" s="78">
        <v>437</v>
      </c>
      <c r="M437" s="78"/>
      <c r="N437" s="73"/>
      <c r="O437" s="80" t="s">
        <v>415</v>
      </c>
      <c r="P437" s="82">
        <v>44632.675393518519</v>
      </c>
      <c r="Q437" s="80" t="s">
        <v>516</v>
      </c>
      <c r="R437" s="83" t="str">
        <f>HYPERLINK("https://digital.lib.buffalo.edu/collection/LIB-UA021/")</f>
        <v>https://digital.lib.buffalo.edu/collection/LIB-UA021/</v>
      </c>
      <c r="S437" s="80" t="s">
        <v>632</v>
      </c>
      <c r="T437" s="85" t="s">
        <v>665</v>
      </c>
      <c r="U437" s="83" t="str">
        <f>HYPERLINK("https://pbs.twimg.com/media/FNp9fYPXoAkTobt.jpg")</f>
        <v>https://pbs.twimg.com/media/FNp9fYPXoAkTobt.jpg</v>
      </c>
      <c r="V437" s="83" t="str">
        <f>HYPERLINK("https://pbs.twimg.com/media/FNp9fYPXoAkTobt.jpg")</f>
        <v>https://pbs.twimg.com/media/FNp9fYPXoAkTobt.jpg</v>
      </c>
      <c r="W437" s="82">
        <v>44632.675393518519</v>
      </c>
      <c r="X437" s="88">
        <v>44632</v>
      </c>
      <c r="Y437" s="85" t="s">
        <v>1027</v>
      </c>
      <c r="Z437" s="83" t="str">
        <f>HYPERLINK("https://twitter.com/ubuffalo/status/1502678947749928962")</f>
        <v>https://twitter.com/ubuffalo/status/1502678947749928962</v>
      </c>
      <c r="AA437" s="80"/>
      <c r="AB437" s="80"/>
      <c r="AC437" s="85" t="s">
        <v>1477</v>
      </c>
      <c r="AD437" s="80"/>
      <c r="AE437" s="80" t="b">
        <v>0</v>
      </c>
      <c r="AF437" s="80">
        <v>0</v>
      </c>
      <c r="AG437" s="85" t="s">
        <v>1635</v>
      </c>
      <c r="AH437" s="80" t="b">
        <v>0</v>
      </c>
      <c r="AI437" s="80" t="s">
        <v>1642</v>
      </c>
      <c r="AJ437" s="80"/>
      <c r="AK437" s="85" t="s">
        <v>1635</v>
      </c>
      <c r="AL437" s="80" t="b">
        <v>0</v>
      </c>
      <c r="AM437" s="80">
        <v>3</v>
      </c>
      <c r="AN437" s="85" t="s">
        <v>1474</v>
      </c>
      <c r="AO437" s="85" t="s">
        <v>1672</v>
      </c>
      <c r="AP437" s="80" t="b">
        <v>0</v>
      </c>
      <c r="AQ437" s="85" t="s">
        <v>1474</v>
      </c>
      <c r="AR437" s="80" t="s">
        <v>179</v>
      </c>
      <c r="AS437" s="80">
        <v>0</v>
      </c>
      <c r="AT437" s="80">
        <v>0</v>
      </c>
      <c r="AU437" s="80"/>
      <c r="AV437" s="80"/>
      <c r="AW437" s="80"/>
      <c r="AX437" s="80"/>
      <c r="AY437" s="80"/>
      <c r="AZ437" s="80"/>
      <c r="BA437" s="80"/>
      <c r="BB437" s="80"/>
    </row>
    <row r="438" spans="1:54" x14ac:dyDescent="0.25">
      <c r="A438" s="65" t="s">
        <v>361</v>
      </c>
      <c r="B438" s="65" t="s">
        <v>362</v>
      </c>
      <c r="C438" s="66"/>
      <c r="D438" s="67"/>
      <c r="E438" s="68"/>
      <c r="F438" s="69"/>
      <c r="G438" s="66"/>
      <c r="H438" s="70"/>
      <c r="I438" s="71"/>
      <c r="J438" s="71"/>
      <c r="K438" s="36" t="s">
        <v>65</v>
      </c>
      <c r="L438" s="78">
        <v>438</v>
      </c>
      <c r="M438" s="78"/>
      <c r="N438" s="73"/>
      <c r="O438" s="80" t="s">
        <v>415</v>
      </c>
      <c r="P438" s="82">
        <v>44631.904930555553</v>
      </c>
      <c r="Q438" s="80" t="s">
        <v>485</v>
      </c>
      <c r="R438" s="80"/>
      <c r="S438" s="80"/>
      <c r="T438" s="85" t="s">
        <v>692</v>
      </c>
      <c r="U438" s="83" t="str">
        <f>HYPERLINK("https://pbs.twimg.com/media/FNltHNJXoAA3lTB.jpg")</f>
        <v>https://pbs.twimg.com/media/FNltHNJXoAA3lTB.jpg</v>
      </c>
      <c r="V438" s="83" t="str">
        <f>HYPERLINK("https://pbs.twimg.com/media/FNltHNJXoAA3lTB.jpg")</f>
        <v>https://pbs.twimg.com/media/FNltHNJXoAA3lTB.jpg</v>
      </c>
      <c r="W438" s="82">
        <v>44631.904930555553</v>
      </c>
      <c r="X438" s="88">
        <v>44631</v>
      </c>
      <c r="Y438" s="85" t="s">
        <v>1028</v>
      </c>
      <c r="Z438" s="83" t="str">
        <f>HYPERLINK("https://twitter.com/ubcoachjack/status/1502399740754944003")</f>
        <v>https://twitter.com/ubcoachjack/status/1502399740754944003</v>
      </c>
      <c r="AA438" s="80"/>
      <c r="AB438" s="80"/>
      <c r="AC438" s="85" t="s">
        <v>1478</v>
      </c>
      <c r="AD438" s="80"/>
      <c r="AE438" s="80" t="b">
        <v>0</v>
      </c>
      <c r="AF438" s="80">
        <v>0</v>
      </c>
      <c r="AG438" s="85" t="s">
        <v>1635</v>
      </c>
      <c r="AH438" s="80" t="b">
        <v>0</v>
      </c>
      <c r="AI438" s="80" t="s">
        <v>1642</v>
      </c>
      <c r="AJ438" s="80"/>
      <c r="AK438" s="85" t="s">
        <v>1635</v>
      </c>
      <c r="AL438" s="80" t="b">
        <v>0</v>
      </c>
      <c r="AM438" s="80">
        <v>6</v>
      </c>
      <c r="AN438" s="85" t="s">
        <v>1496</v>
      </c>
      <c r="AO438" s="85" t="s">
        <v>1671</v>
      </c>
      <c r="AP438" s="80" t="b">
        <v>0</v>
      </c>
      <c r="AQ438" s="85" t="s">
        <v>1496</v>
      </c>
      <c r="AR438" s="80" t="s">
        <v>179</v>
      </c>
      <c r="AS438" s="80">
        <v>0</v>
      </c>
      <c r="AT438" s="80">
        <v>0</v>
      </c>
      <c r="AU438" s="80"/>
      <c r="AV438" s="80"/>
      <c r="AW438" s="80"/>
      <c r="AX438" s="80"/>
      <c r="AY438" s="80"/>
      <c r="AZ438" s="80"/>
      <c r="BA438" s="80"/>
      <c r="BB438" s="80"/>
    </row>
    <row r="439" spans="1:54" x14ac:dyDescent="0.25">
      <c r="A439" s="65" t="s">
        <v>357</v>
      </c>
      <c r="B439" s="65" t="s">
        <v>361</v>
      </c>
      <c r="C439" s="66"/>
      <c r="D439" s="67"/>
      <c r="E439" s="68"/>
      <c r="F439" s="69"/>
      <c r="G439" s="66"/>
      <c r="H439" s="70"/>
      <c r="I439" s="71"/>
      <c r="J439" s="71"/>
      <c r="K439" s="36" t="s">
        <v>65</v>
      </c>
      <c r="L439" s="78">
        <v>439</v>
      </c>
      <c r="M439" s="78"/>
      <c r="N439" s="73"/>
      <c r="O439" s="80" t="s">
        <v>416</v>
      </c>
      <c r="P439" s="82">
        <v>44632.76185185185</v>
      </c>
      <c r="Q439" s="80" t="s">
        <v>517</v>
      </c>
      <c r="R439" s="83" t="str">
        <f>HYPERLINK("https://twitter.com/UBwomenshoops/status/1502707861029326854")</f>
        <v>https://twitter.com/UBwomenshoops/status/1502707861029326854</v>
      </c>
      <c r="S439" s="80" t="s">
        <v>633</v>
      </c>
      <c r="T439" s="85" t="s">
        <v>357</v>
      </c>
      <c r="U439" s="80"/>
      <c r="V439" s="83" t="str">
        <f>HYPERLINK("https://pbs.twimg.com/profile_images/991327943317213185/Hgte82Vq_normal.jpg")</f>
        <v>https://pbs.twimg.com/profile_images/991327943317213185/Hgte82Vq_normal.jpg</v>
      </c>
      <c r="W439" s="82">
        <v>44632.76185185185</v>
      </c>
      <c r="X439" s="88">
        <v>44632</v>
      </c>
      <c r="Y439" s="85" t="s">
        <v>1029</v>
      </c>
      <c r="Z439" s="83" t="str">
        <f>HYPERLINK("https://twitter.com/ubuffalo/status/1502710282161999878")</f>
        <v>https://twitter.com/ubuffalo/status/1502710282161999878</v>
      </c>
      <c r="AA439" s="80"/>
      <c r="AB439" s="80"/>
      <c r="AC439" s="85" t="s">
        <v>1479</v>
      </c>
      <c r="AD439" s="80"/>
      <c r="AE439" s="80" t="b">
        <v>0</v>
      </c>
      <c r="AF439" s="80">
        <v>21</v>
      </c>
      <c r="AG439" s="85" t="s">
        <v>1635</v>
      </c>
      <c r="AH439" s="80" t="b">
        <v>1</v>
      </c>
      <c r="AI439" s="80" t="s">
        <v>1642</v>
      </c>
      <c r="AJ439" s="80"/>
      <c r="AK439" s="85" t="s">
        <v>1651</v>
      </c>
      <c r="AL439" s="80" t="b">
        <v>0</v>
      </c>
      <c r="AM439" s="80">
        <v>2</v>
      </c>
      <c r="AN439" s="85" t="s">
        <v>1635</v>
      </c>
      <c r="AO439" s="85" t="s">
        <v>1672</v>
      </c>
      <c r="AP439" s="80" t="b">
        <v>0</v>
      </c>
      <c r="AQ439" s="85" t="s">
        <v>1479</v>
      </c>
      <c r="AR439" s="80" t="s">
        <v>179</v>
      </c>
      <c r="AS439" s="80">
        <v>0</v>
      </c>
      <c r="AT439" s="80">
        <v>0</v>
      </c>
      <c r="AU439" s="80"/>
      <c r="AV439" s="80"/>
      <c r="AW439" s="80"/>
      <c r="AX439" s="80"/>
      <c r="AY439" s="80"/>
      <c r="AZ439" s="80"/>
      <c r="BA439" s="80"/>
      <c r="BB439" s="80"/>
    </row>
    <row r="440" spans="1:54" x14ac:dyDescent="0.25">
      <c r="A440" s="65" t="s">
        <v>353</v>
      </c>
      <c r="B440" s="65" t="s">
        <v>353</v>
      </c>
      <c r="C440" s="66"/>
      <c r="D440" s="67"/>
      <c r="E440" s="68"/>
      <c r="F440" s="69"/>
      <c r="G440" s="66"/>
      <c r="H440" s="70"/>
      <c r="I440" s="71"/>
      <c r="J440" s="71"/>
      <c r="K440" s="36" t="s">
        <v>65</v>
      </c>
      <c r="L440" s="78">
        <v>440</v>
      </c>
      <c r="M440" s="78"/>
      <c r="N440" s="73"/>
      <c r="O440" s="80" t="s">
        <v>179</v>
      </c>
      <c r="P440" s="82">
        <v>44626.532013888886</v>
      </c>
      <c r="Q440" s="80" t="s">
        <v>538</v>
      </c>
      <c r="R440" s="80"/>
      <c r="S440" s="80"/>
      <c r="T440" s="85" t="s">
        <v>705</v>
      </c>
      <c r="U440" s="83" t="str">
        <f>HYPERLINK("https://pbs.twimg.com/media/FNKtvP0XEAMd7cX.jpg")</f>
        <v>https://pbs.twimg.com/media/FNKtvP0XEAMd7cX.jpg</v>
      </c>
      <c r="V440" s="83" t="str">
        <f>HYPERLINK("https://pbs.twimg.com/media/FNKtvP0XEAMd7cX.jpg")</f>
        <v>https://pbs.twimg.com/media/FNKtvP0XEAMd7cX.jpg</v>
      </c>
      <c r="W440" s="82">
        <v>44626.532013888886</v>
      </c>
      <c r="X440" s="88">
        <v>44626</v>
      </c>
      <c r="Y440" s="85" t="s">
        <v>1030</v>
      </c>
      <c r="Z440" s="83" t="str">
        <f>HYPERLINK("https://twitter.com/ubalumni/status/1500452663518978050")</f>
        <v>https://twitter.com/ubalumni/status/1500452663518978050</v>
      </c>
      <c r="AA440" s="80"/>
      <c r="AB440" s="80"/>
      <c r="AC440" s="85" t="s">
        <v>1480</v>
      </c>
      <c r="AD440" s="80"/>
      <c r="AE440" s="80" t="b">
        <v>0</v>
      </c>
      <c r="AF440" s="80">
        <v>2</v>
      </c>
      <c r="AG440" s="85" t="s">
        <v>1635</v>
      </c>
      <c r="AH440" s="80" t="b">
        <v>0</v>
      </c>
      <c r="AI440" s="80" t="s">
        <v>1642</v>
      </c>
      <c r="AJ440" s="80"/>
      <c r="AK440" s="85" t="s">
        <v>1635</v>
      </c>
      <c r="AL440" s="80" t="b">
        <v>0</v>
      </c>
      <c r="AM440" s="80">
        <v>1</v>
      </c>
      <c r="AN440" s="85" t="s">
        <v>1635</v>
      </c>
      <c r="AO440" s="85" t="s">
        <v>1679</v>
      </c>
      <c r="AP440" s="80" t="b">
        <v>0</v>
      </c>
      <c r="AQ440" s="85" t="s">
        <v>1480</v>
      </c>
      <c r="AR440" s="80" t="s">
        <v>415</v>
      </c>
      <c r="AS440" s="80">
        <v>0</v>
      </c>
      <c r="AT440" s="80">
        <v>0</v>
      </c>
      <c r="AU440" s="80"/>
      <c r="AV440" s="80"/>
      <c r="AW440" s="80"/>
      <c r="AX440" s="80"/>
      <c r="AY440" s="80"/>
      <c r="AZ440" s="80"/>
      <c r="BA440" s="80"/>
      <c r="BB440" s="80"/>
    </row>
    <row r="441" spans="1:54" x14ac:dyDescent="0.25">
      <c r="A441" s="65" t="s">
        <v>353</v>
      </c>
      <c r="B441" s="65" t="s">
        <v>353</v>
      </c>
      <c r="C441" s="66"/>
      <c r="D441" s="67"/>
      <c r="E441" s="68"/>
      <c r="F441" s="69"/>
      <c r="G441" s="66"/>
      <c r="H441" s="70"/>
      <c r="I441" s="71"/>
      <c r="J441" s="71"/>
      <c r="K441" s="36" t="s">
        <v>65</v>
      </c>
      <c r="L441" s="78">
        <v>441</v>
      </c>
      <c r="M441" s="78"/>
      <c r="N441" s="73"/>
      <c r="O441" s="80" t="s">
        <v>179</v>
      </c>
      <c r="P441" s="82">
        <v>44626.031944444447</v>
      </c>
      <c r="Q441" s="80" t="s">
        <v>421</v>
      </c>
      <c r="R441" s="83" t="str">
        <f>HYPERLINK("https://www.youtube.com/watch?v=tTU9qOZlGks&amp;linkId=100000113767931")</f>
        <v>https://www.youtube.com/watch?v=tTU9qOZlGks&amp;linkId=100000113767931</v>
      </c>
      <c r="S441" s="80" t="s">
        <v>634</v>
      </c>
      <c r="T441" s="85" t="s">
        <v>357</v>
      </c>
      <c r="U441" s="80"/>
      <c r="V441" s="83" t="str">
        <f>HYPERLINK("https://pbs.twimg.com/profile_images/1060537291154878469/YDggWrP4_normal.jpg")</f>
        <v>https://pbs.twimg.com/profile_images/1060537291154878469/YDggWrP4_normal.jpg</v>
      </c>
      <c r="W441" s="82">
        <v>44626.031944444447</v>
      </c>
      <c r="X441" s="88">
        <v>44626</v>
      </c>
      <c r="Y441" s="85" t="s">
        <v>1031</v>
      </c>
      <c r="Z441" s="83" t="str">
        <f>HYPERLINK("https://twitter.com/ubalumni/status/1500271443057295360")</f>
        <v>https://twitter.com/ubalumni/status/1500271443057295360</v>
      </c>
      <c r="AA441" s="80"/>
      <c r="AB441" s="80"/>
      <c r="AC441" s="85" t="s">
        <v>1481</v>
      </c>
      <c r="AD441" s="80"/>
      <c r="AE441" s="80" t="b">
        <v>0</v>
      </c>
      <c r="AF441" s="80">
        <v>6</v>
      </c>
      <c r="AG441" s="85" t="s">
        <v>1635</v>
      </c>
      <c r="AH441" s="80" t="b">
        <v>0</v>
      </c>
      <c r="AI441" s="80" t="s">
        <v>1642</v>
      </c>
      <c r="AJ441" s="80"/>
      <c r="AK441" s="85" t="s">
        <v>1635</v>
      </c>
      <c r="AL441" s="80" t="b">
        <v>0</v>
      </c>
      <c r="AM441" s="80">
        <v>4</v>
      </c>
      <c r="AN441" s="85" t="s">
        <v>1635</v>
      </c>
      <c r="AO441" s="85" t="s">
        <v>1679</v>
      </c>
      <c r="AP441" s="80" t="b">
        <v>0</v>
      </c>
      <c r="AQ441" s="85" t="s">
        <v>1481</v>
      </c>
      <c r="AR441" s="80" t="s">
        <v>415</v>
      </c>
      <c r="AS441" s="80">
        <v>0</v>
      </c>
      <c r="AT441" s="80">
        <v>0</v>
      </c>
      <c r="AU441" s="80"/>
      <c r="AV441" s="80"/>
      <c r="AW441" s="80"/>
      <c r="AX441" s="80"/>
      <c r="AY441" s="80"/>
      <c r="AZ441" s="80"/>
      <c r="BA441" s="80"/>
      <c r="BB441" s="80"/>
    </row>
    <row r="442" spans="1:54" x14ac:dyDescent="0.25">
      <c r="A442" s="65" t="s">
        <v>353</v>
      </c>
      <c r="B442" s="65" t="s">
        <v>353</v>
      </c>
      <c r="C442" s="66"/>
      <c r="D442" s="67"/>
      <c r="E442" s="68"/>
      <c r="F442" s="69"/>
      <c r="G442" s="66"/>
      <c r="H442" s="70"/>
      <c r="I442" s="71"/>
      <c r="J442" s="71"/>
      <c r="K442" s="36" t="s">
        <v>65</v>
      </c>
      <c r="L442" s="78">
        <v>442</v>
      </c>
      <c r="M442" s="78"/>
      <c r="N442" s="73"/>
      <c r="O442" s="80" t="s">
        <v>179</v>
      </c>
      <c r="P442" s="82">
        <v>44626.073692129627</v>
      </c>
      <c r="Q442" s="80" t="s">
        <v>539</v>
      </c>
      <c r="R442" s="80"/>
      <c r="S442" s="80"/>
      <c r="T442" s="85" t="s">
        <v>671</v>
      </c>
      <c r="U442" s="83" t="str">
        <f>HYPERLINK("https://pbs.twimg.com/tweet_video_thumb/FNIWqmbXIAAHU3p.jpg")</f>
        <v>https://pbs.twimg.com/tweet_video_thumb/FNIWqmbXIAAHU3p.jpg</v>
      </c>
      <c r="V442" s="83" t="str">
        <f>HYPERLINK("https://pbs.twimg.com/tweet_video_thumb/FNIWqmbXIAAHU3p.jpg")</f>
        <v>https://pbs.twimg.com/tweet_video_thumb/FNIWqmbXIAAHU3p.jpg</v>
      </c>
      <c r="W442" s="82">
        <v>44626.073692129627</v>
      </c>
      <c r="X442" s="88">
        <v>44626</v>
      </c>
      <c r="Y442" s="85" t="s">
        <v>1032</v>
      </c>
      <c r="Z442" s="83" t="str">
        <f>HYPERLINK("https://twitter.com/ubalumni/status/1500286573174267904")</f>
        <v>https://twitter.com/ubalumni/status/1500286573174267904</v>
      </c>
      <c r="AA442" s="80"/>
      <c r="AB442" s="80"/>
      <c r="AC442" s="85" t="s">
        <v>1482</v>
      </c>
      <c r="AD442" s="80"/>
      <c r="AE442" s="80" t="b">
        <v>0</v>
      </c>
      <c r="AF442" s="80">
        <v>6</v>
      </c>
      <c r="AG442" s="85" t="s">
        <v>1635</v>
      </c>
      <c r="AH442" s="80" t="b">
        <v>0</v>
      </c>
      <c r="AI442" s="80" t="s">
        <v>1642</v>
      </c>
      <c r="AJ442" s="80"/>
      <c r="AK442" s="85" t="s">
        <v>1635</v>
      </c>
      <c r="AL442" s="80" t="b">
        <v>0</v>
      </c>
      <c r="AM442" s="80">
        <v>3</v>
      </c>
      <c r="AN442" s="85" t="s">
        <v>1635</v>
      </c>
      <c r="AO442" s="85" t="s">
        <v>1679</v>
      </c>
      <c r="AP442" s="80" t="b">
        <v>0</v>
      </c>
      <c r="AQ442" s="85" t="s">
        <v>1482</v>
      </c>
      <c r="AR442" s="80" t="s">
        <v>415</v>
      </c>
      <c r="AS442" s="80">
        <v>0</v>
      </c>
      <c r="AT442" s="80">
        <v>0</v>
      </c>
      <c r="AU442" s="80"/>
      <c r="AV442" s="80"/>
      <c r="AW442" s="80"/>
      <c r="AX442" s="80"/>
      <c r="AY442" s="80"/>
      <c r="AZ442" s="80"/>
      <c r="BA442" s="80"/>
      <c r="BB442" s="80"/>
    </row>
    <row r="443" spans="1:54" x14ac:dyDescent="0.25">
      <c r="A443" s="65" t="s">
        <v>353</v>
      </c>
      <c r="B443" s="65" t="s">
        <v>353</v>
      </c>
      <c r="C443" s="66"/>
      <c r="D443" s="67"/>
      <c r="E443" s="68"/>
      <c r="F443" s="69"/>
      <c r="G443" s="66"/>
      <c r="H443" s="70"/>
      <c r="I443" s="71"/>
      <c r="J443" s="71"/>
      <c r="K443" s="36" t="s">
        <v>65</v>
      </c>
      <c r="L443" s="78">
        <v>443</v>
      </c>
      <c r="M443" s="78"/>
      <c r="N443" s="73"/>
      <c r="O443" s="80" t="s">
        <v>179</v>
      </c>
      <c r="P443" s="82">
        <v>44626.702777777777</v>
      </c>
      <c r="Q443" s="80" t="s">
        <v>427</v>
      </c>
      <c r="R443" s="83" t="str">
        <f>HYPERLINK("http://www.buffalo.edu/alumni/get-involved/fast46.html?utm_source=TWITTER&amp;utm_medium=social&amp;utm_term=20220306&amp;utm_content=100002954388711&amp;utm_campaign=General+Content&amp;linkId=100000113770589")</f>
        <v>http://www.buffalo.edu/alumni/get-involved/fast46.html?utm_source=TWITTER&amp;utm_medium=social&amp;utm_term=20220306&amp;utm_content=100002954388711&amp;utm_campaign=General+Content&amp;linkId=100000113770589</v>
      </c>
      <c r="S443" s="80" t="s">
        <v>632</v>
      </c>
      <c r="T443" s="85" t="s">
        <v>357</v>
      </c>
      <c r="U443" s="80"/>
      <c r="V443" s="83" t="str">
        <f>HYPERLINK("https://pbs.twimg.com/profile_images/1060537291154878469/YDggWrP4_normal.jpg")</f>
        <v>https://pbs.twimg.com/profile_images/1060537291154878469/YDggWrP4_normal.jpg</v>
      </c>
      <c r="W443" s="82">
        <v>44626.702777777777</v>
      </c>
      <c r="X443" s="88">
        <v>44626</v>
      </c>
      <c r="Y443" s="85" t="s">
        <v>1033</v>
      </c>
      <c r="Z443" s="83" t="str">
        <f>HYPERLINK("https://twitter.com/ubalumni/status/1500514544254427146")</f>
        <v>https://twitter.com/ubalumni/status/1500514544254427146</v>
      </c>
      <c r="AA443" s="80"/>
      <c r="AB443" s="80"/>
      <c r="AC443" s="85" t="s">
        <v>1483</v>
      </c>
      <c r="AD443" s="80"/>
      <c r="AE443" s="80" t="b">
        <v>0</v>
      </c>
      <c r="AF443" s="80">
        <v>5</v>
      </c>
      <c r="AG443" s="85" t="s">
        <v>1635</v>
      </c>
      <c r="AH443" s="80" t="b">
        <v>0</v>
      </c>
      <c r="AI443" s="80" t="s">
        <v>1642</v>
      </c>
      <c r="AJ443" s="80"/>
      <c r="AK443" s="85" t="s">
        <v>1635</v>
      </c>
      <c r="AL443" s="80" t="b">
        <v>0</v>
      </c>
      <c r="AM443" s="80">
        <v>3</v>
      </c>
      <c r="AN443" s="85" t="s">
        <v>1635</v>
      </c>
      <c r="AO443" s="85" t="s">
        <v>1679</v>
      </c>
      <c r="AP443" s="80" t="b">
        <v>0</v>
      </c>
      <c r="AQ443" s="85" t="s">
        <v>1483</v>
      </c>
      <c r="AR443" s="80" t="s">
        <v>179</v>
      </c>
      <c r="AS443" s="80">
        <v>0</v>
      </c>
      <c r="AT443" s="80">
        <v>0</v>
      </c>
      <c r="AU443" s="80"/>
      <c r="AV443" s="80"/>
      <c r="AW443" s="80"/>
      <c r="AX443" s="80"/>
      <c r="AY443" s="80"/>
      <c r="AZ443" s="80"/>
      <c r="BA443" s="80"/>
      <c r="BB443" s="80"/>
    </row>
    <row r="444" spans="1:54" x14ac:dyDescent="0.25">
      <c r="A444" s="65" t="s">
        <v>353</v>
      </c>
      <c r="B444" s="65" t="s">
        <v>353</v>
      </c>
      <c r="C444" s="66"/>
      <c r="D444" s="67"/>
      <c r="E444" s="68"/>
      <c r="F444" s="69"/>
      <c r="G444" s="66"/>
      <c r="H444" s="70"/>
      <c r="I444" s="71"/>
      <c r="J444" s="71"/>
      <c r="K444" s="36" t="s">
        <v>65</v>
      </c>
      <c r="L444" s="78">
        <v>444</v>
      </c>
      <c r="M444" s="78"/>
      <c r="N444" s="73"/>
      <c r="O444" s="80" t="s">
        <v>415</v>
      </c>
      <c r="P444" s="82">
        <v>44627.577870370369</v>
      </c>
      <c r="Q444" s="80" t="s">
        <v>539</v>
      </c>
      <c r="R444" s="80"/>
      <c r="S444" s="80"/>
      <c r="T444" s="85" t="s">
        <v>671</v>
      </c>
      <c r="U444" s="83" t="str">
        <f>HYPERLINK("https://pbs.twimg.com/tweet_video_thumb/FNIWqmbXIAAHU3p.jpg")</f>
        <v>https://pbs.twimg.com/tweet_video_thumb/FNIWqmbXIAAHU3p.jpg</v>
      </c>
      <c r="V444" s="83" t="str">
        <f>HYPERLINK("https://pbs.twimg.com/tweet_video_thumb/FNIWqmbXIAAHU3p.jpg")</f>
        <v>https://pbs.twimg.com/tweet_video_thumb/FNIWqmbXIAAHU3p.jpg</v>
      </c>
      <c r="W444" s="82">
        <v>44627.577870370369</v>
      </c>
      <c r="X444" s="88">
        <v>44627</v>
      </c>
      <c r="Y444" s="85" t="s">
        <v>1034</v>
      </c>
      <c r="Z444" s="83" t="str">
        <f>HYPERLINK("https://twitter.com/ubalumni/status/1500831668369776641")</f>
        <v>https://twitter.com/ubalumni/status/1500831668369776641</v>
      </c>
      <c r="AA444" s="80"/>
      <c r="AB444" s="80"/>
      <c r="AC444" s="85" t="s">
        <v>1484</v>
      </c>
      <c r="AD444" s="80"/>
      <c r="AE444" s="80" t="b">
        <v>0</v>
      </c>
      <c r="AF444" s="80">
        <v>0</v>
      </c>
      <c r="AG444" s="85" t="s">
        <v>1635</v>
      </c>
      <c r="AH444" s="80" t="b">
        <v>0</v>
      </c>
      <c r="AI444" s="80" t="s">
        <v>1642</v>
      </c>
      <c r="AJ444" s="80"/>
      <c r="AK444" s="85" t="s">
        <v>1635</v>
      </c>
      <c r="AL444" s="80" t="b">
        <v>0</v>
      </c>
      <c r="AM444" s="80">
        <v>3</v>
      </c>
      <c r="AN444" s="85" t="s">
        <v>1482</v>
      </c>
      <c r="AO444" s="85" t="s">
        <v>1672</v>
      </c>
      <c r="AP444" s="80" t="b">
        <v>0</v>
      </c>
      <c r="AQ444" s="85" t="s">
        <v>1482</v>
      </c>
      <c r="AR444" s="80" t="s">
        <v>179</v>
      </c>
      <c r="AS444" s="80">
        <v>0</v>
      </c>
      <c r="AT444" s="80">
        <v>0</v>
      </c>
      <c r="AU444" s="80"/>
      <c r="AV444" s="80"/>
      <c r="AW444" s="80"/>
      <c r="AX444" s="80"/>
      <c r="AY444" s="80"/>
      <c r="AZ444" s="80"/>
      <c r="BA444" s="80"/>
      <c r="BB444" s="80"/>
    </row>
    <row r="445" spans="1:54" x14ac:dyDescent="0.25">
      <c r="A445" s="65" t="s">
        <v>353</v>
      </c>
      <c r="B445" s="65" t="s">
        <v>385</v>
      </c>
      <c r="C445" s="66"/>
      <c r="D445" s="67"/>
      <c r="E445" s="68"/>
      <c r="F445" s="69"/>
      <c r="G445" s="66"/>
      <c r="H445" s="70"/>
      <c r="I445" s="71"/>
      <c r="J445" s="71"/>
      <c r="K445" s="36" t="s">
        <v>65</v>
      </c>
      <c r="L445" s="78">
        <v>445</v>
      </c>
      <c r="M445" s="78"/>
      <c r="N445" s="73"/>
      <c r="O445" s="80" t="s">
        <v>416</v>
      </c>
      <c r="P445" s="82">
        <v>44627.69872685185</v>
      </c>
      <c r="Q445" s="80" t="s">
        <v>426</v>
      </c>
      <c r="R445" s="83" t="str">
        <f>HYPERLINK("https://ubbulls.com/sports/2022/2/24/mac-basketball-2022.aspx?linkId=100000113931700")</f>
        <v>https://ubbulls.com/sports/2022/2/24/mac-basketball-2022.aspx?linkId=100000113931700</v>
      </c>
      <c r="S445" s="80" t="s">
        <v>638</v>
      </c>
      <c r="T445" s="85" t="s">
        <v>665</v>
      </c>
      <c r="U445" s="83" t="str">
        <f>HYPERLINK("https://pbs.twimg.com/media/FNQuP6DXsAUvTIT.jpg")</f>
        <v>https://pbs.twimg.com/media/FNQuP6DXsAUvTIT.jpg</v>
      </c>
      <c r="V445" s="83" t="str">
        <f>HYPERLINK("https://pbs.twimg.com/media/FNQuP6DXsAUvTIT.jpg")</f>
        <v>https://pbs.twimg.com/media/FNQuP6DXsAUvTIT.jpg</v>
      </c>
      <c r="W445" s="82">
        <v>44627.69872685185</v>
      </c>
      <c r="X445" s="88">
        <v>44627</v>
      </c>
      <c r="Y445" s="85" t="s">
        <v>973</v>
      </c>
      <c r="Z445" s="83" t="str">
        <f>HYPERLINK("https://twitter.com/ubalumni/status/1500875464071647237")</f>
        <v>https://twitter.com/ubalumni/status/1500875464071647237</v>
      </c>
      <c r="AA445" s="80"/>
      <c r="AB445" s="80"/>
      <c r="AC445" s="85" t="s">
        <v>1423</v>
      </c>
      <c r="AD445" s="80"/>
      <c r="AE445" s="80" t="b">
        <v>0</v>
      </c>
      <c r="AF445" s="80">
        <v>16</v>
      </c>
      <c r="AG445" s="85" t="s">
        <v>1635</v>
      </c>
      <c r="AH445" s="80" t="b">
        <v>0</v>
      </c>
      <c r="AI445" s="80" t="s">
        <v>1642</v>
      </c>
      <c r="AJ445" s="80"/>
      <c r="AK445" s="85" t="s">
        <v>1635</v>
      </c>
      <c r="AL445" s="80" t="b">
        <v>0</v>
      </c>
      <c r="AM445" s="80">
        <v>5</v>
      </c>
      <c r="AN445" s="85" t="s">
        <v>1635</v>
      </c>
      <c r="AO445" s="85" t="s">
        <v>1679</v>
      </c>
      <c r="AP445" s="80" t="b">
        <v>0</v>
      </c>
      <c r="AQ445" s="85" t="s">
        <v>1423</v>
      </c>
      <c r="AR445" s="80" t="s">
        <v>179</v>
      </c>
      <c r="AS445" s="80">
        <v>0</v>
      </c>
      <c r="AT445" s="80">
        <v>0</v>
      </c>
      <c r="AU445" s="80"/>
      <c r="AV445" s="80"/>
      <c r="AW445" s="80"/>
      <c r="AX445" s="80"/>
      <c r="AY445" s="80"/>
      <c r="AZ445" s="80"/>
      <c r="BA445" s="80"/>
      <c r="BB445" s="80"/>
    </row>
    <row r="446" spans="1:54" x14ac:dyDescent="0.25">
      <c r="A446" s="65" t="s">
        <v>353</v>
      </c>
      <c r="B446" s="65" t="s">
        <v>353</v>
      </c>
      <c r="C446" s="66"/>
      <c r="D446" s="67"/>
      <c r="E446" s="68"/>
      <c r="F446" s="69"/>
      <c r="G446" s="66"/>
      <c r="H446" s="70"/>
      <c r="I446" s="71"/>
      <c r="J446" s="71"/>
      <c r="K446" s="36" t="s">
        <v>65</v>
      </c>
      <c r="L446" s="78">
        <v>446</v>
      </c>
      <c r="M446" s="78"/>
      <c r="N446" s="73"/>
      <c r="O446" s="80" t="s">
        <v>179</v>
      </c>
      <c r="P446" s="82">
        <v>44628.531956018516</v>
      </c>
      <c r="Q446" s="80" t="s">
        <v>568</v>
      </c>
      <c r="R446" s="83" t="str">
        <f>HYPERLINK("https://www.buffalo.edu/womeninstem.html?utm_source=TWITTER&amp;utm_medium=social&amp;utm_term=20220308&amp;utm_content=100002956750833&amp;utm_campaign=General+Content&amp;linkId=100000113932026")</f>
        <v>https://www.buffalo.edu/womeninstem.html?utm_source=TWITTER&amp;utm_medium=social&amp;utm_term=20220308&amp;utm_content=100002956750833&amp;utm_campaign=General+Content&amp;linkId=100000113932026</v>
      </c>
      <c r="S446" s="80" t="s">
        <v>632</v>
      </c>
      <c r="T446" s="85" t="s">
        <v>717</v>
      </c>
      <c r="U446" s="83" t="str">
        <f>HYPERLINK("https://pbs.twimg.com/media/FNVA6CnXsAAivu3.jpg")</f>
        <v>https://pbs.twimg.com/media/FNVA6CnXsAAivu3.jpg</v>
      </c>
      <c r="V446" s="83" t="str">
        <f>HYPERLINK("https://pbs.twimg.com/media/FNVA6CnXsAAivu3.jpg")</f>
        <v>https://pbs.twimg.com/media/FNVA6CnXsAAivu3.jpg</v>
      </c>
      <c r="W446" s="82">
        <v>44628.531956018516</v>
      </c>
      <c r="X446" s="88">
        <v>44628</v>
      </c>
      <c r="Y446" s="85" t="s">
        <v>975</v>
      </c>
      <c r="Z446" s="83" t="str">
        <f>HYPERLINK("https://twitter.com/ubalumni/status/1501177419033677830")</f>
        <v>https://twitter.com/ubalumni/status/1501177419033677830</v>
      </c>
      <c r="AA446" s="80"/>
      <c r="AB446" s="80"/>
      <c r="AC446" s="85" t="s">
        <v>1485</v>
      </c>
      <c r="AD446" s="80"/>
      <c r="AE446" s="80" t="b">
        <v>0</v>
      </c>
      <c r="AF446" s="80">
        <v>4</v>
      </c>
      <c r="AG446" s="85" t="s">
        <v>1635</v>
      </c>
      <c r="AH446" s="80" t="b">
        <v>0</v>
      </c>
      <c r="AI446" s="80" t="s">
        <v>1642</v>
      </c>
      <c r="AJ446" s="80"/>
      <c r="AK446" s="85" t="s">
        <v>1635</v>
      </c>
      <c r="AL446" s="80" t="b">
        <v>0</v>
      </c>
      <c r="AM446" s="80">
        <v>0</v>
      </c>
      <c r="AN446" s="85" t="s">
        <v>1635</v>
      </c>
      <c r="AO446" s="85" t="s">
        <v>1679</v>
      </c>
      <c r="AP446" s="80" t="b">
        <v>0</v>
      </c>
      <c r="AQ446" s="85" t="s">
        <v>1485</v>
      </c>
      <c r="AR446" s="80" t="s">
        <v>179</v>
      </c>
      <c r="AS446" s="80">
        <v>0</v>
      </c>
      <c r="AT446" s="80">
        <v>0</v>
      </c>
      <c r="AU446" s="80"/>
      <c r="AV446" s="80"/>
      <c r="AW446" s="80"/>
      <c r="AX446" s="80"/>
      <c r="AY446" s="80"/>
      <c r="AZ446" s="80"/>
      <c r="BA446" s="80"/>
      <c r="BB446" s="80"/>
    </row>
    <row r="447" spans="1:54" x14ac:dyDescent="0.25">
      <c r="A447" s="65" t="s">
        <v>353</v>
      </c>
      <c r="B447" s="65" t="s">
        <v>357</v>
      </c>
      <c r="C447" s="66"/>
      <c r="D447" s="67"/>
      <c r="E447" s="68"/>
      <c r="F447" s="69"/>
      <c r="G447" s="66"/>
      <c r="H447" s="70"/>
      <c r="I447" s="71"/>
      <c r="J447" s="71"/>
      <c r="K447" s="36" t="s">
        <v>66</v>
      </c>
      <c r="L447" s="78">
        <v>447</v>
      </c>
      <c r="M447" s="78"/>
      <c r="N447" s="73"/>
      <c r="O447" s="80" t="s">
        <v>415</v>
      </c>
      <c r="P447" s="82">
        <v>44628.877430555556</v>
      </c>
      <c r="Q447" s="80" t="s">
        <v>433</v>
      </c>
      <c r="R447" s="80"/>
      <c r="S447" s="80"/>
      <c r="T447" s="85" t="s">
        <v>668</v>
      </c>
      <c r="U447" s="83" t="str">
        <f>HYPERLINK("https://pbs.twimg.com/amplify_video_thumb/1501188997695127554/img/suC8e3aV3xiZEsCE.jpg")</f>
        <v>https://pbs.twimg.com/amplify_video_thumb/1501188997695127554/img/suC8e3aV3xiZEsCE.jpg</v>
      </c>
      <c r="V447" s="83" t="str">
        <f>HYPERLINK("https://pbs.twimg.com/amplify_video_thumb/1501188997695127554/img/suC8e3aV3xiZEsCE.jpg")</f>
        <v>https://pbs.twimg.com/amplify_video_thumb/1501188997695127554/img/suC8e3aV3xiZEsCE.jpg</v>
      </c>
      <c r="W447" s="82">
        <v>44628.877430555556</v>
      </c>
      <c r="X447" s="88">
        <v>44628</v>
      </c>
      <c r="Y447" s="85" t="s">
        <v>1035</v>
      </c>
      <c r="Z447" s="83" t="str">
        <f>HYPERLINK("https://twitter.com/ubalumni/status/1501302615245672448")</f>
        <v>https://twitter.com/ubalumni/status/1501302615245672448</v>
      </c>
      <c r="AA447" s="80"/>
      <c r="AB447" s="80"/>
      <c r="AC447" s="85" t="s">
        <v>1486</v>
      </c>
      <c r="AD447" s="80"/>
      <c r="AE447" s="80" t="b">
        <v>0</v>
      </c>
      <c r="AF447" s="80">
        <v>0</v>
      </c>
      <c r="AG447" s="85" t="s">
        <v>1635</v>
      </c>
      <c r="AH447" s="80" t="b">
        <v>0</v>
      </c>
      <c r="AI447" s="80" t="s">
        <v>1642</v>
      </c>
      <c r="AJ447" s="80"/>
      <c r="AK447" s="85" t="s">
        <v>1635</v>
      </c>
      <c r="AL447" s="80" t="b">
        <v>0</v>
      </c>
      <c r="AM447" s="80">
        <v>10</v>
      </c>
      <c r="AN447" s="85" t="s">
        <v>1616</v>
      </c>
      <c r="AO447" s="85" t="s">
        <v>1672</v>
      </c>
      <c r="AP447" s="80" t="b">
        <v>0</v>
      </c>
      <c r="AQ447" s="85" t="s">
        <v>1616</v>
      </c>
      <c r="AR447" s="80" t="s">
        <v>179</v>
      </c>
      <c r="AS447" s="80">
        <v>0</v>
      </c>
      <c r="AT447" s="80">
        <v>0</v>
      </c>
      <c r="AU447" s="80"/>
      <c r="AV447" s="80"/>
      <c r="AW447" s="80"/>
      <c r="AX447" s="80"/>
      <c r="AY447" s="80"/>
      <c r="AZ447" s="80"/>
      <c r="BA447" s="80"/>
      <c r="BB447" s="80"/>
    </row>
    <row r="448" spans="1:54" x14ac:dyDescent="0.25">
      <c r="A448" s="65" t="s">
        <v>353</v>
      </c>
      <c r="B448" s="65" t="s">
        <v>353</v>
      </c>
      <c r="C448" s="66"/>
      <c r="D448" s="67"/>
      <c r="E448" s="68"/>
      <c r="F448" s="69"/>
      <c r="G448" s="66"/>
      <c r="H448" s="70"/>
      <c r="I448" s="71"/>
      <c r="J448" s="71"/>
      <c r="K448" s="36" t="s">
        <v>65</v>
      </c>
      <c r="L448" s="78">
        <v>448</v>
      </c>
      <c r="M448" s="78"/>
      <c r="N448" s="73"/>
      <c r="O448" s="80" t="s">
        <v>179</v>
      </c>
      <c r="P448" s="82">
        <v>44629.906956018516</v>
      </c>
      <c r="Q448" s="80" t="s">
        <v>452</v>
      </c>
      <c r="R448" s="83" t="str">
        <f>HYPERLINK("http://www.buffalo.edu/alumni/get-involved/fast46.html?utm_source=TWITTER&amp;utm_medium=social&amp;utm_term=20220309&amp;utm_content=100002931127566&amp;utm_campaign=General+Content&amp;linkId=100000111934986")</f>
        <v>http://www.buffalo.edu/alumni/get-involved/fast46.html?utm_source=TWITTER&amp;utm_medium=social&amp;utm_term=20220309&amp;utm_content=100002931127566&amp;utm_campaign=General+Content&amp;linkId=100000111934986</v>
      </c>
      <c r="S448" s="80" t="s">
        <v>632</v>
      </c>
      <c r="T448" s="85" t="s">
        <v>357</v>
      </c>
      <c r="U448" s="83" t="str">
        <f>HYPERLINK("https://pbs.twimg.com/media/FNcGF5aXMAYGdDO.jpg")</f>
        <v>https://pbs.twimg.com/media/FNcGF5aXMAYGdDO.jpg</v>
      </c>
      <c r="V448" s="83" t="str">
        <f>HYPERLINK("https://pbs.twimg.com/media/FNcGF5aXMAYGdDO.jpg")</f>
        <v>https://pbs.twimg.com/media/FNcGF5aXMAYGdDO.jpg</v>
      </c>
      <c r="W448" s="82">
        <v>44629.906956018516</v>
      </c>
      <c r="X448" s="88">
        <v>44629</v>
      </c>
      <c r="Y448" s="85" t="s">
        <v>1036</v>
      </c>
      <c r="Z448" s="83" t="str">
        <f>HYPERLINK("https://twitter.com/ubalumni/status/1501675702248251395")</f>
        <v>https://twitter.com/ubalumni/status/1501675702248251395</v>
      </c>
      <c r="AA448" s="80"/>
      <c r="AB448" s="80"/>
      <c r="AC448" s="85" t="s">
        <v>1487</v>
      </c>
      <c r="AD448" s="80"/>
      <c r="AE448" s="80" t="b">
        <v>0</v>
      </c>
      <c r="AF448" s="80">
        <v>2</v>
      </c>
      <c r="AG448" s="85" t="s">
        <v>1635</v>
      </c>
      <c r="AH448" s="80" t="b">
        <v>0</v>
      </c>
      <c r="AI448" s="80" t="s">
        <v>1642</v>
      </c>
      <c r="AJ448" s="80"/>
      <c r="AK448" s="85" t="s">
        <v>1635</v>
      </c>
      <c r="AL448" s="80" t="b">
        <v>0</v>
      </c>
      <c r="AM448" s="80">
        <v>1</v>
      </c>
      <c r="AN448" s="85" t="s">
        <v>1635</v>
      </c>
      <c r="AO448" s="85" t="s">
        <v>1679</v>
      </c>
      <c r="AP448" s="80" t="b">
        <v>0</v>
      </c>
      <c r="AQ448" s="85" t="s">
        <v>1487</v>
      </c>
      <c r="AR448" s="80" t="s">
        <v>179</v>
      </c>
      <c r="AS448" s="80">
        <v>0</v>
      </c>
      <c r="AT448" s="80">
        <v>0</v>
      </c>
      <c r="AU448" s="80"/>
      <c r="AV448" s="80"/>
      <c r="AW448" s="80"/>
      <c r="AX448" s="80"/>
      <c r="AY448" s="80"/>
      <c r="AZ448" s="80"/>
      <c r="BA448" s="80"/>
      <c r="BB448" s="80"/>
    </row>
    <row r="449" spans="1:54" x14ac:dyDescent="0.25">
      <c r="A449" s="65" t="s">
        <v>353</v>
      </c>
      <c r="B449" s="65" t="s">
        <v>353</v>
      </c>
      <c r="C449" s="66"/>
      <c r="D449" s="67"/>
      <c r="E449" s="68"/>
      <c r="F449" s="69"/>
      <c r="G449" s="66"/>
      <c r="H449" s="70"/>
      <c r="I449" s="71"/>
      <c r="J449" s="71"/>
      <c r="K449" s="36" t="s">
        <v>65</v>
      </c>
      <c r="L449" s="78">
        <v>449</v>
      </c>
      <c r="M449" s="78"/>
      <c r="N449" s="73"/>
      <c r="O449" s="80" t="s">
        <v>179</v>
      </c>
      <c r="P449" s="82">
        <v>44632.532060185185</v>
      </c>
      <c r="Q449" s="80" t="s">
        <v>488</v>
      </c>
      <c r="R449" s="80"/>
      <c r="S449" s="80"/>
      <c r="T449" s="85" t="s">
        <v>357</v>
      </c>
      <c r="U449" s="83" t="str">
        <f>HYPERLINK("https://pbs.twimg.com/media/FNpnS6UWUAAi-cw.jpg")</f>
        <v>https://pbs.twimg.com/media/FNpnS6UWUAAi-cw.jpg</v>
      </c>
      <c r="V449" s="83" t="str">
        <f>HYPERLINK("https://pbs.twimg.com/media/FNpnS6UWUAAi-cw.jpg")</f>
        <v>https://pbs.twimg.com/media/FNpnS6UWUAAi-cw.jpg</v>
      </c>
      <c r="W449" s="82">
        <v>44632.532060185185</v>
      </c>
      <c r="X449" s="88">
        <v>44632</v>
      </c>
      <c r="Y449" s="85" t="s">
        <v>1037</v>
      </c>
      <c r="Z449" s="83" t="str">
        <f>HYPERLINK("https://twitter.com/ubalumni/status/1502627007359819776")</f>
        <v>https://twitter.com/ubalumni/status/1502627007359819776</v>
      </c>
      <c r="AA449" s="80"/>
      <c r="AB449" s="80"/>
      <c r="AC449" s="85" t="s">
        <v>1488</v>
      </c>
      <c r="AD449" s="80"/>
      <c r="AE449" s="80" t="b">
        <v>0</v>
      </c>
      <c r="AF449" s="80">
        <v>16</v>
      </c>
      <c r="AG449" s="85" t="s">
        <v>1635</v>
      </c>
      <c r="AH449" s="80" t="b">
        <v>0</v>
      </c>
      <c r="AI449" s="80" t="s">
        <v>1642</v>
      </c>
      <c r="AJ449" s="80"/>
      <c r="AK449" s="85" t="s">
        <v>1635</v>
      </c>
      <c r="AL449" s="80" t="b">
        <v>0</v>
      </c>
      <c r="AM449" s="80">
        <v>3</v>
      </c>
      <c r="AN449" s="85" t="s">
        <v>1635</v>
      </c>
      <c r="AO449" s="85" t="s">
        <v>1679</v>
      </c>
      <c r="AP449" s="80" t="b">
        <v>0</v>
      </c>
      <c r="AQ449" s="85" t="s">
        <v>1488</v>
      </c>
      <c r="AR449" s="80" t="s">
        <v>179</v>
      </c>
      <c r="AS449" s="80">
        <v>0</v>
      </c>
      <c r="AT449" s="80">
        <v>0</v>
      </c>
      <c r="AU449" s="80"/>
      <c r="AV449" s="80"/>
      <c r="AW449" s="80"/>
      <c r="AX449" s="80"/>
      <c r="AY449" s="80"/>
      <c r="AZ449" s="80"/>
      <c r="BA449" s="80"/>
      <c r="BB449" s="80"/>
    </row>
    <row r="450" spans="1:54" x14ac:dyDescent="0.25">
      <c r="A450" s="65" t="s">
        <v>353</v>
      </c>
      <c r="B450" s="65" t="s">
        <v>402</v>
      </c>
      <c r="C450" s="66"/>
      <c r="D450" s="67"/>
      <c r="E450" s="68"/>
      <c r="F450" s="69"/>
      <c r="G450" s="66"/>
      <c r="H450" s="70"/>
      <c r="I450" s="71"/>
      <c r="J450" s="71"/>
      <c r="K450" s="36" t="s">
        <v>65</v>
      </c>
      <c r="L450" s="78">
        <v>450</v>
      </c>
      <c r="M450" s="78"/>
      <c r="N450" s="73"/>
      <c r="O450" s="80" t="s">
        <v>414</v>
      </c>
      <c r="P450" s="82">
        <v>44632.663935185185</v>
      </c>
      <c r="Q450" s="80" t="s">
        <v>493</v>
      </c>
      <c r="R450" s="80"/>
      <c r="S450" s="80"/>
      <c r="T450" s="85" t="s">
        <v>695</v>
      </c>
      <c r="U450" s="83" t="str">
        <f>HYPERLINK("https://pbs.twimg.com/media/FNqSbpdWYAUvzSx.jpg")</f>
        <v>https://pbs.twimg.com/media/FNqSbpdWYAUvzSx.jpg</v>
      </c>
      <c r="V450" s="83" t="str">
        <f>HYPERLINK("https://pbs.twimg.com/media/FNqSbpdWYAUvzSx.jpg")</f>
        <v>https://pbs.twimg.com/media/FNqSbpdWYAUvzSx.jpg</v>
      </c>
      <c r="W450" s="82">
        <v>44632.663935185185</v>
      </c>
      <c r="X450" s="88">
        <v>44632</v>
      </c>
      <c r="Y450" s="85" t="s">
        <v>990</v>
      </c>
      <c r="Z450" s="83" t="str">
        <f>HYPERLINK("https://twitter.com/ubalumni/status/1502674796823420933")</f>
        <v>https://twitter.com/ubalumni/status/1502674796823420933</v>
      </c>
      <c r="AA450" s="80"/>
      <c r="AB450" s="80"/>
      <c r="AC450" s="85" t="s">
        <v>1440</v>
      </c>
      <c r="AD450" s="80"/>
      <c r="AE450" s="80" t="b">
        <v>0</v>
      </c>
      <c r="AF450" s="80">
        <v>0</v>
      </c>
      <c r="AG450" s="85" t="s">
        <v>1635</v>
      </c>
      <c r="AH450" s="80" t="b">
        <v>0</v>
      </c>
      <c r="AI450" s="80" t="s">
        <v>1642</v>
      </c>
      <c r="AJ450" s="80"/>
      <c r="AK450" s="85" t="s">
        <v>1635</v>
      </c>
      <c r="AL450" s="80" t="b">
        <v>0</v>
      </c>
      <c r="AM450" s="80">
        <v>5</v>
      </c>
      <c r="AN450" s="85" t="s">
        <v>1438</v>
      </c>
      <c r="AO450" s="85" t="s">
        <v>1671</v>
      </c>
      <c r="AP450" s="80" t="b">
        <v>0</v>
      </c>
      <c r="AQ450" s="85" t="s">
        <v>1438</v>
      </c>
      <c r="AR450" s="80" t="s">
        <v>179</v>
      </c>
      <c r="AS450" s="80">
        <v>0</v>
      </c>
      <c r="AT450" s="80">
        <v>0</v>
      </c>
      <c r="AU450" s="80"/>
      <c r="AV450" s="80"/>
      <c r="AW450" s="80"/>
      <c r="AX450" s="80"/>
      <c r="AY450" s="80"/>
      <c r="AZ450" s="80"/>
      <c r="BA450" s="80"/>
      <c r="BB450" s="80"/>
    </row>
    <row r="451" spans="1:54" x14ac:dyDescent="0.25">
      <c r="A451" s="65" t="s">
        <v>353</v>
      </c>
      <c r="B451" s="65" t="s">
        <v>385</v>
      </c>
      <c r="C451" s="66"/>
      <c r="D451" s="67"/>
      <c r="E451" s="68"/>
      <c r="F451" s="69"/>
      <c r="G451" s="66"/>
      <c r="H451" s="70"/>
      <c r="I451" s="71"/>
      <c r="J451" s="71"/>
      <c r="K451" s="36" t="s">
        <v>65</v>
      </c>
      <c r="L451" s="78">
        <v>451</v>
      </c>
      <c r="M451" s="78"/>
      <c r="N451" s="73"/>
      <c r="O451" s="80" t="s">
        <v>414</v>
      </c>
      <c r="P451" s="82">
        <v>44632.663935185185</v>
      </c>
      <c r="Q451" s="80" t="s">
        <v>493</v>
      </c>
      <c r="R451" s="80"/>
      <c r="S451" s="80"/>
      <c r="T451" s="85" t="s">
        <v>695</v>
      </c>
      <c r="U451" s="83" t="str">
        <f>HYPERLINK("https://pbs.twimg.com/media/FNqSbpdWYAUvzSx.jpg")</f>
        <v>https://pbs.twimg.com/media/FNqSbpdWYAUvzSx.jpg</v>
      </c>
      <c r="V451" s="83" t="str">
        <f>HYPERLINK("https://pbs.twimg.com/media/FNqSbpdWYAUvzSx.jpg")</f>
        <v>https://pbs.twimg.com/media/FNqSbpdWYAUvzSx.jpg</v>
      </c>
      <c r="W451" s="82">
        <v>44632.663935185185</v>
      </c>
      <c r="X451" s="88">
        <v>44632</v>
      </c>
      <c r="Y451" s="85" t="s">
        <v>990</v>
      </c>
      <c r="Z451" s="83" t="str">
        <f>HYPERLINK("https://twitter.com/ubalumni/status/1502674796823420933")</f>
        <v>https://twitter.com/ubalumni/status/1502674796823420933</v>
      </c>
      <c r="AA451" s="80"/>
      <c r="AB451" s="80"/>
      <c r="AC451" s="85" t="s">
        <v>1440</v>
      </c>
      <c r="AD451" s="80"/>
      <c r="AE451" s="80" t="b">
        <v>0</v>
      </c>
      <c r="AF451" s="80">
        <v>0</v>
      </c>
      <c r="AG451" s="85" t="s">
        <v>1635</v>
      </c>
      <c r="AH451" s="80" t="b">
        <v>0</v>
      </c>
      <c r="AI451" s="80" t="s">
        <v>1642</v>
      </c>
      <c r="AJ451" s="80"/>
      <c r="AK451" s="85" t="s">
        <v>1635</v>
      </c>
      <c r="AL451" s="80" t="b">
        <v>0</v>
      </c>
      <c r="AM451" s="80">
        <v>5</v>
      </c>
      <c r="AN451" s="85" t="s">
        <v>1438</v>
      </c>
      <c r="AO451" s="85" t="s">
        <v>1671</v>
      </c>
      <c r="AP451" s="80" t="b">
        <v>0</v>
      </c>
      <c r="AQ451" s="85" t="s">
        <v>1438</v>
      </c>
      <c r="AR451" s="80" t="s">
        <v>179</v>
      </c>
      <c r="AS451" s="80">
        <v>0</v>
      </c>
      <c r="AT451" s="80">
        <v>0</v>
      </c>
      <c r="AU451" s="80"/>
      <c r="AV451" s="80"/>
      <c r="AW451" s="80"/>
      <c r="AX451" s="80"/>
      <c r="AY451" s="80"/>
      <c r="AZ451" s="80"/>
      <c r="BA451" s="80"/>
      <c r="BB451" s="80"/>
    </row>
    <row r="452" spans="1:54" x14ac:dyDescent="0.25">
      <c r="A452" s="65" t="s">
        <v>353</v>
      </c>
      <c r="B452" s="65" t="s">
        <v>385</v>
      </c>
      <c r="C452" s="66"/>
      <c r="D452" s="67"/>
      <c r="E452" s="68"/>
      <c r="F452" s="69"/>
      <c r="G452" s="66"/>
      <c r="H452" s="70"/>
      <c r="I452" s="71"/>
      <c r="J452" s="71"/>
      <c r="K452" s="36" t="s">
        <v>65</v>
      </c>
      <c r="L452" s="78">
        <v>452</v>
      </c>
      <c r="M452" s="78"/>
      <c r="N452" s="73"/>
      <c r="O452" s="80" t="s">
        <v>414</v>
      </c>
      <c r="P452" s="82">
        <v>44632.684803240743</v>
      </c>
      <c r="Q452" s="80" t="s">
        <v>569</v>
      </c>
      <c r="R452" s="80"/>
      <c r="S452" s="80"/>
      <c r="T452" s="85" t="s">
        <v>357</v>
      </c>
      <c r="U452" s="80"/>
      <c r="V452" s="83" t="str">
        <f>HYPERLINK("https://pbs.twimg.com/profile_images/1060537291154878469/YDggWrP4_normal.jpg")</f>
        <v>https://pbs.twimg.com/profile_images/1060537291154878469/YDggWrP4_normal.jpg</v>
      </c>
      <c r="W452" s="82">
        <v>44632.684803240743</v>
      </c>
      <c r="X452" s="88">
        <v>44632</v>
      </c>
      <c r="Y452" s="85" t="s">
        <v>1038</v>
      </c>
      <c r="Z452" s="83" t="str">
        <f>HYPERLINK("https://twitter.com/ubalumni/status/1502682358188752901")</f>
        <v>https://twitter.com/ubalumni/status/1502682358188752901</v>
      </c>
      <c r="AA452" s="80"/>
      <c r="AB452" s="80"/>
      <c r="AC452" s="85" t="s">
        <v>1489</v>
      </c>
      <c r="AD452" s="80"/>
      <c r="AE452" s="80" t="b">
        <v>0</v>
      </c>
      <c r="AF452" s="80">
        <v>0</v>
      </c>
      <c r="AG452" s="85" t="s">
        <v>1635</v>
      </c>
      <c r="AH452" s="80" t="b">
        <v>0</v>
      </c>
      <c r="AI452" s="80" t="s">
        <v>1642</v>
      </c>
      <c r="AJ452" s="80"/>
      <c r="AK452" s="85" t="s">
        <v>1635</v>
      </c>
      <c r="AL452" s="80" t="b">
        <v>0</v>
      </c>
      <c r="AM452" s="80">
        <v>1</v>
      </c>
      <c r="AN452" s="85" t="s">
        <v>1492</v>
      </c>
      <c r="AO452" s="85" t="s">
        <v>1673</v>
      </c>
      <c r="AP452" s="80" t="b">
        <v>0</v>
      </c>
      <c r="AQ452" s="85" t="s">
        <v>1492</v>
      </c>
      <c r="AR452" s="80" t="s">
        <v>179</v>
      </c>
      <c r="AS452" s="80">
        <v>0</v>
      </c>
      <c r="AT452" s="80">
        <v>0</v>
      </c>
      <c r="AU452" s="80"/>
      <c r="AV452" s="80"/>
      <c r="AW452" s="80"/>
      <c r="AX452" s="80"/>
      <c r="AY452" s="80"/>
      <c r="AZ452" s="80"/>
      <c r="BA452" s="80"/>
      <c r="BB452" s="80"/>
    </row>
    <row r="453" spans="1:54" x14ac:dyDescent="0.25">
      <c r="A453" s="65" t="s">
        <v>353</v>
      </c>
      <c r="B453" s="65" t="s">
        <v>357</v>
      </c>
      <c r="C453" s="66"/>
      <c r="D453" s="67"/>
      <c r="E453" s="68"/>
      <c r="F453" s="69"/>
      <c r="G453" s="66"/>
      <c r="H453" s="70"/>
      <c r="I453" s="71"/>
      <c r="J453" s="71"/>
      <c r="K453" s="36" t="s">
        <v>66</v>
      </c>
      <c r="L453" s="78">
        <v>453</v>
      </c>
      <c r="M453" s="78"/>
      <c r="N453" s="73"/>
      <c r="O453" s="80" t="s">
        <v>415</v>
      </c>
      <c r="P453" s="82">
        <v>44632.684803240743</v>
      </c>
      <c r="Q453" s="80" t="s">
        <v>569</v>
      </c>
      <c r="R453" s="80"/>
      <c r="S453" s="80"/>
      <c r="T453" s="85" t="s">
        <v>357</v>
      </c>
      <c r="U453" s="80"/>
      <c r="V453" s="83" t="str">
        <f>HYPERLINK("https://pbs.twimg.com/profile_images/1060537291154878469/YDggWrP4_normal.jpg")</f>
        <v>https://pbs.twimg.com/profile_images/1060537291154878469/YDggWrP4_normal.jpg</v>
      </c>
      <c r="W453" s="82">
        <v>44632.684803240743</v>
      </c>
      <c r="X453" s="88">
        <v>44632</v>
      </c>
      <c r="Y453" s="85" t="s">
        <v>1038</v>
      </c>
      <c r="Z453" s="83" t="str">
        <f>HYPERLINK("https://twitter.com/ubalumni/status/1502682358188752901")</f>
        <v>https://twitter.com/ubalumni/status/1502682358188752901</v>
      </c>
      <c r="AA453" s="80"/>
      <c r="AB453" s="80"/>
      <c r="AC453" s="85" t="s">
        <v>1489</v>
      </c>
      <c r="AD453" s="80"/>
      <c r="AE453" s="80" t="b">
        <v>0</v>
      </c>
      <c r="AF453" s="80">
        <v>0</v>
      </c>
      <c r="AG453" s="85" t="s">
        <v>1635</v>
      </c>
      <c r="AH453" s="80" t="b">
        <v>0</v>
      </c>
      <c r="AI453" s="80" t="s">
        <v>1642</v>
      </c>
      <c r="AJ453" s="80"/>
      <c r="AK453" s="85" t="s">
        <v>1635</v>
      </c>
      <c r="AL453" s="80" t="b">
        <v>0</v>
      </c>
      <c r="AM453" s="80">
        <v>1</v>
      </c>
      <c r="AN453" s="85" t="s">
        <v>1492</v>
      </c>
      <c r="AO453" s="85" t="s">
        <v>1673</v>
      </c>
      <c r="AP453" s="80" t="b">
        <v>0</v>
      </c>
      <c r="AQ453" s="85" t="s">
        <v>1492</v>
      </c>
      <c r="AR453" s="80" t="s">
        <v>179</v>
      </c>
      <c r="AS453" s="80">
        <v>0</v>
      </c>
      <c r="AT453" s="80">
        <v>0</v>
      </c>
      <c r="AU453" s="80"/>
      <c r="AV453" s="80"/>
      <c r="AW453" s="80"/>
      <c r="AX453" s="80"/>
      <c r="AY453" s="80"/>
      <c r="AZ453" s="80"/>
      <c r="BA453" s="80"/>
      <c r="BB453" s="80"/>
    </row>
    <row r="454" spans="1:54" x14ac:dyDescent="0.25">
      <c r="A454" s="65" t="s">
        <v>353</v>
      </c>
      <c r="B454" s="65" t="s">
        <v>353</v>
      </c>
      <c r="C454" s="66"/>
      <c r="D454" s="67"/>
      <c r="E454" s="68"/>
      <c r="F454" s="69"/>
      <c r="G454" s="66"/>
      <c r="H454" s="70"/>
      <c r="I454" s="71"/>
      <c r="J454" s="71"/>
      <c r="K454" s="36" t="s">
        <v>65</v>
      </c>
      <c r="L454" s="78">
        <v>454</v>
      </c>
      <c r="M454" s="78"/>
      <c r="N454" s="73"/>
      <c r="O454" s="80" t="s">
        <v>179</v>
      </c>
      <c r="P454" s="82">
        <v>44633.014201388891</v>
      </c>
      <c r="Q454" s="80" t="s">
        <v>522</v>
      </c>
      <c r="R454" s="83" t="str">
        <f>HYPERLINK("https://youtu.be/KgpsoBIxtb4?linkId=100000114502845")</f>
        <v>https://youtu.be/KgpsoBIxtb4?linkId=100000114502845</v>
      </c>
      <c r="S454" s="80" t="s">
        <v>654</v>
      </c>
      <c r="T454" s="85" t="s">
        <v>357</v>
      </c>
      <c r="U454" s="83" t="str">
        <f>HYPERLINK("https://pbs.twimg.com/tweet_video_thumb/FNsGG8oX0AUfFPA.jpg")</f>
        <v>https://pbs.twimg.com/tweet_video_thumb/FNsGG8oX0AUfFPA.jpg</v>
      </c>
      <c r="V454" s="83" t="str">
        <f>HYPERLINK("https://pbs.twimg.com/tweet_video_thumb/FNsGG8oX0AUfFPA.jpg")</f>
        <v>https://pbs.twimg.com/tweet_video_thumb/FNsGG8oX0AUfFPA.jpg</v>
      </c>
      <c r="W454" s="82">
        <v>44633.014201388891</v>
      </c>
      <c r="X454" s="88">
        <v>44633</v>
      </c>
      <c r="Y454" s="85" t="s">
        <v>1039</v>
      </c>
      <c r="Z454" s="83" t="str">
        <f>HYPERLINK("https://twitter.com/ubalumni/status/1502801726906281984")</f>
        <v>https://twitter.com/ubalumni/status/1502801726906281984</v>
      </c>
      <c r="AA454" s="80"/>
      <c r="AB454" s="80"/>
      <c r="AC454" s="85" t="s">
        <v>1490</v>
      </c>
      <c r="AD454" s="80"/>
      <c r="AE454" s="80" t="b">
        <v>0</v>
      </c>
      <c r="AF454" s="80">
        <v>5</v>
      </c>
      <c r="AG454" s="85" t="s">
        <v>1635</v>
      </c>
      <c r="AH454" s="80" t="b">
        <v>0</v>
      </c>
      <c r="AI454" s="80" t="s">
        <v>1642</v>
      </c>
      <c r="AJ454" s="80"/>
      <c r="AK454" s="85" t="s">
        <v>1635</v>
      </c>
      <c r="AL454" s="80" t="b">
        <v>0</v>
      </c>
      <c r="AM454" s="80">
        <v>2</v>
      </c>
      <c r="AN454" s="85" t="s">
        <v>1635</v>
      </c>
      <c r="AO454" s="85" t="s">
        <v>1679</v>
      </c>
      <c r="AP454" s="80" t="b">
        <v>0</v>
      </c>
      <c r="AQ454" s="85" t="s">
        <v>1490</v>
      </c>
      <c r="AR454" s="80" t="s">
        <v>179</v>
      </c>
      <c r="AS454" s="80">
        <v>0</v>
      </c>
      <c r="AT454" s="80">
        <v>0</v>
      </c>
      <c r="AU454" s="80"/>
      <c r="AV454" s="80"/>
      <c r="AW454" s="80"/>
      <c r="AX454" s="80"/>
      <c r="AY454" s="80"/>
      <c r="AZ454" s="80"/>
      <c r="BA454" s="80"/>
      <c r="BB454" s="80"/>
    </row>
    <row r="455" spans="1:54" x14ac:dyDescent="0.25">
      <c r="A455" s="65" t="s">
        <v>353</v>
      </c>
      <c r="B455" s="65" t="s">
        <v>353</v>
      </c>
      <c r="C455" s="66"/>
      <c r="D455" s="67"/>
      <c r="E455" s="68"/>
      <c r="F455" s="69"/>
      <c r="G455" s="66"/>
      <c r="H455" s="70"/>
      <c r="I455" s="71"/>
      <c r="J455" s="71"/>
      <c r="K455" s="36" t="s">
        <v>65</v>
      </c>
      <c r="L455" s="78">
        <v>455</v>
      </c>
      <c r="M455" s="78"/>
      <c r="N455" s="73"/>
      <c r="O455" s="80" t="s">
        <v>179</v>
      </c>
      <c r="P455" s="82">
        <v>44633.531967592593</v>
      </c>
      <c r="Q455" s="80" t="s">
        <v>525</v>
      </c>
      <c r="R455" s="83" t="str">
        <f>HYPERLINK("http://www.buffalo.edu/alumni/get-involved/fast46.html?utm_source=TWITTER&amp;utm_medium=social&amp;utm_term=20220313&amp;utm_content=100002964466833&amp;utm_campaign=General+Content&amp;linkId=100000114433772")</f>
        <v>http://www.buffalo.edu/alumni/get-involved/fast46.html?utm_source=TWITTER&amp;utm_medium=social&amp;utm_term=20220313&amp;utm_content=100002964466833&amp;utm_campaign=General+Content&amp;linkId=100000114433772</v>
      </c>
      <c r="S455" s="80" t="s">
        <v>632</v>
      </c>
      <c r="T455" s="85" t="s">
        <v>357</v>
      </c>
      <c r="U455" s="83" t="str">
        <f>HYPERLINK("https://pbs.twimg.com/media/FNuw23cX0AMyh4i.jpg")</f>
        <v>https://pbs.twimg.com/media/FNuw23cX0AMyh4i.jpg</v>
      </c>
      <c r="V455" s="83" t="str">
        <f>HYPERLINK("https://pbs.twimg.com/media/FNuw23cX0AMyh4i.jpg")</f>
        <v>https://pbs.twimg.com/media/FNuw23cX0AMyh4i.jpg</v>
      </c>
      <c r="W455" s="82">
        <v>44633.531967592593</v>
      </c>
      <c r="X455" s="88">
        <v>44633</v>
      </c>
      <c r="Y455" s="85" t="s">
        <v>1040</v>
      </c>
      <c r="Z455" s="83" t="str">
        <f>HYPERLINK("https://twitter.com/ubalumni/status/1502989360140107776")</f>
        <v>https://twitter.com/ubalumni/status/1502989360140107776</v>
      </c>
      <c r="AA455" s="80"/>
      <c r="AB455" s="80"/>
      <c r="AC455" s="85" t="s">
        <v>1491</v>
      </c>
      <c r="AD455" s="80"/>
      <c r="AE455" s="80" t="b">
        <v>0</v>
      </c>
      <c r="AF455" s="80">
        <v>5</v>
      </c>
      <c r="AG455" s="85" t="s">
        <v>1635</v>
      </c>
      <c r="AH455" s="80" t="b">
        <v>0</v>
      </c>
      <c r="AI455" s="80" t="s">
        <v>1642</v>
      </c>
      <c r="AJ455" s="80"/>
      <c r="AK455" s="85" t="s">
        <v>1635</v>
      </c>
      <c r="AL455" s="80" t="b">
        <v>0</v>
      </c>
      <c r="AM455" s="80">
        <v>2</v>
      </c>
      <c r="AN455" s="85" t="s">
        <v>1635</v>
      </c>
      <c r="AO455" s="85" t="s">
        <v>1679</v>
      </c>
      <c r="AP455" s="80" t="b">
        <v>0</v>
      </c>
      <c r="AQ455" s="85" t="s">
        <v>1491</v>
      </c>
      <c r="AR455" s="80" t="s">
        <v>179</v>
      </c>
      <c r="AS455" s="80">
        <v>0</v>
      </c>
      <c r="AT455" s="80">
        <v>0</v>
      </c>
      <c r="AU455" s="80"/>
      <c r="AV455" s="80"/>
      <c r="AW455" s="80"/>
      <c r="AX455" s="80"/>
      <c r="AY455" s="80"/>
      <c r="AZ455" s="80"/>
      <c r="BA455" s="80"/>
      <c r="BB455" s="80"/>
    </row>
    <row r="456" spans="1:54" x14ac:dyDescent="0.25">
      <c r="A456" s="65" t="s">
        <v>357</v>
      </c>
      <c r="B456" s="65" t="s">
        <v>353</v>
      </c>
      <c r="C456" s="66"/>
      <c r="D456" s="67"/>
      <c r="E456" s="68"/>
      <c r="F456" s="69"/>
      <c r="G456" s="66"/>
      <c r="H456" s="70"/>
      <c r="I456" s="71"/>
      <c r="J456" s="71"/>
      <c r="K456" s="36" t="s">
        <v>66</v>
      </c>
      <c r="L456" s="78">
        <v>456</v>
      </c>
      <c r="M456" s="78"/>
      <c r="N456" s="73"/>
      <c r="O456" s="80" t="s">
        <v>417</v>
      </c>
      <c r="P456" s="82">
        <v>44632.683888888889</v>
      </c>
      <c r="Q456" s="80" t="s">
        <v>569</v>
      </c>
      <c r="R456" s="80"/>
      <c r="S456" s="80"/>
      <c r="T456" s="85" t="s">
        <v>357</v>
      </c>
      <c r="U456" s="80"/>
      <c r="V456" s="83" t="str">
        <f>HYPERLINK("https://pbs.twimg.com/profile_images/991327943317213185/Hgte82Vq_normal.jpg")</f>
        <v>https://pbs.twimg.com/profile_images/991327943317213185/Hgte82Vq_normal.jpg</v>
      </c>
      <c r="W456" s="82">
        <v>44632.683888888889</v>
      </c>
      <c r="X456" s="88">
        <v>44632</v>
      </c>
      <c r="Y456" s="85" t="s">
        <v>1041</v>
      </c>
      <c r="Z456" s="83" t="str">
        <f>HYPERLINK("https://twitter.com/ubuffalo/status/1502682028487196683")</f>
        <v>https://twitter.com/ubuffalo/status/1502682028487196683</v>
      </c>
      <c r="AA456" s="80"/>
      <c r="AB456" s="80"/>
      <c r="AC456" s="85" t="s">
        <v>1492</v>
      </c>
      <c r="AD456" s="85" t="s">
        <v>1633</v>
      </c>
      <c r="AE456" s="80" t="b">
        <v>0</v>
      </c>
      <c r="AF456" s="80">
        <v>2</v>
      </c>
      <c r="AG456" s="85" t="s">
        <v>1636</v>
      </c>
      <c r="AH456" s="80" t="b">
        <v>0</v>
      </c>
      <c r="AI456" s="80" t="s">
        <v>1642</v>
      </c>
      <c r="AJ456" s="80"/>
      <c r="AK456" s="85" t="s">
        <v>1635</v>
      </c>
      <c r="AL456" s="80" t="b">
        <v>0</v>
      </c>
      <c r="AM456" s="80">
        <v>1</v>
      </c>
      <c r="AN456" s="85" t="s">
        <v>1635</v>
      </c>
      <c r="AO456" s="85" t="s">
        <v>1672</v>
      </c>
      <c r="AP456" s="80" t="b">
        <v>0</v>
      </c>
      <c r="AQ456" s="85" t="s">
        <v>1633</v>
      </c>
      <c r="AR456" s="80" t="s">
        <v>179</v>
      </c>
      <c r="AS456" s="80">
        <v>0</v>
      </c>
      <c r="AT456" s="80">
        <v>0</v>
      </c>
      <c r="AU456" s="80"/>
      <c r="AV456" s="80"/>
      <c r="AW456" s="80"/>
      <c r="AX456" s="80"/>
      <c r="AY456" s="80"/>
      <c r="AZ456" s="80"/>
      <c r="BA456" s="80"/>
      <c r="BB456" s="80"/>
    </row>
    <row r="457" spans="1:54" x14ac:dyDescent="0.25">
      <c r="A457" s="65" t="s">
        <v>357</v>
      </c>
      <c r="B457" s="65" t="s">
        <v>353</v>
      </c>
      <c r="C457" s="66"/>
      <c r="D457" s="67"/>
      <c r="E457" s="68"/>
      <c r="F457" s="69"/>
      <c r="G457" s="66"/>
      <c r="H457" s="70"/>
      <c r="I457" s="71"/>
      <c r="J457" s="71"/>
      <c r="K457" s="36" t="s">
        <v>66</v>
      </c>
      <c r="L457" s="78">
        <v>457</v>
      </c>
      <c r="M457" s="78"/>
      <c r="N457" s="73"/>
      <c r="O457" s="80" t="s">
        <v>415</v>
      </c>
      <c r="P457" s="82">
        <v>44633.912997685184</v>
      </c>
      <c r="Q457" s="80" t="s">
        <v>522</v>
      </c>
      <c r="R457" s="83" t="str">
        <f>HYPERLINK("https://youtu.be/KgpsoBIxtb4?linkId=100000114502845")</f>
        <v>https://youtu.be/KgpsoBIxtb4?linkId=100000114502845</v>
      </c>
      <c r="S457" s="80" t="s">
        <v>654</v>
      </c>
      <c r="T457" s="85" t="s">
        <v>357</v>
      </c>
      <c r="U457" s="83" t="str">
        <f>HYPERLINK("https://pbs.twimg.com/tweet_video_thumb/FNsGG8oX0AUfFPA.jpg")</f>
        <v>https://pbs.twimg.com/tweet_video_thumb/FNsGG8oX0AUfFPA.jpg</v>
      </c>
      <c r="V457" s="83" t="str">
        <f>HYPERLINK("https://pbs.twimg.com/tweet_video_thumb/FNsGG8oX0AUfFPA.jpg")</f>
        <v>https://pbs.twimg.com/tweet_video_thumb/FNsGG8oX0AUfFPA.jpg</v>
      </c>
      <c r="W457" s="82">
        <v>44633.912997685184</v>
      </c>
      <c r="X457" s="88">
        <v>44633</v>
      </c>
      <c r="Y457" s="85" t="s">
        <v>1042</v>
      </c>
      <c r="Z457" s="83" t="str">
        <f>HYPERLINK("https://twitter.com/ubuffalo/status/1503127442243960834")</f>
        <v>https://twitter.com/ubuffalo/status/1503127442243960834</v>
      </c>
      <c r="AA457" s="80"/>
      <c r="AB457" s="80"/>
      <c r="AC457" s="85" t="s">
        <v>1493</v>
      </c>
      <c r="AD457" s="80"/>
      <c r="AE457" s="80" t="b">
        <v>0</v>
      </c>
      <c r="AF457" s="80">
        <v>0</v>
      </c>
      <c r="AG457" s="85" t="s">
        <v>1635</v>
      </c>
      <c r="AH457" s="80" t="b">
        <v>0</v>
      </c>
      <c r="AI457" s="80" t="s">
        <v>1642</v>
      </c>
      <c r="AJ457" s="80"/>
      <c r="AK457" s="85" t="s">
        <v>1635</v>
      </c>
      <c r="AL457" s="80" t="b">
        <v>0</v>
      </c>
      <c r="AM457" s="80">
        <v>2</v>
      </c>
      <c r="AN457" s="85" t="s">
        <v>1490</v>
      </c>
      <c r="AO457" s="85" t="s">
        <v>1672</v>
      </c>
      <c r="AP457" s="80" t="b">
        <v>0</v>
      </c>
      <c r="AQ457" s="85" t="s">
        <v>1490</v>
      </c>
      <c r="AR457" s="80" t="s">
        <v>179</v>
      </c>
      <c r="AS457" s="80">
        <v>0</v>
      </c>
      <c r="AT457" s="80">
        <v>0</v>
      </c>
      <c r="AU457" s="80"/>
      <c r="AV457" s="80"/>
      <c r="AW457" s="80"/>
      <c r="AX457" s="80"/>
      <c r="AY457" s="80"/>
      <c r="AZ457" s="80"/>
      <c r="BA457" s="80"/>
      <c r="BB457" s="80"/>
    </row>
    <row r="458" spans="1:54" x14ac:dyDescent="0.25">
      <c r="A458" s="65" t="s">
        <v>362</v>
      </c>
      <c r="B458" s="65" t="s">
        <v>362</v>
      </c>
      <c r="C458" s="66"/>
      <c r="D458" s="67"/>
      <c r="E458" s="68"/>
      <c r="F458" s="69"/>
      <c r="G458" s="66"/>
      <c r="H458" s="70"/>
      <c r="I458" s="71"/>
      <c r="J458" s="71"/>
      <c r="K458" s="36" t="s">
        <v>65</v>
      </c>
      <c r="L458" s="78">
        <v>458</v>
      </c>
      <c r="M458" s="78"/>
      <c r="N458" s="73"/>
      <c r="O458" s="80" t="s">
        <v>179</v>
      </c>
      <c r="P458" s="82">
        <v>44629.86440972222</v>
      </c>
      <c r="Q458" s="80" t="s">
        <v>451</v>
      </c>
      <c r="R458" s="80"/>
      <c r="S458" s="80"/>
      <c r="T458" s="85" t="s">
        <v>681</v>
      </c>
      <c r="U458" s="83" t="str">
        <f>HYPERLINK("https://pbs.twimg.com/media/FNb4EF6WUAMSZ9H.jpg")</f>
        <v>https://pbs.twimg.com/media/FNb4EF6WUAMSZ9H.jpg</v>
      </c>
      <c r="V458" s="83" t="str">
        <f>HYPERLINK("https://pbs.twimg.com/media/FNb4EF6WUAMSZ9H.jpg")</f>
        <v>https://pbs.twimg.com/media/FNb4EF6WUAMSZ9H.jpg</v>
      </c>
      <c r="W458" s="82">
        <v>44629.86440972222</v>
      </c>
      <c r="X458" s="88">
        <v>44629</v>
      </c>
      <c r="Y458" s="85" t="s">
        <v>1043</v>
      </c>
      <c r="Z458" s="83" t="str">
        <f>HYPERLINK("https://twitter.com/ubmarchingband/status/1501660280882876430")</f>
        <v>https://twitter.com/ubmarchingband/status/1501660280882876430</v>
      </c>
      <c r="AA458" s="80"/>
      <c r="AB458" s="80"/>
      <c r="AC458" s="85" t="s">
        <v>1494</v>
      </c>
      <c r="AD458" s="80"/>
      <c r="AE458" s="80" t="b">
        <v>0</v>
      </c>
      <c r="AF458" s="80">
        <v>36</v>
      </c>
      <c r="AG458" s="85" t="s">
        <v>1635</v>
      </c>
      <c r="AH458" s="80" t="b">
        <v>0</v>
      </c>
      <c r="AI458" s="80" t="s">
        <v>1642</v>
      </c>
      <c r="AJ458" s="80"/>
      <c r="AK458" s="85" t="s">
        <v>1635</v>
      </c>
      <c r="AL458" s="80" t="b">
        <v>0</v>
      </c>
      <c r="AM458" s="80">
        <v>3</v>
      </c>
      <c r="AN458" s="85" t="s">
        <v>1635</v>
      </c>
      <c r="AO458" s="85" t="s">
        <v>1671</v>
      </c>
      <c r="AP458" s="80" t="b">
        <v>0</v>
      </c>
      <c r="AQ458" s="85" t="s">
        <v>1494</v>
      </c>
      <c r="AR458" s="80" t="s">
        <v>179</v>
      </c>
      <c r="AS458" s="80">
        <v>0</v>
      </c>
      <c r="AT458" s="80">
        <v>0</v>
      </c>
      <c r="AU458" s="80"/>
      <c r="AV458" s="80"/>
      <c r="AW458" s="80"/>
      <c r="AX458" s="80"/>
      <c r="AY458" s="80"/>
      <c r="AZ458" s="80"/>
      <c r="BA458" s="80"/>
      <c r="BB458" s="80"/>
    </row>
    <row r="459" spans="1:54" x14ac:dyDescent="0.25">
      <c r="A459" s="65" t="s">
        <v>362</v>
      </c>
      <c r="B459" s="65" t="s">
        <v>362</v>
      </c>
      <c r="C459" s="66"/>
      <c r="D459" s="67"/>
      <c r="E459" s="68"/>
      <c r="F459" s="69"/>
      <c r="G459" s="66"/>
      <c r="H459" s="70"/>
      <c r="I459" s="71"/>
      <c r="J459" s="71"/>
      <c r="K459" s="36" t="s">
        <v>65</v>
      </c>
      <c r="L459" s="78">
        <v>459</v>
      </c>
      <c r="M459" s="78"/>
      <c r="N459" s="73"/>
      <c r="O459" s="80" t="s">
        <v>179</v>
      </c>
      <c r="P459" s="82">
        <v>44631.627905092595</v>
      </c>
      <c r="Q459" s="80" t="s">
        <v>570</v>
      </c>
      <c r="R459" s="80"/>
      <c r="S459" s="80"/>
      <c r="T459" s="85" t="s">
        <v>357</v>
      </c>
      <c r="U459" s="83" t="str">
        <f>HYPERLINK("https://pbs.twimg.com/media/FNk9TDVXwAAJSO9.jpg")</f>
        <v>https://pbs.twimg.com/media/FNk9TDVXwAAJSO9.jpg</v>
      </c>
      <c r="V459" s="83" t="str">
        <f>HYPERLINK("https://pbs.twimg.com/media/FNk9TDVXwAAJSO9.jpg")</f>
        <v>https://pbs.twimg.com/media/FNk9TDVXwAAJSO9.jpg</v>
      </c>
      <c r="W459" s="82">
        <v>44631.627905092595</v>
      </c>
      <c r="X459" s="88">
        <v>44631</v>
      </c>
      <c r="Y459" s="85" t="s">
        <v>1044</v>
      </c>
      <c r="Z459" s="83" t="str">
        <f>HYPERLINK("https://twitter.com/ubmarchingband/status/1502299352252964870")</f>
        <v>https://twitter.com/ubmarchingband/status/1502299352252964870</v>
      </c>
      <c r="AA459" s="80"/>
      <c r="AB459" s="80"/>
      <c r="AC459" s="85" t="s">
        <v>1495</v>
      </c>
      <c r="AD459" s="80"/>
      <c r="AE459" s="80" t="b">
        <v>0</v>
      </c>
      <c r="AF459" s="80">
        <v>5</v>
      </c>
      <c r="AG459" s="85" t="s">
        <v>1635</v>
      </c>
      <c r="AH459" s="80" t="b">
        <v>0</v>
      </c>
      <c r="AI459" s="80" t="s">
        <v>1642</v>
      </c>
      <c r="AJ459" s="80"/>
      <c r="AK459" s="85" t="s">
        <v>1635</v>
      </c>
      <c r="AL459" s="80" t="b">
        <v>0</v>
      </c>
      <c r="AM459" s="80">
        <v>0</v>
      </c>
      <c r="AN459" s="85" t="s">
        <v>1635</v>
      </c>
      <c r="AO459" s="85" t="s">
        <v>1671</v>
      </c>
      <c r="AP459" s="80" t="b">
        <v>0</v>
      </c>
      <c r="AQ459" s="85" t="s">
        <v>1495</v>
      </c>
      <c r="AR459" s="80" t="s">
        <v>179</v>
      </c>
      <c r="AS459" s="80">
        <v>0</v>
      </c>
      <c r="AT459" s="80">
        <v>0</v>
      </c>
      <c r="AU459" s="80"/>
      <c r="AV459" s="80"/>
      <c r="AW459" s="80"/>
      <c r="AX459" s="80"/>
      <c r="AY459" s="80"/>
      <c r="AZ459" s="80"/>
      <c r="BA459" s="80"/>
      <c r="BB459" s="80"/>
    </row>
    <row r="460" spans="1:54" x14ac:dyDescent="0.25">
      <c r="A460" s="65" t="s">
        <v>362</v>
      </c>
      <c r="B460" s="65" t="s">
        <v>362</v>
      </c>
      <c r="C460" s="66"/>
      <c r="D460" s="67"/>
      <c r="E460" s="68"/>
      <c r="F460" s="69"/>
      <c r="G460" s="66"/>
      <c r="H460" s="70"/>
      <c r="I460" s="71"/>
      <c r="J460" s="71"/>
      <c r="K460" s="36" t="s">
        <v>65</v>
      </c>
      <c r="L460" s="78">
        <v>460</v>
      </c>
      <c r="M460" s="78"/>
      <c r="N460" s="73"/>
      <c r="O460" s="80" t="s">
        <v>179</v>
      </c>
      <c r="P460" s="82">
        <v>44631.773043981484</v>
      </c>
      <c r="Q460" s="80" t="s">
        <v>485</v>
      </c>
      <c r="R460" s="80"/>
      <c r="S460" s="80"/>
      <c r="T460" s="85" t="s">
        <v>692</v>
      </c>
      <c r="U460" s="83" t="str">
        <f>HYPERLINK("https://pbs.twimg.com/media/FNltHNJXoAA3lTB.jpg")</f>
        <v>https://pbs.twimg.com/media/FNltHNJXoAA3lTB.jpg</v>
      </c>
      <c r="V460" s="83" t="str">
        <f>HYPERLINK("https://pbs.twimg.com/media/FNltHNJXoAA3lTB.jpg")</f>
        <v>https://pbs.twimg.com/media/FNltHNJXoAA3lTB.jpg</v>
      </c>
      <c r="W460" s="82">
        <v>44631.773043981484</v>
      </c>
      <c r="X460" s="88">
        <v>44631</v>
      </c>
      <c r="Y460" s="85" t="s">
        <v>1045</v>
      </c>
      <c r="Z460" s="83" t="str">
        <f>HYPERLINK("https://twitter.com/ubmarchingband/status/1502351948648955909")</f>
        <v>https://twitter.com/ubmarchingband/status/1502351948648955909</v>
      </c>
      <c r="AA460" s="80"/>
      <c r="AB460" s="80"/>
      <c r="AC460" s="85" t="s">
        <v>1496</v>
      </c>
      <c r="AD460" s="80"/>
      <c r="AE460" s="80" t="b">
        <v>0</v>
      </c>
      <c r="AF460" s="80">
        <v>33</v>
      </c>
      <c r="AG460" s="85" t="s">
        <v>1635</v>
      </c>
      <c r="AH460" s="80" t="b">
        <v>0</v>
      </c>
      <c r="AI460" s="80" t="s">
        <v>1642</v>
      </c>
      <c r="AJ460" s="80"/>
      <c r="AK460" s="85" t="s">
        <v>1635</v>
      </c>
      <c r="AL460" s="80" t="b">
        <v>0</v>
      </c>
      <c r="AM460" s="80">
        <v>6</v>
      </c>
      <c r="AN460" s="85" t="s">
        <v>1635</v>
      </c>
      <c r="AO460" s="85" t="s">
        <v>1671</v>
      </c>
      <c r="AP460" s="80" t="b">
        <v>0</v>
      </c>
      <c r="AQ460" s="85" t="s">
        <v>1496</v>
      </c>
      <c r="AR460" s="80" t="s">
        <v>179</v>
      </c>
      <c r="AS460" s="80">
        <v>0</v>
      </c>
      <c r="AT460" s="80">
        <v>0</v>
      </c>
      <c r="AU460" s="80"/>
      <c r="AV460" s="80"/>
      <c r="AW460" s="80"/>
      <c r="AX460" s="80"/>
      <c r="AY460" s="80"/>
      <c r="AZ460" s="80"/>
      <c r="BA460" s="80"/>
      <c r="BB460" s="80"/>
    </row>
    <row r="461" spans="1:54" x14ac:dyDescent="0.25">
      <c r="A461" s="65" t="s">
        <v>362</v>
      </c>
      <c r="B461" s="65" t="s">
        <v>362</v>
      </c>
      <c r="C461" s="66"/>
      <c r="D461" s="67"/>
      <c r="E461" s="68"/>
      <c r="F461" s="69"/>
      <c r="G461" s="66"/>
      <c r="H461" s="70"/>
      <c r="I461" s="71"/>
      <c r="J461" s="71"/>
      <c r="K461" s="36" t="s">
        <v>65</v>
      </c>
      <c r="L461" s="78">
        <v>461</v>
      </c>
      <c r="M461" s="78"/>
      <c r="N461" s="73"/>
      <c r="O461" s="80" t="s">
        <v>179</v>
      </c>
      <c r="P461" s="82">
        <v>44632.669363425928</v>
      </c>
      <c r="Q461" s="80" t="s">
        <v>518</v>
      </c>
      <c r="R461" s="80"/>
      <c r="S461" s="80"/>
      <c r="T461" s="85" t="s">
        <v>695</v>
      </c>
      <c r="U461" s="83" t="str">
        <f>HYPERLINK("https://pbs.twimg.com/media/FNqUi9YXsAc5JEY.jpg")</f>
        <v>https://pbs.twimg.com/media/FNqUi9YXsAc5JEY.jpg</v>
      </c>
      <c r="V461" s="83" t="str">
        <f>HYPERLINK("https://pbs.twimg.com/media/FNqUi9YXsAc5JEY.jpg")</f>
        <v>https://pbs.twimg.com/media/FNqUi9YXsAc5JEY.jpg</v>
      </c>
      <c r="W461" s="82">
        <v>44632.669363425928</v>
      </c>
      <c r="X461" s="88">
        <v>44632</v>
      </c>
      <c r="Y461" s="85" t="s">
        <v>1046</v>
      </c>
      <c r="Z461" s="83" t="str">
        <f>HYPERLINK("https://twitter.com/ubmarchingband/status/1502676762370654211")</f>
        <v>https://twitter.com/ubmarchingband/status/1502676762370654211</v>
      </c>
      <c r="AA461" s="80"/>
      <c r="AB461" s="80"/>
      <c r="AC461" s="85" t="s">
        <v>1497</v>
      </c>
      <c r="AD461" s="80"/>
      <c r="AE461" s="80" t="b">
        <v>0</v>
      </c>
      <c r="AF461" s="80">
        <v>36</v>
      </c>
      <c r="AG461" s="85" t="s">
        <v>1635</v>
      </c>
      <c r="AH461" s="80" t="b">
        <v>0</v>
      </c>
      <c r="AI461" s="80" t="s">
        <v>1642</v>
      </c>
      <c r="AJ461" s="80"/>
      <c r="AK461" s="85" t="s">
        <v>1635</v>
      </c>
      <c r="AL461" s="80" t="b">
        <v>0</v>
      </c>
      <c r="AM461" s="80">
        <v>2</v>
      </c>
      <c r="AN461" s="85" t="s">
        <v>1635</v>
      </c>
      <c r="AO461" s="85" t="s">
        <v>1671</v>
      </c>
      <c r="AP461" s="80" t="b">
        <v>0</v>
      </c>
      <c r="AQ461" s="85" t="s">
        <v>1497</v>
      </c>
      <c r="AR461" s="80" t="s">
        <v>179</v>
      </c>
      <c r="AS461" s="80">
        <v>0</v>
      </c>
      <c r="AT461" s="80">
        <v>0</v>
      </c>
      <c r="AU461" s="80"/>
      <c r="AV461" s="80"/>
      <c r="AW461" s="80"/>
      <c r="AX461" s="80"/>
      <c r="AY461" s="80"/>
      <c r="AZ461" s="80"/>
      <c r="BA461" s="80"/>
      <c r="BB461" s="80"/>
    </row>
    <row r="462" spans="1:54" x14ac:dyDescent="0.25">
      <c r="A462" s="65" t="s">
        <v>357</v>
      </c>
      <c r="B462" s="65" t="s">
        <v>362</v>
      </c>
      <c r="C462" s="66"/>
      <c r="D462" s="67"/>
      <c r="E462" s="68"/>
      <c r="F462" s="69"/>
      <c r="G462" s="66"/>
      <c r="H462" s="70"/>
      <c r="I462" s="71"/>
      <c r="J462" s="71"/>
      <c r="K462" s="36" t="s">
        <v>65</v>
      </c>
      <c r="L462" s="78">
        <v>462</v>
      </c>
      <c r="M462" s="78"/>
      <c r="N462" s="73"/>
      <c r="O462" s="80" t="s">
        <v>415</v>
      </c>
      <c r="P462" s="82">
        <v>44631.814652777779</v>
      </c>
      <c r="Q462" s="80" t="s">
        <v>485</v>
      </c>
      <c r="R462" s="80"/>
      <c r="S462" s="80"/>
      <c r="T462" s="85" t="s">
        <v>692</v>
      </c>
      <c r="U462" s="83" t="str">
        <f>HYPERLINK("https://pbs.twimg.com/media/FNltHNJXoAA3lTB.jpg")</f>
        <v>https://pbs.twimg.com/media/FNltHNJXoAA3lTB.jpg</v>
      </c>
      <c r="V462" s="83" t="str">
        <f>HYPERLINK("https://pbs.twimg.com/media/FNltHNJXoAA3lTB.jpg")</f>
        <v>https://pbs.twimg.com/media/FNltHNJXoAA3lTB.jpg</v>
      </c>
      <c r="W462" s="82">
        <v>44631.814652777779</v>
      </c>
      <c r="X462" s="88">
        <v>44631</v>
      </c>
      <c r="Y462" s="85" t="s">
        <v>1047</v>
      </c>
      <c r="Z462" s="83" t="str">
        <f>HYPERLINK("https://twitter.com/ubuffalo/status/1502367026525917186")</f>
        <v>https://twitter.com/ubuffalo/status/1502367026525917186</v>
      </c>
      <c r="AA462" s="80"/>
      <c r="AB462" s="80"/>
      <c r="AC462" s="85" t="s">
        <v>1498</v>
      </c>
      <c r="AD462" s="80"/>
      <c r="AE462" s="80" t="b">
        <v>0</v>
      </c>
      <c r="AF462" s="80">
        <v>0</v>
      </c>
      <c r="AG462" s="85" t="s">
        <v>1635</v>
      </c>
      <c r="AH462" s="80" t="b">
        <v>0</v>
      </c>
      <c r="AI462" s="80" t="s">
        <v>1642</v>
      </c>
      <c r="AJ462" s="80"/>
      <c r="AK462" s="85" t="s">
        <v>1635</v>
      </c>
      <c r="AL462" s="80" t="b">
        <v>0</v>
      </c>
      <c r="AM462" s="80">
        <v>6</v>
      </c>
      <c r="AN462" s="85" t="s">
        <v>1496</v>
      </c>
      <c r="AO462" s="85" t="s">
        <v>1672</v>
      </c>
      <c r="AP462" s="80" t="b">
        <v>0</v>
      </c>
      <c r="AQ462" s="85" t="s">
        <v>1496</v>
      </c>
      <c r="AR462" s="80" t="s">
        <v>179</v>
      </c>
      <c r="AS462" s="80">
        <v>0</v>
      </c>
      <c r="AT462" s="80">
        <v>0</v>
      </c>
      <c r="AU462" s="80"/>
      <c r="AV462" s="80"/>
      <c r="AW462" s="80"/>
      <c r="AX462" s="80"/>
      <c r="AY462" s="80"/>
      <c r="AZ462" s="80"/>
      <c r="BA462" s="80"/>
      <c r="BB462" s="80"/>
    </row>
    <row r="463" spans="1:54" x14ac:dyDescent="0.25">
      <c r="A463" s="65" t="s">
        <v>357</v>
      </c>
      <c r="B463" s="65" t="s">
        <v>362</v>
      </c>
      <c r="C463" s="66"/>
      <c r="D463" s="67"/>
      <c r="E463" s="68"/>
      <c r="F463" s="69"/>
      <c r="G463" s="66"/>
      <c r="H463" s="70"/>
      <c r="I463" s="71"/>
      <c r="J463" s="71"/>
      <c r="K463" s="36" t="s">
        <v>65</v>
      </c>
      <c r="L463" s="78">
        <v>463</v>
      </c>
      <c r="M463" s="78"/>
      <c r="N463" s="73"/>
      <c r="O463" s="80" t="s">
        <v>417</v>
      </c>
      <c r="P463" s="82">
        <v>44632.674050925925</v>
      </c>
      <c r="Q463" s="80" t="s">
        <v>571</v>
      </c>
      <c r="R463" s="80"/>
      <c r="S463" s="80"/>
      <c r="T463" s="85" t="s">
        <v>357</v>
      </c>
      <c r="U463" s="80"/>
      <c r="V463" s="83" t="str">
        <f>HYPERLINK("https://pbs.twimg.com/profile_images/991327943317213185/Hgte82Vq_normal.jpg")</f>
        <v>https://pbs.twimg.com/profile_images/991327943317213185/Hgte82Vq_normal.jpg</v>
      </c>
      <c r="W463" s="82">
        <v>44632.674050925925</v>
      </c>
      <c r="X463" s="88">
        <v>44632</v>
      </c>
      <c r="Y463" s="85" t="s">
        <v>1048</v>
      </c>
      <c r="Z463" s="83" t="str">
        <f>HYPERLINK("https://twitter.com/ubuffalo/status/1502678463756525579")</f>
        <v>https://twitter.com/ubuffalo/status/1502678463756525579</v>
      </c>
      <c r="AA463" s="80"/>
      <c r="AB463" s="80"/>
      <c r="AC463" s="85" t="s">
        <v>1499</v>
      </c>
      <c r="AD463" s="85" t="s">
        <v>1497</v>
      </c>
      <c r="AE463" s="80" t="b">
        <v>0</v>
      </c>
      <c r="AF463" s="80">
        <v>1</v>
      </c>
      <c r="AG463" s="85" t="s">
        <v>1639</v>
      </c>
      <c r="AH463" s="80" t="b">
        <v>0</v>
      </c>
      <c r="AI463" s="80" t="s">
        <v>1642</v>
      </c>
      <c r="AJ463" s="80"/>
      <c r="AK463" s="85" t="s">
        <v>1635</v>
      </c>
      <c r="AL463" s="80" t="b">
        <v>0</v>
      </c>
      <c r="AM463" s="80">
        <v>0</v>
      </c>
      <c r="AN463" s="85" t="s">
        <v>1635</v>
      </c>
      <c r="AO463" s="85" t="s">
        <v>1672</v>
      </c>
      <c r="AP463" s="80" t="b">
        <v>0</v>
      </c>
      <c r="AQ463" s="85" t="s">
        <v>1497</v>
      </c>
      <c r="AR463" s="80" t="s">
        <v>179</v>
      </c>
      <c r="AS463" s="80">
        <v>0</v>
      </c>
      <c r="AT463" s="80">
        <v>0</v>
      </c>
      <c r="AU463" s="80"/>
      <c r="AV463" s="80"/>
      <c r="AW463" s="80"/>
      <c r="AX463" s="80"/>
      <c r="AY463" s="80"/>
      <c r="AZ463" s="80"/>
      <c r="BA463" s="80"/>
      <c r="BB463" s="80"/>
    </row>
    <row r="464" spans="1:54" x14ac:dyDescent="0.25">
      <c r="A464" s="65" t="s">
        <v>363</v>
      </c>
      <c r="B464" s="65" t="s">
        <v>362</v>
      </c>
      <c r="C464" s="66"/>
      <c r="D464" s="67"/>
      <c r="E464" s="68"/>
      <c r="F464" s="69"/>
      <c r="G464" s="66"/>
      <c r="H464" s="70"/>
      <c r="I464" s="71"/>
      <c r="J464" s="71"/>
      <c r="K464" s="36" t="s">
        <v>65</v>
      </c>
      <c r="L464" s="78">
        <v>464</v>
      </c>
      <c r="M464" s="78"/>
      <c r="N464" s="73"/>
      <c r="O464" s="80" t="s">
        <v>415</v>
      </c>
      <c r="P464" s="82">
        <v>44631.814884259256</v>
      </c>
      <c r="Q464" s="80" t="s">
        <v>485</v>
      </c>
      <c r="R464" s="80"/>
      <c r="S464" s="80"/>
      <c r="T464" s="85" t="s">
        <v>692</v>
      </c>
      <c r="U464" s="83" t="str">
        <f>HYPERLINK("https://pbs.twimg.com/media/FNltHNJXoAA3lTB.jpg")</f>
        <v>https://pbs.twimg.com/media/FNltHNJXoAA3lTB.jpg</v>
      </c>
      <c r="V464" s="83" t="str">
        <f>HYPERLINK("https://pbs.twimg.com/media/FNltHNJXoAA3lTB.jpg")</f>
        <v>https://pbs.twimg.com/media/FNltHNJXoAA3lTB.jpg</v>
      </c>
      <c r="W464" s="82">
        <v>44631.814884259256</v>
      </c>
      <c r="X464" s="88">
        <v>44631</v>
      </c>
      <c r="Y464" s="85" t="s">
        <v>1049</v>
      </c>
      <c r="Z464" s="83" t="str">
        <f>HYPERLINK("https://twitter.com/davidburris0621/status/1502367109430525961")</f>
        <v>https://twitter.com/davidburris0621/status/1502367109430525961</v>
      </c>
      <c r="AA464" s="80"/>
      <c r="AB464" s="80"/>
      <c r="AC464" s="85" t="s">
        <v>1500</v>
      </c>
      <c r="AD464" s="80"/>
      <c r="AE464" s="80" t="b">
        <v>0</v>
      </c>
      <c r="AF464" s="80">
        <v>0</v>
      </c>
      <c r="AG464" s="85" t="s">
        <v>1635</v>
      </c>
      <c r="AH464" s="80" t="b">
        <v>0</v>
      </c>
      <c r="AI464" s="80" t="s">
        <v>1642</v>
      </c>
      <c r="AJ464" s="80"/>
      <c r="AK464" s="85" t="s">
        <v>1635</v>
      </c>
      <c r="AL464" s="80" t="b">
        <v>0</v>
      </c>
      <c r="AM464" s="80">
        <v>6</v>
      </c>
      <c r="AN464" s="85" t="s">
        <v>1496</v>
      </c>
      <c r="AO464" s="85" t="s">
        <v>1671</v>
      </c>
      <c r="AP464" s="80" t="b">
        <v>0</v>
      </c>
      <c r="AQ464" s="85" t="s">
        <v>1496</v>
      </c>
      <c r="AR464" s="80" t="s">
        <v>179</v>
      </c>
      <c r="AS464" s="80">
        <v>0</v>
      </c>
      <c r="AT464" s="80">
        <v>0</v>
      </c>
      <c r="AU464" s="80"/>
      <c r="AV464" s="80"/>
      <c r="AW464" s="80"/>
      <c r="AX464" s="80"/>
      <c r="AY464" s="80"/>
      <c r="AZ464" s="80"/>
      <c r="BA464" s="80"/>
      <c r="BB464" s="80"/>
    </row>
    <row r="465" spans="1:54" x14ac:dyDescent="0.25">
      <c r="A465" s="65" t="s">
        <v>363</v>
      </c>
      <c r="B465" s="65" t="s">
        <v>368</v>
      </c>
      <c r="C465" s="66"/>
      <c r="D465" s="67"/>
      <c r="E465" s="68"/>
      <c r="F465" s="69"/>
      <c r="G465" s="66"/>
      <c r="H465" s="70"/>
      <c r="I465" s="71"/>
      <c r="J465" s="71"/>
      <c r="K465" s="36" t="s">
        <v>65</v>
      </c>
      <c r="L465" s="78">
        <v>465</v>
      </c>
      <c r="M465" s="78"/>
      <c r="N465" s="73"/>
      <c r="O465" s="80" t="s">
        <v>415</v>
      </c>
      <c r="P465" s="82">
        <v>44629.803194444445</v>
      </c>
      <c r="Q465" s="80" t="s">
        <v>450</v>
      </c>
      <c r="R465" s="80"/>
      <c r="S465" s="80"/>
      <c r="T465" s="85" t="s">
        <v>357</v>
      </c>
      <c r="U465" s="83" t="str">
        <f>HYPERLINK("https://pbs.twimg.com/ext_tw_video_thumb/1501561093814165506/pu/img/zcMRFGF0HHs8KwPm.jpg")</f>
        <v>https://pbs.twimg.com/ext_tw_video_thumb/1501561093814165506/pu/img/zcMRFGF0HHs8KwPm.jpg</v>
      </c>
      <c r="V465" s="83" t="str">
        <f>HYPERLINK("https://pbs.twimg.com/ext_tw_video_thumb/1501561093814165506/pu/img/zcMRFGF0HHs8KwPm.jpg")</f>
        <v>https://pbs.twimg.com/ext_tw_video_thumb/1501561093814165506/pu/img/zcMRFGF0HHs8KwPm.jpg</v>
      </c>
      <c r="W465" s="82">
        <v>44629.803194444445</v>
      </c>
      <c r="X465" s="88">
        <v>44629</v>
      </c>
      <c r="Y465" s="85" t="s">
        <v>1050</v>
      </c>
      <c r="Z465" s="83" t="str">
        <f>HYPERLINK("https://twitter.com/davidburris0621/status/1501638096751931400")</f>
        <v>https://twitter.com/davidburris0621/status/1501638096751931400</v>
      </c>
      <c r="AA465" s="80"/>
      <c r="AB465" s="80"/>
      <c r="AC465" s="85" t="s">
        <v>1501</v>
      </c>
      <c r="AD465" s="80"/>
      <c r="AE465" s="80" t="b">
        <v>0</v>
      </c>
      <c r="AF465" s="80">
        <v>0</v>
      </c>
      <c r="AG465" s="85" t="s">
        <v>1635</v>
      </c>
      <c r="AH465" s="80" t="b">
        <v>0</v>
      </c>
      <c r="AI465" s="80" t="s">
        <v>1642</v>
      </c>
      <c r="AJ465" s="80"/>
      <c r="AK465" s="85" t="s">
        <v>1635</v>
      </c>
      <c r="AL465" s="80" t="b">
        <v>0</v>
      </c>
      <c r="AM465" s="80">
        <v>5</v>
      </c>
      <c r="AN465" s="85" t="s">
        <v>1560</v>
      </c>
      <c r="AO465" s="85" t="s">
        <v>1671</v>
      </c>
      <c r="AP465" s="80" t="b">
        <v>0</v>
      </c>
      <c r="AQ465" s="85" t="s">
        <v>1560</v>
      </c>
      <c r="AR465" s="80" t="s">
        <v>179</v>
      </c>
      <c r="AS465" s="80">
        <v>0</v>
      </c>
      <c r="AT465" s="80">
        <v>0</v>
      </c>
      <c r="AU465" s="80"/>
      <c r="AV465" s="80"/>
      <c r="AW465" s="80"/>
      <c r="AX465" s="80"/>
      <c r="AY465" s="80"/>
      <c r="AZ465" s="80"/>
      <c r="BA465" s="80"/>
      <c r="BB465" s="80"/>
    </row>
    <row r="466" spans="1:54" x14ac:dyDescent="0.25">
      <c r="A466" s="65" t="s">
        <v>363</v>
      </c>
      <c r="B466" s="65" t="s">
        <v>357</v>
      </c>
      <c r="C466" s="66"/>
      <c r="D466" s="67"/>
      <c r="E466" s="68"/>
      <c r="F466" s="69"/>
      <c r="G466" s="66"/>
      <c r="H466" s="70"/>
      <c r="I466" s="71"/>
      <c r="J466" s="71"/>
      <c r="K466" s="36" t="s">
        <v>65</v>
      </c>
      <c r="L466" s="78">
        <v>466</v>
      </c>
      <c r="M466" s="78"/>
      <c r="N466" s="73"/>
      <c r="O466" s="80" t="s">
        <v>415</v>
      </c>
      <c r="P466" s="82">
        <v>44629.984837962962</v>
      </c>
      <c r="Q466" s="80" t="s">
        <v>572</v>
      </c>
      <c r="R466" s="83" t="str">
        <f>HYPERLINK("https://twitter.com/UBAthletics/status/1501694702747369476")</f>
        <v>https://twitter.com/UBAthletics/status/1501694702747369476</v>
      </c>
      <c r="S466" s="80" t="s">
        <v>633</v>
      </c>
      <c r="T466" s="85" t="s">
        <v>357</v>
      </c>
      <c r="U466" s="80"/>
      <c r="V466" s="83" t="str">
        <f>HYPERLINK("https://pbs.twimg.com/profile_images/1481048784465543169/ljew4_Vf_normal.jpg")</f>
        <v>https://pbs.twimg.com/profile_images/1481048784465543169/ljew4_Vf_normal.jpg</v>
      </c>
      <c r="W466" s="82">
        <v>44629.984837962962</v>
      </c>
      <c r="X466" s="88">
        <v>44629</v>
      </c>
      <c r="Y466" s="85" t="s">
        <v>1051</v>
      </c>
      <c r="Z466" s="83" t="str">
        <f>HYPERLINK("https://twitter.com/davidburris0621/status/1501703923077423105")</f>
        <v>https://twitter.com/davidburris0621/status/1501703923077423105</v>
      </c>
      <c r="AA466" s="80"/>
      <c r="AB466" s="80"/>
      <c r="AC466" s="85" t="s">
        <v>1502</v>
      </c>
      <c r="AD466" s="80"/>
      <c r="AE466" s="80" t="b">
        <v>0</v>
      </c>
      <c r="AF466" s="80">
        <v>0</v>
      </c>
      <c r="AG466" s="85" t="s">
        <v>1635</v>
      </c>
      <c r="AH466" s="80" t="b">
        <v>1</v>
      </c>
      <c r="AI466" s="80" t="s">
        <v>1642</v>
      </c>
      <c r="AJ466" s="80"/>
      <c r="AK466" s="85" t="s">
        <v>1667</v>
      </c>
      <c r="AL466" s="80" t="b">
        <v>0</v>
      </c>
      <c r="AM466" s="80">
        <v>1</v>
      </c>
      <c r="AN466" s="85" t="s">
        <v>1619</v>
      </c>
      <c r="AO466" s="85" t="s">
        <v>1671</v>
      </c>
      <c r="AP466" s="80" t="b">
        <v>0</v>
      </c>
      <c r="AQ466" s="85" t="s">
        <v>1619</v>
      </c>
      <c r="AR466" s="80" t="s">
        <v>179</v>
      </c>
      <c r="AS466" s="80">
        <v>0</v>
      </c>
      <c r="AT466" s="80">
        <v>0</v>
      </c>
      <c r="AU466" s="80"/>
      <c r="AV466" s="80"/>
      <c r="AW466" s="80"/>
      <c r="AX466" s="80"/>
      <c r="AY466" s="80"/>
      <c r="AZ466" s="80"/>
      <c r="BA466" s="80"/>
      <c r="BB466" s="80"/>
    </row>
    <row r="467" spans="1:54" x14ac:dyDescent="0.25">
      <c r="A467" s="65" t="s">
        <v>363</v>
      </c>
      <c r="B467" s="65" t="s">
        <v>357</v>
      </c>
      <c r="C467" s="66"/>
      <c r="D467" s="67"/>
      <c r="E467" s="68"/>
      <c r="F467" s="69"/>
      <c r="G467" s="66"/>
      <c r="H467" s="70"/>
      <c r="I467" s="71"/>
      <c r="J467" s="71"/>
      <c r="K467" s="36" t="s">
        <v>65</v>
      </c>
      <c r="L467" s="78">
        <v>467</v>
      </c>
      <c r="M467" s="78"/>
      <c r="N467" s="73"/>
      <c r="O467" s="80" t="s">
        <v>415</v>
      </c>
      <c r="P467" s="82">
        <v>44631.81763888889</v>
      </c>
      <c r="Q467" s="80" t="s">
        <v>573</v>
      </c>
      <c r="R467" s="83" t="str">
        <f>HYPERLINK("https://twitter.com/UBwomenshoops/status/1502367244831150087")</f>
        <v>https://twitter.com/UBwomenshoops/status/1502367244831150087</v>
      </c>
      <c r="S467" s="80" t="s">
        <v>633</v>
      </c>
      <c r="T467" s="85" t="s">
        <v>699</v>
      </c>
      <c r="U467" s="80"/>
      <c r="V467" s="83" t="str">
        <f>HYPERLINK("https://pbs.twimg.com/profile_images/1481048784465543169/ljew4_Vf_normal.jpg")</f>
        <v>https://pbs.twimg.com/profile_images/1481048784465543169/ljew4_Vf_normal.jpg</v>
      </c>
      <c r="W467" s="82">
        <v>44631.81763888889</v>
      </c>
      <c r="X467" s="88">
        <v>44631</v>
      </c>
      <c r="Y467" s="85" t="s">
        <v>1052</v>
      </c>
      <c r="Z467" s="83" t="str">
        <f>HYPERLINK("https://twitter.com/davidburris0621/status/1502368110082469893")</f>
        <v>https://twitter.com/davidburris0621/status/1502368110082469893</v>
      </c>
      <c r="AA467" s="80"/>
      <c r="AB467" s="80"/>
      <c r="AC467" s="85" t="s">
        <v>1503</v>
      </c>
      <c r="AD467" s="80"/>
      <c r="AE467" s="80" t="b">
        <v>0</v>
      </c>
      <c r="AF467" s="80">
        <v>0</v>
      </c>
      <c r="AG467" s="85" t="s">
        <v>1635</v>
      </c>
      <c r="AH467" s="80" t="b">
        <v>1</v>
      </c>
      <c r="AI467" s="80" t="s">
        <v>1642</v>
      </c>
      <c r="AJ467" s="80"/>
      <c r="AK467" s="85" t="s">
        <v>1653</v>
      </c>
      <c r="AL467" s="80" t="b">
        <v>0</v>
      </c>
      <c r="AM467" s="80">
        <v>2</v>
      </c>
      <c r="AN467" s="85" t="s">
        <v>1620</v>
      </c>
      <c r="AO467" s="85" t="s">
        <v>1671</v>
      </c>
      <c r="AP467" s="80" t="b">
        <v>0</v>
      </c>
      <c r="AQ467" s="85" t="s">
        <v>1620</v>
      </c>
      <c r="AR467" s="80" t="s">
        <v>179</v>
      </c>
      <c r="AS467" s="80">
        <v>0</v>
      </c>
      <c r="AT467" s="80">
        <v>0</v>
      </c>
      <c r="AU467" s="80"/>
      <c r="AV467" s="80"/>
      <c r="AW467" s="80"/>
      <c r="AX467" s="80"/>
      <c r="AY467" s="80"/>
      <c r="AZ467" s="80"/>
      <c r="BA467" s="80"/>
      <c r="BB467" s="80"/>
    </row>
    <row r="468" spans="1:54" x14ac:dyDescent="0.25">
      <c r="A468" s="65" t="s">
        <v>363</v>
      </c>
      <c r="B468" s="65" t="s">
        <v>357</v>
      </c>
      <c r="C468" s="66"/>
      <c r="D468" s="67"/>
      <c r="E468" s="68"/>
      <c r="F468" s="69"/>
      <c r="G468" s="66"/>
      <c r="H468" s="70"/>
      <c r="I468" s="71"/>
      <c r="J468" s="71"/>
      <c r="K468" s="36" t="s">
        <v>65</v>
      </c>
      <c r="L468" s="78">
        <v>468</v>
      </c>
      <c r="M468" s="78"/>
      <c r="N468" s="73"/>
      <c r="O468" s="80" t="s">
        <v>415</v>
      </c>
      <c r="P468" s="82">
        <v>44631.871666666666</v>
      </c>
      <c r="Q468" s="80" t="s">
        <v>504</v>
      </c>
      <c r="R468" s="83" t="str">
        <f>HYPERLINK("https://www.buffalo.edu/ubnow/stories/2022/03/true-blue-club.html?utm_source=TWITTER&amp;utm_medium=social&amp;utm_term=20220311&amp;utm_content=100002967585037&amp;utm_campaign=UB+True+Blue&amp;linkId=100000114683785")</f>
        <v>https://www.buffalo.edu/ubnow/stories/2022/03/true-blue-club.html?utm_source=TWITTER&amp;utm_medium=social&amp;utm_term=20220311&amp;utm_content=100002967585037&amp;utm_campaign=UB+True+Blue&amp;linkId=100000114683785</v>
      </c>
      <c r="S468" s="80" t="s">
        <v>632</v>
      </c>
      <c r="T468" s="85" t="s">
        <v>699</v>
      </c>
      <c r="U468" s="80"/>
      <c r="V468" s="83" t="str">
        <f>HYPERLINK("https://pbs.twimg.com/profile_images/1481048784465543169/ljew4_Vf_normal.jpg")</f>
        <v>https://pbs.twimg.com/profile_images/1481048784465543169/ljew4_Vf_normal.jpg</v>
      </c>
      <c r="W468" s="82">
        <v>44631.871666666666</v>
      </c>
      <c r="X468" s="88">
        <v>44631</v>
      </c>
      <c r="Y468" s="85" t="s">
        <v>1053</v>
      </c>
      <c r="Z468" s="83" t="str">
        <f>HYPERLINK("https://twitter.com/davidburris0621/status/1502387688082714631")</f>
        <v>https://twitter.com/davidburris0621/status/1502387688082714631</v>
      </c>
      <c r="AA468" s="80"/>
      <c r="AB468" s="80"/>
      <c r="AC468" s="85" t="s">
        <v>1504</v>
      </c>
      <c r="AD468" s="80"/>
      <c r="AE468" s="80" t="b">
        <v>0</v>
      </c>
      <c r="AF468" s="80">
        <v>0</v>
      </c>
      <c r="AG468" s="85" t="s">
        <v>1635</v>
      </c>
      <c r="AH468" s="80" t="b">
        <v>0</v>
      </c>
      <c r="AI468" s="80" t="s">
        <v>1642</v>
      </c>
      <c r="AJ468" s="80"/>
      <c r="AK468" s="85" t="s">
        <v>1635</v>
      </c>
      <c r="AL468" s="80" t="b">
        <v>0</v>
      </c>
      <c r="AM468" s="80">
        <v>4</v>
      </c>
      <c r="AN468" s="85" t="s">
        <v>1621</v>
      </c>
      <c r="AO468" s="85" t="s">
        <v>1671</v>
      </c>
      <c r="AP468" s="80" t="b">
        <v>0</v>
      </c>
      <c r="AQ468" s="85" t="s">
        <v>1621</v>
      </c>
      <c r="AR468" s="80" t="s">
        <v>179</v>
      </c>
      <c r="AS468" s="80">
        <v>0</v>
      </c>
      <c r="AT468" s="80">
        <v>0</v>
      </c>
      <c r="AU468" s="80"/>
      <c r="AV468" s="80"/>
      <c r="AW468" s="80"/>
      <c r="AX468" s="80"/>
      <c r="AY468" s="80"/>
      <c r="AZ468" s="80"/>
      <c r="BA468" s="80"/>
      <c r="BB468" s="80"/>
    </row>
    <row r="469" spans="1:54" x14ac:dyDescent="0.25">
      <c r="A469" s="65" t="s">
        <v>363</v>
      </c>
      <c r="B469" s="65" t="s">
        <v>357</v>
      </c>
      <c r="C469" s="66"/>
      <c r="D469" s="67"/>
      <c r="E469" s="68"/>
      <c r="F469" s="69"/>
      <c r="G469" s="66"/>
      <c r="H469" s="70"/>
      <c r="I469" s="71"/>
      <c r="J469" s="71"/>
      <c r="K469" s="36" t="s">
        <v>65</v>
      </c>
      <c r="L469" s="78">
        <v>469</v>
      </c>
      <c r="M469" s="78"/>
      <c r="N469" s="73"/>
      <c r="O469" s="80" t="s">
        <v>415</v>
      </c>
      <c r="P469" s="82">
        <v>44632.796053240738</v>
      </c>
      <c r="Q469" s="80" t="s">
        <v>505</v>
      </c>
      <c r="R469" s="80"/>
      <c r="S469" s="80"/>
      <c r="T469" s="85" t="s">
        <v>700</v>
      </c>
      <c r="U469" s="83" t="str">
        <f>HYPERLINK("https://pbs.twimg.com/media/FNq-K9kWUAII3TB.jpg")</f>
        <v>https://pbs.twimg.com/media/FNq-K9kWUAII3TB.jpg</v>
      </c>
      <c r="V469" s="83" t="str">
        <f>HYPERLINK("https://pbs.twimg.com/media/FNq-K9kWUAII3TB.jpg")</f>
        <v>https://pbs.twimg.com/media/FNq-K9kWUAII3TB.jpg</v>
      </c>
      <c r="W469" s="82">
        <v>44632.796053240738</v>
      </c>
      <c r="X469" s="88">
        <v>44632</v>
      </c>
      <c r="Y469" s="85" t="s">
        <v>1054</v>
      </c>
      <c r="Z469" s="83" t="str">
        <f>HYPERLINK("https://twitter.com/davidburris0621/status/1502722673314521090")</f>
        <v>https://twitter.com/davidburris0621/status/1502722673314521090</v>
      </c>
      <c r="AA469" s="80"/>
      <c r="AB469" s="80"/>
      <c r="AC469" s="85" t="s">
        <v>1505</v>
      </c>
      <c r="AD469" s="80"/>
      <c r="AE469" s="80" t="b">
        <v>0</v>
      </c>
      <c r="AF469" s="80">
        <v>0</v>
      </c>
      <c r="AG469" s="85" t="s">
        <v>1635</v>
      </c>
      <c r="AH469" s="80" t="b">
        <v>0</v>
      </c>
      <c r="AI469" s="80" t="s">
        <v>1642</v>
      </c>
      <c r="AJ469" s="80"/>
      <c r="AK469" s="85" t="s">
        <v>1635</v>
      </c>
      <c r="AL469" s="80" t="b">
        <v>0</v>
      </c>
      <c r="AM469" s="80">
        <v>40</v>
      </c>
      <c r="AN469" s="85" t="s">
        <v>1627</v>
      </c>
      <c r="AO469" s="85" t="s">
        <v>1671</v>
      </c>
      <c r="AP469" s="80" t="b">
        <v>0</v>
      </c>
      <c r="AQ469" s="85" t="s">
        <v>1627</v>
      </c>
      <c r="AR469" s="80" t="s">
        <v>179</v>
      </c>
      <c r="AS469" s="80">
        <v>0</v>
      </c>
      <c r="AT469" s="80">
        <v>0</v>
      </c>
      <c r="AU469" s="80"/>
      <c r="AV469" s="80"/>
      <c r="AW469" s="80"/>
      <c r="AX469" s="80"/>
      <c r="AY469" s="80"/>
      <c r="AZ469" s="80"/>
      <c r="BA469" s="80"/>
      <c r="BB469" s="80"/>
    </row>
    <row r="470" spans="1:54" x14ac:dyDescent="0.25">
      <c r="A470" s="65" t="s">
        <v>363</v>
      </c>
      <c r="B470" s="65" t="s">
        <v>357</v>
      </c>
      <c r="C470" s="66"/>
      <c r="D470" s="67"/>
      <c r="E470" s="68"/>
      <c r="F470" s="69"/>
      <c r="G470" s="66"/>
      <c r="H470" s="70"/>
      <c r="I470" s="71"/>
      <c r="J470" s="71"/>
      <c r="K470" s="36" t="s">
        <v>65</v>
      </c>
      <c r="L470" s="78">
        <v>470</v>
      </c>
      <c r="M470" s="78"/>
      <c r="N470" s="73"/>
      <c r="O470" s="80" t="s">
        <v>415</v>
      </c>
      <c r="P470" s="82">
        <v>44634.566747685189</v>
      </c>
      <c r="Q470" s="80" t="s">
        <v>574</v>
      </c>
      <c r="R470" s="80"/>
      <c r="S470" s="80"/>
      <c r="T470" s="85" t="s">
        <v>718</v>
      </c>
      <c r="U470" s="83" t="str">
        <f>HYPERLINK("https://pbs.twimg.com/media/FN0FrlLWQAQYHcF.jpg")</f>
        <v>https://pbs.twimg.com/media/FN0FrlLWQAQYHcF.jpg</v>
      </c>
      <c r="V470" s="83" t="str">
        <f>HYPERLINK("https://pbs.twimg.com/media/FN0FrlLWQAQYHcF.jpg")</f>
        <v>https://pbs.twimg.com/media/FN0FrlLWQAQYHcF.jpg</v>
      </c>
      <c r="W470" s="82">
        <v>44634.566747685189</v>
      </c>
      <c r="X470" s="88">
        <v>44634</v>
      </c>
      <c r="Y470" s="85" t="s">
        <v>1055</v>
      </c>
      <c r="Z470" s="83" t="str">
        <f>HYPERLINK("https://twitter.com/davidburris0621/status/1503364354334498818")</f>
        <v>https://twitter.com/davidburris0621/status/1503364354334498818</v>
      </c>
      <c r="AA470" s="80"/>
      <c r="AB470" s="80"/>
      <c r="AC470" s="85" t="s">
        <v>1506</v>
      </c>
      <c r="AD470" s="80"/>
      <c r="AE470" s="80" t="b">
        <v>0</v>
      </c>
      <c r="AF470" s="80">
        <v>0</v>
      </c>
      <c r="AG470" s="85" t="s">
        <v>1635</v>
      </c>
      <c r="AH470" s="80" t="b">
        <v>0</v>
      </c>
      <c r="AI470" s="80" t="s">
        <v>1642</v>
      </c>
      <c r="AJ470" s="80"/>
      <c r="AK470" s="85" t="s">
        <v>1635</v>
      </c>
      <c r="AL470" s="80" t="b">
        <v>0</v>
      </c>
      <c r="AM470" s="80">
        <v>6</v>
      </c>
      <c r="AN470" s="85" t="s">
        <v>1629</v>
      </c>
      <c r="AO470" s="85" t="s">
        <v>1671</v>
      </c>
      <c r="AP470" s="80" t="b">
        <v>0</v>
      </c>
      <c r="AQ470" s="85" t="s">
        <v>1629</v>
      </c>
      <c r="AR470" s="80" t="s">
        <v>179</v>
      </c>
      <c r="AS470" s="80">
        <v>0</v>
      </c>
      <c r="AT470" s="80">
        <v>0</v>
      </c>
      <c r="AU470" s="80"/>
      <c r="AV470" s="80"/>
      <c r="AW470" s="80"/>
      <c r="AX470" s="80"/>
      <c r="AY470" s="80"/>
      <c r="AZ470" s="80"/>
      <c r="BA470" s="80"/>
      <c r="BB470" s="80"/>
    </row>
    <row r="471" spans="1:54" x14ac:dyDescent="0.25">
      <c r="A471" s="65" t="s">
        <v>364</v>
      </c>
      <c r="B471" s="65" t="s">
        <v>357</v>
      </c>
      <c r="C471" s="66"/>
      <c r="D471" s="67"/>
      <c r="E471" s="68"/>
      <c r="F471" s="69"/>
      <c r="G471" s="66"/>
      <c r="H471" s="70"/>
      <c r="I471" s="71"/>
      <c r="J471" s="71"/>
      <c r="K471" s="36" t="s">
        <v>65</v>
      </c>
      <c r="L471" s="78">
        <v>471</v>
      </c>
      <c r="M471" s="78"/>
      <c r="N471" s="73"/>
      <c r="O471" s="80" t="s">
        <v>415</v>
      </c>
      <c r="P471" s="82">
        <v>44634.566828703704</v>
      </c>
      <c r="Q471" s="80" t="s">
        <v>505</v>
      </c>
      <c r="R471" s="80"/>
      <c r="S471" s="80"/>
      <c r="T471" s="85" t="s">
        <v>700</v>
      </c>
      <c r="U471" s="83" t="str">
        <f>HYPERLINK("https://pbs.twimg.com/media/FNq-K9kWUAII3TB.jpg")</f>
        <v>https://pbs.twimg.com/media/FNq-K9kWUAII3TB.jpg</v>
      </c>
      <c r="V471" s="83" t="str">
        <f>HYPERLINK("https://pbs.twimg.com/media/FNq-K9kWUAII3TB.jpg")</f>
        <v>https://pbs.twimg.com/media/FNq-K9kWUAII3TB.jpg</v>
      </c>
      <c r="W471" s="82">
        <v>44634.566828703704</v>
      </c>
      <c r="X471" s="88">
        <v>44634</v>
      </c>
      <c r="Y471" s="85" t="s">
        <v>1056</v>
      </c>
      <c r="Z471" s="83" t="str">
        <f>HYPERLINK("https://twitter.com/xwater_media/status/1503364381010276354")</f>
        <v>https://twitter.com/xwater_media/status/1503364381010276354</v>
      </c>
      <c r="AA471" s="80"/>
      <c r="AB471" s="80"/>
      <c r="AC471" s="85" t="s">
        <v>1507</v>
      </c>
      <c r="AD471" s="80"/>
      <c r="AE471" s="80" t="b">
        <v>0</v>
      </c>
      <c r="AF471" s="80">
        <v>0</v>
      </c>
      <c r="AG471" s="85" t="s">
        <v>1635</v>
      </c>
      <c r="AH471" s="80" t="b">
        <v>0</v>
      </c>
      <c r="AI471" s="80" t="s">
        <v>1642</v>
      </c>
      <c r="AJ471" s="80"/>
      <c r="AK471" s="85" t="s">
        <v>1635</v>
      </c>
      <c r="AL471" s="80" t="b">
        <v>0</v>
      </c>
      <c r="AM471" s="80">
        <v>40</v>
      </c>
      <c r="AN471" s="85" t="s">
        <v>1627</v>
      </c>
      <c r="AO471" s="85" t="s">
        <v>1672</v>
      </c>
      <c r="AP471" s="80" t="b">
        <v>0</v>
      </c>
      <c r="AQ471" s="85" t="s">
        <v>1627</v>
      </c>
      <c r="AR471" s="80" t="s">
        <v>179</v>
      </c>
      <c r="AS471" s="80">
        <v>0</v>
      </c>
      <c r="AT471" s="80">
        <v>0</v>
      </c>
      <c r="AU471" s="80"/>
      <c r="AV471" s="80"/>
      <c r="AW471" s="80"/>
      <c r="AX471" s="80"/>
      <c r="AY471" s="80"/>
      <c r="AZ471" s="80"/>
      <c r="BA471" s="80"/>
      <c r="BB471" s="80"/>
    </row>
    <row r="472" spans="1:54" x14ac:dyDescent="0.25">
      <c r="A472" s="65" t="s">
        <v>365</v>
      </c>
      <c r="B472" s="65" t="s">
        <v>359</v>
      </c>
      <c r="C472" s="66"/>
      <c r="D472" s="67"/>
      <c r="E472" s="68"/>
      <c r="F472" s="69"/>
      <c r="G472" s="66"/>
      <c r="H472" s="70"/>
      <c r="I472" s="71"/>
      <c r="J472" s="71"/>
      <c r="K472" s="36" t="s">
        <v>65</v>
      </c>
      <c r="L472" s="78">
        <v>472</v>
      </c>
      <c r="M472" s="78"/>
      <c r="N472" s="73"/>
      <c r="O472" s="80" t="s">
        <v>415</v>
      </c>
      <c r="P472" s="82">
        <v>44628.741979166669</v>
      </c>
      <c r="Q472" s="80" t="s">
        <v>575</v>
      </c>
      <c r="R472" s="83" t="str">
        <f>HYPERLINK("https://library.buffalo.edu/archives/ubpeople/detail.html?ID=2519")</f>
        <v>https://library.buffalo.edu/archives/ubpeople/detail.html?ID=2519</v>
      </c>
      <c r="S472" s="80" t="s">
        <v>632</v>
      </c>
      <c r="T472" s="85" t="s">
        <v>719</v>
      </c>
      <c r="U472" s="83" t="str">
        <f>HYPERLINK("https://pbs.twimg.com/media/FNVgGGLX0AkX5nw.png")</f>
        <v>https://pbs.twimg.com/media/FNVgGGLX0AkX5nw.png</v>
      </c>
      <c r="V472" s="83" t="str">
        <f>HYPERLINK("https://pbs.twimg.com/media/FNVgGGLX0AkX5nw.png")</f>
        <v>https://pbs.twimg.com/media/FNVgGGLX0AkX5nw.png</v>
      </c>
      <c r="W472" s="82">
        <v>44628.741979166669</v>
      </c>
      <c r="X472" s="88">
        <v>44628</v>
      </c>
      <c r="Y472" s="85" t="s">
        <v>1057</v>
      </c>
      <c r="Z472" s="83" t="str">
        <f>HYPERLINK("https://twitter.com/tobylorbha/status/1501253525761888264")</f>
        <v>https://twitter.com/tobylorbha/status/1501253525761888264</v>
      </c>
      <c r="AA472" s="80"/>
      <c r="AB472" s="80"/>
      <c r="AC472" s="85" t="s">
        <v>1508</v>
      </c>
      <c r="AD472" s="80"/>
      <c r="AE472" s="80" t="b">
        <v>0</v>
      </c>
      <c r="AF472" s="80">
        <v>0</v>
      </c>
      <c r="AG472" s="85" t="s">
        <v>1635</v>
      </c>
      <c r="AH472" s="80" t="b">
        <v>0</v>
      </c>
      <c r="AI472" s="80" t="s">
        <v>1642</v>
      </c>
      <c r="AJ472" s="80"/>
      <c r="AK472" s="85" t="s">
        <v>1635</v>
      </c>
      <c r="AL472" s="80" t="b">
        <v>0</v>
      </c>
      <c r="AM472" s="80">
        <v>3</v>
      </c>
      <c r="AN472" s="85" t="s">
        <v>1518</v>
      </c>
      <c r="AO472" s="85" t="s">
        <v>1673</v>
      </c>
      <c r="AP472" s="80" t="b">
        <v>0</v>
      </c>
      <c r="AQ472" s="85" t="s">
        <v>1518</v>
      </c>
      <c r="AR472" s="80" t="s">
        <v>179</v>
      </c>
      <c r="AS472" s="80">
        <v>0</v>
      </c>
      <c r="AT472" s="80">
        <v>0</v>
      </c>
      <c r="AU472" s="80"/>
      <c r="AV472" s="80"/>
      <c r="AW472" s="80"/>
      <c r="AX472" s="80"/>
      <c r="AY472" s="80"/>
      <c r="AZ472" s="80"/>
      <c r="BA472" s="80"/>
      <c r="BB472" s="80"/>
    </row>
    <row r="473" spans="1:54" x14ac:dyDescent="0.25">
      <c r="A473" s="65" t="s">
        <v>365</v>
      </c>
      <c r="B473" s="65" t="s">
        <v>357</v>
      </c>
      <c r="C473" s="66"/>
      <c r="D473" s="67"/>
      <c r="E473" s="68"/>
      <c r="F473" s="69"/>
      <c r="G473" s="66"/>
      <c r="H473" s="70"/>
      <c r="I473" s="71"/>
      <c r="J473" s="71"/>
      <c r="K473" s="36" t="s">
        <v>65</v>
      </c>
      <c r="L473" s="78">
        <v>473</v>
      </c>
      <c r="M473" s="78"/>
      <c r="N473" s="73"/>
      <c r="O473" s="80" t="s">
        <v>415</v>
      </c>
      <c r="P473" s="82">
        <v>44634.577476851853</v>
      </c>
      <c r="Q473" s="80" t="s">
        <v>574</v>
      </c>
      <c r="R473" s="80"/>
      <c r="S473" s="80"/>
      <c r="T473" s="85" t="s">
        <v>718</v>
      </c>
      <c r="U473" s="83" t="str">
        <f>HYPERLINK("https://pbs.twimg.com/media/FN0FrlLWQAQYHcF.jpg")</f>
        <v>https://pbs.twimg.com/media/FN0FrlLWQAQYHcF.jpg</v>
      </c>
      <c r="V473" s="83" t="str">
        <f>HYPERLINK("https://pbs.twimg.com/media/FN0FrlLWQAQYHcF.jpg")</f>
        <v>https://pbs.twimg.com/media/FN0FrlLWQAQYHcF.jpg</v>
      </c>
      <c r="W473" s="82">
        <v>44634.577476851853</v>
      </c>
      <c r="X473" s="88">
        <v>44634</v>
      </c>
      <c r="Y473" s="85" t="s">
        <v>1058</v>
      </c>
      <c r="Z473" s="83" t="str">
        <f>HYPERLINK("https://twitter.com/tobylorbha/status/1503368239245582337")</f>
        <v>https://twitter.com/tobylorbha/status/1503368239245582337</v>
      </c>
      <c r="AA473" s="80"/>
      <c r="AB473" s="80"/>
      <c r="AC473" s="85" t="s">
        <v>1509</v>
      </c>
      <c r="AD473" s="80"/>
      <c r="AE473" s="80" t="b">
        <v>0</v>
      </c>
      <c r="AF473" s="80">
        <v>0</v>
      </c>
      <c r="AG473" s="85" t="s">
        <v>1635</v>
      </c>
      <c r="AH473" s="80" t="b">
        <v>0</v>
      </c>
      <c r="AI473" s="80" t="s">
        <v>1642</v>
      </c>
      <c r="AJ473" s="80"/>
      <c r="AK473" s="85" t="s">
        <v>1635</v>
      </c>
      <c r="AL473" s="80" t="b">
        <v>0</v>
      </c>
      <c r="AM473" s="80">
        <v>6</v>
      </c>
      <c r="AN473" s="85" t="s">
        <v>1629</v>
      </c>
      <c r="AO473" s="85" t="s">
        <v>1673</v>
      </c>
      <c r="AP473" s="80" t="b">
        <v>0</v>
      </c>
      <c r="AQ473" s="85" t="s">
        <v>1629</v>
      </c>
      <c r="AR473" s="80" t="s">
        <v>179</v>
      </c>
      <c r="AS473" s="80">
        <v>0</v>
      </c>
      <c r="AT473" s="80">
        <v>0</v>
      </c>
      <c r="AU473" s="80"/>
      <c r="AV473" s="80"/>
      <c r="AW473" s="80"/>
      <c r="AX473" s="80"/>
      <c r="AY473" s="80"/>
      <c r="AZ473" s="80"/>
      <c r="BA473" s="80"/>
      <c r="BB473" s="80"/>
    </row>
    <row r="474" spans="1:54" x14ac:dyDescent="0.25">
      <c r="A474" s="65" t="s">
        <v>247</v>
      </c>
      <c r="B474" s="65" t="s">
        <v>366</v>
      </c>
      <c r="C474" s="66"/>
      <c r="D474" s="67"/>
      <c r="E474" s="68"/>
      <c r="F474" s="69"/>
      <c r="G474" s="66"/>
      <c r="H474" s="70"/>
      <c r="I474" s="71"/>
      <c r="J474" s="71"/>
      <c r="K474" s="36" t="s">
        <v>65</v>
      </c>
      <c r="L474" s="78">
        <v>474</v>
      </c>
      <c r="M474" s="78"/>
      <c r="N474" s="73"/>
      <c r="O474" s="80" t="s">
        <v>414</v>
      </c>
      <c r="P474" s="82">
        <v>44627.848344907405</v>
      </c>
      <c r="Q474" s="80" t="s">
        <v>440</v>
      </c>
      <c r="R474" s="83" t="str">
        <f>HYPERLINK("https://twitter.com/gloriaanglon/status/1498906622613065728")</f>
        <v>https://twitter.com/gloriaanglon/status/1498906622613065728</v>
      </c>
      <c r="S474" s="80" t="s">
        <v>633</v>
      </c>
      <c r="T474" s="85" t="s">
        <v>674</v>
      </c>
      <c r="U474" s="80"/>
      <c r="V474" s="83" t="str">
        <f>HYPERLINK("https://pbs.twimg.com/profile_images/1423376912362115072/Z1n3x0HI_normal.jpg")</f>
        <v>https://pbs.twimg.com/profile_images/1423376912362115072/Z1n3x0HI_normal.jpg</v>
      </c>
      <c r="W474" s="82">
        <v>44627.848344907405</v>
      </c>
      <c r="X474" s="88">
        <v>44627</v>
      </c>
      <c r="Y474" s="85" t="s">
        <v>762</v>
      </c>
      <c r="Z474" s="83" t="str">
        <f>HYPERLINK("https://twitter.com/ub_bullyprevctr/status/1500929684313411587")</f>
        <v>https://twitter.com/ub_bullyprevctr/status/1500929684313411587</v>
      </c>
      <c r="AA474" s="80"/>
      <c r="AB474" s="80"/>
      <c r="AC474" s="85" t="s">
        <v>1211</v>
      </c>
      <c r="AD474" s="80"/>
      <c r="AE474" s="80" t="b">
        <v>0</v>
      </c>
      <c r="AF474" s="80">
        <v>0</v>
      </c>
      <c r="AG474" s="85" t="s">
        <v>1635</v>
      </c>
      <c r="AH474" s="80" t="b">
        <v>1</v>
      </c>
      <c r="AI474" s="80" t="s">
        <v>1642</v>
      </c>
      <c r="AJ474" s="80"/>
      <c r="AK474" s="85" t="s">
        <v>1644</v>
      </c>
      <c r="AL474" s="80" t="b">
        <v>0</v>
      </c>
      <c r="AM474" s="80">
        <v>3</v>
      </c>
      <c r="AN474" s="85" t="s">
        <v>1209</v>
      </c>
      <c r="AO474" s="85" t="s">
        <v>1672</v>
      </c>
      <c r="AP474" s="80" t="b">
        <v>0</v>
      </c>
      <c r="AQ474" s="85" t="s">
        <v>1209</v>
      </c>
      <c r="AR474" s="80" t="s">
        <v>179</v>
      </c>
      <c r="AS474" s="80">
        <v>0</v>
      </c>
      <c r="AT474" s="80">
        <v>0</v>
      </c>
      <c r="AU474" s="80"/>
      <c r="AV474" s="80"/>
      <c r="AW474" s="80"/>
      <c r="AX474" s="80"/>
      <c r="AY474" s="80"/>
      <c r="AZ474" s="80"/>
      <c r="BA474" s="80"/>
      <c r="BB474" s="80"/>
    </row>
    <row r="475" spans="1:54" x14ac:dyDescent="0.25">
      <c r="A475" s="65" t="s">
        <v>366</v>
      </c>
      <c r="B475" s="65" t="s">
        <v>357</v>
      </c>
      <c r="C475" s="66"/>
      <c r="D475" s="67"/>
      <c r="E475" s="68"/>
      <c r="F475" s="69"/>
      <c r="G475" s="66"/>
      <c r="H475" s="70"/>
      <c r="I475" s="71"/>
      <c r="J475" s="71"/>
      <c r="K475" s="36" t="s">
        <v>65</v>
      </c>
      <c r="L475" s="78">
        <v>475</v>
      </c>
      <c r="M475" s="78"/>
      <c r="N475" s="73"/>
      <c r="O475" s="80" t="s">
        <v>415</v>
      </c>
      <c r="P475" s="82">
        <v>44629.777731481481</v>
      </c>
      <c r="Q475" s="80" t="s">
        <v>576</v>
      </c>
      <c r="R475" s="83" t="str">
        <f>HYPERLINK("https://www.buffalo.edu/ubnow/stories/2022/02/pacor-town-halls.html?utm_source=TWITTER&amp;utm_medium=social&amp;utm_term=20220309&amp;utm_content=100002962578936&amp;utm_campaign=General+Content&amp;linkId=100000114302482")</f>
        <v>https://www.buffalo.edu/ubnow/stories/2022/02/pacor-town-halls.html?utm_source=TWITTER&amp;utm_medium=social&amp;utm_term=20220309&amp;utm_content=100002962578936&amp;utm_campaign=General+Content&amp;linkId=100000114302482</v>
      </c>
      <c r="S475" s="80" t="s">
        <v>632</v>
      </c>
      <c r="T475" s="85" t="s">
        <v>357</v>
      </c>
      <c r="U475" s="80"/>
      <c r="V475" s="83" t="str">
        <f>HYPERLINK("https://pbs.twimg.com/profile_images/930533367275249664/3Whywl0o_normal.jpg")</f>
        <v>https://pbs.twimg.com/profile_images/930533367275249664/3Whywl0o_normal.jpg</v>
      </c>
      <c r="W475" s="82">
        <v>44629.777731481481</v>
      </c>
      <c r="X475" s="88">
        <v>44629</v>
      </c>
      <c r="Y475" s="85" t="s">
        <v>1059</v>
      </c>
      <c r="Z475" s="83" t="str">
        <f>HYPERLINK("https://twitter.com/ubscience/status/1501628873196376065")</f>
        <v>https://twitter.com/ubscience/status/1501628873196376065</v>
      </c>
      <c r="AA475" s="80"/>
      <c r="AB475" s="80"/>
      <c r="AC475" s="85" t="s">
        <v>1510</v>
      </c>
      <c r="AD475" s="80"/>
      <c r="AE475" s="80" t="b">
        <v>0</v>
      </c>
      <c r="AF475" s="80">
        <v>0</v>
      </c>
      <c r="AG475" s="85" t="s">
        <v>1635</v>
      </c>
      <c r="AH475" s="80" t="b">
        <v>0</v>
      </c>
      <c r="AI475" s="80" t="s">
        <v>1642</v>
      </c>
      <c r="AJ475" s="80"/>
      <c r="AK475" s="85" t="s">
        <v>1635</v>
      </c>
      <c r="AL475" s="80" t="b">
        <v>0</v>
      </c>
      <c r="AM475" s="80">
        <v>1</v>
      </c>
      <c r="AN475" s="85" t="s">
        <v>1618</v>
      </c>
      <c r="AO475" s="85" t="s">
        <v>1672</v>
      </c>
      <c r="AP475" s="80" t="b">
        <v>0</v>
      </c>
      <c r="AQ475" s="85" t="s">
        <v>1618</v>
      </c>
      <c r="AR475" s="80" t="s">
        <v>179</v>
      </c>
      <c r="AS475" s="80">
        <v>0</v>
      </c>
      <c r="AT475" s="80">
        <v>0</v>
      </c>
      <c r="AU475" s="80"/>
      <c r="AV475" s="80"/>
      <c r="AW475" s="80"/>
      <c r="AX475" s="80"/>
      <c r="AY475" s="80"/>
      <c r="AZ475" s="80"/>
      <c r="BA475" s="80"/>
      <c r="BB475" s="80"/>
    </row>
    <row r="476" spans="1:54" x14ac:dyDescent="0.25">
      <c r="A476" s="65" t="s">
        <v>366</v>
      </c>
      <c r="B476" s="65" t="s">
        <v>357</v>
      </c>
      <c r="C476" s="66"/>
      <c r="D476" s="67"/>
      <c r="E476" s="68"/>
      <c r="F476" s="69"/>
      <c r="G476" s="66"/>
      <c r="H476" s="70"/>
      <c r="I476" s="71"/>
      <c r="J476" s="71"/>
      <c r="K476" s="36" t="s">
        <v>65</v>
      </c>
      <c r="L476" s="78">
        <v>476</v>
      </c>
      <c r="M476" s="78"/>
      <c r="N476" s="73"/>
      <c r="O476" s="80" t="s">
        <v>415</v>
      </c>
      <c r="P476" s="82">
        <v>44634.591840277775</v>
      </c>
      <c r="Q476" s="80" t="s">
        <v>574</v>
      </c>
      <c r="R476" s="80"/>
      <c r="S476" s="80"/>
      <c r="T476" s="85" t="s">
        <v>718</v>
      </c>
      <c r="U476" s="83" t="str">
        <f>HYPERLINK("https://pbs.twimg.com/media/FN0FrlLWQAQYHcF.jpg")</f>
        <v>https://pbs.twimg.com/media/FN0FrlLWQAQYHcF.jpg</v>
      </c>
      <c r="V476" s="83" t="str">
        <f>HYPERLINK("https://pbs.twimg.com/media/FN0FrlLWQAQYHcF.jpg")</f>
        <v>https://pbs.twimg.com/media/FN0FrlLWQAQYHcF.jpg</v>
      </c>
      <c r="W476" s="82">
        <v>44634.591840277775</v>
      </c>
      <c r="X476" s="88">
        <v>44634</v>
      </c>
      <c r="Y476" s="85" t="s">
        <v>1060</v>
      </c>
      <c r="Z476" s="83" t="str">
        <f>HYPERLINK("https://twitter.com/ubscience/status/1503373447367438342")</f>
        <v>https://twitter.com/ubscience/status/1503373447367438342</v>
      </c>
      <c r="AA476" s="80"/>
      <c r="AB476" s="80"/>
      <c r="AC476" s="85" t="s">
        <v>1511</v>
      </c>
      <c r="AD476" s="80"/>
      <c r="AE476" s="80" t="b">
        <v>0</v>
      </c>
      <c r="AF476" s="80">
        <v>0</v>
      </c>
      <c r="AG476" s="85" t="s">
        <v>1635</v>
      </c>
      <c r="AH476" s="80" t="b">
        <v>0</v>
      </c>
      <c r="AI476" s="80" t="s">
        <v>1642</v>
      </c>
      <c r="AJ476" s="80"/>
      <c r="AK476" s="85" t="s">
        <v>1635</v>
      </c>
      <c r="AL476" s="80" t="b">
        <v>0</v>
      </c>
      <c r="AM476" s="80">
        <v>6</v>
      </c>
      <c r="AN476" s="85" t="s">
        <v>1629</v>
      </c>
      <c r="AO476" s="85" t="s">
        <v>1672</v>
      </c>
      <c r="AP476" s="80" t="b">
        <v>0</v>
      </c>
      <c r="AQ476" s="85" t="s">
        <v>1629</v>
      </c>
      <c r="AR476" s="80" t="s">
        <v>179</v>
      </c>
      <c r="AS476" s="80">
        <v>0</v>
      </c>
      <c r="AT476" s="80">
        <v>0</v>
      </c>
      <c r="AU476" s="80"/>
      <c r="AV476" s="80"/>
      <c r="AW476" s="80"/>
      <c r="AX476" s="80"/>
      <c r="AY476" s="80"/>
      <c r="AZ476" s="80"/>
      <c r="BA476" s="80"/>
      <c r="BB476" s="80"/>
    </row>
    <row r="477" spans="1:54" x14ac:dyDescent="0.25">
      <c r="A477" s="65" t="s">
        <v>367</v>
      </c>
      <c r="B477" s="65" t="s">
        <v>367</v>
      </c>
      <c r="C477" s="66"/>
      <c r="D477" s="67"/>
      <c r="E477" s="68"/>
      <c r="F477" s="69"/>
      <c r="G477" s="66"/>
      <c r="H477" s="70"/>
      <c r="I477" s="71"/>
      <c r="J477" s="71"/>
      <c r="K477" s="36" t="s">
        <v>65</v>
      </c>
      <c r="L477" s="78">
        <v>477</v>
      </c>
      <c r="M477" s="78"/>
      <c r="N477" s="73"/>
      <c r="O477" s="80" t="s">
        <v>179</v>
      </c>
      <c r="P477" s="82">
        <v>44628.882962962962</v>
      </c>
      <c r="Q477" s="80" t="s">
        <v>577</v>
      </c>
      <c r="R477" s="83" t="str">
        <f>HYPERLINK("https://www.ubcfa.org/")</f>
        <v>https://www.ubcfa.org/</v>
      </c>
      <c r="S477" s="80" t="s">
        <v>658</v>
      </c>
      <c r="T477" s="85" t="s">
        <v>720</v>
      </c>
      <c r="U477" s="83" t="str">
        <f>HYPERLINK("https://pbs.twimg.com/media/FNW0ckeXMAM6oIc.jpg")</f>
        <v>https://pbs.twimg.com/media/FNW0ckeXMAM6oIc.jpg</v>
      </c>
      <c r="V477" s="83" t="str">
        <f>HYPERLINK("https://pbs.twimg.com/media/FNW0ckeXMAM6oIc.jpg")</f>
        <v>https://pbs.twimg.com/media/FNW0ckeXMAM6oIc.jpg</v>
      </c>
      <c r="W477" s="82">
        <v>44628.882962962962</v>
      </c>
      <c r="X477" s="88">
        <v>44628</v>
      </c>
      <c r="Y477" s="85" t="s">
        <v>1061</v>
      </c>
      <c r="Z477" s="83" t="str">
        <f>HYPERLINK("https://twitter.com/ubtheatredance/status/1501304619481378816")</f>
        <v>https://twitter.com/ubtheatredance/status/1501304619481378816</v>
      </c>
      <c r="AA477" s="80"/>
      <c r="AB477" s="80"/>
      <c r="AC477" s="85" t="s">
        <v>1512</v>
      </c>
      <c r="AD477" s="80"/>
      <c r="AE477" s="80" t="b">
        <v>0</v>
      </c>
      <c r="AF477" s="80">
        <v>1</v>
      </c>
      <c r="AG477" s="85" t="s">
        <v>1635</v>
      </c>
      <c r="AH477" s="80" t="b">
        <v>0</v>
      </c>
      <c r="AI477" s="80" t="s">
        <v>1642</v>
      </c>
      <c r="AJ477" s="80"/>
      <c r="AK477" s="85" t="s">
        <v>1635</v>
      </c>
      <c r="AL477" s="80" t="b">
        <v>0</v>
      </c>
      <c r="AM477" s="80">
        <v>0</v>
      </c>
      <c r="AN477" s="85" t="s">
        <v>1635</v>
      </c>
      <c r="AO477" s="85" t="s">
        <v>1672</v>
      </c>
      <c r="AP477" s="80" t="b">
        <v>0</v>
      </c>
      <c r="AQ477" s="85" t="s">
        <v>1512</v>
      </c>
      <c r="AR477" s="80" t="s">
        <v>179</v>
      </c>
      <c r="AS477" s="80">
        <v>0</v>
      </c>
      <c r="AT477" s="80">
        <v>0</v>
      </c>
      <c r="AU477" s="80"/>
      <c r="AV477" s="80"/>
      <c r="AW477" s="80"/>
      <c r="AX477" s="80"/>
      <c r="AY477" s="80"/>
      <c r="AZ477" s="80"/>
      <c r="BA477" s="80"/>
      <c r="BB477" s="80"/>
    </row>
    <row r="478" spans="1:54" x14ac:dyDescent="0.25">
      <c r="A478" s="65" t="s">
        <v>367</v>
      </c>
      <c r="B478" s="65" t="s">
        <v>367</v>
      </c>
      <c r="C478" s="66"/>
      <c r="D478" s="67"/>
      <c r="E478" s="68"/>
      <c r="F478" s="69"/>
      <c r="G478" s="66"/>
      <c r="H478" s="70"/>
      <c r="I478" s="71"/>
      <c r="J478" s="71"/>
      <c r="K478" s="36" t="s">
        <v>65</v>
      </c>
      <c r="L478" s="78">
        <v>478</v>
      </c>
      <c r="M478" s="78"/>
      <c r="N478" s="73"/>
      <c r="O478" s="80" t="s">
        <v>179</v>
      </c>
      <c r="P478" s="82">
        <v>44629.804942129631</v>
      </c>
      <c r="Q478" s="80" t="s">
        <v>578</v>
      </c>
      <c r="R478" s="83" t="str">
        <f>HYPERLINK("http://www.ubcfa.org/")</f>
        <v>http://www.ubcfa.org/</v>
      </c>
      <c r="S478" s="80" t="s">
        <v>658</v>
      </c>
      <c r="T478" s="85" t="s">
        <v>720</v>
      </c>
      <c r="U478" s="83" t="str">
        <f>HYPERLINK("https://pbs.twimg.com/media/FNbkXR8XMAMa71U.jpg")</f>
        <v>https://pbs.twimg.com/media/FNbkXR8XMAMa71U.jpg</v>
      </c>
      <c r="V478" s="83" t="str">
        <f>HYPERLINK("https://pbs.twimg.com/media/FNbkXR8XMAMa71U.jpg")</f>
        <v>https://pbs.twimg.com/media/FNbkXR8XMAMa71U.jpg</v>
      </c>
      <c r="W478" s="82">
        <v>44629.804942129631</v>
      </c>
      <c r="X478" s="88">
        <v>44629</v>
      </c>
      <c r="Y478" s="85" t="s">
        <v>1062</v>
      </c>
      <c r="Z478" s="83" t="str">
        <f>HYPERLINK("https://twitter.com/ubtheatredance/status/1501638733069701131")</f>
        <v>https://twitter.com/ubtheatredance/status/1501638733069701131</v>
      </c>
      <c r="AA478" s="80"/>
      <c r="AB478" s="80"/>
      <c r="AC478" s="85" t="s">
        <v>1513</v>
      </c>
      <c r="AD478" s="80"/>
      <c r="AE478" s="80" t="b">
        <v>0</v>
      </c>
      <c r="AF478" s="80">
        <v>0</v>
      </c>
      <c r="AG478" s="85" t="s">
        <v>1635</v>
      </c>
      <c r="AH478" s="80" t="b">
        <v>0</v>
      </c>
      <c r="AI478" s="80" t="s">
        <v>1642</v>
      </c>
      <c r="AJ478" s="80"/>
      <c r="AK478" s="85" t="s">
        <v>1635</v>
      </c>
      <c r="AL478" s="80" t="b">
        <v>0</v>
      </c>
      <c r="AM478" s="80">
        <v>0</v>
      </c>
      <c r="AN478" s="85" t="s">
        <v>1635</v>
      </c>
      <c r="AO478" s="85" t="s">
        <v>1672</v>
      </c>
      <c r="AP478" s="80" t="b">
        <v>0</v>
      </c>
      <c r="AQ478" s="85" t="s">
        <v>1513</v>
      </c>
      <c r="AR478" s="80" t="s">
        <v>179</v>
      </c>
      <c r="AS478" s="80">
        <v>0</v>
      </c>
      <c r="AT478" s="80">
        <v>0</v>
      </c>
      <c r="AU478" s="80"/>
      <c r="AV478" s="80"/>
      <c r="AW478" s="80"/>
      <c r="AX478" s="80"/>
      <c r="AY478" s="80"/>
      <c r="AZ478" s="80"/>
      <c r="BA478" s="80"/>
      <c r="BB478" s="80"/>
    </row>
    <row r="479" spans="1:54" x14ac:dyDescent="0.25">
      <c r="A479" s="65" t="s">
        <v>367</v>
      </c>
      <c r="B479" s="65" t="s">
        <v>367</v>
      </c>
      <c r="C479" s="66"/>
      <c r="D479" s="67"/>
      <c r="E479" s="68"/>
      <c r="F479" s="69"/>
      <c r="G479" s="66"/>
      <c r="H479" s="70"/>
      <c r="I479" s="71"/>
      <c r="J479" s="71"/>
      <c r="K479" s="36" t="s">
        <v>65</v>
      </c>
      <c r="L479" s="78">
        <v>479</v>
      </c>
      <c r="M479" s="78"/>
      <c r="N479" s="73"/>
      <c r="O479" s="80" t="s">
        <v>179</v>
      </c>
      <c r="P479" s="82">
        <v>44630.659398148149</v>
      </c>
      <c r="Q479" s="80" t="s">
        <v>579</v>
      </c>
      <c r="R479" s="83" t="str">
        <f>HYPERLINK("https://www.ubcfa.org/")</f>
        <v>https://www.ubcfa.org/</v>
      </c>
      <c r="S479" s="80" t="s">
        <v>658</v>
      </c>
      <c r="T479" s="85" t="s">
        <v>721</v>
      </c>
      <c r="U479" s="83" t="str">
        <f>HYPERLINK("https://pbs.twimg.com/media/FNf9zxuVUAAQREl.jpg")</f>
        <v>https://pbs.twimg.com/media/FNf9zxuVUAAQREl.jpg</v>
      </c>
      <c r="V479" s="83" t="str">
        <f>HYPERLINK("https://pbs.twimg.com/media/FNf9zxuVUAAQREl.jpg")</f>
        <v>https://pbs.twimg.com/media/FNf9zxuVUAAQREl.jpg</v>
      </c>
      <c r="W479" s="82">
        <v>44630.659398148149</v>
      </c>
      <c r="X479" s="88">
        <v>44630</v>
      </c>
      <c r="Y479" s="85" t="s">
        <v>1063</v>
      </c>
      <c r="Z479" s="83" t="str">
        <f>HYPERLINK("https://twitter.com/ubtheatredance/status/1501948377419829255")</f>
        <v>https://twitter.com/ubtheatredance/status/1501948377419829255</v>
      </c>
      <c r="AA479" s="80"/>
      <c r="AB479" s="80"/>
      <c r="AC479" s="85" t="s">
        <v>1514</v>
      </c>
      <c r="AD479" s="80"/>
      <c r="AE479" s="80" t="b">
        <v>0</v>
      </c>
      <c r="AF479" s="80">
        <v>1</v>
      </c>
      <c r="AG479" s="85" t="s">
        <v>1635</v>
      </c>
      <c r="AH479" s="80" t="b">
        <v>0</v>
      </c>
      <c r="AI479" s="80" t="s">
        <v>1642</v>
      </c>
      <c r="AJ479" s="80"/>
      <c r="AK479" s="85" t="s">
        <v>1635</v>
      </c>
      <c r="AL479" s="80" t="b">
        <v>0</v>
      </c>
      <c r="AM479" s="80">
        <v>0</v>
      </c>
      <c r="AN479" s="85" t="s">
        <v>1635</v>
      </c>
      <c r="AO479" s="85" t="s">
        <v>1672</v>
      </c>
      <c r="AP479" s="80" t="b">
        <v>0</v>
      </c>
      <c r="AQ479" s="85" t="s">
        <v>1514</v>
      </c>
      <c r="AR479" s="80" t="s">
        <v>179</v>
      </c>
      <c r="AS479" s="80">
        <v>0</v>
      </c>
      <c r="AT479" s="80">
        <v>0</v>
      </c>
      <c r="AU479" s="80"/>
      <c r="AV479" s="80"/>
      <c r="AW479" s="80"/>
      <c r="AX479" s="80"/>
      <c r="AY479" s="80"/>
      <c r="AZ479" s="80"/>
      <c r="BA479" s="80"/>
      <c r="BB479" s="80"/>
    </row>
    <row r="480" spans="1:54" x14ac:dyDescent="0.25">
      <c r="A480" s="65" t="s">
        <v>367</v>
      </c>
      <c r="B480" s="65" t="s">
        <v>367</v>
      </c>
      <c r="C480" s="66"/>
      <c r="D480" s="67"/>
      <c r="E480" s="68"/>
      <c r="F480" s="69"/>
      <c r="G480" s="66"/>
      <c r="H480" s="70"/>
      <c r="I480" s="71"/>
      <c r="J480" s="71"/>
      <c r="K480" s="36" t="s">
        <v>65</v>
      </c>
      <c r="L480" s="78">
        <v>480</v>
      </c>
      <c r="M480" s="78"/>
      <c r="N480" s="73"/>
      <c r="O480" s="80" t="s">
        <v>179</v>
      </c>
      <c r="P480" s="82">
        <v>44631.798449074071</v>
      </c>
      <c r="Q480" s="80" t="s">
        <v>580</v>
      </c>
      <c r="R480" s="80" t="s">
        <v>631</v>
      </c>
      <c r="S480" s="80" t="s">
        <v>659</v>
      </c>
      <c r="T480" s="85" t="s">
        <v>721</v>
      </c>
      <c r="U480" s="83" t="str">
        <f>HYPERLINK("https://pbs.twimg.com/media/FNl1eeMXsAs3sgG.jpg")</f>
        <v>https://pbs.twimg.com/media/FNl1eeMXsAs3sgG.jpg</v>
      </c>
      <c r="V480" s="83" t="str">
        <f>HYPERLINK("https://pbs.twimg.com/media/FNl1eeMXsAs3sgG.jpg")</f>
        <v>https://pbs.twimg.com/media/FNl1eeMXsAs3sgG.jpg</v>
      </c>
      <c r="W480" s="82">
        <v>44631.798449074071</v>
      </c>
      <c r="X480" s="88">
        <v>44631</v>
      </c>
      <c r="Y480" s="85" t="s">
        <v>1064</v>
      </c>
      <c r="Z480" s="83" t="str">
        <f>HYPERLINK("https://twitter.com/ubtheatredance/status/1502361153586049027")</f>
        <v>https://twitter.com/ubtheatredance/status/1502361153586049027</v>
      </c>
      <c r="AA480" s="80"/>
      <c r="AB480" s="80"/>
      <c r="AC480" s="85" t="s">
        <v>1515</v>
      </c>
      <c r="AD480" s="80"/>
      <c r="AE480" s="80" t="b">
        <v>0</v>
      </c>
      <c r="AF480" s="80">
        <v>1</v>
      </c>
      <c r="AG480" s="85" t="s">
        <v>1635</v>
      </c>
      <c r="AH480" s="80" t="b">
        <v>0</v>
      </c>
      <c r="AI480" s="80" t="s">
        <v>1642</v>
      </c>
      <c r="AJ480" s="80"/>
      <c r="AK480" s="85" t="s">
        <v>1635</v>
      </c>
      <c r="AL480" s="80" t="b">
        <v>0</v>
      </c>
      <c r="AM480" s="80">
        <v>0</v>
      </c>
      <c r="AN480" s="85" t="s">
        <v>1635</v>
      </c>
      <c r="AO480" s="85" t="s">
        <v>1672</v>
      </c>
      <c r="AP480" s="80" t="b">
        <v>0</v>
      </c>
      <c r="AQ480" s="85" t="s">
        <v>1515</v>
      </c>
      <c r="AR480" s="80" t="s">
        <v>179</v>
      </c>
      <c r="AS480" s="80">
        <v>0</v>
      </c>
      <c r="AT480" s="80">
        <v>0</v>
      </c>
      <c r="AU480" s="80"/>
      <c r="AV480" s="80"/>
      <c r="AW480" s="80"/>
      <c r="AX480" s="80"/>
      <c r="AY480" s="80"/>
      <c r="AZ480" s="80"/>
      <c r="BA480" s="80"/>
      <c r="BB480" s="80"/>
    </row>
    <row r="481" spans="1:54" x14ac:dyDescent="0.25">
      <c r="A481" s="65" t="s">
        <v>368</v>
      </c>
      <c r="B481" s="65" t="s">
        <v>367</v>
      </c>
      <c r="C481" s="66"/>
      <c r="D481" s="67"/>
      <c r="E481" s="68"/>
      <c r="F481" s="69"/>
      <c r="G481" s="66"/>
      <c r="H481" s="70"/>
      <c r="I481" s="71"/>
      <c r="J481" s="71"/>
      <c r="K481" s="36" t="s">
        <v>65</v>
      </c>
      <c r="L481" s="78">
        <v>481</v>
      </c>
      <c r="M481" s="78"/>
      <c r="N481" s="73"/>
      <c r="O481" s="80" t="s">
        <v>416</v>
      </c>
      <c r="P481" s="82">
        <v>44631.789467592593</v>
      </c>
      <c r="Q481" s="80" t="s">
        <v>581</v>
      </c>
      <c r="R481" s="80"/>
      <c r="S481" s="80"/>
      <c r="T481" s="85" t="s">
        <v>671</v>
      </c>
      <c r="U481" s="83" t="str">
        <f>HYPERLINK("https://pbs.twimg.com/media/FNlKZZ3XsBMQpun.jpg")</f>
        <v>https://pbs.twimg.com/media/FNlKZZ3XsBMQpun.jpg</v>
      </c>
      <c r="V481" s="83" t="str">
        <f>HYPERLINK("https://pbs.twimg.com/media/FNlKZZ3XsBMQpun.jpg")</f>
        <v>https://pbs.twimg.com/media/FNlKZZ3XsBMQpun.jpg</v>
      </c>
      <c r="W481" s="82">
        <v>44631.789467592593</v>
      </c>
      <c r="X481" s="88">
        <v>44631</v>
      </c>
      <c r="Y481" s="85" t="s">
        <v>1065</v>
      </c>
      <c r="Z481" s="83" t="str">
        <f>HYPERLINK("https://twitter.com/ubinfotech/status/1502357902153195520")</f>
        <v>https://twitter.com/ubinfotech/status/1502357902153195520</v>
      </c>
      <c r="AA481" s="80"/>
      <c r="AB481" s="80"/>
      <c r="AC481" s="85" t="s">
        <v>1516</v>
      </c>
      <c r="AD481" s="80"/>
      <c r="AE481" s="80" t="b">
        <v>0</v>
      </c>
      <c r="AF481" s="80">
        <v>5</v>
      </c>
      <c r="AG481" s="85" t="s">
        <v>1635</v>
      </c>
      <c r="AH481" s="80" t="b">
        <v>0</v>
      </c>
      <c r="AI481" s="80" t="s">
        <v>1642</v>
      </c>
      <c r="AJ481" s="80"/>
      <c r="AK481" s="85" t="s">
        <v>1635</v>
      </c>
      <c r="AL481" s="80" t="b">
        <v>0</v>
      </c>
      <c r="AM481" s="80">
        <v>0</v>
      </c>
      <c r="AN481" s="85" t="s">
        <v>1635</v>
      </c>
      <c r="AO481" s="85" t="s">
        <v>1672</v>
      </c>
      <c r="AP481" s="80" t="b">
        <v>0</v>
      </c>
      <c r="AQ481" s="85" t="s">
        <v>1516</v>
      </c>
      <c r="AR481" s="80" t="s">
        <v>179</v>
      </c>
      <c r="AS481" s="80">
        <v>0</v>
      </c>
      <c r="AT481" s="80">
        <v>0</v>
      </c>
      <c r="AU481" s="80"/>
      <c r="AV481" s="80"/>
      <c r="AW481" s="80"/>
      <c r="AX481" s="80"/>
      <c r="AY481" s="80"/>
      <c r="AZ481" s="80"/>
      <c r="BA481" s="80"/>
      <c r="BB481" s="80"/>
    </row>
    <row r="482" spans="1:54" x14ac:dyDescent="0.25">
      <c r="A482" s="65" t="s">
        <v>359</v>
      </c>
      <c r="B482" s="65" t="s">
        <v>359</v>
      </c>
      <c r="C482" s="66"/>
      <c r="D482" s="67"/>
      <c r="E482" s="68"/>
      <c r="F482" s="69"/>
      <c r="G482" s="66"/>
      <c r="H482" s="70"/>
      <c r="I482" s="71"/>
      <c r="J482" s="71"/>
      <c r="K482" s="36" t="s">
        <v>65</v>
      </c>
      <c r="L482" s="78">
        <v>482</v>
      </c>
      <c r="M482" s="78"/>
      <c r="N482" s="73"/>
      <c r="O482" s="80" t="s">
        <v>179</v>
      </c>
      <c r="P482" s="82">
        <v>44628.625532407408</v>
      </c>
      <c r="Q482" s="80" t="s">
        <v>513</v>
      </c>
      <c r="R482" s="83" t="str">
        <f>HYPERLINK("https://womeninwisconsin.org/profile/kate-newcomb/")</f>
        <v>https://womeninwisconsin.org/profile/kate-newcomb/</v>
      </c>
      <c r="S482" s="80" t="s">
        <v>653</v>
      </c>
      <c r="T482" s="85" t="s">
        <v>668</v>
      </c>
      <c r="U482" s="83" t="str">
        <f>HYPERLINK("https://pbs.twimg.com/media/FNVea7-WYBELGmA.jpg")</f>
        <v>https://pbs.twimg.com/media/FNVea7-WYBELGmA.jpg</v>
      </c>
      <c r="V482" s="83" t="str">
        <f>HYPERLINK("https://pbs.twimg.com/media/FNVea7-WYBELGmA.jpg")</f>
        <v>https://pbs.twimg.com/media/FNVea7-WYBELGmA.jpg</v>
      </c>
      <c r="W482" s="82">
        <v>44628.625532407408</v>
      </c>
      <c r="X482" s="88">
        <v>44628</v>
      </c>
      <c r="Y482" s="85" t="s">
        <v>1066</v>
      </c>
      <c r="Z482" s="83" t="str">
        <f>HYPERLINK("https://twitter.com/ublibraries/status/1501211329721516032")</f>
        <v>https://twitter.com/ublibraries/status/1501211329721516032</v>
      </c>
      <c r="AA482" s="80"/>
      <c r="AB482" s="80"/>
      <c r="AC482" s="85" t="s">
        <v>1517</v>
      </c>
      <c r="AD482" s="80"/>
      <c r="AE482" s="80" t="b">
        <v>0</v>
      </c>
      <c r="AF482" s="80">
        <v>3</v>
      </c>
      <c r="AG482" s="85" t="s">
        <v>1635</v>
      </c>
      <c r="AH482" s="80" t="b">
        <v>0</v>
      </c>
      <c r="AI482" s="80" t="s">
        <v>1642</v>
      </c>
      <c r="AJ482" s="80"/>
      <c r="AK482" s="85" t="s">
        <v>1635</v>
      </c>
      <c r="AL482" s="80" t="b">
        <v>0</v>
      </c>
      <c r="AM482" s="80">
        <v>1</v>
      </c>
      <c r="AN482" s="85" t="s">
        <v>1635</v>
      </c>
      <c r="AO482" s="85" t="s">
        <v>1672</v>
      </c>
      <c r="AP482" s="80" t="b">
        <v>0</v>
      </c>
      <c r="AQ482" s="85" t="s">
        <v>1517</v>
      </c>
      <c r="AR482" s="80" t="s">
        <v>179</v>
      </c>
      <c r="AS482" s="80">
        <v>0</v>
      </c>
      <c r="AT482" s="80">
        <v>0</v>
      </c>
      <c r="AU482" s="80"/>
      <c r="AV482" s="80"/>
      <c r="AW482" s="80"/>
      <c r="AX482" s="80"/>
      <c r="AY482" s="80"/>
      <c r="AZ482" s="80"/>
      <c r="BA482" s="80"/>
      <c r="BB482" s="80"/>
    </row>
    <row r="483" spans="1:54" x14ac:dyDescent="0.25">
      <c r="A483" s="65" t="s">
        <v>359</v>
      </c>
      <c r="B483" s="65" t="s">
        <v>359</v>
      </c>
      <c r="C483" s="66"/>
      <c r="D483" s="67"/>
      <c r="E483" s="68"/>
      <c r="F483" s="69"/>
      <c r="G483" s="66"/>
      <c r="H483" s="70"/>
      <c r="I483" s="71"/>
      <c r="J483" s="71"/>
      <c r="K483" s="36" t="s">
        <v>65</v>
      </c>
      <c r="L483" s="78">
        <v>483</v>
      </c>
      <c r="M483" s="78"/>
      <c r="N483" s="73"/>
      <c r="O483" s="80" t="s">
        <v>179</v>
      </c>
      <c r="P483" s="82">
        <v>44628.708344907405</v>
      </c>
      <c r="Q483" s="80" t="s">
        <v>575</v>
      </c>
      <c r="R483" s="83" t="str">
        <f>HYPERLINK("https://library.buffalo.edu/archives/ubpeople/detail.html?ID=2519")</f>
        <v>https://library.buffalo.edu/archives/ubpeople/detail.html?ID=2519</v>
      </c>
      <c r="S483" s="80" t="s">
        <v>632</v>
      </c>
      <c r="T483" s="85" t="s">
        <v>719</v>
      </c>
      <c r="U483" s="83" t="str">
        <f>HYPERLINK("https://pbs.twimg.com/media/FNVgGGLX0AkX5nw.png")</f>
        <v>https://pbs.twimg.com/media/FNVgGGLX0AkX5nw.png</v>
      </c>
      <c r="V483" s="83" t="str">
        <f>HYPERLINK("https://pbs.twimg.com/media/FNVgGGLX0AkX5nw.png")</f>
        <v>https://pbs.twimg.com/media/FNVgGGLX0AkX5nw.png</v>
      </c>
      <c r="W483" s="82">
        <v>44628.708344907405</v>
      </c>
      <c r="X483" s="88">
        <v>44628</v>
      </c>
      <c r="Y483" s="85" t="s">
        <v>1067</v>
      </c>
      <c r="Z483" s="83" t="str">
        <f>HYPERLINK("https://twitter.com/ublibraries/status/1501241337902948365")</f>
        <v>https://twitter.com/ublibraries/status/1501241337902948365</v>
      </c>
      <c r="AA483" s="80"/>
      <c r="AB483" s="80"/>
      <c r="AC483" s="85" t="s">
        <v>1518</v>
      </c>
      <c r="AD483" s="80"/>
      <c r="AE483" s="80" t="b">
        <v>0</v>
      </c>
      <c r="AF483" s="80">
        <v>13</v>
      </c>
      <c r="AG483" s="85" t="s">
        <v>1635</v>
      </c>
      <c r="AH483" s="80" t="b">
        <v>0</v>
      </c>
      <c r="AI483" s="80" t="s">
        <v>1642</v>
      </c>
      <c r="AJ483" s="80"/>
      <c r="AK483" s="85" t="s">
        <v>1635</v>
      </c>
      <c r="AL483" s="80" t="b">
        <v>0</v>
      </c>
      <c r="AM483" s="80">
        <v>3</v>
      </c>
      <c r="AN483" s="85" t="s">
        <v>1635</v>
      </c>
      <c r="AO483" s="85" t="s">
        <v>1686</v>
      </c>
      <c r="AP483" s="80" t="b">
        <v>0</v>
      </c>
      <c r="AQ483" s="85" t="s">
        <v>1518</v>
      </c>
      <c r="AR483" s="80" t="s">
        <v>179</v>
      </c>
      <c r="AS483" s="80">
        <v>0</v>
      </c>
      <c r="AT483" s="80">
        <v>0</v>
      </c>
      <c r="AU483" s="80"/>
      <c r="AV483" s="80"/>
      <c r="AW483" s="80"/>
      <c r="AX483" s="80"/>
      <c r="AY483" s="80"/>
      <c r="AZ483" s="80"/>
      <c r="BA483" s="80"/>
      <c r="BB483" s="80"/>
    </row>
    <row r="484" spans="1:54" x14ac:dyDescent="0.25">
      <c r="A484" s="65" t="s">
        <v>357</v>
      </c>
      <c r="B484" s="65" t="s">
        <v>359</v>
      </c>
      <c r="C484" s="66"/>
      <c r="D484" s="67"/>
      <c r="E484" s="68"/>
      <c r="F484" s="69"/>
      <c r="G484" s="66"/>
      <c r="H484" s="70"/>
      <c r="I484" s="71"/>
      <c r="J484" s="71"/>
      <c r="K484" s="36" t="s">
        <v>65</v>
      </c>
      <c r="L484" s="78">
        <v>484</v>
      </c>
      <c r="M484" s="78"/>
      <c r="N484" s="73"/>
      <c r="O484" s="80" t="s">
        <v>415</v>
      </c>
      <c r="P484" s="82">
        <v>44628.710613425923</v>
      </c>
      <c r="Q484" s="80" t="s">
        <v>575</v>
      </c>
      <c r="R484" s="83" t="str">
        <f>HYPERLINK("https://library.buffalo.edu/archives/ubpeople/detail.html?ID=2519")</f>
        <v>https://library.buffalo.edu/archives/ubpeople/detail.html?ID=2519</v>
      </c>
      <c r="S484" s="80" t="s">
        <v>632</v>
      </c>
      <c r="T484" s="85" t="s">
        <v>719</v>
      </c>
      <c r="U484" s="83" t="str">
        <f>HYPERLINK("https://pbs.twimg.com/media/FNVgGGLX0AkX5nw.png")</f>
        <v>https://pbs.twimg.com/media/FNVgGGLX0AkX5nw.png</v>
      </c>
      <c r="V484" s="83" t="str">
        <f>HYPERLINK("https://pbs.twimg.com/media/FNVgGGLX0AkX5nw.png")</f>
        <v>https://pbs.twimg.com/media/FNVgGGLX0AkX5nw.png</v>
      </c>
      <c r="W484" s="82">
        <v>44628.710613425923</v>
      </c>
      <c r="X484" s="88">
        <v>44628</v>
      </c>
      <c r="Y484" s="85" t="s">
        <v>1068</v>
      </c>
      <c r="Z484" s="83" t="str">
        <f>HYPERLINK("https://twitter.com/ubuffalo/status/1501242162096320519")</f>
        <v>https://twitter.com/ubuffalo/status/1501242162096320519</v>
      </c>
      <c r="AA484" s="80"/>
      <c r="AB484" s="80"/>
      <c r="AC484" s="85" t="s">
        <v>1519</v>
      </c>
      <c r="AD484" s="80"/>
      <c r="AE484" s="80" t="b">
        <v>0</v>
      </c>
      <c r="AF484" s="80">
        <v>0</v>
      </c>
      <c r="AG484" s="85" t="s">
        <v>1635</v>
      </c>
      <c r="AH484" s="80" t="b">
        <v>0</v>
      </c>
      <c r="AI484" s="80" t="s">
        <v>1642</v>
      </c>
      <c r="AJ484" s="80"/>
      <c r="AK484" s="85" t="s">
        <v>1635</v>
      </c>
      <c r="AL484" s="80" t="b">
        <v>0</v>
      </c>
      <c r="AM484" s="80">
        <v>3</v>
      </c>
      <c r="AN484" s="85" t="s">
        <v>1518</v>
      </c>
      <c r="AO484" s="85" t="s">
        <v>1672</v>
      </c>
      <c r="AP484" s="80" t="b">
        <v>0</v>
      </c>
      <c r="AQ484" s="85" t="s">
        <v>1518</v>
      </c>
      <c r="AR484" s="80" t="s">
        <v>179</v>
      </c>
      <c r="AS484" s="80">
        <v>0</v>
      </c>
      <c r="AT484" s="80">
        <v>0</v>
      </c>
      <c r="AU484" s="80"/>
      <c r="AV484" s="80"/>
      <c r="AW484" s="80"/>
      <c r="AX484" s="80"/>
      <c r="AY484" s="80"/>
      <c r="AZ484" s="80"/>
      <c r="BA484" s="80"/>
      <c r="BB484" s="80"/>
    </row>
    <row r="485" spans="1:54" x14ac:dyDescent="0.25">
      <c r="A485" s="65" t="s">
        <v>357</v>
      </c>
      <c r="B485" s="65" t="s">
        <v>359</v>
      </c>
      <c r="C485" s="66"/>
      <c r="D485" s="67"/>
      <c r="E485" s="68"/>
      <c r="F485" s="69"/>
      <c r="G485" s="66"/>
      <c r="H485" s="70"/>
      <c r="I485" s="71"/>
      <c r="J485" s="71"/>
      <c r="K485" s="36" t="s">
        <v>65</v>
      </c>
      <c r="L485" s="78">
        <v>485</v>
      </c>
      <c r="M485" s="78"/>
      <c r="N485" s="73"/>
      <c r="O485" s="80" t="s">
        <v>415</v>
      </c>
      <c r="P485" s="82">
        <v>44629.606006944443</v>
      </c>
      <c r="Q485" s="80" t="s">
        <v>558</v>
      </c>
      <c r="R485" s="83" t="str">
        <f>HYPERLINK("https://library.buffalo.edu/news/2022/03/08/announcing-ub-libraries-2022-student-poetry-competitions/")</f>
        <v>https://library.buffalo.edu/news/2022/03/08/announcing-ub-libraries-2022-student-poetry-competitions/</v>
      </c>
      <c r="S485" s="80" t="s">
        <v>632</v>
      </c>
      <c r="T485" s="85" t="s">
        <v>713</v>
      </c>
      <c r="U485" s="83" t="str">
        <f>HYPERLINK("https://pbs.twimg.com/media/FNV4etoXMAIgzTi.jpg")</f>
        <v>https://pbs.twimg.com/media/FNV4etoXMAIgzTi.jpg</v>
      </c>
      <c r="V485" s="83" t="str">
        <f>HYPERLINK("https://pbs.twimg.com/media/FNV4etoXMAIgzTi.jpg")</f>
        <v>https://pbs.twimg.com/media/FNV4etoXMAIgzTi.jpg</v>
      </c>
      <c r="W485" s="82">
        <v>44629.606006944443</v>
      </c>
      <c r="X485" s="88">
        <v>44629</v>
      </c>
      <c r="Y485" s="85" t="s">
        <v>992</v>
      </c>
      <c r="Z485" s="83" t="str">
        <f>HYPERLINK("https://twitter.com/ubuffalo/status/1501566641255194636")</f>
        <v>https://twitter.com/ubuffalo/status/1501566641255194636</v>
      </c>
      <c r="AA485" s="80"/>
      <c r="AB485" s="80"/>
      <c r="AC485" s="85" t="s">
        <v>1442</v>
      </c>
      <c r="AD485" s="80"/>
      <c r="AE485" s="80" t="b">
        <v>0</v>
      </c>
      <c r="AF485" s="80">
        <v>0</v>
      </c>
      <c r="AG485" s="85" t="s">
        <v>1635</v>
      </c>
      <c r="AH485" s="80" t="b">
        <v>0</v>
      </c>
      <c r="AI485" s="80" t="s">
        <v>1642</v>
      </c>
      <c r="AJ485" s="80"/>
      <c r="AK485" s="85" t="s">
        <v>1635</v>
      </c>
      <c r="AL485" s="80" t="b">
        <v>0</v>
      </c>
      <c r="AM485" s="80">
        <v>1</v>
      </c>
      <c r="AN485" s="85" t="s">
        <v>1441</v>
      </c>
      <c r="AO485" s="85" t="s">
        <v>1672</v>
      </c>
      <c r="AP485" s="80" t="b">
        <v>0</v>
      </c>
      <c r="AQ485" s="85" t="s">
        <v>1441</v>
      </c>
      <c r="AR485" s="80" t="s">
        <v>179</v>
      </c>
      <c r="AS485" s="80">
        <v>0</v>
      </c>
      <c r="AT485" s="80">
        <v>0</v>
      </c>
      <c r="AU485" s="80"/>
      <c r="AV485" s="80"/>
      <c r="AW485" s="80"/>
      <c r="AX485" s="80"/>
      <c r="AY485" s="80"/>
      <c r="AZ485" s="80"/>
      <c r="BA485" s="80"/>
      <c r="BB485" s="80"/>
    </row>
    <row r="486" spans="1:54" x14ac:dyDescent="0.25">
      <c r="A486" s="65" t="s">
        <v>369</v>
      </c>
      <c r="B486" s="65" t="s">
        <v>359</v>
      </c>
      <c r="C486" s="66"/>
      <c r="D486" s="67"/>
      <c r="E486" s="68"/>
      <c r="F486" s="69"/>
      <c r="G486" s="66"/>
      <c r="H486" s="70"/>
      <c r="I486" s="71"/>
      <c r="J486" s="71"/>
      <c r="K486" s="36" t="s">
        <v>65</v>
      </c>
      <c r="L486" s="78">
        <v>486</v>
      </c>
      <c r="M486" s="78"/>
      <c r="N486" s="73"/>
      <c r="O486" s="80" t="s">
        <v>415</v>
      </c>
      <c r="P486" s="82">
        <v>44628.768946759257</v>
      </c>
      <c r="Q486" s="80" t="s">
        <v>575</v>
      </c>
      <c r="R486" s="83" t="str">
        <f>HYPERLINK("https://library.buffalo.edu/archives/ubpeople/detail.html?ID=2519")</f>
        <v>https://library.buffalo.edu/archives/ubpeople/detail.html?ID=2519</v>
      </c>
      <c r="S486" s="80" t="s">
        <v>632</v>
      </c>
      <c r="T486" s="85" t="s">
        <v>719</v>
      </c>
      <c r="U486" s="83" t="str">
        <f>HYPERLINK("https://pbs.twimg.com/media/FNVgGGLX0AkX5nw.png")</f>
        <v>https://pbs.twimg.com/media/FNVgGGLX0AkX5nw.png</v>
      </c>
      <c r="V486" s="83" t="str">
        <f>HYPERLINK("https://pbs.twimg.com/media/FNVgGGLX0AkX5nw.png")</f>
        <v>https://pbs.twimg.com/media/FNVgGGLX0AkX5nw.png</v>
      </c>
      <c r="W486" s="82">
        <v>44628.768946759257</v>
      </c>
      <c r="X486" s="88">
        <v>44628</v>
      </c>
      <c r="Y486" s="85" t="s">
        <v>1069</v>
      </c>
      <c r="Z486" s="83" t="str">
        <f>HYPERLINK("https://twitter.com/ubgse/status/1501263299694022656")</f>
        <v>https://twitter.com/ubgse/status/1501263299694022656</v>
      </c>
      <c r="AA486" s="80"/>
      <c r="AB486" s="80"/>
      <c r="AC486" s="85" t="s">
        <v>1520</v>
      </c>
      <c r="AD486" s="80"/>
      <c r="AE486" s="80" t="b">
        <v>0</v>
      </c>
      <c r="AF486" s="80">
        <v>0</v>
      </c>
      <c r="AG486" s="85" t="s">
        <v>1635</v>
      </c>
      <c r="AH486" s="80" t="b">
        <v>0</v>
      </c>
      <c r="AI486" s="80" t="s">
        <v>1642</v>
      </c>
      <c r="AJ486" s="80"/>
      <c r="AK486" s="85" t="s">
        <v>1635</v>
      </c>
      <c r="AL486" s="80" t="b">
        <v>0</v>
      </c>
      <c r="AM486" s="80">
        <v>3</v>
      </c>
      <c r="AN486" s="85" t="s">
        <v>1518</v>
      </c>
      <c r="AO486" s="85" t="s">
        <v>1671</v>
      </c>
      <c r="AP486" s="80" t="b">
        <v>0</v>
      </c>
      <c r="AQ486" s="85" t="s">
        <v>1518</v>
      </c>
      <c r="AR486" s="80" t="s">
        <v>179</v>
      </c>
      <c r="AS486" s="80">
        <v>0</v>
      </c>
      <c r="AT486" s="80">
        <v>0</v>
      </c>
      <c r="AU486" s="80"/>
      <c r="AV486" s="80"/>
      <c r="AW486" s="80"/>
      <c r="AX486" s="80"/>
      <c r="AY486" s="80"/>
      <c r="AZ486" s="80"/>
      <c r="BA486" s="80"/>
      <c r="BB486" s="80"/>
    </row>
    <row r="487" spans="1:54" x14ac:dyDescent="0.25">
      <c r="A487" s="65" t="s">
        <v>247</v>
      </c>
      <c r="B487" s="65" t="s">
        <v>369</v>
      </c>
      <c r="C487" s="66"/>
      <c r="D487" s="67"/>
      <c r="E487" s="68"/>
      <c r="F487" s="69"/>
      <c r="G487" s="66"/>
      <c r="H487" s="70"/>
      <c r="I487" s="71"/>
      <c r="J487" s="71"/>
      <c r="K487" s="36" t="s">
        <v>66</v>
      </c>
      <c r="L487" s="78">
        <v>487</v>
      </c>
      <c r="M487" s="78"/>
      <c r="N487" s="73"/>
      <c r="O487" s="80" t="s">
        <v>414</v>
      </c>
      <c r="P487" s="82">
        <v>44627.848344907405</v>
      </c>
      <c r="Q487" s="80" t="s">
        <v>440</v>
      </c>
      <c r="R487" s="83" t="str">
        <f>HYPERLINK("https://twitter.com/gloriaanglon/status/1498906622613065728")</f>
        <v>https://twitter.com/gloriaanglon/status/1498906622613065728</v>
      </c>
      <c r="S487" s="80" t="s">
        <v>633</v>
      </c>
      <c r="T487" s="85" t="s">
        <v>674</v>
      </c>
      <c r="U487" s="80"/>
      <c r="V487" s="83" t="str">
        <f>HYPERLINK("https://pbs.twimg.com/profile_images/1423376912362115072/Z1n3x0HI_normal.jpg")</f>
        <v>https://pbs.twimg.com/profile_images/1423376912362115072/Z1n3x0HI_normal.jpg</v>
      </c>
      <c r="W487" s="82">
        <v>44627.848344907405</v>
      </c>
      <c r="X487" s="88">
        <v>44627</v>
      </c>
      <c r="Y487" s="85" t="s">
        <v>762</v>
      </c>
      <c r="Z487" s="83" t="str">
        <f>HYPERLINK("https://twitter.com/ub_bullyprevctr/status/1500929684313411587")</f>
        <v>https://twitter.com/ub_bullyprevctr/status/1500929684313411587</v>
      </c>
      <c r="AA487" s="80"/>
      <c r="AB487" s="80"/>
      <c r="AC487" s="85" t="s">
        <v>1211</v>
      </c>
      <c r="AD487" s="80"/>
      <c r="AE487" s="80" t="b">
        <v>0</v>
      </c>
      <c r="AF487" s="80">
        <v>0</v>
      </c>
      <c r="AG487" s="85" t="s">
        <v>1635</v>
      </c>
      <c r="AH487" s="80" t="b">
        <v>1</v>
      </c>
      <c r="AI487" s="80" t="s">
        <v>1642</v>
      </c>
      <c r="AJ487" s="80"/>
      <c r="AK487" s="85" t="s">
        <v>1644</v>
      </c>
      <c r="AL487" s="80" t="b">
        <v>0</v>
      </c>
      <c r="AM487" s="80">
        <v>3</v>
      </c>
      <c r="AN487" s="85" t="s">
        <v>1209</v>
      </c>
      <c r="AO487" s="85" t="s">
        <v>1672</v>
      </c>
      <c r="AP487" s="80" t="b">
        <v>0</v>
      </c>
      <c r="AQ487" s="85" t="s">
        <v>1209</v>
      </c>
      <c r="AR487" s="80" t="s">
        <v>179</v>
      </c>
      <c r="AS487" s="80">
        <v>0</v>
      </c>
      <c r="AT487" s="80">
        <v>0</v>
      </c>
      <c r="AU487" s="80"/>
      <c r="AV487" s="80"/>
      <c r="AW487" s="80"/>
      <c r="AX487" s="80"/>
      <c r="AY487" s="80"/>
      <c r="AZ487" s="80"/>
      <c r="BA487" s="80"/>
      <c r="BB487" s="80"/>
    </row>
    <row r="488" spans="1:54" x14ac:dyDescent="0.25">
      <c r="A488" s="65" t="s">
        <v>247</v>
      </c>
      <c r="B488" s="65" t="s">
        <v>369</v>
      </c>
      <c r="C488" s="66"/>
      <c r="D488" s="67"/>
      <c r="E488" s="68"/>
      <c r="F488" s="69"/>
      <c r="G488" s="66"/>
      <c r="H488" s="70"/>
      <c r="I488" s="71"/>
      <c r="J488" s="71"/>
      <c r="K488" s="36" t="s">
        <v>66</v>
      </c>
      <c r="L488" s="78">
        <v>488</v>
      </c>
      <c r="M488" s="78"/>
      <c r="N488" s="73"/>
      <c r="O488" s="80" t="s">
        <v>415</v>
      </c>
      <c r="P488" s="82">
        <v>44628.835127314815</v>
      </c>
      <c r="Q488" s="80" t="s">
        <v>443</v>
      </c>
      <c r="R488" s="83" t="str">
        <f>HYPERLINK("https://ed.buffalo.edu/news-brief")</f>
        <v>https://ed.buffalo.edu/news-brief</v>
      </c>
      <c r="S488" s="80" t="s">
        <v>632</v>
      </c>
      <c r="T488" s="85" t="s">
        <v>676</v>
      </c>
      <c r="U488" s="80"/>
      <c r="V488" s="83" t="str">
        <f>HYPERLINK("https://pbs.twimg.com/profile_images/1423376912362115072/Z1n3x0HI_normal.jpg")</f>
        <v>https://pbs.twimg.com/profile_images/1423376912362115072/Z1n3x0HI_normal.jpg</v>
      </c>
      <c r="W488" s="82">
        <v>44628.835127314815</v>
      </c>
      <c r="X488" s="88">
        <v>44628</v>
      </c>
      <c r="Y488" s="85" t="s">
        <v>1070</v>
      </c>
      <c r="Z488" s="83" t="str">
        <f>HYPERLINK("https://twitter.com/ub_bullyprevctr/status/1501287282032230400")</f>
        <v>https://twitter.com/ub_bullyprevctr/status/1501287282032230400</v>
      </c>
      <c r="AA488" s="80"/>
      <c r="AB488" s="80"/>
      <c r="AC488" s="85" t="s">
        <v>1521</v>
      </c>
      <c r="AD488" s="80"/>
      <c r="AE488" s="80" t="b">
        <v>0</v>
      </c>
      <c r="AF488" s="80">
        <v>0</v>
      </c>
      <c r="AG488" s="85" t="s">
        <v>1635</v>
      </c>
      <c r="AH488" s="80" t="b">
        <v>0</v>
      </c>
      <c r="AI488" s="80" t="s">
        <v>1642</v>
      </c>
      <c r="AJ488" s="80"/>
      <c r="AK488" s="85" t="s">
        <v>1635</v>
      </c>
      <c r="AL488" s="80" t="b">
        <v>0</v>
      </c>
      <c r="AM488" s="80">
        <v>2</v>
      </c>
      <c r="AN488" s="85" t="s">
        <v>1522</v>
      </c>
      <c r="AO488" s="85" t="s">
        <v>1672</v>
      </c>
      <c r="AP488" s="80" t="b">
        <v>0</v>
      </c>
      <c r="AQ488" s="85" t="s">
        <v>1522</v>
      </c>
      <c r="AR488" s="80" t="s">
        <v>179</v>
      </c>
      <c r="AS488" s="80">
        <v>0</v>
      </c>
      <c r="AT488" s="80">
        <v>0</v>
      </c>
      <c r="AU488" s="80"/>
      <c r="AV488" s="80"/>
      <c r="AW488" s="80"/>
      <c r="AX488" s="80"/>
      <c r="AY488" s="80"/>
      <c r="AZ488" s="80"/>
      <c r="BA488" s="80"/>
      <c r="BB488" s="80"/>
    </row>
    <row r="489" spans="1:54" x14ac:dyDescent="0.25">
      <c r="A489" s="65" t="s">
        <v>369</v>
      </c>
      <c r="B489" s="65" t="s">
        <v>247</v>
      </c>
      <c r="C489" s="66"/>
      <c r="D489" s="67"/>
      <c r="E489" s="68"/>
      <c r="F489" s="69"/>
      <c r="G489" s="66"/>
      <c r="H489" s="70"/>
      <c r="I489" s="71"/>
      <c r="J489" s="71"/>
      <c r="K489" s="36" t="s">
        <v>66</v>
      </c>
      <c r="L489" s="78">
        <v>489</v>
      </c>
      <c r="M489" s="78"/>
      <c r="N489" s="73"/>
      <c r="O489" s="80" t="s">
        <v>416</v>
      </c>
      <c r="P489" s="82">
        <v>44628.834791666668</v>
      </c>
      <c r="Q489" s="80" t="s">
        <v>443</v>
      </c>
      <c r="R489" s="83" t="str">
        <f>HYPERLINK("https://ed.buffalo.edu/news-brief")</f>
        <v>https://ed.buffalo.edu/news-brief</v>
      </c>
      <c r="S489" s="80" t="s">
        <v>632</v>
      </c>
      <c r="T489" s="85" t="s">
        <v>676</v>
      </c>
      <c r="U489" s="80"/>
      <c r="V489" s="83" t="str">
        <f>HYPERLINK("https://pbs.twimg.com/profile_images/1392496414165512193/3zKT5dYK_normal.jpg")</f>
        <v>https://pbs.twimg.com/profile_images/1392496414165512193/3zKT5dYK_normal.jpg</v>
      </c>
      <c r="W489" s="82">
        <v>44628.834791666668</v>
      </c>
      <c r="X489" s="88">
        <v>44628</v>
      </c>
      <c r="Y489" s="85" t="s">
        <v>1071</v>
      </c>
      <c r="Z489" s="83" t="str">
        <f>HYPERLINK("https://twitter.com/ubgse/status/1501287159436877826")</f>
        <v>https://twitter.com/ubgse/status/1501287159436877826</v>
      </c>
      <c r="AA489" s="80"/>
      <c r="AB489" s="80"/>
      <c r="AC489" s="85" t="s">
        <v>1522</v>
      </c>
      <c r="AD489" s="80"/>
      <c r="AE489" s="80" t="b">
        <v>0</v>
      </c>
      <c r="AF489" s="80">
        <v>1</v>
      </c>
      <c r="AG489" s="85" t="s">
        <v>1635</v>
      </c>
      <c r="AH489" s="80" t="b">
        <v>0</v>
      </c>
      <c r="AI489" s="80" t="s">
        <v>1642</v>
      </c>
      <c r="AJ489" s="80"/>
      <c r="AK489" s="85" t="s">
        <v>1635</v>
      </c>
      <c r="AL489" s="80" t="b">
        <v>0</v>
      </c>
      <c r="AM489" s="80">
        <v>2</v>
      </c>
      <c r="AN489" s="85" t="s">
        <v>1635</v>
      </c>
      <c r="AO489" s="85" t="s">
        <v>1680</v>
      </c>
      <c r="AP489" s="80" t="b">
        <v>0</v>
      </c>
      <c r="AQ489" s="85" t="s">
        <v>1522</v>
      </c>
      <c r="AR489" s="80" t="s">
        <v>179</v>
      </c>
      <c r="AS489" s="80">
        <v>0</v>
      </c>
      <c r="AT489" s="80">
        <v>0</v>
      </c>
      <c r="AU489" s="80"/>
      <c r="AV489" s="80"/>
      <c r="AW489" s="80"/>
      <c r="AX489" s="80"/>
      <c r="AY489" s="80"/>
      <c r="AZ489" s="80"/>
      <c r="BA489" s="80"/>
      <c r="BB489" s="80"/>
    </row>
    <row r="490" spans="1:54" x14ac:dyDescent="0.25">
      <c r="A490" s="65" t="s">
        <v>369</v>
      </c>
      <c r="B490" s="65" t="s">
        <v>388</v>
      </c>
      <c r="C490" s="66"/>
      <c r="D490" s="67"/>
      <c r="E490" s="68"/>
      <c r="F490" s="69"/>
      <c r="G490" s="66"/>
      <c r="H490" s="70"/>
      <c r="I490" s="71"/>
      <c r="J490" s="71"/>
      <c r="K490" s="36" t="s">
        <v>65</v>
      </c>
      <c r="L490" s="78">
        <v>490</v>
      </c>
      <c r="M490" s="78"/>
      <c r="N490" s="73"/>
      <c r="O490" s="80" t="s">
        <v>416</v>
      </c>
      <c r="P490" s="82">
        <v>44629.751747685186</v>
      </c>
      <c r="Q490" s="80" t="s">
        <v>453</v>
      </c>
      <c r="R490" s="83" t="str">
        <f>HYPERLINK("https://buffalonews.com/opinion/letters/letter-students-should-be-given-an-opportunity-to-be-heard/article_6d82bbb0-99a8-11ec-98a5-3b28e37ae6e0.html")</f>
        <v>https://buffalonews.com/opinion/letters/letter-students-should-be-given-an-opportunity-to-be-heard/article_6d82bbb0-99a8-11ec-98a5-3b28e37ae6e0.html</v>
      </c>
      <c r="S490" s="80" t="s">
        <v>641</v>
      </c>
      <c r="T490" s="85" t="s">
        <v>675</v>
      </c>
      <c r="U490" s="80"/>
      <c r="V490" s="83" t="str">
        <f>HYPERLINK("https://pbs.twimg.com/profile_images/1392496414165512193/3zKT5dYK_normal.jpg")</f>
        <v>https://pbs.twimg.com/profile_images/1392496414165512193/3zKT5dYK_normal.jpg</v>
      </c>
      <c r="W490" s="82">
        <v>44629.751747685186</v>
      </c>
      <c r="X490" s="88">
        <v>44629</v>
      </c>
      <c r="Y490" s="85" t="s">
        <v>1072</v>
      </c>
      <c r="Z490" s="83" t="str">
        <f>HYPERLINK("https://twitter.com/ubgse/status/1501619456426094595")</f>
        <v>https://twitter.com/ubgse/status/1501619456426094595</v>
      </c>
      <c r="AA490" s="80"/>
      <c r="AB490" s="80"/>
      <c r="AC490" s="85" t="s">
        <v>1523</v>
      </c>
      <c r="AD490" s="80"/>
      <c r="AE490" s="80" t="b">
        <v>0</v>
      </c>
      <c r="AF490" s="80">
        <v>7</v>
      </c>
      <c r="AG490" s="85" t="s">
        <v>1635</v>
      </c>
      <c r="AH490" s="80" t="b">
        <v>0</v>
      </c>
      <c r="AI490" s="80" t="s">
        <v>1642</v>
      </c>
      <c r="AJ490" s="80"/>
      <c r="AK490" s="85" t="s">
        <v>1635</v>
      </c>
      <c r="AL490" s="80" t="b">
        <v>0</v>
      </c>
      <c r="AM490" s="80">
        <v>3</v>
      </c>
      <c r="AN490" s="85" t="s">
        <v>1635</v>
      </c>
      <c r="AO490" s="85" t="s">
        <v>1680</v>
      </c>
      <c r="AP490" s="80" t="b">
        <v>0</v>
      </c>
      <c r="AQ490" s="85" t="s">
        <v>1523</v>
      </c>
      <c r="AR490" s="80" t="s">
        <v>179</v>
      </c>
      <c r="AS490" s="80">
        <v>0</v>
      </c>
      <c r="AT490" s="80">
        <v>0</v>
      </c>
      <c r="AU490" s="80"/>
      <c r="AV490" s="80"/>
      <c r="AW490" s="80"/>
      <c r="AX490" s="80"/>
      <c r="AY490" s="80"/>
      <c r="AZ490" s="80"/>
      <c r="BA490" s="80"/>
      <c r="BB490" s="80"/>
    </row>
    <row r="491" spans="1:54" x14ac:dyDescent="0.25">
      <c r="A491" s="65" t="s">
        <v>370</v>
      </c>
      <c r="B491" s="65" t="s">
        <v>389</v>
      </c>
      <c r="C491" s="66"/>
      <c r="D491" s="67"/>
      <c r="E491" s="68"/>
      <c r="F491" s="69"/>
      <c r="G491" s="66"/>
      <c r="H491" s="70"/>
      <c r="I491" s="71"/>
      <c r="J491" s="71"/>
      <c r="K491" s="36" t="s">
        <v>65</v>
      </c>
      <c r="L491" s="78">
        <v>491</v>
      </c>
      <c r="M491" s="78"/>
      <c r="N491" s="73"/>
      <c r="O491" s="80" t="s">
        <v>414</v>
      </c>
      <c r="P491" s="82">
        <v>44629.678333333337</v>
      </c>
      <c r="Q491" s="80" t="s">
        <v>455</v>
      </c>
      <c r="R491" s="83" t="str">
        <f>HYPERLINK("https://buffalohistory.org/event/to-walk-about-in-freedom-lecture/")</f>
        <v>https://buffalohistory.org/event/to-walk-about-in-freedom-lecture/</v>
      </c>
      <c r="S491" s="80" t="s">
        <v>642</v>
      </c>
      <c r="T491" s="85" t="s">
        <v>357</v>
      </c>
      <c r="U491" s="80"/>
      <c r="V491" s="83" t="str">
        <f>HYPERLINK("https://pbs.twimg.com/profile_images/875401152300433408/tCgafXEm_normal.jpg")</f>
        <v>https://pbs.twimg.com/profile_images/875401152300433408/tCgafXEm_normal.jpg</v>
      </c>
      <c r="W491" s="82">
        <v>44629.678333333337</v>
      </c>
      <c r="X491" s="88">
        <v>44629</v>
      </c>
      <c r="Y491" s="85" t="s">
        <v>1073</v>
      </c>
      <c r="Z491" s="83" t="str">
        <f>HYPERLINK("https://twitter.com/drlagarrettking/status/1501592849187426304")</f>
        <v>https://twitter.com/drlagarrettking/status/1501592849187426304</v>
      </c>
      <c r="AA491" s="80"/>
      <c r="AB491" s="80"/>
      <c r="AC491" s="85" t="s">
        <v>1524</v>
      </c>
      <c r="AD491" s="80"/>
      <c r="AE491" s="80" t="b">
        <v>0</v>
      </c>
      <c r="AF491" s="80">
        <v>0</v>
      </c>
      <c r="AG491" s="85" t="s">
        <v>1635</v>
      </c>
      <c r="AH491" s="80" t="b">
        <v>0</v>
      </c>
      <c r="AI491" s="80" t="s">
        <v>1642</v>
      </c>
      <c r="AJ491" s="80"/>
      <c r="AK491" s="85" t="s">
        <v>1635</v>
      </c>
      <c r="AL491" s="80" t="b">
        <v>0</v>
      </c>
      <c r="AM491" s="80">
        <v>4</v>
      </c>
      <c r="AN491" s="85" t="s">
        <v>1549</v>
      </c>
      <c r="AO491" s="85" t="s">
        <v>1672</v>
      </c>
      <c r="AP491" s="80" t="b">
        <v>0</v>
      </c>
      <c r="AQ491" s="85" t="s">
        <v>1549</v>
      </c>
      <c r="AR491" s="80" t="s">
        <v>179</v>
      </c>
      <c r="AS491" s="80">
        <v>0</v>
      </c>
      <c r="AT491" s="80">
        <v>0</v>
      </c>
      <c r="AU491" s="80"/>
      <c r="AV491" s="80"/>
      <c r="AW491" s="80"/>
      <c r="AX491" s="80"/>
      <c r="AY491" s="80"/>
      <c r="AZ491" s="80"/>
      <c r="BA491" s="80"/>
      <c r="BB491" s="80"/>
    </row>
    <row r="492" spans="1:54" x14ac:dyDescent="0.25">
      <c r="A492" s="65" t="s">
        <v>370</v>
      </c>
      <c r="B492" s="65" t="s">
        <v>376</v>
      </c>
      <c r="C492" s="66"/>
      <c r="D492" s="67"/>
      <c r="E492" s="68"/>
      <c r="F492" s="69"/>
      <c r="G492" s="66"/>
      <c r="H492" s="70"/>
      <c r="I492" s="71"/>
      <c r="J492" s="71"/>
      <c r="K492" s="36" t="s">
        <v>65</v>
      </c>
      <c r="L492" s="78">
        <v>492</v>
      </c>
      <c r="M492" s="78"/>
      <c r="N492" s="73"/>
      <c r="O492" s="80" t="s">
        <v>414</v>
      </c>
      <c r="P492" s="82">
        <v>44629.678333333337</v>
      </c>
      <c r="Q492" s="80" t="s">
        <v>455</v>
      </c>
      <c r="R492" s="83" t="str">
        <f>HYPERLINK("https://buffalohistory.org/event/to-walk-about-in-freedom-lecture/")</f>
        <v>https://buffalohistory.org/event/to-walk-about-in-freedom-lecture/</v>
      </c>
      <c r="S492" s="80" t="s">
        <v>642</v>
      </c>
      <c r="T492" s="85" t="s">
        <v>357</v>
      </c>
      <c r="U492" s="80"/>
      <c r="V492" s="83" t="str">
        <f>HYPERLINK("https://pbs.twimg.com/profile_images/875401152300433408/tCgafXEm_normal.jpg")</f>
        <v>https://pbs.twimg.com/profile_images/875401152300433408/tCgafXEm_normal.jpg</v>
      </c>
      <c r="W492" s="82">
        <v>44629.678333333337</v>
      </c>
      <c r="X492" s="88">
        <v>44629</v>
      </c>
      <c r="Y492" s="85" t="s">
        <v>1073</v>
      </c>
      <c r="Z492" s="83" t="str">
        <f>HYPERLINK("https://twitter.com/drlagarrettking/status/1501592849187426304")</f>
        <v>https://twitter.com/drlagarrettking/status/1501592849187426304</v>
      </c>
      <c r="AA492" s="80"/>
      <c r="AB492" s="80"/>
      <c r="AC492" s="85" t="s">
        <v>1524</v>
      </c>
      <c r="AD492" s="80"/>
      <c r="AE492" s="80" t="b">
        <v>0</v>
      </c>
      <c r="AF492" s="80">
        <v>0</v>
      </c>
      <c r="AG492" s="85" t="s">
        <v>1635</v>
      </c>
      <c r="AH492" s="80" t="b">
        <v>0</v>
      </c>
      <c r="AI492" s="80" t="s">
        <v>1642</v>
      </c>
      <c r="AJ492" s="80"/>
      <c r="AK492" s="85" t="s">
        <v>1635</v>
      </c>
      <c r="AL492" s="80" t="b">
        <v>0</v>
      </c>
      <c r="AM492" s="80">
        <v>4</v>
      </c>
      <c r="AN492" s="85" t="s">
        <v>1549</v>
      </c>
      <c r="AO492" s="85" t="s">
        <v>1672</v>
      </c>
      <c r="AP492" s="80" t="b">
        <v>0</v>
      </c>
      <c r="AQ492" s="85" t="s">
        <v>1549</v>
      </c>
      <c r="AR492" s="80" t="s">
        <v>179</v>
      </c>
      <c r="AS492" s="80">
        <v>0</v>
      </c>
      <c r="AT492" s="80">
        <v>0</v>
      </c>
      <c r="AU492" s="80"/>
      <c r="AV492" s="80"/>
      <c r="AW492" s="80"/>
      <c r="AX492" s="80"/>
      <c r="AY492" s="80"/>
      <c r="AZ492" s="80"/>
      <c r="BA492" s="80"/>
      <c r="BB492" s="80"/>
    </row>
    <row r="493" spans="1:54" x14ac:dyDescent="0.25">
      <c r="A493" s="65" t="s">
        <v>370</v>
      </c>
      <c r="B493" s="65" t="s">
        <v>374</v>
      </c>
      <c r="C493" s="66"/>
      <c r="D493" s="67"/>
      <c r="E493" s="68"/>
      <c r="F493" s="69"/>
      <c r="G493" s="66"/>
      <c r="H493" s="70"/>
      <c r="I493" s="71"/>
      <c r="J493" s="71"/>
      <c r="K493" s="36" t="s">
        <v>65</v>
      </c>
      <c r="L493" s="78">
        <v>493</v>
      </c>
      <c r="M493" s="78"/>
      <c r="N493" s="73"/>
      <c r="O493" s="80" t="s">
        <v>415</v>
      </c>
      <c r="P493" s="82">
        <v>44629.678333333337</v>
      </c>
      <c r="Q493" s="80" t="s">
        <v>455</v>
      </c>
      <c r="R493" s="83" t="str">
        <f>HYPERLINK("https://buffalohistory.org/event/to-walk-about-in-freedom-lecture/")</f>
        <v>https://buffalohistory.org/event/to-walk-about-in-freedom-lecture/</v>
      </c>
      <c r="S493" s="80" t="s">
        <v>642</v>
      </c>
      <c r="T493" s="85" t="s">
        <v>357</v>
      </c>
      <c r="U493" s="80"/>
      <c r="V493" s="83" t="str">
        <f>HYPERLINK("https://pbs.twimg.com/profile_images/875401152300433408/tCgafXEm_normal.jpg")</f>
        <v>https://pbs.twimg.com/profile_images/875401152300433408/tCgafXEm_normal.jpg</v>
      </c>
      <c r="W493" s="82">
        <v>44629.678333333337</v>
      </c>
      <c r="X493" s="88">
        <v>44629</v>
      </c>
      <c r="Y493" s="85" t="s">
        <v>1073</v>
      </c>
      <c r="Z493" s="83" t="str">
        <f>HYPERLINK("https://twitter.com/drlagarrettking/status/1501592849187426304")</f>
        <v>https://twitter.com/drlagarrettking/status/1501592849187426304</v>
      </c>
      <c r="AA493" s="80"/>
      <c r="AB493" s="80"/>
      <c r="AC493" s="85" t="s">
        <v>1524</v>
      </c>
      <c r="AD493" s="80"/>
      <c r="AE493" s="80" t="b">
        <v>0</v>
      </c>
      <c r="AF493" s="80">
        <v>0</v>
      </c>
      <c r="AG493" s="85" t="s">
        <v>1635</v>
      </c>
      <c r="AH493" s="80" t="b">
        <v>0</v>
      </c>
      <c r="AI493" s="80" t="s">
        <v>1642</v>
      </c>
      <c r="AJ493" s="80"/>
      <c r="AK493" s="85" t="s">
        <v>1635</v>
      </c>
      <c r="AL493" s="80" t="b">
        <v>0</v>
      </c>
      <c r="AM493" s="80">
        <v>4</v>
      </c>
      <c r="AN493" s="85" t="s">
        <v>1549</v>
      </c>
      <c r="AO493" s="85" t="s">
        <v>1672</v>
      </c>
      <c r="AP493" s="80" t="b">
        <v>0</v>
      </c>
      <c r="AQ493" s="85" t="s">
        <v>1549</v>
      </c>
      <c r="AR493" s="80" t="s">
        <v>179</v>
      </c>
      <c r="AS493" s="80">
        <v>0</v>
      </c>
      <c r="AT493" s="80">
        <v>0</v>
      </c>
      <c r="AU493" s="80"/>
      <c r="AV493" s="80"/>
      <c r="AW493" s="80"/>
      <c r="AX493" s="80"/>
      <c r="AY493" s="80"/>
      <c r="AZ493" s="80"/>
      <c r="BA493" s="80"/>
      <c r="BB493" s="80"/>
    </row>
    <row r="494" spans="1:54" x14ac:dyDescent="0.25">
      <c r="A494" s="65" t="s">
        <v>371</v>
      </c>
      <c r="B494" s="65" t="s">
        <v>370</v>
      </c>
      <c r="C494" s="66"/>
      <c r="D494" s="67"/>
      <c r="E494" s="68"/>
      <c r="F494" s="69"/>
      <c r="G494" s="66"/>
      <c r="H494" s="70"/>
      <c r="I494" s="71"/>
      <c r="J494" s="71"/>
      <c r="K494" s="36" t="s">
        <v>65</v>
      </c>
      <c r="L494" s="78">
        <v>494</v>
      </c>
      <c r="M494" s="78"/>
      <c r="N494" s="73"/>
      <c r="O494" s="80" t="s">
        <v>414</v>
      </c>
      <c r="P494" s="82">
        <v>44633.139976851853</v>
      </c>
      <c r="Q494" s="80" t="s">
        <v>524</v>
      </c>
      <c r="R494" s="83" t="str">
        <f>HYPERLINK("https://ed.buffalo.edu/black-history-ed/programs/researching-race.html")</f>
        <v>https://ed.buffalo.edu/black-history-ed/programs/researching-race.html</v>
      </c>
      <c r="S494" s="80" t="s">
        <v>632</v>
      </c>
      <c r="T494" s="85" t="s">
        <v>675</v>
      </c>
      <c r="U494" s="83" t="str">
        <f>HYPERLINK("https://pbs.twimg.com/media/FNqUI6DX0AUtAph.jpg")</f>
        <v>https://pbs.twimg.com/media/FNqUI6DX0AUtAph.jpg</v>
      </c>
      <c r="V494" s="83" t="str">
        <f>HYPERLINK("https://pbs.twimg.com/media/FNqUI6DX0AUtAph.jpg")</f>
        <v>https://pbs.twimg.com/media/FNqUI6DX0AUtAph.jpg</v>
      </c>
      <c r="W494" s="82">
        <v>44633.139976851853</v>
      </c>
      <c r="X494" s="88">
        <v>44633</v>
      </c>
      <c r="Y494" s="85" t="s">
        <v>1074</v>
      </c>
      <c r="Z494" s="83" t="str">
        <f>HYPERLINK("https://twitter.com/ramongoings/status/1502847308853043206")</f>
        <v>https://twitter.com/ramongoings/status/1502847308853043206</v>
      </c>
      <c r="AA494" s="80"/>
      <c r="AB494" s="80"/>
      <c r="AC494" s="85" t="s">
        <v>1525</v>
      </c>
      <c r="AD494" s="80"/>
      <c r="AE494" s="80" t="b">
        <v>0</v>
      </c>
      <c r="AF494" s="80">
        <v>0</v>
      </c>
      <c r="AG494" s="85" t="s">
        <v>1635</v>
      </c>
      <c r="AH494" s="80" t="b">
        <v>0</v>
      </c>
      <c r="AI494" s="80" t="s">
        <v>1642</v>
      </c>
      <c r="AJ494" s="80"/>
      <c r="AK494" s="85" t="s">
        <v>1635</v>
      </c>
      <c r="AL494" s="80" t="b">
        <v>0</v>
      </c>
      <c r="AM494" s="80">
        <v>2</v>
      </c>
      <c r="AN494" s="85" t="s">
        <v>1526</v>
      </c>
      <c r="AO494" s="85" t="s">
        <v>1672</v>
      </c>
      <c r="AP494" s="80" t="b">
        <v>0</v>
      </c>
      <c r="AQ494" s="85" t="s">
        <v>1526</v>
      </c>
      <c r="AR494" s="80" t="s">
        <v>179</v>
      </c>
      <c r="AS494" s="80">
        <v>0</v>
      </c>
      <c r="AT494" s="80">
        <v>0</v>
      </c>
      <c r="AU494" s="80"/>
      <c r="AV494" s="80"/>
      <c r="AW494" s="80"/>
      <c r="AX494" s="80"/>
      <c r="AY494" s="80"/>
      <c r="AZ494" s="80"/>
      <c r="BA494" s="80"/>
      <c r="BB494" s="80"/>
    </row>
    <row r="495" spans="1:54" x14ac:dyDescent="0.25">
      <c r="A495" s="65" t="s">
        <v>369</v>
      </c>
      <c r="B495" s="65" t="s">
        <v>370</v>
      </c>
      <c r="C495" s="66"/>
      <c r="D495" s="67"/>
      <c r="E495" s="68"/>
      <c r="F495" s="69"/>
      <c r="G495" s="66"/>
      <c r="H495" s="70"/>
      <c r="I495" s="71"/>
      <c r="J495" s="71"/>
      <c r="K495" s="36" t="s">
        <v>65</v>
      </c>
      <c r="L495" s="78">
        <v>495</v>
      </c>
      <c r="M495" s="78"/>
      <c r="N495" s="73"/>
      <c r="O495" s="80" t="s">
        <v>416</v>
      </c>
      <c r="P495" s="82">
        <v>44632.668113425927</v>
      </c>
      <c r="Q495" s="80" t="s">
        <v>524</v>
      </c>
      <c r="R495" s="83" t="str">
        <f>HYPERLINK("https://ed.buffalo.edu/black-history-ed/programs/researching-race.html")</f>
        <v>https://ed.buffalo.edu/black-history-ed/programs/researching-race.html</v>
      </c>
      <c r="S495" s="80" t="s">
        <v>632</v>
      </c>
      <c r="T495" s="85" t="s">
        <v>675</v>
      </c>
      <c r="U495" s="83" t="str">
        <f>HYPERLINK("https://pbs.twimg.com/media/FNqUI6DX0AUtAph.jpg")</f>
        <v>https://pbs.twimg.com/media/FNqUI6DX0AUtAph.jpg</v>
      </c>
      <c r="V495" s="83" t="str">
        <f>HYPERLINK("https://pbs.twimg.com/media/FNqUI6DX0AUtAph.jpg")</f>
        <v>https://pbs.twimg.com/media/FNqUI6DX0AUtAph.jpg</v>
      </c>
      <c r="W495" s="82">
        <v>44632.668113425927</v>
      </c>
      <c r="X495" s="88">
        <v>44632</v>
      </c>
      <c r="Y495" s="85" t="s">
        <v>1075</v>
      </c>
      <c r="Z495" s="83" t="str">
        <f>HYPERLINK("https://twitter.com/ubgse/status/1502676308786094080")</f>
        <v>https://twitter.com/ubgse/status/1502676308786094080</v>
      </c>
      <c r="AA495" s="80"/>
      <c r="AB495" s="80"/>
      <c r="AC495" s="85" t="s">
        <v>1526</v>
      </c>
      <c r="AD495" s="80"/>
      <c r="AE495" s="80" t="b">
        <v>0</v>
      </c>
      <c r="AF495" s="80">
        <v>4</v>
      </c>
      <c r="AG495" s="85" t="s">
        <v>1635</v>
      </c>
      <c r="AH495" s="80" t="b">
        <v>0</v>
      </c>
      <c r="AI495" s="80" t="s">
        <v>1642</v>
      </c>
      <c r="AJ495" s="80"/>
      <c r="AK495" s="85" t="s">
        <v>1635</v>
      </c>
      <c r="AL495" s="80" t="b">
        <v>0</v>
      </c>
      <c r="AM495" s="80">
        <v>2</v>
      </c>
      <c r="AN495" s="85" t="s">
        <v>1635</v>
      </c>
      <c r="AO495" s="85" t="s">
        <v>1680</v>
      </c>
      <c r="AP495" s="80" t="b">
        <v>0</v>
      </c>
      <c r="AQ495" s="85" t="s">
        <v>1526</v>
      </c>
      <c r="AR495" s="80" t="s">
        <v>179</v>
      </c>
      <c r="AS495" s="80">
        <v>0</v>
      </c>
      <c r="AT495" s="80">
        <v>0</v>
      </c>
      <c r="AU495" s="80"/>
      <c r="AV495" s="80"/>
      <c r="AW495" s="80"/>
      <c r="AX495" s="80"/>
      <c r="AY495" s="80"/>
      <c r="AZ495" s="80"/>
      <c r="BA495" s="80"/>
      <c r="BB495" s="80"/>
    </row>
    <row r="496" spans="1:54" x14ac:dyDescent="0.25">
      <c r="A496" s="65" t="s">
        <v>371</v>
      </c>
      <c r="B496" s="65" t="s">
        <v>369</v>
      </c>
      <c r="C496" s="66"/>
      <c r="D496" s="67"/>
      <c r="E496" s="68"/>
      <c r="F496" s="69"/>
      <c r="G496" s="66"/>
      <c r="H496" s="70"/>
      <c r="I496" s="71"/>
      <c r="J496" s="71"/>
      <c r="K496" s="36" t="s">
        <v>66</v>
      </c>
      <c r="L496" s="78">
        <v>496</v>
      </c>
      <c r="M496" s="78"/>
      <c r="N496" s="73"/>
      <c r="O496" s="80" t="s">
        <v>415</v>
      </c>
      <c r="P496" s="82">
        <v>44633.139976851853</v>
      </c>
      <c r="Q496" s="80" t="s">
        <v>524</v>
      </c>
      <c r="R496" s="83" t="str">
        <f>HYPERLINK("https://ed.buffalo.edu/black-history-ed/programs/researching-race.html")</f>
        <v>https://ed.buffalo.edu/black-history-ed/programs/researching-race.html</v>
      </c>
      <c r="S496" s="80" t="s">
        <v>632</v>
      </c>
      <c r="T496" s="85" t="s">
        <v>675</v>
      </c>
      <c r="U496" s="83" t="str">
        <f>HYPERLINK("https://pbs.twimg.com/media/FNqUI6DX0AUtAph.jpg")</f>
        <v>https://pbs.twimg.com/media/FNqUI6DX0AUtAph.jpg</v>
      </c>
      <c r="V496" s="83" t="str">
        <f>HYPERLINK("https://pbs.twimg.com/media/FNqUI6DX0AUtAph.jpg")</f>
        <v>https://pbs.twimg.com/media/FNqUI6DX0AUtAph.jpg</v>
      </c>
      <c r="W496" s="82">
        <v>44633.139976851853</v>
      </c>
      <c r="X496" s="88">
        <v>44633</v>
      </c>
      <c r="Y496" s="85" t="s">
        <v>1074</v>
      </c>
      <c r="Z496" s="83" t="str">
        <f>HYPERLINK("https://twitter.com/ramongoings/status/1502847308853043206")</f>
        <v>https://twitter.com/ramongoings/status/1502847308853043206</v>
      </c>
      <c r="AA496" s="80"/>
      <c r="AB496" s="80"/>
      <c r="AC496" s="85" t="s">
        <v>1525</v>
      </c>
      <c r="AD496" s="80"/>
      <c r="AE496" s="80" t="b">
        <v>0</v>
      </c>
      <c r="AF496" s="80">
        <v>0</v>
      </c>
      <c r="AG496" s="85" t="s">
        <v>1635</v>
      </c>
      <c r="AH496" s="80" t="b">
        <v>0</v>
      </c>
      <c r="AI496" s="80" t="s">
        <v>1642</v>
      </c>
      <c r="AJ496" s="80"/>
      <c r="AK496" s="85" t="s">
        <v>1635</v>
      </c>
      <c r="AL496" s="80" t="b">
        <v>0</v>
      </c>
      <c r="AM496" s="80">
        <v>2</v>
      </c>
      <c r="AN496" s="85" t="s">
        <v>1526</v>
      </c>
      <c r="AO496" s="85" t="s">
        <v>1672</v>
      </c>
      <c r="AP496" s="80" t="b">
        <v>0</v>
      </c>
      <c r="AQ496" s="85" t="s">
        <v>1526</v>
      </c>
      <c r="AR496" s="80" t="s">
        <v>179</v>
      </c>
      <c r="AS496" s="80">
        <v>0</v>
      </c>
      <c r="AT496" s="80">
        <v>0</v>
      </c>
      <c r="AU496" s="80"/>
      <c r="AV496" s="80"/>
      <c r="AW496" s="80"/>
      <c r="AX496" s="80"/>
      <c r="AY496" s="80"/>
      <c r="AZ496" s="80"/>
      <c r="BA496" s="80"/>
      <c r="BB496" s="80"/>
    </row>
    <row r="497" spans="1:54" x14ac:dyDescent="0.25">
      <c r="A497" s="65" t="s">
        <v>369</v>
      </c>
      <c r="B497" s="65" t="s">
        <v>371</v>
      </c>
      <c r="C497" s="66"/>
      <c r="D497" s="67"/>
      <c r="E497" s="68"/>
      <c r="F497" s="69"/>
      <c r="G497" s="66"/>
      <c r="H497" s="70"/>
      <c r="I497" s="71"/>
      <c r="J497" s="71"/>
      <c r="K497" s="36" t="s">
        <v>66</v>
      </c>
      <c r="L497" s="78">
        <v>497</v>
      </c>
      <c r="M497" s="78"/>
      <c r="N497" s="73"/>
      <c r="O497" s="80" t="s">
        <v>416</v>
      </c>
      <c r="P497" s="82">
        <v>44632.668113425927</v>
      </c>
      <c r="Q497" s="80" t="s">
        <v>524</v>
      </c>
      <c r="R497" s="83" t="str">
        <f>HYPERLINK("https://ed.buffalo.edu/black-history-ed/programs/researching-race.html")</f>
        <v>https://ed.buffalo.edu/black-history-ed/programs/researching-race.html</v>
      </c>
      <c r="S497" s="80" t="s">
        <v>632</v>
      </c>
      <c r="T497" s="85" t="s">
        <v>675</v>
      </c>
      <c r="U497" s="83" t="str">
        <f>HYPERLINK("https://pbs.twimg.com/media/FNqUI6DX0AUtAph.jpg")</f>
        <v>https://pbs.twimg.com/media/FNqUI6DX0AUtAph.jpg</v>
      </c>
      <c r="V497" s="83" t="str">
        <f>HYPERLINK("https://pbs.twimg.com/media/FNqUI6DX0AUtAph.jpg")</f>
        <v>https://pbs.twimg.com/media/FNqUI6DX0AUtAph.jpg</v>
      </c>
      <c r="W497" s="82">
        <v>44632.668113425927</v>
      </c>
      <c r="X497" s="88">
        <v>44632</v>
      </c>
      <c r="Y497" s="85" t="s">
        <v>1075</v>
      </c>
      <c r="Z497" s="83" t="str">
        <f>HYPERLINK("https://twitter.com/ubgse/status/1502676308786094080")</f>
        <v>https://twitter.com/ubgse/status/1502676308786094080</v>
      </c>
      <c r="AA497" s="80"/>
      <c r="AB497" s="80"/>
      <c r="AC497" s="85" t="s">
        <v>1526</v>
      </c>
      <c r="AD497" s="80"/>
      <c r="AE497" s="80" t="b">
        <v>0</v>
      </c>
      <c r="AF497" s="80">
        <v>4</v>
      </c>
      <c r="AG497" s="85" t="s">
        <v>1635</v>
      </c>
      <c r="AH497" s="80" t="b">
        <v>0</v>
      </c>
      <c r="AI497" s="80" t="s">
        <v>1642</v>
      </c>
      <c r="AJ497" s="80"/>
      <c r="AK497" s="85" t="s">
        <v>1635</v>
      </c>
      <c r="AL497" s="80" t="b">
        <v>0</v>
      </c>
      <c r="AM497" s="80">
        <v>2</v>
      </c>
      <c r="AN497" s="85" t="s">
        <v>1635</v>
      </c>
      <c r="AO497" s="85" t="s">
        <v>1680</v>
      </c>
      <c r="AP497" s="80" t="b">
        <v>0</v>
      </c>
      <c r="AQ497" s="85" t="s">
        <v>1526</v>
      </c>
      <c r="AR497" s="80" t="s">
        <v>179</v>
      </c>
      <c r="AS497" s="80">
        <v>0</v>
      </c>
      <c r="AT497" s="80">
        <v>0</v>
      </c>
      <c r="AU497" s="80"/>
      <c r="AV497" s="80"/>
      <c r="AW497" s="80"/>
      <c r="AX497" s="80"/>
      <c r="AY497" s="80"/>
      <c r="AZ497" s="80"/>
      <c r="BA497" s="80"/>
      <c r="BB497" s="80"/>
    </row>
    <row r="498" spans="1:54" x14ac:dyDescent="0.25">
      <c r="A498" s="65" t="s">
        <v>357</v>
      </c>
      <c r="B498" s="65" t="s">
        <v>369</v>
      </c>
      <c r="C498" s="66"/>
      <c r="D498" s="67"/>
      <c r="E498" s="68"/>
      <c r="F498" s="69"/>
      <c r="G498" s="66"/>
      <c r="H498" s="70"/>
      <c r="I498" s="71"/>
      <c r="J498" s="71"/>
      <c r="K498" s="36" t="s">
        <v>66</v>
      </c>
      <c r="L498" s="78">
        <v>498</v>
      </c>
      <c r="M498" s="78"/>
      <c r="N498" s="73"/>
      <c r="O498" s="80" t="s">
        <v>415</v>
      </c>
      <c r="P498" s="82">
        <v>44630.880706018521</v>
      </c>
      <c r="Q498" s="80" t="s">
        <v>582</v>
      </c>
      <c r="R498" s="80"/>
      <c r="S498" s="80"/>
      <c r="T498" s="85" t="s">
        <v>722</v>
      </c>
      <c r="U498" s="83" t="str">
        <f>HYPERLINK("https://pbs.twimg.com/media/FNgBWCoVEAEn-ZI.jpg")</f>
        <v>https://pbs.twimg.com/media/FNgBWCoVEAEn-ZI.jpg</v>
      </c>
      <c r="V498" s="83" t="str">
        <f>HYPERLINK("https://pbs.twimg.com/media/FNgBWCoVEAEn-ZI.jpg")</f>
        <v>https://pbs.twimg.com/media/FNgBWCoVEAEn-ZI.jpg</v>
      </c>
      <c r="W498" s="82">
        <v>44630.880706018521</v>
      </c>
      <c r="X498" s="88">
        <v>44630</v>
      </c>
      <c r="Y498" s="85" t="s">
        <v>1076</v>
      </c>
      <c r="Z498" s="83" t="str">
        <f>HYPERLINK("https://twitter.com/ubuffalo/status/1502028574257262593")</f>
        <v>https://twitter.com/ubuffalo/status/1502028574257262593</v>
      </c>
      <c r="AA498" s="80"/>
      <c r="AB498" s="80"/>
      <c r="AC498" s="85" t="s">
        <v>1527</v>
      </c>
      <c r="AD498" s="80"/>
      <c r="AE498" s="80" t="b">
        <v>0</v>
      </c>
      <c r="AF498" s="80">
        <v>0</v>
      </c>
      <c r="AG498" s="85" t="s">
        <v>1635</v>
      </c>
      <c r="AH498" s="80" t="b">
        <v>0</v>
      </c>
      <c r="AI498" s="80" t="s">
        <v>1642</v>
      </c>
      <c r="AJ498" s="80"/>
      <c r="AK498" s="85" t="s">
        <v>1635</v>
      </c>
      <c r="AL498" s="80" t="b">
        <v>0</v>
      </c>
      <c r="AM498" s="80">
        <v>1</v>
      </c>
      <c r="AN498" s="85" t="s">
        <v>1530</v>
      </c>
      <c r="AO498" s="85" t="s">
        <v>1672</v>
      </c>
      <c r="AP498" s="80" t="b">
        <v>0</v>
      </c>
      <c r="AQ498" s="85" t="s">
        <v>1530</v>
      </c>
      <c r="AR498" s="80" t="s">
        <v>179</v>
      </c>
      <c r="AS498" s="80">
        <v>0</v>
      </c>
      <c r="AT498" s="80">
        <v>0</v>
      </c>
      <c r="AU498" s="80"/>
      <c r="AV498" s="80"/>
      <c r="AW498" s="80"/>
      <c r="AX498" s="80"/>
      <c r="AY498" s="80"/>
      <c r="AZ498" s="80"/>
      <c r="BA498" s="80"/>
      <c r="BB498" s="80"/>
    </row>
    <row r="499" spans="1:54" x14ac:dyDescent="0.25">
      <c r="A499" s="65" t="s">
        <v>369</v>
      </c>
      <c r="B499" s="65" t="s">
        <v>369</v>
      </c>
      <c r="C499" s="66"/>
      <c r="D499" s="67"/>
      <c r="E499" s="68"/>
      <c r="F499" s="69"/>
      <c r="G499" s="66"/>
      <c r="H499" s="70"/>
      <c r="I499" s="71"/>
      <c r="J499" s="71"/>
      <c r="K499" s="36" t="s">
        <v>65</v>
      </c>
      <c r="L499" s="78">
        <v>499</v>
      </c>
      <c r="M499" s="78"/>
      <c r="N499" s="73"/>
      <c r="O499" s="80" t="s">
        <v>179</v>
      </c>
      <c r="P499" s="82">
        <v>44627.489618055559</v>
      </c>
      <c r="Q499" s="80" t="s">
        <v>583</v>
      </c>
      <c r="R499" s="80"/>
      <c r="S499" s="80"/>
      <c r="T499" s="85" t="s">
        <v>675</v>
      </c>
      <c r="U499" s="83" t="str">
        <f>HYPERLINK("https://pbs.twimg.com/media/FNPpXE3XoAQ4592.jpg")</f>
        <v>https://pbs.twimg.com/media/FNPpXE3XoAQ4592.jpg</v>
      </c>
      <c r="V499" s="83" t="str">
        <f>HYPERLINK("https://pbs.twimg.com/media/FNPpXE3XoAQ4592.jpg")</f>
        <v>https://pbs.twimg.com/media/FNPpXE3XoAQ4592.jpg</v>
      </c>
      <c r="W499" s="82">
        <v>44627.489618055559</v>
      </c>
      <c r="X499" s="88">
        <v>44627</v>
      </c>
      <c r="Y499" s="85" t="s">
        <v>1077</v>
      </c>
      <c r="Z499" s="83" t="str">
        <f>HYPERLINK("https://twitter.com/ubgse/status/1500799686814408708")</f>
        <v>https://twitter.com/ubgse/status/1500799686814408708</v>
      </c>
      <c r="AA499" s="80"/>
      <c r="AB499" s="80"/>
      <c r="AC499" s="85" t="s">
        <v>1528</v>
      </c>
      <c r="AD499" s="80"/>
      <c r="AE499" s="80" t="b">
        <v>0</v>
      </c>
      <c r="AF499" s="80">
        <v>4</v>
      </c>
      <c r="AG499" s="85" t="s">
        <v>1635</v>
      </c>
      <c r="AH499" s="80" t="b">
        <v>0</v>
      </c>
      <c r="AI499" s="80" t="s">
        <v>1642</v>
      </c>
      <c r="AJ499" s="80"/>
      <c r="AK499" s="85" t="s">
        <v>1635</v>
      </c>
      <c r="AL499" s="80" t="b">
        <v>0</v>
      </c>
      <c r="AM499" s="80">
        <v>0</v>
      </c>
      <c r="AN499" s="85" t="s">
        <v>1635</v>
      </c>
      <c r="AO499" s="85" t="s">
        <v>1680</v>
      </c>
      <c r="AP499" s="80" t="b">
        <v>0</v>
      </c>
      <c r="AQ499" s="85" t="s">
        <v>1528</v>
      </c>
      <c r="AR499" s="80" t="s">
        <v>179</v>
      </c>
      <c r="AS499" s="80">
        <v>0</v>
      </c>
      <c r="AT499" s="80">
        <v>0</v>
      </c>
      <c r="AU499" s="80"/>
      <c r="AV499" s="80"/>
      <c r="AW499" s="80"/>
      <c r="AX499" s="80"/>
      <c r="AY499" s="80"/>
      <c r="AZ499" s="80"/>
      <c r="BA499" s="80"/>
      <c r="BB499" s="80"/>
    </row>
    <row r="500" spans="1:54" x14ac:dyDescent="0.25">
      <c r="A500" s="65" t="s">
        <v>369</v>
      </c>
      <c r="B500" s="65" t="s">
        <v>357</v>
      </c>
      <c r="C500" s="66"/>
      <c r="D500" s="67"/>
      <c r="E500" s="68"/>
      <c r="F500" s="69"/>
      <c r="G500" s="66"/>
      <c r="H500" s="70"/>
      <c r="I500" s="71"/>
      <c r="J500" s="71"/>
      <c r="K500" s="36" t="s">
        <v>66</v>
      </c>
      <c r="L500" s="78">
        <v>500</v>
      </c>
      <c r="M500" s="78"/>
      <c r="N500" s="73"/>
      <c r="O500" s="80" t="s">
        <v>415</v>
      </c>
      <c r="P500" s="82">
        <v>44628.768680555557</v>
      </c>
      <c r="Q500" s="80" t="s">
        <v>433</v>
      </c>
      <c r="R500" s="80"/>
      <c r="S500" s="80"/>
      <c r="T500" s="85" t="s">
        <v>668</v>
      </c>
      <c r="U500" s="83" t="str">
        <f>HYPERLINK("https://pbs.twimg.com/amplify_video_thumb/1501188997695127554/img/suC8e3aV3xiZEsCE.jpg")</f>
        <v>https://pbs.twimg.com/amplify_video_thumb/1501188997695127554/img/suC8e3aV3xiZEsCE.jpg</v>
      </c>
      <c r="V500" s="83" t="str">
        <f>HYPERLINK("https://pbs.twimg.com/amplify_video_thumb/1501188997695127554/img/suC8e3aV3xiZEsCE.jpg")</f>
        <v>https://pbs.twimg.com/amplify_video_thumb/1501188997695127554/img/suC8e3aV3xiZEsCE.jpg</v>
      </c>
      <c r="W500" s="82">
        <v>44628.768680555557</v>
      </c>
      <c r="X500" s="88">
        <v>44628</v>
      </c>
      <c r="Y500" s="85" t="s">
        <v>1078</v>
      </c>
      <c r="Z500" s="83" t="str">
        <f>HYPERLINK("https://twitter.com/ubgse/status/1501263203527008263")</f>
        <v>https://twitter.com/ubgse/status/1501263203527008263</v>
      </c>
      <c r="AA500" s="80"/>
      <c r="AB500" s="80"/>
      <c r="AC500" s="85" t="s">
        <v>1529</v>
      </c>
      <c r="AD500" s="80"/>
      <c r="AE500" s="80" t="b">
        <v>0</v>
      </c>
      <c r="AF500" s="80">
        <v>0</v>
      </c>
      <c r="AG500" s="85" t="s">
        <v>1635</v>
      </c>
      <c r="AH500" s="80" t="b">
        <v>0</v>
      </c>
      <c r="AI500" s="80" t="s">
        <v>1642</v>
      </c>
      <c r="AJ500" s="80"/>
      <c r="AK500" s="85" t="s">
        <v>1635</v>
      </c>
      <c r="AL500" s="80" t="b">
        <v>0</v>
      </c>
      <c r="AM500" s="80">
        <v>10</v>
      </c>
      <c r="AN500" s="85" t="s">
        <v>1616</v>
      </c>
      <c r="AO500" s="85" t="s">
        <v>1671</v>
      </c>
      <c r="AP500" s="80" t="b">
        <v>0</v>
      </c>
      <c r="AQ500" s="85" t="s">
        <v>1616</v>
      </c>
      <c r="AR500" s="80" t="s">
        <v>179</v>
      </c>
      <c r="AS500" s="80">
        <v>0</v>
      </c>
      <c r="AT500" s="80">
        <v>0</v>
      </c>
      <c r="AU500" s="80"/>
      <c r="AV500" s="80"/>
      <c r="AW500" s="80"/>
      <c r="AX500" s="80"/>
      <c r="AY500" s="80"/>
      <c r="AZ500" s="80"/>
      <c r="BA500" s="80"/>
      <c r="BB500" s="80"/>
    </row>
    <row r="501" spans="1:54" x14ac:dyDescent="0.25">
      <c r="A501" s="65" t="s">
        <v>369</v>
      </c>
      <c r="B501" s="65" t="s">
        <v>369</v>
      </c>
      <c r="C501" s="66"/>
      <c r="D501" s="67"/>
      <c r="E501" s="68"/>
      <c r="F501" s="69"/>
      <c r="G501" s="66"/>
      <c r="H501" s="70"/>
      <c r="I501" s="71"/>
      <c r="J501" s="71"/>
      <c r="K501" s="36" t="s">
        <v>65</v>
      </c>
      <c r="L501" s="78">
        <v>501</v>
      </c>
      <c r="M501" s="78"/>
      <c r="N501" s="73"/>
      <c r="O501" s="80" t="s">
        <v>179</v>
      </c>
      <c r="P501" s="82">
        <v>44630.669270833336</v>
      </c>
      <c r="Q501" s="80" t="s">
        <v>582</v>
      </c>
      <c r="R501" s="80"/>
      <c r="S501" s="80"/>
      <c r="T501" s="85" t="s">
        <v>722</v>
      </c>
      <c r="U501" s="83" t="str">
        <f>HYPERLINK("https://pbs.twimg.com/media/FNgBWCoVEAEn-ZI.jpg")</f>
        <v>https://pbs.twimg.com/media/FNgBWCoVEAEn-ZI.jpg</v>
      </c>
      <c r="V501" s="83" t="str">
        <f>HYPERLINK("https://pbs.twimg.com/media/FNgBWCoVEAEn-ZI.jpg")</f>
        <v>https://pbs.twimg.com/media/FNgBWCoVEAEn-ZI.jpg</v>
      </c>
      <c r="W501" s="82">
        <v>44630.669270833336</v>
      </c>
      <c r="X501" s="88">
        <v>44630</v>
      </c>
      <c r="Y501" s="85" t="s">
        <v>1079</v>
      </c>
      <c r="Z501" s="83" t="str">
        <f>HYPERLINK("https://twitter.com/ubgse/status/1501951956356530185")</f>
        <v>https://twitter.com/ubgse/status/1501951956356530185</v>
      </c>
      <c r="AA501" s="80"/>
      <c r="AB501" s="80"/>
      <c r="AC501" s="85" t="s">
        <v>1530</v>
      </c>
      <c r="AD501" s="80"/>
      <c r="AE501" s="80" t="b">
        <v>0</v>
      </c>
      <c r="AF501" s="80">
        <v>7</v>
      </c>
      <c r="AG501" s="85" t="s">
        <v>1635</v>
      </c>
      <c r="AH501" s="80" t="b">
        <v>0</v>
      </c>
      <c r="AI501" s="80" t="s">
        <v>1642</v>
      </c>
      <c r="AJ501" s="80"/>
      <c r="AK501" s="85" t="s">
        <v>1635</v>
      </c>
      <c r="AL501" s="80" t="b">
        <v>0</v>
      </c>
      <c r="AM501" s="80">
        <v>1</v>
      </c>
      <c r="AN501" s="85" t="s">
        <v>1635</v>
      </c>
      <c r="AO501" s="85" t="s">
        <v>1680</v>
      </c>
      <c r="AP501" s="80" t="b">
        <v>0</v>
      </c>
      <c r="AQ501" s="85" t="s">
        <v>1530</v>
      </c>
      <c r="AR501" s="80" t="s">
        <v>179</v>
      </c>
      <c r="AS501" s="80">
        <v>0</v>
      </c>
      <c r="AT501" s="80">
        <v>0</v>
      </c>
      <c r="AU501" s="80"/>
      <c r="AV501" s="80"/>
      <c r="AW501" s="80"/>
      <c r="AX501" s="80"/>
      <c r="AY501" s="80"/>
      <c r="AZ501" s="80"/>
      <c r="BA501" s="80"/>
      <c r="BB501" s="80"/>
    </row>
    <row r="502" spans="1:54" x14ac:dyDescent="0.25">
      <c r="A502" s="65" t="s">
        <v>369</v>
      </c>
      <c r="B502" s="65" t="s">
        <v>368</v>
      </c>
      <c r="C502" s="66"/>
      <c r="D502" s="67"/>
      <c r="E502" s="68"/>
      <c r="F502" s="69"/>
      <c r="G502" s="66"/>
      <c r="H502" s="70"/>
      <c r="I502" s="71"/>
      <c r="J502" s="71"/>
      <c r="K502" s="36" t="s">
        <v>65</v>
      </c>
      <c r="L502" s="78">
        <v>502</v>
      </c>
      <c r="M502" s="78"/>
      <c r="N502" s="73"/>
      <c r="O502" s="80" t="s">
        <v>415</v>
      </c>
      <c r="P502" s="82">
        <v>44630.88349537037</v>
      </c>
      <c r="Q502" s="80" t="s">
        <v>584</v>
      </c>
      <c r="R502" s="83" t="str">
        <f>HYPERLINK("https://www.buffalo.edu/ubit/service-guides/computing-sites/north-campus/levelup.html")</f>
        <v>https://www.buffalo.edu/ubit/service-guides/computing-sites/north-campus/levelup.html</v>
      </c>
      <c r="S502" s="80" t="s">
        <v>632</v>
      </c>
      <c r="T502" s="85" t="s">
        <v>357</v>
      </c>
      <c r="U502" s="83" t="str">
        <f>HYPERLINK("https://pbs.twimg.com/media/FNgYybyWQAQ_ARr.jpg")</f>
        <v>https://pbs.twimg.com/media/FNgYybyWQAQ_ARr.jpg</v>
      </c>
      <c r="V502" s="83" t="str">
        <f>HYPERLINK("https://pbs.twimg.com/media/FNgYybyWQAQ_ARr.jpg")</f>
        <v>https://pbs.twimg.com/media/FNgYybyWQAQ_ARr.jpg</v>
      </c>
      <c r="W502" s="82">
        <v>44630.88349537037</v>
      </c>
      <c r="X502" s="88">
        <v>44630</v>
      </c>
      <c r="Y502" s="85" t="s">
        <v>1080</v>
      </c>
      <c r="Z502" s="83" t="str">
        <f>HYPERLINK("https://twitter.com/ubgse/status/1502029585352998916")</f>
        <v>https://twitter.com/ubgse/status/1502029585352998916</v>
      </c>
      <c r="AA502" s="80"/>
      <c r="AB502" s="80"/>
      <c r="AC502" s="85" t="s">
        <v>1531</v>
      </c>
      <c r="AD502" s="80"/>
      <c r="AE502" s="80" t="b">
        <v>0</v>
      </c>
      <c r="AF502" s="80">
        <v>0</v>
      </c>
      <c r="AG502" s="85" t="s">
        <v>1635</v>
      </c>
      <c r="AH502" s="80" t="b">
        <v>0</v>
      </c>
      <c r="AI502" s="80" t="s">
        <v>1642</v>
      </c>
      <c r="AJ502" s="80"/>
      <c r="AK502" s="85" t="s">
        <v>1635</v>
      </c>
      <c r="AL502" s="80" t="b">
        <v>0</v>
      </c>
      <c r="AM502" s="80">
        <v>3</v>
      </c>
      <c r="AN502" s="85" t="s">
        <v>1562</v>
      </c>
      <c r="AO502" s="85" t="s">
        <v>1671</v>
      </c>
      <c r="AP502" s="80" t="b">
        <v>0</v>
      </c>
      <c r="AQ502" s="85" t="s">
        <v>1562</v>
      </c>
      <c r="AR502" s="80" t="s">
        <v>179</v>
      </c>
      <c r="AS502" s="80">
        <v>0</v>
      </c>
      <c r="AT502" s="80">
        <v>0</v>
      </c>
      <c r="AU502" s="80"/>
      <c r="AV502" s="80"/>
      <c r="AW502" s="80"/>
      <c r="AX502" s="80"/>
      <c r="AY502" s="80"/>
      <c r="AZ502" s="80"/>
      <c r="BA502" s="80"/>
      <c r="BB502" s="80"/>
    </row>
    <row r="503" spans="1:54" x14ac:dyDescent="0.25">
      <c r="A503" s="65" t="s">
        <v>369</v>
      </c>
      <c r="B503" s="65" t="s">
        <v>369</v>
      </c>
      <c r="C503" s="66"/>
      <c r="D503" s="67"/>
      <c r="E503" s="68"/>
      <c r="F503" s="69"/>
      <c r="G503" s="66"/>
      <c r="H503" s="70"/>
      <c r="I503" s="71"/>
      <c r="J503" s="71"/>
      <c r="K503" s="36" t="s">
        <v>65</v>
      </c>
      <c r="L503" s="78">
        <v>503</v>
      </c>
      <c r="M503" s="78"/>
      <c r="N503" s="73"/>
      <c r="O503" s="80" t="s">
        <v>179</v>
      </c>
      <c r="P503" s="82">
        <v>44631.585682870369</v>
      </c>
      <c r="Q503" s="80" t="s">
        <v>585</v>
      </c>
      <c r="R503" s="80"/>
      <c r="S503" s="80"/>
      <c r="T503" s="85" t="s">
        <v>676</v>
      </c>
      <c r="U503" s="83" t="str">
        <f>HYPERLINK("https://pbs.twimg.com/media/FNkvYkFXEAI0uvh.jpg")</f>
        <v>https://pbs.twimg.com/media/FNkvYkFXEAI0uvh.jpg</v>
      </c>
      <c r="V503" s="83" t="str">
        <f>HYPERLINK("https://pbs.twimg.com/media/FNkvYkFXEAI0uvh.jpg")</f>
        <v>https://pbs.twimg.com/media/FNkvYkFXEAI0uvh.jpg</v>
      </c>
      <c r="W503" s="82">
        <v>44631.585682870369</v>
      </c>
      <c r="X503" s="88">
        <v>44631</v>
      </c>
      <c r="Y503" s="85" t="s">
        <v>1081</v>
      </c>
      <c r="Z503" s="83" t="str">
        <f>HYPERLINK("https://twitter.com/ubgse/status/1502284051134226440")</f>
        <v>https://twitter.com/ubgse/status/1502284051134226440</v>
      </c>
      <c r="AA503" s="80"/>
      <c r="AB503" s="80"/>
      <c r="AC503" s="85" t="s">
        <v>1532</v>
      </c>
      <c r="AD503" s="80"/>
      <c r="AE503" s="80" t="b">
        <v>0</v>
      </c>
      <c r="AF503" s="80">
        <v>3</v>
      </c>
      <c r="AG503" s="85" t="s">
        <v>1635</v>
      </c>
      <c r="AH503" s="80" t="b">
        <v>0</v>
      </c>
      <c r="AI503" s="80" t="s">
        <v>1642</v>
      </c>
      <c r="AJ503" s="80"/>
      <c r="AK503" s="85" t="s">
        <v>1635</v>
      </c>
      <c r="AL503" s="80" t="b">
        <v>0</v>
      </c>
      <c r="AM503" s="80">
        <v>0</v>
      </c>
      <c r="AN503" s="85" t="s">
        <v>1635</v>
      </c>
      <c r="AO503" s="85" t="s">
        <v>1680</v>
      </c>
      <c r="AP503" s="80" t="b">
        <v>0</v>
      </c>
      <c r="AQ503" s="85" t="s">
        <v>1532</v>
      </c>
      <c r="AR503" s="80" t="s">
        <v>179</v>
      </c>
      <c r="AS503" s="80">
        <v>0</v>
      </c>
      <c r="AT503" s="80">
        <v>0</v>
      </c>
      <c r="AU503" s="80"/>
      <c r="AV503" s="80"/>
      <c r="AW503" s="80"/>
      <c r="AX503" s="80"/>
      <c r="AY503" s="80"/>
      <c r="AZ503" s="80"/>
      <c r="BA503" s="80"/>
      <c r="BB503" s="80"/>
    </row>
    <row r="504" spans="1:54" x14ac:dyDescent="0.25">
      <c r="A504" s="65" t="s">
        <v>369</v>
      </c>
      <c r="B504" s="65" t="s">
        <v>369</v>
      </c>
      <c r="C504" s="66"/>
      <c r="D504" s="67"/>
      <c r="E504" s="68"/>
      <c r="F504" s="69"/>
      <c r="G504" s="66"/>
      <c r="H504" s="70"/>
      <c r="I504" s="71"/>
      <c r="J504" s="71"/>
      <c r="K504" s="36" t="s">
        <v>65</v>
      </c>
      <c r="L504" s="78">
        <v>504</v>
      </c>
      <c r="M504" s="78"/>
      <c r="N504" s="73"/>
      <c r="O504" s="80" t="s">
        <v>179</v>
      </c>
      <c r="P504" s="82">
        <v>44634.459328703706</v>
      </c>
      <c r="Q504" s="80" t="s">
        <v>586</v>
      </c>
      <c r="R504" s="83" t="str">
        <f>HYPERLINK("https://ed.buffalo.edu/magazine/issues/fall-2021/cyberbullying.html")</f>
        <v>https://ed.buffalo.edu/magazine/issues/fall-2021/cyberbullying.html</v>
      </c>
      <c r="S504" s="80" t="s">
        <v>632</v>
      </c>
      <c r="T504" s="85" t="s">
        <v>675</v>
      </c>
      <c r="U504" s="80"/>
      <c r="V504" s="83" t="str">
        <f>HYPERLINK("https://pbs.twimg.com/profile_images/1392496414165512193/3zKT5dYK_normal.jpg")</f>
        <v>https://pbs.twimg.com/profile_images/1392496414165512193/3zKT5dYK_normal.jpg</v>
      </c>
      <c r="W504" s="82">
        <v>44634.459328703706</v>
      </c>
      <c r="X504" s="88">
        <v>44634</v>
      </c>
      <c r="Y504" s="85" t="s">
        <v>1082</v>
      </c>
      <c r="Z504" s="83" t="str">
        <f>HYPERLINK("https://twitter.com/ubgse/status/1503325426730557440")</f>
        <v>https://twitter.com/ubgse/status/1503325426730557440</v>
      </c>
      <c r="AA504" s="80"/>
      <c r="AB504" s="80"/>
      <c r="AC504" s="85" t="s">
        <v>1533</v>
      </c>
      <c r="AD504" s="80"/>
      <c r="AE504" s="80" t="b">
        <v>0</v>
      </c>
      <c r="AF504" s="80">
        <v>0</v>
      </c>
      <c r="AG504" s="85" t="s">
        <v>1635</v>
      </c>
      <c r="AH504" s="80" t="b">
        <v>0</v>
      </c>
      <c r="AI504" s="80" t="s">
        <v>1642</v>
      </c>
      <c r="AJ504" s="80"/>
      <c r="AK504" s="85" t="s">
        <v>1635</v>
      </c>
      <c r="AL504" s="80" t="b">
        <v>0</v>
      </c>
      <c r="AM504" s="80">
        <v>0</v>
      </c>
      <c r="AN504" s="85" t="s">
        <v>1635</v>
      </c>
      <c r="AO504" s="85" t="s">
        <v>1680</v>
      </c>
      <c r="AP504" s="80" t="b">
        <v>0</v>
      </c>
      <c r="AQ504" s="85" t="s">
        <v>1533</v>
      </c>
      <c r="AR504" s="80" t="s">
        <v>179</v>
      </c>
      <c r="AS504" s="80">
        <v>0</v>
      </c>
      <c r="AT504" s="80">
        <v>0</v>
      </c>
      <c r="AU504" s="80"/>
      <c r="AV504" s="80"/>
      <c r="AW504" s="80"/>
      <c r="AX504" s="80"/>
      <c r="AY504" s="80"/>
      <c r="AZ504" s="80"/>
      <c r="BA504" s="80"/>
      <c r="BB504" s="80"/>
    </row>
    <row r="505" spans="1:54" x14ac:dyDescent="0.25">
      <c r="A505" s="65" t="s">
        <v>369</v>
      </c>
      <c r="B505" s="65" t="s">
        <v>368</v>
      </c>
      <c r="C505" s="66"/>
      <c r="D505" s="67"/>
      <c r="E505" s="68"/>
      <c r="F505" s="69"/>
      <c r="G505" s="66"/>
      <c r="H505" s="70"/>
      <c r="I505" s="71"/>
      <c r="J505" s="71"/>
      <c r="K505" s="36" t="s">
        <v>65</v>
      </c>
      <c r="L505" s="78">
        <v>505</v>
      </c>
      <c r="M505" s="78"/>
      <c r="N505" s="73"/>
      <c r="O505" s="80" t="s">
        <v>415</v>
      </c>
      <c r="P505" s="82">
        <v>44634.619363425925</v>
      </c>
      <c r="Q505" s="80" t="s">
        <v>587</v>
      </c>
      <c r="R505" s="83" t="str">
        <f>HYPERLINK("http://www.buffalo.edu/ubit/levelup")</f>
        <v>http://www.buffalo.edu/ubit/levelup</v>
      </c>
      <c r="S505" s="80" t="s">
        <v>632</v>
      </c>
      <c r="T505" s="85" t="s">
        <v>357</v>
      </c>
      <c r="U505" s="83" t="str">
        <f>HYPERLINK("https://pbs.twimg.com/media/FN0VfjcWQAUiaSG.jpg")</f>
        <v>https://pbs.twimg.com/media/FN0VfjcWQAUiaSG.jpg</v>
      </c>
      <c r="V505" s="83" t="str">
        <f>HYPERLINK("https://pbs.twimg.com/media/FN0VfjcWQAUiaSG.jpg")</f>
        <v>https://pbs.twimg.com/media/FN0VfjcWQAUiaSG.jpg</v>
      </c>
      <c r="W505" s="82">
        <v>44634.619363425925</v>
      </c>
      <c r="X505" s="88">
        <v>44634</v>
      </c>
      <c r="Y505" s="85" t="s">
        <v>1083</v>
      </c>
      <c r="Z505" s="83" t="str">
        <f>HYPERLINK("https://twitter.com/ubgse/status/1503383420524802051")</f>
        <v>https://twitter.com/ubgse/status/1503383420524802051</v>
      </c>
      <c r="AA505" s="80"/>
      <c r="AB505" s="80"/>
      <c r="AC505" s="85" t="s">
        <v>1534</v>
      </c>
      <c r="AD505" s="80"/>
      <c r="AE505" s="80" t="b">
        <v>0</v>
      </c>
      <c r="AF505" s="80">
        <v>0</v>
      </c>
      <c r="AG505" s="85" t="s">
        <v>1635</v>
      </c>
      <c r="AH505" s="80" t="b">
        <v>0</v>
      </c>
      <c r="AI505" s="80" t="s">
        <v>1642</v>
      </c>
      <c r="AJ505" s="80"/>
      <c r="AK505" s="85" t="s">
        <v>1635</v>
      </c>
      <c r="AL505" s="80" t="b">
        <v>0</v>
      </c>
      <c r="AM505" s="80">
        <v>1</v>
      </c>
      <c r="AN505" s="85" t="s">
        <v>1564</v>
      </c>
      <c r="AO505" s="85" t="s">
        <v>1672</v>
      </c>
      <c r="AP505" s="80" t="b">
        <v>0</v>
      </c>
      <c r="AQ505" s="85" t="s">
        <v>1564</v>
      </c>
      <c r="AR505" s="80" t="s">
        <v>179</v>
      </c>
      <c r="AS505" s="80">
        <v>0</v>
      </c>
      <c r="AT505" s="80">
        <v>0</v>
      </c>
      <c r="AU505" s="80"/>
      <c r="AV505" s="80"/>
      <c r="AW505" s="80"/>
      <c r="AX505" s="80"/>
      <c r="AY505" s="80"/>
      <c r="AZ505" s="80"/>
      <c r="BA505" s="80"/>
      <c r="BB505" s="80"/>
    </row>
    <row r="506" spans="1:54" x14ac:dyDescent="0.25">
      <c r="A506" s="65" t="s">
        <v>369</v>
      </c>
      <c r="B506" s="65" t="s">
        <v>357</v>
      </c>
      <c r="C506" s="66"/>
      <c r="D506" s="67"/>
      <c r="E506" s="68"/>
      <c r="F506" s="69"/>
      <c r="G506" s="66"/>
      <c r="H506" s="70"/>
      <c r="I506" s="71"/>
      <c r="J506" s="71"/>
      <c r="K506" s="36" t="s">
        <v>66</v>
      </c>
      <c r="L506" s="78">
        <v>506</v>
      </c>
      <c r="M506" s="78"/>
      <c r="N506" s="73"/>
      <c r="O506" s="80" t="s">
        <v>415</v>
      </c>
      <c r="P506" s="82">
        <v>44634.619444444441</v>
      </c>
      <c r="Q506" s="80" t="s">
        <v>574</v>
      </c>
      <c r="R506" s="80"/>
      <c r="S506" s="80"/>
      <c r="T506" s="85" t="s">
        <v>718</v>
      </c>
      <c r="U506" s="83" t="str">
        <f>HYPERLINK("https://pbs.twimg.com/media/FN0FrlLWQAQYHcF.jpg")</f>
        <v>https://pbs.twimg.com/media/FN0FrlLWQAQYHcF.jpg</v>
      </c>
      <c r="V506" s="83" t="str">
        <f>HYPERLINK("https://pbs.twimg.com/media/FN0FrlLWQAQYHcF.jpg")</f>
        <v>https://pbs.twimg.com/media/FN0FrlLWQAQYHcF.jpg</v>
      </c>
      <c r="W506" s="82">
        <v>44634.619444444441</v>
      </c>
      <c r="X506" s="88">
        <v>44634</v>
      </c>
      <c r="Y506" s="85" t="s">
        <v>1084</v>
      </c>
      <c r="Z506" s="83" t="str">
        <f>HYPERLINK("https://twitter.com/ubgse/status/1503383450782507010")</f>
        <v>https://twitter.com/ubgse/status/1503383450782507010</v>
      </c>
      <c r="AA506" s="80"/>
      <c r="AB506" s="80"/>
      <c r="AC506" s="85" t="s">
        <v>1535</v>
      </c>
      <c r="AD506" s="80"/>
      <c r="AE506" s="80" t="b">
        <v>0</v>
      </c>
      <c r="AF506" s="80">
        <v>0</v>
      </c>
      <c r="AG506" s="85" t="s">
        <v>1635</v>
      </c>
      <c r="AH506" s="80" t="b">
        <v>0</v>
      </c>
      <c r="AI506" s="80" t="s">
        <v>1642</v>
      </c>
      <c r="AJ506" s="80"/>
      <c r="AK506" s="85" t="s">
        <v>1635</v>
      </c>
      <c r="AL506" s="80" t="b">
        <v>0</v>
      </c>
      <c r="AM506" s="80">
        <v>6</v>
      </c>
      <c r="AN506" s="85" t="s">
        <v>1629</v>
      </c>
      <c r="AO506" s="85" t="s">
        <v>1672</v>
      </c>
      <c r="AP506" s="80" t="b">
        <v>0</v>
      </c>
      <c r="AQ506" s="85" t="s">
        <v>1629</v>
      </c>
      <c r="AR506" s="80" t="s">
        <v>179</v>
      </c>
      <c r="AS506" s="80">
        <v>0</v>
      </c>
      <c r="AT506" s="80">
        <v>0</v>
      </c>
      <c r="AU506" s="80"/>
      <c r="AV506" s="80"/>
      <c r="AW506" s="80"/>
      <c r="AX506" s="80"/>
      <c r="AY506" s="80"/>
      <c r="AZ506" s="80"/>
      <c r="BA506" s="80"/>
      <c r="BB506" s="80"/>
    </row>
    <row r="507" spans="1:54" x14ac:dyDescent="0.25">
      <c r="A507" s="65" t="s">
        <v>357</v>
      </c>
      <c r="B507" s="65" t="s">
        <v>402</v>
      </c>
      <c r="C507" s="66"/>
      <c r="D507" s="67"/>
      <c r="E507" s="68"/>
      <c r="F507" s="69"/>
      <c r="G507" s="66"/>
      <c r="H507" s="70"/>
      <c r="I507" s="71"/>
      <c r="J507" s="71"/>
      <c r="K507" s="36" t="s">
        <v>65</v>
      </c>
      <c r="L507" s="78">
        <v>507</v>
      </c>
      <c r="M507" s="78"/>
      <c r="N507" s="73"/>
      <c r="O507" s="80" t="s">
        <v>414</v>
      </c>
      <c r="P507" s="82">
        <v>44632.762962962966</v>
      </c>
      <c r="Q507" s="80" t="s">
        <v>500</v>
      </c>
      <c r="R507" s="80"/>
      <c r="S507" s="80"/>
      <c r="T507" s="85" t="s">
        <v>697</v>
      </c>
      <c r="U507" s="80"/>
      <c r="V507" s="83" t="str">
        <f>HYPERLINK("https://pbs.twimg.com/profile_images/991327943317213185/Hgte82Vq_normal.jpg")</f>
        <v>https://pbs.twimg.com/profile_images/991327943317213185/Hgte82Vq_normal.jpg</v>
      </c>
      <c r="W507" s="82">
        <v>44632.762962962966</v>
      </c>
      <c r="X507" s="88">
        <v>44632</v>
      </c>
      <c r="Y507" s="85" t="s">
        <v>1085</v>
      </c>
      <c r="Z507" s="83" t="str">
        <f>HYPERLINK("https://twitter.com/ubuffalo/status/1502710681312940036")</f>
        <v>https://twitter.com/ubuffalo/status/1502710681312940036</v>
      </c>
      <c r="AA507" s="80"/>
      <c r="AB507" s="80"/>
      <c r="AC507" s="85" t="s">
        <v>1536</v>
      </c>
      <c r="AD507" s="80"/>
      <c r="AE507" s="80" t="b">
        <v>0</v>
      </c>
      <c r="AF507" s="80">
        <v>0</v>
      </c>
      <c r="AG507" s="85" t="s">
        <v>1635</v>
      </c>
      <c r="AH507" s="80" t="b">
        <v>0</v>
      </c>
      <c r="AI507" s="80" t="s">
        <v>1642</v>
      </c>
      <c r="AJ507" s="80"/>
      <c r="AK507" s="85" t="s">
        <v>1635</v>
      </c>
      <c r="AL507" s="80" t="b">
        <v>0</v>
      </c>
      <c r="AM507" s="80">
        <v>7</v>
      </c>
      <c r="AN507" s="85" t="s">
        <v>1537</v>
      </c>
      <c r="AO507" s="85" t="s">
        <v>1672</v>
      </c>
      <c r="AP507" s="80" t="b">
        <v>0</v>
      </c>
      <c r="AQ507" s="85" t="s">
        <v>1537</v>
      </c>
      <c r="AR507" s="80" t="s">
        <v>179</v>
      </c>
      <c r="AS507" s="80">
        <v>0</v>
      </c>
      <c r="AT507" s="80">
        <v>0</v>
      </c>
      <c r="AU507" s="80"/>
      <c r="AV507" s="80"/>
      <c r="AW507" s="80"/>
      <c r="AX507" s="80"/>
      <c r="AY507" s="80"/>
      <c r="AZ507" s="80"/>
      <c r="BA507" s="80"/>
      <c r="BB507" s="80"/>
    </row>
    <row r="508" spans="1:54" x14ac:dyDescent="0.25">
      <c r="A508" s="65" t="s">
        <v>372</v>
      </c>
      <c r="B508" s="65" t="s">
        <v>402</v>
      </c>
      <c r="C508" s="66"/>
      <c r="D508" s="67"/>
      <c r="E508" s="68"/>
      <c r="F508" s="69"/>
      <c r="G508" s="66"/>
      <c r="H508" s="70"/>
      <c r="I508" s="71"/>
      <c r="J508" s="71"/>
      <c r="K508" s="36" t="s">
        <v>65</v>
      </c>
      <c r="L508" s="78">
        <v>508</v>
      </c>
      <c r="M508" s="78"/>
      <c r="N508" s="73"/>
      <c r="O508" s="80" t="s">
        <v>416</v>
      </c>
      <c r="P508" s="82">
        <v>44632.757986111108</v>
      </c>
      <c r="Q508" s="80" t="s">
        <v>500</v>
      </c>
      <c r="R508" s="80"/>
      <c r="S508" s="80"/>
      <c r="T508" s="85" t="s">
        <v>697</v>
      </c>
      <c r="U508" s="80"/>
      <c r="V508" s="83" t="str">
        <f>HYPERLINK("https://pbs.twimg.com/profile_images/488716033331441665/tR5kC_3P_normal.jpeg")</f>
        <v>https://pbs.twimg.com/profile_images/488716033331441665/tR5kC_3P_normal.jpeg</v>
      </c>
      <c r="W508" s="82">
        <v>44632.757986111108</v>
      </c>
      <c r="X508" s="88">
        <v>44632</v>
      </c>
      <c r="Y508" s="85" t="s">
        <v>1086</v>
      </c>
      <c r="Z508" s="83" t="str">
        <f>HYPERLINK("https://twitter.com/ubcommunity/status/1502708881163702279")</f>
        <v>https://twitter.com/ubcommunity/status/1502708881163702279</v>
      </c>
      <c r="AA508" s="80"/>
      <c r="AB508" s="80"/>
      <c r="AC508" s="85" t="s">
        <v>1537</v>
      </c>
      <c r="AD508" s="80"/>
      <c r="AE508" s="80" t="b">
        <v>0</v>
      </c>
      <c r="AF508" s="80">
        <v>41</v>
      </c>
      <c r="AG508" s="85" t="s">
        <v>1635</v>
      </c>
      <c r="AH508" s="80" t="b">
        <v>0</v>
      </c>
      <c r="AI508" s="80" t="s">
        <v>1642</v>
      </c>
      <c r="AJ508" s="80"/>
      <c r="AK508" s="85" t="s">
        <v>1635</v>
      </c>
      <c r="AL508" s="80" t="b">
        <v>0</v>
      </c>
      <c r="AM508" s="80">
        <v>7</v>
      </c>
      <c r="AN508" s="85" t="s">
        <v>1635</v>
      </c>
      <c r="AO508" s="85" t="s">
        <v>1671</v>
      </c>
      <c r="AP508" s="80" t="b">
        <v>0</v>
      </c>
      <c r="AQ508" s="85" t="s">
        <v>1537</v>
      </c>
      <c r="AR508" s="80" t="s">
        <v>179</v>
      </c>
      <c r="AS508" s="80">
        <v>0</v>
      </c>
      <c r="AT508" s="80">
        <v>0</v>
      </c>
      <c r="AU508" s="80"/>
      <c r="AV508" s="80"/>
      <c r="AW508" s="80"/>
      <c r="AX508" s="80"/>
      <c r="AY508" s="80"/>
      <c r="AZ508" s="80"/>
      <c r="BA508" s="80"/>
      <c r="BB508" s="80"/>
    </row>
    <row r="509" spans="1:54" x14ac:dyDescent="0.25">
      <c r="A509" s="65" t="s">
        <v>357</v>
      </c>
      <c r="B509" s="65" t="s">
        <v>405</v>
      </c>
      <c r="C509" s="66"/>
      <c r="D509" s="67"/>
      <c r="E509" s="68"/>
      <c r="F509" s="69"/>
      <c r="G509" s="66"/>
      <c r="H509" s="70"/>
      <c r="I509" s="71"/>
      <c r="J509" s="71"/>
      <c r="K509" s="36" t="s">
        <v>65</v>
      </c>
      <c r="L509" s="78">
        <v>509</v>
      </c>
      <c r="M509" s="78"/>
      <c r="N509" s="73"/>
      <c r="O509" s="80" t="s">
        <v>414</v>
      </c>
      <c r="P509" s="82">
        <v>44632.762962962966</v>
      </c>
      <c r="Q509" s="80" t="s">
        <v>500</v>
      </c>
      <c r="R509" s="80"/>
      <c r="S509" s="80"/>
      <c r="T509" s="85" t="s">
        <v>697</v>
      </c>
      <c r="U509" s="80"/>
      <c r="V509" s="83" t="str">
        <f>HYPERLINK("https://pbs.twimg.com/profile_images/991327943317213185/Hgte82Vq_normal.jpg")</f>
        <v>https://pbs.twimg.com/profile_images/991327943317213185/Hgte82Vq_normal.jpg</v>
      </c>
      <c r="W509" s="82">
        <v>44632.762962962966</v>
      </c>
      <c r="X509" s="88">
        <v>44632</v>
      </c>
      <c r="Y509" s="85" t="s">
        <v>1085</v>
      </c>
      <c r="Z509" s="83" t="str">
        <f>HYPERLINK("https://twitter.com/ubuffalo/status/1502710681312940036")</f>
        <v>https://twitter.com/ubuffalo/status/1502710681312940036</v>
      </c>
      <c r="AA509" s="80"/>
      <c r="AB509" s="80"/>
      <c r="AC509" s="85" t="s">
        <v>1536</v>
      </c>
      <c r="AD509" s="80"/>
      <c r="AE509" s="80" t="b">
        <v>0</v>
      </c>
      <c r="AF509" s="80">
        <v>0</v>
      </c>
      <c r="AG509" s="85" t="s">
        <v>1635</v>
      </c>
      <c r="AH509" s="80" t="b">
        <v>0</v>
      </c>
      <c r="AI509" s="80" t="s">
        <v>1642</v>
      </c>
      <c r="AJ509" s="80"/>
      <c r="AK509" s="85" t="s">
        <v>1635</v>
      </c>
      <c r="AL509" s="80" t="b">
        <v>0</v>
      </c>
      <c r="AM509" s="80">
        <v>7</v>
      </c>
      <c r="AN509" s="85" t="s">
        <v>1537</v>
      </c>
      <c r="AO509" s="85" t="s">
        <v>1672</v>
      </c>
      <c r="AP509" s="80" t="b">
        <v>0</v>
      </c>
      <c r="AQ509" s="85" t="s">
        <v>1537</v>
      </c>
      <c r="AR509" s="80" t="s">
        <v>179</v>
      </c>
      <c r="AS509" s="80">
        <v>0</v>
      </c>
      <c r="AT509" s="80">
        <v>0</v>
      </c>
      <c r="AU509" s="80"/>
      <c r="AV509" s="80"/>
      <c r="AW509" s="80"/>
      <c r="AX509" s="80"/>
      <c r="AY509" s="80"/>
      <c r="AZ509" s="80"/>
      <c r="BA509" s="80"/>
      <c r="BB509" s="80"/>
    </row>
    <row r="510" spans="1:54" x14ac:dyDescent="0.25">
      <c r="A510" s="65" t="s">
        <v>372</v>
      </c>
      <c r="B510" s="65" t="s">
        <v>405</v>
      </c>
      <c r="C510" s="66"/>
      <c r="D510" s="67"/>
      <c r="E510" s="68"/>
      <c r="F510" s="69"/>
      <c r="G510" s="66"/>
      <c r="H510" s="70"/>
      <c r="I510" s="71"/>
      <c r="J510" s="71"/>
      <c r="K510" s="36" t="s">
        <v>65</v>
      </c>
      <c r="L510" s="78">
        <v>510</v>
      </c>
      <c r="M510" s="78"/>
      <c r="N510" s="73"/>
      <c r="O510" s="80" t="s">
        <v>416</v>
      </c>
      <c r="P510" s="82">
        <v>44632.757986111108</v>
      </c>
      <c r="Q510" s="80" t="s">
        <v>500</v>
      </c>
      <c r="R510" s="80"/>
      <c r="S510" s="80"/>
      <c r="T510" s="85" t="s">
        <v>697</v>
      </c>
      <c r="U510" s="80"/>
      <c r="V510" s="83" t="str">
        <f>HYPERLINK("https://pbs.twimg.com/profile_images/488716033331441665/tR5kC_3P_normal.jpeg")</f>
        <v>https://pbs.twimg.com/profile_images/488716033331441665/tR5kC_3P_normal.jpeg</v>
      </c>
      <c r="W510" s="82">
        <v>44632.757986111108</v>
      </c>
      <c r="X510" s="88">
        <v>44632</v>
      </c>
      <c r="Y510" s="85" t="s">
        <v>1086</v>
      </c>
      <c r="Z510" s="83" t="str">
        <f>HYPERLINK("https://twitter.com/ubcommunity/status/1502708881163702279")</f>
        <v>https://twitter.com/ubcommunity/status/1502708881163702279</v>
      </c>
      <c r="AA510" s="80"/>
      <c r="AB510" s="80"/>
      <c r="AC510" s="85" t="s">
        <v>1537</v>
      </c>
      <c r="AD510" s="80"/>
      <c r="AE510" s="80" t="b">
        <v>0</v>
      </c>
      <c r="AF510" s="80">
        <v>41</v>
      </c>
      <c r="AG510" s="85" t="s">
        <v>1635</v>
      </c>
      <c r="AH510" s="80" t="b">
        <v>0</v>
      </c>
      <c r="AI510" s="80" t="s">
        <v>1642</v>
      </c>
      <c r="AJ510" s="80"/>
      <c r="AK510" s="85" t="s">
        <v>1635</v>
      </c>
      <c r="AL510" s="80" t="b">
        <v>0</v>
      </c>
      <c r="AM510" s="80">
        <v>7</v>
      </c>
      <c r="AN510" s="85" t="s">
        <v>1635</v>
      </c>
      <c r="AO510" s="85" t="s">
        <v>1671</v>
      </c>
      <c r="AP510" s="80" t="b">
        <v>0</v>
      </c>
      <c r="AQ510" s="85" t="s">
        <v>1537</v>
      </c>
      <c r="AR510" s="80" t="s">
        <v>179</v>
      </c>
      <c r="AS510" s="80">
        <v>0</v>
      </c>
      <c r="AT510" s="80">
        <v>0</v>
      </c>
      <c r="AU510" s="80"/>
      <c r="AV510" s="80"/>
      <c r="AW510" s="80"/>
      <c r="AX510" s="80"/>
      <c r="AY510" s="80"/>
      <c r="AZ510" s="80"/>
      <c r="BA510" s="80"/>
      <c r="BB510" s="80"/>
    </row>
    <row r="511" spans="1:54" x14ac:dyDescent="0.25">
      <c r="A511" s="65" t="s">
        <v>372</v>
      </c>
      <c r="B511" s="65" t="s">
        <v>405</v>
      </c>
      <c r="C511" s="66"/>
      <c r="D511" s="67"/>
      <c r="E511" s="68"/>
      <c r="F511" s="69"/>
      <c r="G511" s="66"/>
      <c r="H511" s="70"/>
      <c r="I511" s="71"/>
      <c r="J511" s="71"/>
      <c r="K511" s="36" t="s">
        <v>65</v>
      </c>
      <c r="L511" s="78">
        <v>511</v>
      </c>
      <c r="M511" s="78"/>
      <c r="N511" s="73"/>
      <c r="O511" s="80" t="s">
        <v>416</v>
      </c>
      <c r="P511" s="82">
        <v>44634.022372685184</v>
      </c>
      <c r="Q511" s="80" t="s">
        <v>527</v>
      </c>
      <c r="R511" s="80"/>
      <c r="S511" s="80"/>
      <c r="T511" s="85" t="s">
        <v>702</v>
      </c>
      <c r="U511" s="83" t="str">
        <f>HYPERLINK("https://pbs.twimg.com/media/FNxSeqcaAAAZbPi.jpg")</f>
        <v>https://pbs.twimg.com/media/FNxSeqcaAAAZbPi.jpg</v>
      </c>
      <c r="V511" s="83" t="str">
        <f>HYPERLINK("https://pbs.twimg.com/media/FNxSeqcaAAAZbPi.jpg")</f>
        <v>https://pbs.twimg.com/media/FNxSeqcaAAAZbPi.jpg</v>
      </c>
      <c r="W511" s="82">
        <v>44634.022372685184</v>
      </c>
      <c r="X511" s="88">
        <v>44634</v>
      </c>
      <c r="Y511" s="85" t="s">
        <v>1087</v>
      </c>
      <c r="Z511" s="83" t="str">
        <f>HYPERLINK("https://twitter.com/ubcommunity/status/1503167077263286275")</f>
        <v>https://twitter.com/ubcommunity/status/1503167077263286275</v>
      </c>
      <c r="AA511" s="80"/>
      <c r="AB511" s="80"/>
      <c r="AC511" s="85" t="s">
        <v>1538</v>
      </c>
      <c r="AD511" s="80"/>
      <c r="AE511" s="80" t="b">
        <v>0</v>
      </c>
      <c r="AF511" s="80">
        <v>38</v>
      </c>
      <c r="AG511" s="85" t="s">
        <v>1635</v>
      </c>
      <c r="AH511" s="80" t="b">
        <v>0</v>
      </c>
      <c r="AI511" s="80" t="s">
        <v>1642</v>
      </c>
      <c r="AJ511" s="80"/>
      <c r="AK511" s="85" t="s">
        <v>1635</v>
      </c>
      <c r="AL511" s="80" t="b">
        <v>0</v>
      </c>
      <c r="AM511" s="80">
        <v>3</v>
      </c>
      <c r="AN511" s="85" t="s">
        <v>1635</v>
      </c>
      <c r="AO511" s="85" t="s">
        <v>1671</v>
      </c>
      <c r="AP511" s="80" t="b">
        <v>0</v>
      </c>
      <c r="AQ511" s="85" t="s">
        <v>1538</v>
      </c>
      <c r="AR511" s="80" t="s">
        <v>179</v>
      </c>
      <c r="AS511" s="80">
        <v>0</v>
      </c>
      <c r="AT511" s="80">
        <v>0</v>
      </c>
      <c r="AU511" s="80"/>
      <c r="AV511" s="80"/>
      <c r="AW511" s="80"/>
      <c r="AX511" s="80"/>
      <c r="AY511" s="80"/>
      <c r="AZ511" s="80"/>
      <c r="BA511" s="80"/>
      <c r="BB511" s="80"/>
    </row>
    <row r="512" spans="1:54" x14ac:dyDescent="0.25">
      <c r="A512" s="65" t="s">
        <v>357</v>
      </c>
      <c r="B512" s="65" t="s">
        <v>372</v>
      </c>
      <c r="C512" s="66"/>
      <c r="D512" s="67"/>
      <c r="E512" s="68"/>
      <c r="F512" s="69"/>
      <c r="G512" s="66"/>
      <c r="H512" s="70"/>
      <c r="I512" s="71"/>
      <c r="J512" s="71"/>
      <c r="K512" s="36" t="s">
        <v>65</v>
      </c>
      <c r="L512" s="78">
        <v>512</v>
      </c>
      <c r="M512" s="78"/>
      <c r="N512" s="73"/>
      <c r="O512" s="80" t="s">
        <v>415</v>
      </c>
      <c r="P512" s="82">
        <v>44632.762962962966</v>
      </c>
      <c r="Q512" s="80" t="s">
        <v>500</v>
      </c>
      <c r="R512" s="80"/>
      <c r="S512" s="80"/>
      <c r="T512" s="85" t="s">
        <v>697</v>
      </c>
      <c r="U512" s="80"/>
      <c r="V512" s="83" t="str">
        <f>HYPERLINK("https://pbs.twimg.com/profile_images/991327943317213185/Hgte82Vq_normal.jpg")</f>
        <v>https://pbs.twimg.com/profile_images/991327943317213185/Hgte82Vq_normal.jpg</v>
      </c>
      <c r="W512" s="82">
        <v>44632.762962962966</v>
      </c>
      <c r="X512" s="88">
        <v>44632</v>
      </c>
      <c r="Y512" s="85" t="s">
        <v>1085</v>
      </c>
      <c r="Z512" s="83" t="str">
        <f>HYPERLINK("https://twitter.com/ubuffalo/status/1502710681312940036")</f>
        <v>https://twitter.com/ubuffalo/status/1502710681312940036</v>
      </c>
      <c r="AA512" s="80"/>
      <c r="AB512" s="80"/>
      <c r="AC512" s="85" t="s">
        <v>1536</v>
      </c>
      <c r="AD512" s="80"/>
      <c r="AE512" s="80" t="b">
        <v>0</v>
      </c>
      <c r="AF512" s="80">
        <v>0</v>
      </c>
      <c r="AG512" s="85" t="s">
        <v>1635</v>
      </c>
      <c r="AH512" s="80" t="b">
        <v>0</v>
      </c>
      <c r="AI512" s="80" t="s">
        <v>1642</v>
      </c>
      <c r="AJ512" s="80"/>
      <c r="AK512" s="85" t="s">
        <v>1635</v>
      </c>
      <c r="AL512" s="80" t="b">
        <v>0</v>
      </c>
      <c r="AM512" s="80">
        <v>7</v>
      </c>
      <c r="AN512" s="85" t="s">
        <v>1537</v>
      </c>
      <c r="AO512" s="85" t="s">
        <v>1672</v>
      </c>
      <c r="AP512" s="80" t="b">
        <v>0</v>
      </c>
      <c r="AQ512" s="85" t="s">
        <v>1537</v>
      </c>
      <c r="AR512" s="80" t="s">
        <v>179</v>
      </c>
      <c r="AS512" s="80">
        <v>0</v>
      </c>
      <c r="AT512" s="80">
        <v>0</v>
      </c>
      <c r="AU512" s="80"/>
      <c r="AV512" s="80"/>
      <c r="AW512" s="80"/>
      <c r="AX512" s="80"/>
      <c r="AY512" s="80"/>
      <c r="AZ512" s="80"/>
      <c r="BA512" s="80"/>
      <c r="BB512" s="80"/>
    </row>
    <row r="513" spans="1:54" x14ac:dyDescent="0.25">
      <c r="A513" s="65" t="s">
        <v>372</v>
      </c>
      <c r="B513" s="65" t="s">
        <v>385</v>
      </c>
      <c r="C513" s="66"/>
      <c r="D513" s="67"/>
      <c r="E513" s="68"/>
      <c r="F513" s="69"/>
      <c r="G513" s="66"/>
      <c r="H513" s="70"/>
      <c r="I513" s="71"/>
      <c r="J513" s="71"/>
      <c r="K513" s="36" t="s">
        <v>65</v>
      </c>
      <c r="L513" s="78">
        <v>513</v>
      </c>
      <c r="M513" s="78"/>
      <c r="N513" s="73"/>
      <c r="O513" s="80" t="s">
        <v>416</v>
      </c>
      <c r="P513" s="82">
        <v>44631.874386574076</v>
      </c>
      <c r="Q513" s="80" t="s">
        <v>588</v>
      </c>
      <c r="R513" s="83" t="str">
        <f>HYPERLINK("https://twitter.com/UBwomenshoops/status/1502367244831150087")</f>
        <v>https://twitter.com/UBwomenshoops/status/1502367244831150087</v>
      </c>
      <c r="S513" s="80" t="s">
        <v>633</v>
      </c>
      <c r="T513" s="85" t="s">
        <v>695</v>
      </c>
      <c r="U513" s="80"/>
      <c r="V513" s="83" t="str">
        <f>HYPERLINK("https://pbs.twimg.com/profile_images/488716033331441665/tR5kC_3P_normal.jpeg")</f>
        <v>https://pbs.twimg.com/profile_images/488716033331441665/tR5kC_3P_normal.jpeg</v>
      </c>
      <c r="W513" s="82">
        <v>44631.874386574076</v>
      </c>
      <c r="X513" s="88">
        <v>44631</v>
      </c>
      <c r="Y513" s="85" t="s">
        <v>1088</v>
      </c>
      <c r="Z513" s="83" t="str">
        <f>HYPERLINK("https://twitter.com/ubcommunity/status/1502388672708100099")</f>
        <v>https://twitter.com/ubcommunity/status/1502388672708100099</v>
      </c>
      <c r="AA513" s="80"/>
      <c r="AB513" s="80"/>
      <c r="AC513" s="85" t="s">
        <v>1539</v>
      </c>
      <c r="AD513" s="80"/>
      <c r="AE513" s="80" t="b">
        <v>0</v>
      </c>
      <c r="AF513" s="80">
        <v>7</v>
      </c>
      <c r="AG513" s="85" t="s">
        <v>1635</v>
      </c>
      <c r="AH513" s="80" t="b">
        <v>1</v>
      </c>
      <c r="AI513" s="80" t="s">
        <v>1642</v>
      </c>
      <c r="AJ513" s="80"/>
      <c r="AK513" s="85" t="s">
        <v>1653</v>
      </c>
      <c r="AL513" s="80" t="b">
        <v>0</v>
      </c>
      <c r="AM513" s="80">
        <v>1</v>
      </c>
      <c r="AN513" s="85" t="s">
        <v>1635</v>
      </c>
      <c r="AO513" s="85" t="s">
        <v>1672</v>
      </c>
      <c r="AP513" s="80" t="b">
        <v>0</v>
      </c>
      <c r="AQ513" s="85" t="s">
        <v>1539</v>
      </c>
      <c r="AR513" s="80" t="s">
        <v>179</v>
      </c>
      <c r="AS513" s="80">
        <v>0</v>
      </c>
      <c r="AT513" s="80">
        <v>0</v>
      </c>
      <c r="AU513" s="80"/>
      <c r="AV513" s="80"/>
      <c r="AW513" s="80"/>
      <c r="AX513" s="80"/>
      <c r="AY513" s="80"/>
      <c r="AZ513" s="80"/>
      <c r="BA513" s="80"/>
      <c r="BB513" s="80"/>
    </row>
    <row r="514" spans="1:54" x14ac:dyDescent="0.25">
      <c r="A514" s="65" t="s">
        <v>372</v>
      </c>
      <c r="B514" s="65" t="s">
        <v>385</v>
      </c>
      <c r="C514" s="66"/>
      <c r="D514" s="67"/>
      <c r="E514" s="68"/>
      <c r="F514" s="69"/>
      <c r="G514" s="66"/>
      <c r="H514" s="70"/>
      <c r="I514" s="71"/>
      <c r="J514" s="71"/>
      <c r="K514" s="36" t="s">
        <v>65</v>
      </c>
      <c r="L514" s="78">
        <v>514</v>
      </c>
      <c r="M514" s="78"/>
      <c r="N514" s="73"/>
      <c r="O514" s="80" t="s">
        <v>416</v>
      </c>
      <c r="P514" s="82">
        <v>44632.757986111108</v>
      </c>
      <c r="Q514" s="80" t="s">
        <v>500</v>
      </c>
      <c r="R514" s="80"/>
      <c r="S514" s="80"/>
      <c r="T514" s="85" t="s">
        <v>697</v>
      </c>
      <c r="U514" s="80"/>
      <c r="V514" s="83" t="str">
        <f>HYPERLINK("https://pbs.twimg.com/profile_images/488716033331441665/tR5kC_3P_normal.jpeg")</f>
        <v>https://pbs.twimg.com/profile_images/488716033331441665/tR5kC_3P_normal.jpeg</v>
      </c>
      <c r="W514" s="82">
        <v>44632.757986111108</v>
      </c>
      <c r="X514" s="88">
        <v>44632</v>
      </c>
      <c r="Y514" s="85" t="s">
        <v>1086</v>
      </c>
      <c r="Z514" s="83" t="str">
        <f>HYPERLINK("https://twitter.com/ubcommunity/status/1502708881163702279")</f>
        <v>https://twitter.com/ubcommunity/status/1502708881163702279</v>
      </c>
      <c r="AA514" s="80"/>
      <c r="AB514" s="80"/>
      <c r="AC514" s="85" t="s">
        <v>1537</v>
      </c>
      <c r="AD514" s="80"/>
      <c r="AE514" s="80" t="b">
        <v>0</v>
      </c>
      <c r="AF514" s="80">
        <v>41</v>
      </c>
      <c r="AG514" s="85" t="s">
        <v>1635</v>
      </c>
      <c r="AH514" s="80" t="b">
        <v>0</v>
      </c>
      <c r="AI514" s="80" t="s">
        <v>1642</v>
      </c>
      <c r="AJ514" s="80"/>
      <c r="AK514" s="85" t="s">
        <v>1635</v>
      </c>
      <c r="AL514" s="80" t="b">
        <v>0</v>
      </c>
      <c r="AM514" s="80">
        <v>7</v>
      </c>
      <c r="AN514" s="85" t="s">
        <v>1635</v>
      </c>
      <c r="AO514" s="85" t="s">
        <v>1671</v>
      </c>
      <c r="AP514" s="80" t="b">
        <v>0</v>
      </c>
      <c r="AQ514" s="85" t="s">
        <v>1537</v>
      </c>
      <c r="AR514" s="80" t="s">
        <v>179</v>
      </c>
      <c r="AS514" s="80">
        <v>0</v>
      </c>
      <c r="AT514" s="80">
        <v>0</v>
      </c>
      <c r="AU514" s="80"/>
      <c r="AV514" s="80"/>
      <c r="AW514" s="80"/>
      <c r="AX514" s="80"/>
      <c r="AY514" s="80"/>
      <c r="AZ514" s="80"/>
      <c r="BA514" s="80"/>
      <c r="BB514" s="80"/>
    </row>
    <row r="515" spans="1:54" x14ac:dyDescent="0.25">
      <c r="A515" s="65" t="s">
        <v>372</v>
      </c>
      <c r="B515" s="65" t="s">
        <v>385</v>
      </c>
      <c r="C515" s="66"/>
      <c r="D515" s="67"/>
      <c r="E515" s="68"/>
      <c r="F515" s="69"/>
      <c r="G515" s="66"/>
      <c r="H515" s="70"/>
      <c r="I515" s="71"/>
      <c r="J515" s="71"/>
      <c r="K515" s="36" t="s">
        <v>65</v>
      </c>
      <c r="L515" s="78">
        <v>515</v>
      </c>
      <c r="M515" s="78"/>
      <c r="N515" s="73"/>
      <c r="O515" s="80" t="s">
        <v>416</v>
      </c>
      <c r="P515" s="82">
        <v>44634.022372685184</v>
      </c>
      <c r="Q515" s="80" t="s">
        <v>527</v>
      </c>
      <c r="R515" s="80"/>
      <c r="S515" s="80"/>
      <c r="T515" s="85" t="s">
        <v>702</v>
      </c>
      <c r="U515" s="83" t="str">
        <f>HYPERLINK("https://pbs.twimg.com/media/FNxSeqcaAAAZbPi.jpg")</f>
        <v>https://pbs.twimg.com/media/FNxSeqcaAAAZbPi.jpg</v>
      </c>
      <c r="V515" s="83" t="str">
        <f>HYPERLINK("https://pbs.twimg.com/media/FNxSeqcaAAAZbPi.jpg")</f>
        <v>https://pbs.twimg.com/media/FNxSeqcaAAAZbPi.jpg</v>
      </c>
      <c r="W515" s="82">
        <v>44634.022372685184</v>
      </c>
      <c r="X515" s="88">
        <v>44634</v>
      </c>
      <c r="Y515" s="85" t="s">
        <v>1087</v>
      </c>
      <c r="Z515" s="83" t="str">
        <f>HYPERLINK("https://twitter.com/ubcommunity/status/1503167077263286275")</f>
        <v>https://twitter.com/ubcommunity/status/1503167077263286275</v>
      </c>
      <c r="AA515" s="80"/>
      <c r="AB515" s="80"/>
      <c r="AC515" s="85" t="s">
        <v>1538</v>
      </c>
      <c r="AD515" s="80"/>
      <c r="AE515" s="80" t="b">
        <v>0</v>
      </c>
      <c r="AF515" s="80">
        <v>38</v>
      </c>
      <c r="AG515" s="85" t="s">
        <v>1635</v>
      </c>
      <c r="AH515" s="80" t="b">
        <v>0</v>
      </c>
      <c r="AI515" s="80" t="s">
        <v>1642</v>
      </c>
      <c r="AJ515" s="80"/>
      <c r="AK515" s="85" t="s">
        <v>1635</v>
      </c>
      <c r="AL515" s="80" t="b">
        <v>0</v>
      </c>
      <c r="AM515" s="80">
        <v>3</v>
      </c>
      <c r="AN515" s="85" t="s">
        <v>1635</v>
      </c>
      <c r="AO515" s="85" t="s">
        <v>1671</v>
      </c>
      <c r="AP515" s="80" t="b">
        <v>0</v>
      </c>
      <c r="AQ515" s="85" t="s">
        <v>1538</v>
      </c>
      <c r="AR515" s="80" t="s">
        <v>179</v>
      </c>
      <c r="AS515" s="80">
        <v>0</v>
      </c>
      <c r="AT515" s="80">
        <v>0</v>
      </c>
      <c r="AU515" s="80"/>
      <c r="AV515" s="80"/>
      <c r="AW515" s="80"/>
      <c r="AX515" s="80"/>
      <c r="AY515" s="80"/>
      <c r="AZ515" s="80"/>
      <c r="BA515" s="80"/>
      <c r="BB515" s="80"/>
    </row>
    <row r="516" spans="1:54" x14ac:dyDescent="0.25">
      <c r="A516" s="65" t="s">
        <v>372</v>
      </c>
      <c r="B516" s="65" t="s">
        <v>372</v>
      </c>
      <c r="C516" s="66"/>
      <c r="D516" s="67"/>
      <c r="E516" s="68"/>
      <c r="F516" s="69"/>
      <c r="G516" s="66"/>
      <c r="H516" s="70"/>
      <c r="I516" s="71"/>
      <c r="J516" s="71"/>
      <c r="K516" s="36" t="s">
        <v>65</v>
      </c>
      <c r="L516" s="78">
        <v>516</v>
      </c>
      <c r="M516" s="78"/>
      <c r="N516" s="73"/>
      <c r="O516" s="80" t="s">
        <v>179</v>
      </c>
      <c r="P516" s="82">
        <v>44634.622673611113</v>
      </c>
      <c r="Q516" s="80" t="s">
        <v>589</v>
      </c>
      <c r="R516" s="83" t="str">
        <f>HYPERLINK("https://twitter.com/ubwomenshoops/status/1503378389566111745")</f>
        <v>https://twitter.com/ubwomenshoops/status/1503378389566111745</v>
      </c>
      <c r="S516" s="80" t="s">
        <v>633</v>
      </c>
      <c r="T516" s="85" t="s">
        <v>723</v>
      </c>
      <c r="U516" s="80"/>
      <c r="V516" s="83" t="str">
        <f>HYPERLINK("https://pbs.twimg.com/profile_images/488716033331441665/tR5kC_3P_normal.jpeg")</f>
        <v>https://pbs.twimg.com/profile_images/488716033331441665/tR5kC_3P_normal.jpeg</v>
      </c>
      <c r="W516" s="82">
        <v>44634.622673611113</v>
      </c>
      <c r="X516" s="88">
        <v>44634</v>
      </c>
      <c r="Y516" s="85" t="s">
        <v>1089</v>
      </c>
      <c r="Z516" s="83" t="str">
        <f>HYPERLINK("https://twitter.com/ubcommunity/status/1503384619076534278")</f>
        <v>https://twitter.com/ubcommunity/status/1503384619076534278</v>
      </c>
      <c r="AA516" s="80"/>
      <c r="AB516" s="80"/>
      <c r="AC516" s="85" t="s">
        <v>1540</v>
      </c>
      <c r="AD516" s="80"/>
      <c r="AE516" s="80" t="b">
        <v>0</v>
      </c>
      <c r="AF516" s="80">
        <v>8</v>
      </c>
      <c r="AG516" s="85" t="s">
        <v>1635</v>
      </c>
      <c r="AH516" s="80" t="b">
        <v>1</v>
      </c>
      <c r="AI516" s="80" t="s">
        <v>1642</v>
      </c>
      <c r="AJ516" s="80"/>
      <c r="AK516" s="85" t="s">
        <v>1668</v>
      </c>
      <c r="AL516" s="80" t="b">
        <v>0</v>
      </c>
      <c r="AM516" s="80">
        <v>0</v>
      </c>
      <c r="AN516" s="85" t="s">
        <v>1635</v>
      </c>
      <c r="AO516" s="85" t="s">
        <v>1671</v>
      </c>
      <c r="AP516" s="80" t="b">
        <v>0</v>
      </c>
      <c r="AQ516" s="85" t="s">
        <v>1540</v>
      </c>
      <c r="AR516" s="80" t="s">
        <v>179</v>
      </c>
      <c r="AS516" s="80">
        <v>0</v>
      </c>
      <c r="AT516" s="80">
        <v>0</v>
      </c>
      <c r="AU516" s="80"/>
      <c r="AV516" s="80"/>
      <c r="AW516" s="80"/>
      <c r="AX516" s="80"/>
      <c r="AY516" s="80"/>
      <c r="AZ516" s="80"/>
      <c r="BA516" s="80"/>
      <c r="BB516" s="80"/>
    </row>
    <row r="517" spans="1:54" x14ac:dyDescent="0.25">
      <c r="A517" s="65" t="s">
        <v>373</v>
      </c>
      <c r="B517" s="65" t="s">
        <v>373</v>
      </c>
      <c r="C517" s="66"/>
      <c r="D517" s="67"/>
      <c r="E517" s="68"/>
      <c r="F517" s="69"/>
      <c r="G517" s="66"/>
      <c r="H517" s="70"/>
      <c r="I517" s="71"/>
      <c r="J517" s="71"/>
      <c r="K517" s="36" t="s">
        <v>65</v>
      </c>
      <c r="L517" s="78">
        <v>517</v>
      </c>
      <c r="M517" s="78"/>
      <c r="N517" s="73"/>
      <c r="O517" s="80" t="s">
        <v>179</v>
      </c>
      <c r="P517" s="82">
        <v>44634.628842592596</v>
      </c>
      <c r="Q517" s="80" t="s">
        <v>590</v>
      </c>
      <c r="R517" s="83" t="str">
        <f>HYPERLINK("https://www.buffalo.edu/provost/pacor-implementation/town-halls.html")</f>
        <v>https://www.buffalo.edu/provost/pacor-implementation/town-halls.html</v>
      </c>
      <c r="S517" s="80" t="s">
        <v>632</v>
      </c>
      <c r="T517" s="85" t="s">
        <v>724</v>
      </c>
      <c r="U517" s="83" t="str">
        <f>HYPERLINK("https://pbs.twimg.com/media/FN0aH1AXIAMJEL2.jpg")</f>
        <v>https://pbs.twimg.com/media/FN0aH1AXIAMJEL2.jpg</v>
      </c>
      <c r="V517" s="83" t="str">
        <f>HYPERLINK("https://pbs.twimg.com/media/FN0aH1AXIAMJEL2.jpg")</f>
        <v>https://pbs.twimg.com/media/FN0aH1AXIAMJEL2.jpg</v>
      </c>
      <c r="W517" s="82">
        <v>44634.628842592596</v>
      </c>
      <c r="X517" s="88">
        <v>44634</v>
      </c>
      <c r="Y517" s="85" t="s">
        <v>1090</v>
      </c>
      <c r="Z517" s="83" t="str">
        <f>HYPERLINK("https://twitter.com/ubpss/status/1503386853700947976")</f>
        <v>https://twitter.com/ubpss/status/1503386853700947976</v>
      </c>
      <c r="AA517" s="80"/>
      <c r="AB517" s="80"/>
      <c r="AC517" s="85" t="s">
        <v>1541</v>
      </c>
      <c r="AD517" s="80"/>
      <c r="AE517" s="80" t="b">
        <v>0</v>
      </c>
      <c r="AF517" s="80">
        <v>0</v>
      </c>
      <c r="AG517" s="85" t="s">
        <v>1635</v>
      </c>
      <c r="AH517" s="80" t="b">
        <v>0</v>
      </c>
      <c r="AI517" s="80" t="s">
        <v>1642</v>
      </c>
      <c r="AJ517" s="80"/>
      <c r="AK517" s="85" t="s">
        <v>1635</v>
      </c>
      <c r="AL517" s="80" t="b">
        <v>0</v>
      </c>
      <c r="AM517" s="80">
        <v>0</v>
      </c>
      <c r="AN517" s="85" t="s">
        <v>1635</v>
      </c>
      <c r="AO517" s="85" t="s">
        <v>1672</v>
      </c>
      <c r="AP517" s="80" t="b">
        <v>0</v>
      </c>
      <c r="AQ517" s="85" t="s">
        <v>1541</v>
      </c>
      <c r="AR517" s="80" t="s">
        <v>179</v>
      </c>
      <c r="AS517" s="80">
        <v>0</v>
      </c>
      <c r="AT517" s="80">
        <v>0</v>
      </c>
      <c r="AU517" s="80"/>
      <c r="AV517" s="80"/>
      <c r="AW517" s="80"/>
      <c r="AX517" s="80"/>
      <c r="AY517" s="80"/>
      <c r="AZ517" s="80"/>
      <c r="BA517" s="80"/>
      <c r="BB517" s="80"/>
    </row>
    <row r="518" spans="1:54" x14ac:dyDescent="0.25">
      <c r="A518" s="65" t="s">
        <v>374</v>
      </c>
      <c r="B518" s="65" t="s">
        <v>383</v>
      </c>
      <c r="C518" s="66"/>
      <c r="D518" s="67"/>
      <c r="E518" s="68"/>
      <c r="F518" s="69"/>
      <c r="G518" s="66"/>
      <c r="H518" s="70"/>
      <c r="I518" s="71"/>
      <c r="J518" s="71"/>
      <c r="K518" s="36" t="s">
        <v>65</v>
      </c>
      <c r="L518" s="78">
        <v>518</v>
      </c>
      <c r="M518" s="78"/>
      <c r="N518" s="73"/>
      <c r="O518" s="80" t="s">
        <v>416</v>
      </c>
      <c r="P518" s="82">
        <v>44627.638194444444</v>
      </c>
      <c r="Q518" s="80" t="s">
        <v>425</v>
      </c>
      <c r="R518" s="83" t="str">
        <f>HYPERLINK("https://buffalo.zoom.us/meeting/register/tJApdu2upz8uH91uWWEt4_SQWWdLuqt6gkng")</f>
        <v>https://buffalo.zoom.us/meeting/register/tJApdu2upz8uH91uWWEt4_SQWWdLuqt6gkng</v>
      </c>
      <c r="S518" s="80" t="s">
        <v>637</v>
      </c>
      <c r="T518" s="85" t="s">
        <v>357</v>
      </c>
      <c r="U518" s="80"/>
      <c r="V518" s="83" t="str">
        <f>HYPERLINK("https://pbs.twimg.com/profile_images/984812918112845824/XFCAPcfy_normal.jpg")</f>
        <v>https://pbs.twimg.com/profile_images/984812918112845824/XFCAPcfy_normal.jpg</v>
      </c>
      <c r="W518" s="82">
        <v>44627.638194444444</v>
      </c>
      <c r="X518" s="88">
        <v>44627</v>
      </c>
      <c r="Y518" s="85" t="s">
        <v>1091</v>
      </c>
      <c r="Z518" s="83" t="str">
        <f>HYPERLINK("https://twitter.com/ub_history/status/1500853528142569477")</f>
        <v>https://twitter.com/ub_history/status/1500853528142569477</v>
      </c>
      <c r="AA518" s="80"/>
      <c r="AB518" s="80"/>
      <c r="AC518" s="85" t="s">
        <v>1542</v>
      </c>
      <c r="AD518" s="80"/>
      <c r="AE518" s="80" t="b">
        <v>0</v>
      </c>
      <c r="AF518" s="80">
        <v>2</v>
      </c>
      <c r="AG518" s="85" t="s">
        <v>1635</v>
      </c>
      <c r="AH518" s="80" t="b">
        <v>0</v>
      </c>
      <c r="AI518" s="80" t="s">
        <v>1642</v>
      </c>
      <c r="AJ518" s="80"/>
      <c r="AK518" s="85" t="s">
        <v>1635</v>
      </c>
      <c r="AL518" s="80" t="b">
        <v>0</v>
      </c>
      <c r="AM518" s="80">
        <v>2</v>
      </c>
      <c r="AN518" s="85" t="s">
        <v>1635</v>
      </c>
      <c r="AO518" s="85" t="s">
        <v>1686</v>
      </c>
      <c r="AP518" s="80" t="b">
        <v>0</v>
      </c>
      <c r="AQ518" s="85" t="s">
        <v>1542</v>
      </c>
      <c r="AR518" s="80" t="s">
        <v>179</v>
      </c>
      <c r="AS518" s="80">
        <v>0</v>
      </c>
      <c r="AT518" s="80">
        <v>0</v>
      </c>
      <c r="AU518" s="80"/>
      <c r="AV518" s="80"/>
      <c r="AW518" s="80"/>
      <c r="AX518" s="80"/>
      <c r="AY518" s="80"/>
      <c r="AZ518" s="80"/>
      <c r="BA518" s="80"/>
      <c r="BB518" s="80"/>
    </row>
    <row r="519" spans="1:54" x14ac:dyDescent="0.25">
      <c r="A519" s="65" t="s">
        <v>374</v>
      </c>
      <c r="B519" s="65" t="s">
        <v>383</v>
      </c>
      <c r="C519" s="66"/>
      <c r="D519" s="67"/>
      <c r="E519" s="68"/>
      <c r="F519" s="69"/>
      <c r="G519" s="66"/>
      <c r="H519" s="70"/>
      <c r="I519" s="71"/>
      <c r="J519" s="71"/>
      <c r="K519" s="36" t="s">
        <v>65</v>
      </c>
      <c r="L519" s="78">
        <v>519</v>
      </c>
      <c r="M519" s="78"/>
      <c r="N519" s="73"/>
      <c r="O519" s="80" t="s">
        <v>416</v>
      </c>
      <c r="P519" s="82">
        <v>44628.513888888891</v>
      </c>
      <c r="Q519" s="80" t="s">
        <v>429</v>
      </c>
      <c r="R519" s="83" t="str">
        <f>HYPERLINK("https://buffalo.zoom.us/meeting/register/tJApdu2upz8uH91uWWEt4_SQWWdLuqt6gkng")</f>
        <v>https://buffalo.zoom.us/meeting/register/tJApdu2upz8uH91uWWEt4_SQWWdLuqt6gkng</v>
      </c>
      <c r="S519" s="80" t="s">
        <v>637</v>
      </c>
      <c r="T519" s="85" t="s">
        <v>357</v>
      </c>
      <c r="U519" s="80"/>
      <c r="V519" s="83" t="str">
        <f>HYPERLINK("https://pbs.twimg.com/profile_images/984812918112845824/XFCAPcfy_normal.jpg")</f>
        <v>https://pbs.twimg.com/profile_images/984812918112845824/XFCAPcfy_normal.jpg</v>
      </c>
      <c r="W519" s="82">
        <v>44628.513888888891</v>
      </c>
      <c r="X519" s="88">
        <v>44628</v>
      </c>
      <c r="Y519" s="85" t="s">
        <v>1092</v>
      </c>
      <c r="Z519" s="83" t="str">
        <f>HYPERLINK("https://twitter.com/ub_history/status/1501170868994539520")</f>
        <v>https://twitter.com/ub_history/status/1501170868994539520</v>
      </c>
      <c r="AA519" s="80"/>
      <c r="AB519" s="80"/>
      <c r="AC519" s="85" t="s">
        <v>1543</v>
      </c>
      <c r="AD519" s="80"/>
      <c r="AE519" s="80" t="b">
        <v>0</v>
      </c>
      <c r="AF519" s="80">
        <v>1</v>
      </c>
      <c r="AG519" s="85" t="s">
        <v>1635</v>
      </c>
      <c r="AH519" s="80" t="b">
        <v>0</v>
      </c>
      <c r="AI519" s="80" t="s">
        <v>1642</v>
      </c>
      <c r="AJ519" s="80"/>
      <c r="AK519" s="85" t="s">
        <v>1635</v>
      </c>
      <c r="AL519" s="80" t="b">
        <v>0</v>
      </c>
      <c r="AM519" s="80">
        <v>2</v>
      </c>
      <c r="AN519" s="85" t="s">
        <v>1635</v>
      </c>
      <c r="AO519" s="85" t="s">
        <v>1686</v>
      </c>
      <c r="AP519" s="80" t="b">
        <v>0</v>
      </c>
      <c r="AQ519" s="85" t="s">
        <v>1543</v>
      </c>
      <c r="AR519" s="80" t="s">
        <v>179</v>
      </c>
      <c r="AS519" s="80">
        <v>0</v>
      </c>
      <c r="AT519" s="80">
        <v>0</v>
      </c>
      <c r="AU519" s="80"/>
      <c r="AV519" s="80"/>
      <c r="AW519" s="80"/>
      <c r="AX519" s="80"/>
      <c r="AY519" s="80"/>
      <c r="AZ519" s="80"/>
      <c r="BA519" s="80"/>
      <c r="BB519" s="80"/>
    </row>
    <row r="520" spans="1:54" x14ac:dyDescent="0.25">
      <c r="A520" s="65" t="s">
        <v>375</v>
      </c>
      <c r="B520" s="65" t="s">
        <v>357</v>
      </c>
      <c r="C520" s="66"/>
      <c r="D520" s="67"/>
      <c r="E520" s="68"/>
      <c r="F520" s="69"/>
      <c r="G520" s="66"/>
      <c r="H520" s="70"/>
      <c r="I520" s="71"/>
      <c r="J520" s="71"/>
      <c r="K520" s="36" t="s">
        <v>65</v>
      </c>
      <c r="L520" s="78">
        <v>520</v>
      </c>
      <c r="M520" s="78"/>
      <c r="N520" s="73"/>
      <c r="O520" s="80" t="s">
        <v>415</v>
      </c>
      <c r="P520" s="82">
        <v>44628.582349537035</v>
      </c>
      <c r="Q520" s="80" t="s">
        <v>433</v>
      </c>
      <c r="R520" s="80"/>
      <c r="S520" s="80"/>
      <c r="T520" s="85" t="s">
        <v>668</v>
      </c>
      <c r="U520" s="83" t="str">
        <f>HYPERLINK("https://pbs.twimg.com/amplify_video_thumb/1501188997695127554/img/suC8e3aV3xiZEsCE.jpg")</f>
        <v>https://pbs.twimg.com/amplify_video_thumb/1501188997695127554/img/suC8e3aV3xiZEsCE.jpg</v>
      </c>
      <c r="V520" s="83" t="str">
        <f>HYPERLINK("https://pbs.twimg.com/amplify_video_thumb/1501188997695127554/img/suC8e3aV3xiZEsCE.jpg")</f>
        <v>https://pbs.twimg.com/amplify_video_thumb/1501188997695127554/img/suC8e3aV3xiZEsCE.jpg</v>
      </c>
      <c r="W520" s="82">
        <v>44628.582349537035</v>
      </c>
      <c r="X520" s="88">
        <v>44628</v>
      </c>
      <c r="Y520" s="85" t="s">
        <v>1093</v>
      </c>
      <c r="Z520" s="83" t="str">
        <f>HYPERLINK("https://twitter.com/vwidgeon/status/1501195680970387456")</f>
        <v>https://twitter.com/vwidgeon/status/1501195680970387456</v>
      </c>
      <c r="AA520" s="80"/>
      <c r="AB520" s="80"/>
      <c r="AC520" s="85" t="s">
        <v>1544</v>
      </c>
      <c r="AD520" s="80"/>
      <c r="AE520" s="80" t="b">
        <v>0</v>
      </c>
      <c r="AF520" s="80">
        <v>0</v>
      </c>
      <c r="AG520" s="85" t="s">
        <v>1635</v>
      </c>
      <c r="AH520" s="80" t="b">
        <v>0</v>
      </c>
      <c r="AI520" s="80" t="s">
        <v>1642</v>
      </c>
      <c r="AJ520" s="80"/>
      <c r="AK520" s="85" t="s">
        <v>1635</v>
      </c>
      <c r="AL520" s="80" t="b">
        <v>0</v>
      </c>
      <c r="AM520" s="80">
        <v>10</v>
      </c>
      <c r="AN520" s="85" t="s">
        <v>1616</v>
      </c>
      <c r="AO520" s="85" t="s">
        <v>1672</v>
      </c>
      <c r="AP520" s="80" t="b">
        <v>0</v>
      </c>
      <c r="AQ520" s="85" t="s">
        <v>1616</v>
      </c>
      <c r="AR520" s="80" t="s">
        <v>179</v>
      </c>
      <c r="AS520" s="80">
        <v>0</v>
      </c>
      <c r="AT520" s="80">
        <v>0</v>
      </c>
      <c r="AU520" s="80"/>
      <c r="AV520" s="80"/>
      <c r="AW520" s="80"/>
      <c r="AX520" s="80"/>
      <c r="AY520" s="80"/>
      <c r="AZ520" s="80"/>
      <c r="BA520" s="80"/>
      <c r="BB520" s="80"/>
    </row>
    <row r="521" spans="1:54" x14ac:dyDescent="0.25">
      <c r="A521" s="65" t="s">
        <v>374</v>
      </c>
      <c r="B521" s="65" t="s">
        <v>375</v>
      </c>
      <c r="C521" s="66"/>
      <c r="D521" s="67"/>
      <c r="E521" s="68"/>
      <c r="F521" s="69"/>
      <c r="G521" s="66"/>
      <c r="H521" s="70"/>
      <c r="I521" s="71"/>
      <c r="J521" s="71"/>
      <c r="K521" s="36" t="s">
        <v>65</v>
      </c>
      <c r="L521" s="78">
        <v>521</v>
      </c>
      <c r="M521" s="78"/>
      <c r="N521" s="73"/>
      <c r="O521" s="80" t="s">
        <v>416</v>
      </c>
      <c r="P521" s="82">
        <v>44627.638194444444</v>
      </c>
      <c r="Q521" s="80" t="s">
        <v>425</v>
      </c>
      <c r="R521" s="83" t="str">
        <f>HYPERLINK("https://buffalo.zoom.us/meeting/register/tJApdu2upz8uH91uWWEt4_SQWWdLuqt6gkng")</f>
        <v>https://buffalo.zoom.us/meeting/register/tJApdu2upz8uH91uWWEt4_SQWWdLuqt6gkng</v>
      </c>
      <c r="S521" s="80" t="s">
        <v>637</v>
      </c>
      <c r="T521" s="85" t="s">
        <v>357</v>
      </c>
      <c r="U521" s="80"/>
      <c r="V521" s="83" t="str">
        <f>HYPERLINK("https://pbs.twimg.com/profile_images/984812918112845824/XFCAPcfy_normal.jpg")</f>
        <v>https://pbs.twimg.com/profile_images/984812918112845824/XFCAPcfy_normal.jpg</v>
      </c>
      <c r="W521" s="82">
        <v>44627.638194444444</v>
      </c>
      <c r="X521" s="88">
        <v>44627</v>
      </c>
      <c r="Y521" s="85" t="s">
        <v>1091</v>
      </c>
      <c r="Z521" s="83" t="str">
        <f>HYPERLINK("https://twitter.com/ub_history/status/1500853528142569477")</f>
        <v>https://twitter.com/ub_history/status/1500853528142569477</v>
      </c>
      <c r="AA521" s="80"/>
      <c r="AB521" s="80"/>
      <c r="AC521" s="85" t="s">
        <v>1542</v>
      </c>
      <c r="AD521" s="80"/>
      <c r="AE521" s="80" t="b">
        <v>0</v>
      </c>
      <c r="AF521" s="80">
        <v>2</v>
      </c>
      <c r="AG521" s="85" t="s">
        <v>1635</v>
      </c>
      <c r="AH521" s="80" t="b">
        <v>0</v>
      </c>
      <c r="AI521" s="80" t="s">
        <v>1642</v>
      </c>
      <c r="AJ521" s="80"/>
      <c r="AK521" s="85" t="s">
        <v>1635</v>
      </c>
      <c r="AL521" s="80" t="b">
        <v>0</v>
      </c>
      <c r="AM521" s="80">
        <v>2</v>
      </c>
      <c r="AN521" s="85" t="s">
        <v>1635</v>
      </c>
      <c r="AO521" s="85" t="s">
        <v>1686</v>
      </c>
      <c r="AP521" s="80" t="b">
        <v>0</v>
      </c>
      <c r="AQ521" s="85" t="s">
        <v>1542</v>
      </c>
      <c r="AR521" s="80" t="s">
        <v>179</v>
      </c>
      <c r="AS521" s="80">
        <v>0</v>
      </c>
      <c r="AT521" s="80">
        <v>0</v>
      </c>
      <c r="AU521" s="80"/>
      <c r="AV521" s="80"/>
      <c r="AW521" s="80"/>
      <c r="AX521" s="80"/>
      <c r="AY521" s="80"/>
      <c r="AZ521" s="80"/>
      <c r="BA521" s="80"/>
      <c r="BB521" s="80"/>
    </row>
    <row r="522" spans="1:54" x14ac:dyDescent="0.25">
      <c r="A522" s="65" t="s">
        <v>374</v>
      </c>
      <c r="B522" s="65" t="s">
        <v>375</v>
      </c>
      <c r="C522" s="66"/>
      <c r="D522" s="67"/>
      <c r="E522" s="68"/>
      <c r="F522" s="69"/>
      <c r="G522" s="66"/>
      <c r="H522" s="70"/>
      <c r="I522" s="71"/>
      <c r="J522" s="71"/>
      <c r="K522" s="36" t="s">
        <v>65</v>
      </c>
      <c r="L522" s="78">
        <v>522</v>
      </c>
      <c r="M522" s="78"/>
      <c r="N522" s="73"/>
      <c r="O522" s="80" t="s">
        <v>416</v>
      </c>
      <c r="P522" s="82">
        <v>44628.513888888891</v>
      </c>
      <c r="Q522" s="80" t="s">
        <v>429</v>
      </c>
      <c r="R522" s="83" t="str">
        <f>HYPERLINK("https://buffalo.zoom.us/meeting/register/tJApdu2upz8uH91uWWEt4_SQWWdLuqt6gkng")</f>
        <v>https://buffalo.zoom.us/meeting/register/tJApdu2upz8uH91uWWEt4_SQWWdLuqt6gkng</v>
      </c>
      <c r="S522" s="80" t="s">
        <v>637</v>
      </c>
      <c r="T522" s="85" t="s">
        <v>357</v>
      </c>
      <c r="U522" s="80"/>
      <c r="V522" s="83" t="str">
        <f>HYPERLINK("https://pbs.twimg.com/profile_images/984812918112845824/XFCAPcfy_normal.jpg")</f>
        <v>https://pbs.twimg.com/profile_images/984812918112845824/XFCAPcfy_normal.jpg</v>
      </c>
      <c r="W522" s="82">
        <v>44628.513888888891</v>
      </c>
      <c r="X522" s="88">
        <v>44628</v>
      </c>
      <c r="Y522" s="85" t="s">
        <v>1092</v>
      </c>
      <c r="Z522" s="83" t="str">
        <f>HYPERLINK("https://twitter.com/ub_history/status/1501170868994539520")</f>
        <v>https://twitter.com/ub_history/status/1501170868994539520</v>
      </c>
      <c r="AA522" s="80"/>
      <c r="AB522" s="80"/>
      <c r="AC522" s="85" t="s">
        <v>1543</v>
      </c>
      <c r="AD522" s="80"/>
      <c r="AE522" s="80" t="b">
        <v>0</v>
      </c>
      <c r="AF522" s="80">
        <v>1</v>
      </c>
      <c r="AG522" s="85" t="s">
        <v>1635</v>
      </c>
      <c r="AH522" s="80" t="b">
        <v>0</v>
      </c>
      <c r="AI522" s="80" t="s">
        <v>1642</v>
      </c>
      <c r="AJ522" s="80"/>
      <c r="AK522" s="85" t="s">
        <v>1635</v>
      </c>
      <c r="AL522" s="80" t="b">
        <v>0</v>
      </c>
      <c r="AM522" s="80">
        <v>2</v>
      </c>
      <c r="AN522" s="85" t="s">
        <v>1635</v>
      </c>
      <c r="AO522" s="85" t="s">
        <v>1686</v>
      </c>
      <c r="AP522" s="80" t="b">
        <v>0</v>
      </c>
      <c r="AQ522" s="85" t="s">
        <v>1543</v>
      </c>
      <c r="AR522" s="80" t="s">
        <v>179</v>
      </c>
      <c r="AS522" s="80">
        <v>0</v>
      </c>
      <c r="AT522" s="80">
        <v>0</v>
      </c>
      <c r="AU522" s="80"/>
      <c r="AV522" s="80"/>
      <c r="AW522" s="80"/>
      <c r="AX522" s="80"/>
      <c r="AY522" s="80"/>
      <c r="AZ522" s="80"/>
      <c r="BA522" s="80"/>
      <c r="BB522" s="80"/>
    </row>
    <row r="523" spans="1:54" x14ac:dyDescent="0.25">
      <c r="A523" s="65" t="s">
        <v>374</v>
      </c>
      <c r="B523" s="65" t="s">
        <v>384</v>
      </c>
      <c r="C523" s="66"/>
      <c r="D523" s="67"/>
      <c r="E523" s="68"/>
      <c r="F523" s="69"/>
      <c r="G523" s="66"/>
      <c r="H523" s="70"/>
      <c r="I523" s="71"/>
      <c r="J523" s="71"/>
      <c r="K523" s="36" t="s">
        <v>65</v>
      </c>
      <c r="L523" s="78">
        <v>523</v>
      </c>
      <c r="M523" s="78"/>
      <c r="N523" s="73"/>
      <c r="O523" s="80" t="s">
        <v>416</v>
      </c>
      <c r="P523" s="82">
        <v>44627.638194444444</v>
      </c>
      <c r="Q523" s="80" t="s">
        <v>425</v>
      </c>
      <c r="R523" s="83" t="str">
        <f>HYPERLINK("https://buffalo.zoom.us/meeting/register/tJApdu2upz8uH91uWWEt4_SQWWdLuqt6gkng")</f>
        <v>https://buffalo.zoom.us/meeting/register/tJApdu2upz8uH91uWWEt4_SQWWdLuqt6gkng</v>
      </c>
      <c r="S523" s="80" t="s">
        <v>637</v>
      </c>
      <c r="T523" s="85" t="s">
        <v>357</v>
      </c>
      <c r="U523" s="80"/>
      <c r="V523" s="83" t="str">
        <f>HYPERLINK("https://pbs.twimg.com/profile_images/984812918112845824/XFCAPcfy_normal.jpg")</f>
        <v>https://pbs.twimg.com/profile_images/984812918112845824/XFCAPcfy_normal.jpg</v>
      </c>
      <c r="W523" s="82">
        <v>44627.638194444444</v>
      </c>
      <c r="X523" s="88">
        <v>44627</v>
      </c>
      <c r="Y523" s="85" t="s">
        <v>1091</v>
      </c>
      <c r="Z523" s="83" t="str">
        <f>HYPERLINK("https://twitter.com/ub_history/status/1500853528142569477")</f>
        <v>https://twitter.com/ub_history/status/1500853528142569477</v>
      </c>
      <c r="AA523" s="80"/>
      <c r="AB523" s="80"/>
      <c r="AC523" s="85" t="s">
        <v>1542</v>
      </c>
      <c r="AD523" s="80"/>
      <c r="AE523" s="80" t="b">
        <v>0</v>
      </c>
      <c r="AF523" s="80">
        <v>2</v>
      </c>
      <c r="AG523" s="85" t="s">
        <v>1635</v>
      </c>
      <c r="AH523" s="80" t="b">
        <v>0</v>
      </c>
      <c r="AI523" s="80" t="s">
        <v>1642</v>
      </c>
      <c r="AJ523" s="80"/>
      <c r="AK523" s="85" t="s">
        <v>1635</v>
      </c>
      <c r="AL523" s="80" t="b">
        <v>0</v>
      </c>
      <c r="AM523" s="80">
        <v>2</v>
      </c>
      <c r="AN523" s="85" t="s">
        <v>1635</v>
      </c>
      <c r="AO523" s="85" t="s">
        <v>1686</v>
      </c>
      <c r="AP523" s="80" t="b">
        <v>0</v>
      </c>
      <c r="AQ523" s="85" t="s">
        <v>1542</v>
      </c>
      <c r="AR523" s="80" t="s">
        <v>179</v>
      </c>
      <c r="AS523" s="80">
        <v>0</v>
      </c>
      <c r="AT523" s="80">
        <v>0</v>
      </c>
      <c r="AU523" s="80"/>
      <c r="AV523" s="80"/>
      <c r="AW523" s="80"/>
      <c r="AX523" s="80"/>
      <c r="AY523" s="80"/>
      <c r="AZ523" s="80"/>
      <c r="BA523" s="80"/>
      <c r="BB523" s="80"/>
    </row>
    <row r="524" spans="1:54" x14ac:dyDescent="0.25">
      <c r="A524" s="65" t="s">
        <v>374</v>
      </c>
      <c r="B524" s="65" t="s">
        <v>384</v>
      </c>
      <c r="C524" s="66"/>
      <c r="D524" s="67"/>
      <c r="E524" s="68"/>
      <c r="F524" s="69"/>
      <c r="G524" s="66"/>
      <c r="H524" s="70"/>
      <c r="I524" s="71"/>
      <c r="J524" s="71"/>
      <c r="K524" s="36" t="s">
        <v>65</v>
      </c>
      <c r="L524" s="78">
        <v>524</v>
      </c>
      <c r="M524" s="78"/>
      <c r="N524" s="73"/>
      <c r="O524" s="80" t="s">
        <v>416</v>
      </c>
      <c r="P524" s="82">
        <v>44628.513888888891</v>
      </c>
      <c r="Q524" s="80" t="s">
        <v>429</v>
      </c>
      <c r="R524" s="83" t="str">
        <f>HYPERLINK("https://buffalo.zoom.us/meeting/register/tJApdu2upz8uH91uWWEt4_SQWWdLuqt6gkng")</f>
        <v>https://buffalo.zoom.us/meeting/register/tJApdu2upz8uH91uWWEt4_SQWWdLuqt6gkng</v>
      </c>
      <c r="S524" s="80" t="s">
        <v>637</v>
      </c>
      <c r="T524" s="85" t="s">
        <v>357</v>
      </c>
      <c r="U524" s="80"/>
      <c r="V524" s="83" t="str">
        <f>HYPERLINK("https://pbs.twimg.com/profile_images/984812918112845824/XFCAPcfy_normal.jpg")</f>
        <v>https://pbs.twimg.com/profile_images/984812918112845824/XFCAPcfy_normal.jpg</v>
      </c>
      <c r="W524" s="82">
        <v>44628.513888888891</v>
      </c>
      <c r="X524" s="88">
        <v>44628</v>
      </c>
      <c r="Y524" s="85" t="s">
        <v>1092</v>
      </c>
      <c r="Z524" s="83" t="str">
        <f>HYPERLINK("https://twitter.com/ub_history/status/1501170868994539520")</f>
        <v>https://twitter.com/ub_history/status/1501170868994539520</v>
      </c>
      <c r="AA524" s="80"/>
      <c r="AB524" s="80"/>
      <c r="AC524" s="85" t="s">
        <v>1543</v>
      </c>
      <c r="AD524" s="80"/>
      <c r="AE524" s="80" t="b">
        <v>0</v>
      </c>
      <c r="AF524" s="80">
        <v>1</v>
      </c>
      <c r="AG524" s="85" t="s">
        <v>1635</v>
      </c>
      <c r="AH524" s="80" t="b">
        <v>0</v>
      </c>
      <c r="AI524" s="80" t="s">
        <v>1642</v>
      </c>
      <c r="AJ524" s="80"/>
      <c r="AK524" s="85" t="s">
        <v>1635</v>
      </c>
      <c r="AL524" s="80" t="b">
        <v>0</v>
      </c>
      <c r="AM524" s="80">
        <v>2</v>
      </c>
      <c r="AN524" s="85" t="s">
        <v>1635</v>
      </c>
      <c r="AO524" s="85" t="s">
        <v>1686</v>
      </c>
      <c r="AP524" s="80" t="b">
        <v>0</v>
      </c>
      <c r="AQ524" s="85" t="s">
        <v>1543</v>
      </c>
      <c r="AR524" s="80" t="s">
        <v>179</v>
      </c>
      <c r="AS524" s="80">
        <v>0</v>
      </c>
      <c r="AT524" s="80">
        <v>0</v>
      </c>
      <c r="AU524" s="80"/>
      <c r="AV524" s="80"/>
      <c r="AW524" s="80"/>
      <c r="AX524" s="80"/>
      <c r="AY524" s="80"/>
      <c r="AZ524" s="80"/>
      <c r="BA524" s="80"/>
      <c r="BB524" s="80"/>
    </row>
    <row r="525" spans="1:54" x14ac:dyDescent="0.25">
      <c r="A525" s="65" t="s">
        <v>376</v>
      </c>
      <c r="B525" s="65" t="s">
        <v>389</v>
      </c>
      <c r="C525" s="66"/>
      <c r="D525" s="67"/>
      <c r="E525" s="68"/>
      <c r="F525" s="69"/>
      <c r="G525" s="66"/>
      <c r="H525" s="70"/>
      <c r="I525" s="71"/>
      <c r="J525" s="71"/>
      <c r="K525" s="36" t="s">
        <v>65</v>
      </c>
      <c r="L525" s="78">
        <v>525</v>
      </c>
      <c r="M525" s="78"/>
      <c r="N525" s="73"/>
      <c r="O525" s="80" t="s">
        <v>414</v>
      </c>
      <c r="P525" s="82">
        <v>44628.658182870371</v>
      </c>
      <c r="Q525" s="80" t="s">
        <v>514</v>
      </c>
      <c r="R525" s="83" t="str">
        <f>HYPERLINK("https://buffalohistory.org/event/to-walk-about-in-freedom-lecture/")</f>
        <v>https://buffalohistory.org/event/to-walk-about-in-freedom-lecture/</v>
      </c>
      <c r="S525" s="80" t="s">
        <v>642</v>
      </c>
      <c r="T525" s="85" t="s">
        <v>357</v>
      </c>
      <c r="U525" s="80"/>
      <c r="V525" s="83" t="str">
        <f>HYPERLINK("https://pbs.twimg.com/profile_images/1007353224972693504/8O3_AnHx_normal.jpg")</f>
        <v>https://pbs.twimg.com/profile_images/1007353224972693504/8O3_AnHx_normal.jpg</v>
      </c>
      <c r="W525" s="82">
        <v>44628.658182870371</v>
      </c>
      <c r="X525" s="88">
        <v>44628</v>
      </c>
      <c r="Y525" s="85" t="s">
        <v>1094</v>
      </c>
      <c r="Z525" s="83" t="str">
        <f>HYPERLINK("https://twitter.com/buffalohistory/status/1501223159458111491")</f>
        <v>https://twitter.com/buffalohistory/status/1501223159458111491</v>
      </c>
      <c r="AA525" s="80"/>
      <c r="AB525" s="80"/>
      <c r="AC525" s="85" t="s">
        <v>1545</v>
      </c>
      <c r="AD525" s="80"/>
      <c r="AE525" s="80" t="b">
        <v>0</v>
      </c>
      <c r="AF525" s="80">
        <v>0</v>
      </c>
      <c r="AG525" s="85" t="s">
        <v>1635</v>
      </c>
      <c r="AH525" s="80" t="b">
        <v>0</v>
      </c>
      <c r="AI525" s="80" t="s">
        <v>1642</v>
      </c>
      <c r="AJ525" s="80"/>
      <c r="AK525" s="85" t="s">
        <v>1635</v>
      </c>
      <c r="AL525" s="80" t="b">
        <v>0</v>
      </c>
      <c r="AM525" s="80">
        <v>2</v>
      </c>
      <c r="AN525" s="85" t="s">
        <v>1547</v>
      </c>
      <c r="AO525" s="85" t="s">
        <v>1672</v>
      </c>
      <c r="AP525" s="80" t="b">
        <v>0</v>
      </c>
      <c r="AQ525" s="85" t="s">
        <v>1547</v>
      </c>
      <c r="AR525" s="80" t="s">
        <v>179</v>
      </c>
      <c r="AS525" s="80">
        <v>0</v>
      </c>
      <c r="AT525" s="80">
        <v>0</v>
      </c>
      <c r="AU525" s="80"/>
      <c r="AV525" s="80"/>
      <c r="AW525" s="80"/>
      <c r="AX525" s="80"/>
      <c r="AY525" s="80"/>
      <c r="AZ525" s="80"/>
      <c r="BA525" s="80"/>
      <c r="BB525" s="80"/>
    </row>
    <row r="526" spans="1:54" x14ac:dyDescent="0.25">
      <c r="A526" s="65" t="s">
        <v>376</v>
      </c>
      <c r="B526" s="65" t="s">
        <v>389</v>
      </c>
      <c r="C526" s="66"/>
      <c r="D526" s="67"/>
      <c r="E526" s="68"/>
      <c r="F526" s="69"/>
      <c r="G526" s="66"/>
      <c r="H526" s="70"/>
      <c r="I526" s="71"/>
      <c r="J526" s="71"/>
      <c r="K526" s="36" t="s">
        <v>65</v>
      </c>
      <c r="L526" s="78">
        <v>526</v>
      </c>
      <c r="M526" s="78"/>
      <c r="N526" s="73"/>
      <c r="O526" s="80" t="s">
        <v>414</v>
      </c>
      <c r="P526" s="82">
        <v>44629.649247685185</v>
      </c>
      <c r="Q526" s="80" t="s">
        <v>455</v>
      </c>
      <c r="R526" s="83" t="str">
        <f>HYPERLINK("https://buffalohistory.org/event/to-walk-about-in-freedom-lecture/")</f>
        <v>https://buffalohistory.org/event/to-walk-about-in-freedom-lecture/</v>
      </c>
      <c r="S526" s="80" t="s">
        <v>642</v>
      </c>
      <c r="T526" s="85" t="s">
        <v>357</v>
      </c>
      <c r="U526" s="80"/>
      <c r="V526" s="83" t="str">
        <f>HYPERLINK("https://pbs.twimg.com/profile_images/1007353224972693504/8O3_AnHx_normal.jpg")</f>
        <v>https://pbs.twimg.com/profile_images/1007353224972693504/8O3_AnHx_normal.jpg</v>
      </c>
      <c r="W526" s="82">
        <v>44629.649247685185</v>
      </c>
      <c r="X526" s="88">
        <v>44629</v>
      </c>
      <c r="Y526" s="85" t="s">
        <v>1095</v>
      </c>
      <c r="Z526" s="83" t="str">
        <f>HYPERLINK("https://twitter.com/buffalohistory/status/1501582311174950913")</f>
        <v>https://twitter.com/buffalohistory/status/1501582311174950913</v>
      </c>
      <c r="AA526" s="80"/>
      <c r="AB526" s="80"/>
      <c r="AC526" s="85" t="s">
        <v>1546</v>
      </c>
      <c r="AD526" s="80"/>
      <c r="AE526" s="80" t="b">
        <v>0</v>
      </c>
      <c r="AF526" s="80">
        <v>0</v>
      </c>
      <c r="AG526" s="85" t="s">
        <v>1635</v>
      </c>
      <c r="AH526" s="80" t="b">
        <v>0</v>
      </c>
      <c r="AI526" s="80" t="s">
        <v>1642</v>
      </c>
      <c r="AJ526" s="80"/>
      <c r="AK526" s="85" t="s">
        <v>1635</v>
      </c>
      <c r="AL526" s="80" t="b">
        <v>0</v>
      </c>
      <c r="AM526" s="80">
        <v>4</v>
      </c>
      <c r="AN526" s="85" t="s">
        <v>1549</v>
      </c>
      <c r="AO526" s="85" t="s">
        <v>1672</v>
      </c>
      <c r="AP526" s="80" t="b">
        <v>0</v>
      </c>
      <c r="AQ526" s="85" t="s">
        <v>1549</v>
      </c>
      <c r="AR526" s="80" t="s">
        <v>179</v>
      </c>
      <c r="AS526" s="80">
        <v>0</v>
      </c>
      <c r="AT526" s="80">
        <v>0</v>
      </c>
      <c r="AU526" s="80"/>
      <c r="AV526" s="80"/>
      <c r="AW526" s="80"/>
      <c r="AX526" s="80"/>
      <c r="AY526" s="80"/>
      <c r="AZ526" s="80"/>
      <c r="BA526" s="80"/>
      <c r="BB526" s="80"/>
    </row>
    <row r="527" spans="1:54" x14ac:dyDescent="0.25">
      <c r="A527" s="65" t="s">
        <v>374</v>
      </c>
      <c r="B527" s="65" t="s">
        <v>389</v>
      </c>
      <c r="C527" s="66"/>
      <c r="D527" s="67"/>
      <c r="E527" s="68"/>
      <c r="F527" s="69"/>
      <c r="G527" s="66"/>
      <c r="H527" s="70"/>
      <c r="I527" s="71"/>
      <c r="J527" s="71"/>
      <c r="K527" s="36" t="s">
        <v>65</v>
      </c>
      <c r="L527" s="78">
        <v>527</v>
      </c>
      <c r="M527" s="78"/>
      <c r="N527" s="73"/>
      <c r="O527" s="80" t="s">
        <v>416</v>
      </c>
      <c r="P527" s="82">
        <v>44628.647916666669</v>
      </c>
      <c r="Q527" s="80" t="s">
        <v>514</v>
      </c>
      <c r="R527" s="83" t="str">
        <f>HYPERLINK("https://buffalohistory.org/event/to-walk-about-in-freedom-lecture/")</f>
        <v>https://buffalohistory.org/event/to-walk-about-in-freedom-lecture/</v>
      </c>
      <c r="S527" s="80" t="s">
        <v>642</v>
      </c>
      <c r="T527" s="85" t="s">
        <v>357</v>
      </c>
      <c r="U527" s="80"/>
      <c r="V527" s="83" t="str">
        <f>HYPERLINK("https://pbs.twimg.com/profile_images/984812918112845824/XFCAPcfy_normal.jpg")</f>
        <v>https://pbs.twimg.com/profile_images/984812918112845824/XFCAPcfy_normal.jpg</v>
      </c>
      <c r="W527" s="82">
        <v>44628.647916666669</v>
      </c>
      <c r="X527" s="88">
        <v>44628</v>
      </c>
      <c r="Y527" s="85" t="s">
        <v>1096</v>
      </c>
      <c r="Z527" s="83" t="str">
        <f>HYPERLINK("https://twitter.com/ub_history/status/1501219439395717123")</f>
        <v>https://twitter.com/ub_history/status/1501219439395717123</v>
      </c>
      <c r="AA527" s="80"/>
      <c r="AB527" s="80"/>
      <c r="AC527" s="85" t="s">
        <v>1547</v>
      </c>
      <c r="AD527" s="80"/>
      <c r="AE527" s="80" t="b">
        <v>0</v>
      </c>
      <c r="AF527" s="80">
        <v>7</v>
      </c>
      <c r="AG527" s="85" t="s">
        <v>1635</v>
      </c>
      <c r="AH527" s="80" t="b">
        <v>0</v>
      </c>
      <c r="AI527" s="80" t="s">
        <v>1642</v>
      </c>
      <c r="AJ527" s="80"/>
      <c r="AK527" s="85" t="s">
        <v>1635</v>
      </c>
      <c r="AL527" s="80" t="b">
        <v>0</v>
      </c>
      <c r="AM527" s="80">
        <v>2</v>
      </c>
      <c r="AN527" s="85" t="s">
        <v>1635</v>
      </c>
      <c r="AO527" s="85" t="s">
        <v>1686</v>
      </c>
      <c r="AP527" s="80" t="b">
        <v>0</v>
      </c>
      <c r="AQ527" s="85" t="s">
        <v>1547</v>
      </c>
      <c r="AR527" s="80" t="s">
        <v>179</v>
      </c>
      <c r="AS527" s="80">
        <v>0</v>
      </c>
      <c r="AT527" s="80">
        <v>0</v>
      </c>
      <c r="AU527" s="80"/>
      <c r="AV527" s="80"/>
      <c r="AW527" s="80"/>
      <c r="AX527" s="80"/>
      <c r="AY527" s="80"/>
      <c r="AZ527" s="80"/>
      <c r="BA527" s="80"/>
      <c r="BB527" s="80"/>
    </row>
    <row r="528" spans="1:54" x14ac:dyDescent="0.25">
      <c r="A528" s="65" t="s">
        <v>374</v>
      </c>
      <c r="B528" s="65" t="s">
        <v>389</v>
      </c>
      <c r="C528" s="66"/>
      <c r="D528" s="67"/>
      <c r="E528" s="68"/>
      <c r="F528" s="69"/>
      <c r="G528" s="66"/>
      <c r="H528" s="70"/>
      <c r="I528" s="71"/>
      <c r="J528" s="71"/>
      <c r="K528" s="36" t="s">
        <v>65</v>
      </c>
      <c r="L528" s="78">
        <v>528</v>
      </c>
      <c r="M528" s="78"/>
      <c r="N528" s="73"/>
      <c r="O528" s="80" t="s">
        <v>416</v>
      </c>
      <c r="P528" s="82">
        <v>44629.568101851852</v>
      </c>
      <c r="Q528" s="80" t="s">
        <v>591</v>
      </c>
      <c r="R528" s="83" t="str">
        <f>HYPERLINK("https://www.buffalo.edu/ubnow/stories/2022/03/emberton-joyner-book.html")</f>
        <v>https://www.buffalo.edu/ubnow/stories/2022/03/emberton-joyner-book.html</v>
      </c>
      <c r="S528" s="80" t="s">
        <v>632</v>
      </c>
      <c r="T528" s="85" t="s">
        <v>357</v>
      </c>
      <c r="U528" s="80"/>
      <c r="V528" s="83" t="str">
        <f>HYPERLINK("https://pbs.twimg.com/profile_images/984812918112845824/XFCAPcfy_normal.jpg")</f>
        <v>https://pbs.twimg.com/profile_images/984812918112845824/XFCAPcfy_normal.jpg</v>
      </c>
      <c r="W528" s="82">
        <v>44629.568101851852</v>
      </c>
      <c r="X528" s="88">
        <v>44629</v>
      </c>
      <c r="Y528" s="85" t="s">
        <v>1097</v>
      </c>
      <c r="Z528" s="83" t="str">
        <f>HYPERLINK("https://twitter.com/ub_history/status/1501552905706422275")</f>
        <v>https://twitter.com/ub_history/status/1501552905706422275</v>
      </c>
      <c r="AA528" s="80"/>
      <c r="AB528" s="80"/>
      <c r="AC528" s="85" t="s">
        <v>1548</v>
      </c>
      <c r="AD528" s="80"/>
      <c r="AE528" s="80" t="b">
        <v>0</v>
      </c>
      <c r="AF528" s="80">
        <v>8</v>
      </c>
      <c r="AG528" s="85" t="s">
        <v>1635</v>
      </c>
      <c r="AH528" s="80" t="b">
        <v>0</v>
      </c>
      <c r="AI528" s="80" t="s">
        <v>1642</v>
      </c>
      <c r="AJ528" s="80"/>
      <c r="AK528" s="85" t="s">
        <v>1635</v>
      </c>
      <c r="AL528" s="80" t="b">
        <v>0</v>
      </c>
      <c r="AM528" s="80">
        <v>0</v>
      </c>
      <c r="AN528" s="85" t="s">
        <v>1635</v>
      </c>
      <c r="AO528" s="85" t="s">
        <v>1672</v>
      </c>
      <c r="AP528" s="80" t="b">
        <v>0</v>
      </c>
      <c r="AQ528" s="85" t="s">
        <v>1548</v>
      </c>
      <c r="AR528" s="80" t="s">
        <v>179</v>
      </c>
      <c r="AS528" s="80">
        <v>0</v>
      </c>
      <c r="AT528" s="80">
        <v>0</v>
      </c>
      <c r="AU528" s="80"/>
      <c r="AV528" s="80"/>
      <c r="AW528" s="80"/>
      <c r="AX528" s="80"/>
      <c r="AY528" s="80"/>
      <c r="AZ528" s="80"/>
      <c r="BA528" s="80"/>
      <c r="BB528" s="80"/>
    </row>
    <row r="529" spans="1:54" x14ac:dyDescent="0.25">
      <c r="A529" s="65" t="s">
        <v>374</v>
      </c>
      <c r="B529" s="65" t="s">
        <v>389</v>
      </c>
      <c r="C529" s="66"/>
      <c r="D529" s="67"/>
      <c r="E529" s="68"/>
      <c r="F529" s="69"/>
      <c r="G529" s="66"/>
      <c r="H529" s="70"/>
      <c r="I529" s="71"/>
      <c r="J529" s="71"/>
      <c r="K529" s="36" t="s">
        <v>65</v>
      </c>
      <c r="L529" s="78">
        <v>529</v>
      </c>
      <c r="M529" s="78"/>
      <c r="N529" s="73"/>
      <c r="O529" s="80" t="s">
        <v>416</v>
      </c>
      <c r="P529" s="82">
        <v>44629.647916666669</v>
      </c>
      <c r="Q529" s="80" t="s">
        <v>455</v>
      </c>
      <c r="R529" s="83" t="str">
        <f>HYPERLINK("https://buffalohistory.org/event/to-walk-about-in-freedom-lecture/")</f>
        <v>https://buffalohistory.org/event/to-walk-about-in-freedom-lecture/</v>
      </c>
      <c r="S529" s="80" t="s">
        <v>642</v>
      </c>
      <c r="T529" s="85" t="s">
        <v>357</v>
      </c>
      <c r="U529" s="80"/>
      <c r="V529" s="83" t="str">
        <f>HYPERLINK("https://pbs.twimg.com/profile_images/984812918112845824/XFCAPcfy_normal.jpg")</f>
        <v>https://pbs.twimg.com/profile_images/984812918112845824/XFCAPcfy_normal.jpg</v>
      </c>
      <c r="W529" s="82">
        <v>44629.647916666669</v>
      </c>
      <c r="X529" s="88">
        <v>44629</v>
      </c>
      <c r="Y529" s="85" t="s">
        <v>1096</v>
      </c>
      <c r="Z529" s="83" t="str">
        <f>HYPERLINK("https://twitter.com/ub_history/status/1501581827055788035")</f>
        <v>https://twitter.com/ub_history/status/1501581827055788035</v>
      </c>
      <c r="AA529" s="80"/>
      <c r="AB529" s="80"/>
      <c r="AC529" s="85" t="s">
        <v>1549</v>
      </c>
      <c r="AD529" s="80"/>
      <c r="AE529" s="80" t="b">
        <v>0</v>
      </c>
      <c r="AF529" s="80">
        <v>5</v>
      </c>
      <c r="AG529" s="85" t="s">
        <v>1635</v>
      </c>
      <c r="AH529" s="80" t="b">
        <v>0</v>
      </c>
      <c r="AI529" s="80" t="s">
        <v>1642</v>
      </c>
      <c r="AJ529" s="80"/>
      <c r="AK529" s="85" t="s">
        <v>1635</v>
      </c>
      <c r="AL529" s="80" t="b">
        <v>0</v>
      </c>
      <c r="AM529" s="80">
        <v>4</v>
      </c>
      <c r="AN529" s="85" t="s">
        <v>1635</v>
      </c>
      <c r="AO529" s="85" t="s">
        <v>1686</v>
      </c>
      <c r="AP529" s="80" t="b">
        <v>0</v>
      </c>
      <c r="AQ529" s="85" t="s">
        <v>1549</v>
      </c>
      <c r="AR529" s="80" t="s">
        <v>179</v>
      </c>
      <c r="AS529" s="80">
        <v>0</v>
      </c>
      <c r="AT529" s="80">
        <v>0</v>
      </c>
      <c r="AU529" s="80"/>
      <c r="AV529" s="80"/>
      <c r="AW529" s="80"/>
      <c r="AX529" s="80"/>
      <c r="AY529" s="80"/>
      <c r="AZ529" s="80"/>
      <c r="BA529" s="80"/>
      <c r="BB529" s="80"/>
    </row>
    <row r="530" spans="1:54" x14ac:dyDescent="0.25">
      <c r="A530" s="65" t="s">
        <v>376</v>
      </c>
      <c r="B530" s="65" t="s">
        <v>374</v>
      </c>
      <c r="C530" s="66"/>
      <c r="D530" s="67"/>
      <c r="E530" s="68"/>
      <c r="F530" s="69"/>
      <c r="G530" s="66"/>
      <c r="H530" s="70"/>
      <c r="I530" s="71"/>
      <c r="J530" s="71"/>
      <c r="K530" s="36" t="s">
        <v>66</v>
      </c>
      <c r="L530" s="78">
        <v>530</v>
      </c>
      <c r="M530" s="78"/>
      <c r="N530" s="73"/>
      <c r="O530" s="80" t="s">
        <v>415</v>
      </c>
      <c r="P530" s="82">
        <v>44628.658182870371</v>
      </c>
      <c r="Q530" s="80" t="s">
        <v>514</v>
      </c>
      <c r="R530" s="83" t="str">
        <f>HYPERLINK("https://buffalohistory.org/event/to-walk-about-in-freedom-lecture/")</f>
        <v>https://buffalohistory.org/event/to-walk-about-in-freedom-lecture/</v>
      </c>
      <c r="S530" s="80" t="s">
        <v>642</v>
      </c>
      <c r="T530" s="85" t="s">
        <v>357</v>
      </c>
      <c r="U530" s="80"/>
      <c r="V530" s="83" t="str">
        <f>HYPERLINK("https://pbs.twimg.com/profile_images/1007353224972693504/8O3_AnHx_normal.jpg")</f>
        <v>https://pbs.twimg.com/profile_images/1007353224972693504/8O3_AnHx_normal.jpg</v>
      </c>
      <c r="W530" s="82">
        <v>44628.658182870371</v>
      </c>
      <c r="X530" s="88">
        <v>44628</v>
      </c>
      <c r="Y530" s="85" t="s">
        <v>1094</v>
      </c>
      <c r="Z530" s="83" t="str">
        <f>HYPERLINK("https://twitter.com/buffalohistory/status/1501223159458111491")</f>
        <v>https://twitter.com/buffalohistory/status/1501223159458111491</v>
      </c>
      <c r="AA530" s="80"/>
      <c r="AB530" s="80"/>
      <c r="AC530" s="85" t="s">
        <v>1545</v>
      </c>
      <c r="AD530" s="80"/>
      <c r="AE530" s="80" t="b">
        <v>0</v>
      </c>
      <c r="AF530" s="80">
        <v>0</v>
      </c>
      <c r="AG530" s="85" t="s">
        <v>1635</v>
      </c>
      <c r="AH530" s="80" t="b">
        <v>0</v>
      </c>
      <c r="AI530" s="80" t="s">
        <v>1642</v>
      </c>
      <c r="AJ530" s="80"/>
      <c r="AK530" s="85" t="s">
        <v>1635</v>
      </c>
      <c r="AL530" s="80" t="b">
        <v>0</v>
      </c>
      <c r="AM530" s="80">
        <v>2</v>
      </c>
      <c r="AN530" s="85" t="s">
        <v>1547</v>
      </c>
      <c r="AO530" s="85" t="s">
        <v>1672</v>
      </c>
      <c r="AP530" s="80" t="b">
        <v>0</v>
      </c>
      <c r="AQ530" s="85" t="s">
        <v>1547</v>
      </c>
      <c r="AR530" s="80" t="s">
        <v>179</v>
      </c>
      <c r="AS530" s="80">
        <v>0</v>
      </c>
      <c r="AT530" s="80">
        <v>0</v>
      </c>
      <c r="AU530" s="80"/>
      <c r="AV530" s="80"/>
      <c r="AW530" s="80"/>
      <c r="AX530" s="80"/>
      <c r="AY530" s="80"/>
      <c r="AZ530" s="80"/>
      <c r="BA530" s="80"/>
      <c r="BB530" s="80"/>
    </row>
    <row r="531" spans="1:54" x14ac:dyDescent="0.25">
      <c r="A531" s="65" t="s">
        <v>376</v>
      </c>
      <c r="B531" s="65" t="s">
        <v>374</v>
      </c>
      <c r="C531" s="66"/>
      <c r="D531" s="67"/>
      <c r="E531" s="68"/>
      <c r="F531" s="69"/>
      <c r="G531" s="66"/>
      <c r="H531" s="70"/>
      <c r="I531" s="71"/>
      <c r="J531" s="71"/>
      <c r="K531" s="36" t="s">
        <v>66</v>
      </c>
      <c r="L531" s="78">
        <v>531</v>
      </c>
      <c r="M531" s="78"/>
      <c r="N531" s="73"/>
      <c r="O531" s="80" t="s">
        <v>415</v>
      </c>
      <c r="P531" s="82">
        <v>44629.649247685185</v>
      </c>
      <c r="Q531" s="80" t="s">
        <v>455</v>
      </c>
      <c r="R531" s="83" t="str">
        <f>HYPERLINK("https://buffalohistory.org/event/to-walk-about-in-freedom-lecture/")</f>
        <v>https://buffalohistory.org/event/to-walk-about-in-freedom-lecture/</v>
      </c>
      <c r="S531" s="80" t="s">
        <v>642</v>
      </c>
      <c r="T531" s="85" t="s">
        <v>357</v>
      </c>
      <c r="U531" s="80"/>
      <c r="V531" s="83" t="str">
        <f>HYPERLINK("https://pbs.twimg.com/profile_images/1007353224972693504/8O3_AnHx_normal.jpg")</f>
        <v>https://pbs.twimg.com/profile_images/1007353224972693504/8O3_AnHx_normal.jpg</v>
      </c>
      <c r="W531" s="82">
        <v>44629.649247685185</v>
      </c>
      <c r="X531" s="88">
        <v>44629</v>
      </c>
      <c r="Y531" s="85" t="s">
        <v>1095</v>
      </c>
      <c r="Z531" s="83" t="str">
        <f>HYPERLINK("https://twitter.com/buffalohistory/status/1501582311174950913")</f>
        <v>https://twitter.com/buffalohistory/status/1501582311174950913</v>
      </c>
      <c r="AA531" s="80"/>
      <c r="AB531" s="80"/>
      <c r="AC531" s="85" t="s">
        <v>1546</v>
      </c>
      <c r="AD531" s="80"/>
      <c r="AE531" s="80" t="b">
        <v>0</v>
      </c>
      <c r="AF531" s="80">
        <v>0</v>
      </c>
      <c r="AG531" s="85" t="s">
        <v>1635</v>
      </c>
      <c r="AH531" s="80" t="b">
        <v>0</v>
      </c>
      <c r="AI531" s="80" t="s">
        <v>1642</v>
      </c>
      <c r="AJ531" s="80"/>
      <c r="AK531" s="85" t="s">
        <v>1635</v>
      </c>
      <c r="AL531" s="80" t="b">
        <v>0</v>
      </c>
      <c r="AM531" s="80">
        <v>4</v>
      </c>
      <c r="AN531" s="85" t="s">
        <v>1549</v>
      </c>
      <c r="AO531" s="85" t="s">
        <v>1672</v>
      </c>
      <c r="AP531" s="80" t="b">
        <v>0</v>
      </c>
      <c r="AQ531" s="85" t="s">
        <v>1549</v>
      </c>
      <c r="AR531" s="80" t="s">
        <v>179</v>
      </c>
      <c r="AS531" s="80">
        <v>0</v>
      </c>
      <c r="AT531" s="80">
        <v>0</v>
      </c>
      <c r="AU531" s="80"/>
      <c r="AV531" s="80"/>
      <c r="AW531" s="80"/>
      <c r="AX531" s="80"/>
      <c r="AY531" s="80"/>
      <c r="AZ531" s="80"/>
      <c r="BA531" s="80"/>
      <c r="BB531" s="80"/>
    </row>
    <row r="532" spans="1:54" x14ac:dyDescent="0.25">
      <c r="A532" s="65" t="s">
        <v>374</v>
      </c>
      <c r="B532" s="65" t="s">
        <v>376</v>
      </c>
      <c r="C532" s="66"/>
      <c r="D532" s="67"/>
      <c r="E532" s="68"/>
      <c r="F532" s="69"/>
      <c r="G532" s="66"/>
      <c r="H532" s="70"/>
      <c r="I532" s="71"/>
      <c r="J532" s="71"/>
      <c r="K532" s="36" t="s">
        <v>66</v>
      </c>
      <c r="L532" s="78">
        <v>532</v>
      </c>
      <c r="M532" s="78"/>
      <c r="N532" s="73"/>
      <c r="O532" s="80" t="s">
        <v>416</v>
      </c>
      <c r="P532" s="82">
        <v>44628.647916666669</v>
      </c>
      <c r="Q532" s="80" t="s">
        <v>514</v>
      </c>
      <c r="R532" s="83" t="str">
        <f>HYPERLINK("https://buffalohistory.org/event/to-walk-about-in-freedom-lecture/")</f>
        <v>https://buffalohistory.org/event/to-walk-about-in-freedom-lecture/</v>
      </c>
      <c r="S532" s="80" t="s">
        <v>642</v>
      </c>
      <c r="T532" s="85" t="s">
        <v>357</v>
      </c>
      <c r="U532" s="80"/>
      <c r="V532" s="83" t="str">
        <f>HYPERLINK("https://pbs.twimg.com/profile_images/984812918112845824/XFCAPcfy_normal.jpg")</f>
        <v>https://pbs.twimg.com/profile_images/984812918112845824/XFCAPcfy_normal.jpg</v>
      </c>
      <c r="W532" s="82">
        <v>44628.647916666669</v>
      </c>
      <c r="X532" s="88">
        <v>44628</v>
      </c>
      <c r="Y532" s="85" t="s">
        <v>1096</v>
      </c>
      <c r="Z532" s="83" t="str">
        <f>HYPERLINK("https://twitter.com/ub_history/status/1501219439395717123")</f>
        <v>https://twitter.com/ub_history/status/1501219439395717123</v>
      </c>
      <c r="AA532" s="80"/>
      <c r="AB532" s="80"/>
      <c r="AC532" s="85" t="s">
        <v>1547</v>
      </c>
      <c r="AD532" s="80"/>
      <c r="AE532" s="80" t="b">
        <v>0</v>
      </c>
      <c r="AF532" s="80">
        <v>7</v>
      </c>
      <c r="AG532" s="85" t="s">
        <v>1635</v>
      </c>
      <c r="AH532" s="80" t="b">
        <v>0</v>
      </c>
      <c r="AI532" s="80" t="s">
        <v>1642</v>
      </c>
      <c r="AJ532" s="80"/>
      <c r="AK532" s="85" t="s">
        <v>1635</v>
      </c>
      <c r="AL532" s="80" t="b">
        <v>0</v>
      </c>
      <c r="AM532" s="80">
        <v>2</v>
      </c>
      <c r="AN532" s="85" t="s">
        <v>1635</v>
      </c>
      <c r="AO532" s="85" t="s">
        <v>1686</v>
      </c>
      <c r="AP532" s="80" t="b">
        <v>0</v>
      </c>
      <c r="AQ532" s="85" t="s">
        <v>1547</v>
      </c>
      <c r="AR532" s="80" t="s">
        <v>179</v>
      </c>
      <c r="AS532" s="80">
        <v>0</v>
      </c>
      <c r="AT532" s="80">
        <v>0</v>
      </c>
      <c r="AU532" s="80"/>
      <c r="AV532" s="80"/>
      <c r="AW532" s="80"/>
      <c r="AX532" s="80"/>
      <c r="AY532" s="80"/>
      <c r="AZ532" s="80"/>
      <c r="BA532" s="80"/>
      <c r="BB532" s="80"/>
    </row>
    <row r="533" spans="1:54" x14ac:dyDescent="0.25">
      <c r="A533" s="65" t="s">
        <v>374</v>
      </c>
      <c r="B533" s="65" t="s">
        <v>376</v>
      </c>
      <c r="C533" s="66"/>
      <c r="D533" s="67"/>
      <c r="E533" s="68"/>
      <c r="F533" s="69"/>
      <c r="G533" s="66"/>
      <c r="H533" s="70"/>
      <c r="I533" s="71"/>
      <c r="J533" s="71"/>
      <c r="K533" s="36" t="s">
        <v>66</v>
      </c>
      <c r="L533" s="78">
        <v>533</v>
      </c>
      <c r="M533" s="78"/>
      <c r="N533" s="73"/>
      <c r="O533" s="80" t="s">
        <v>416</v>
      </c>
      <c r="P533" s="82">
        <v>44629.647916666669</v>
      </c>
      <c r="Q533" s="80" t="s">
        <v>455</v>
      </c>
      <c r="R533" s="83" t="str">
        <f>HYPERLINK("https://buffalohistory.org/event/to-walk-about-in-freedom-lecture/")</f>
        <v>https://buffalohistory.org/event/to-walk-about-in-freedom-lecture/</v>
      </c>
      <c r="S533" s="80" t="s">
        <v>642</v>
      </c>
      <c r="T533" s="85" t="s">
        <v>357</v>
      </c>
      <c r="U533" s="80"/>
      <c r="V533" s="83" t="str">
        <f>HYPERLINK("https://pbs.twimg.com/profile_images/984812918112845824/XFCAPcfy_normal.jpg")</f>
        <v>https://pbs.twimg.com/profile_images/984812918112845824/XFCAPcfy_normal.jpg</v>
      </c>
      <c r="W533" s="82">
        <v>44629.647916666669</v>
      </c>
      <c r="X533" s="88">
        <v>44629</v>
      </c>
      <c r="Y533" s="85" t="s">
        <v>1096</v>
      </c>
      <c r="Z533" s="83" t="str">
        <f>HYPERLINK("https://twitter.com/ub_history/status/1501581827055788035")</f>
        <v>https://twitter.com/ub_history/status/1501581827055788035</v>
      </c>
      <c r="AA533" s="80"/>
      <c r="AB533" s="80"/>
      <c r="AC533" s="85" t="s">
        <v>1549</v>
      </c>
      <c r="AD533" s="80"/>
      <c r="AE533" s="80" t="b">
        <v>0</v>
      </c>
      <c r="AF533" s="80">
        <v>5</v>
      </c>
      <c r="AG533" s="85" t="s">
        <v>1635</v>
      </c>
      <c r="AH533" s="80" t="b">
        <v>0</v>
      </c>
      <c r="AI533" s="80" t="s">
        <v>1642</v>
      </c>
      <c r="AJ533" s="80"/>
      <c r="AK533" s="85" t="s">
        <v>1635</v>
      </c>
      <c r="AL533" s="80" t="b">
        <v>0</v>
      </c>
      <c r="AM533" s="80">
        <v>4</v>
      </c>
      <c r="AN533" s="85" t="s">
        <v>1635</v>
      </c>
      <c r="AO533" s="85" t="s">
        <v>1686</v>
      </c>
      <c r="AP533" s="80" t="b">
        <v>0</v>
      </c>
      <c r="AQ533" s="85" t="s">
        <v>1549</v>
      </c>
      <c r="AR533" s="80" t="s">
        <v>179</v>
      </c>
      <c r="AS533" s="80">
        <v>0</v>
      </c>
      <c r="AT533" s="80">
        <v>0</v>
      </c>
      <c r="AU533" s="80"/>
      <c r="AV533" s="80"/>
      <c r="AW533" s="80"/>
      <c r="AX533" s="80"/>
      <c r="AY533" s="80"/>
      <c r="AZ533" s="80"/>
      <c r="BA533" s="80"/>
      <c r="BB533" s="80"/>
    </row>
    <row r="534" spans="1:54" x14ac:dyDescent="0.25">
      <c r="A534" s="65" t="s">
        <v>374</v>
      </c>
      <c r="B534" s="65" t="s">
        <v>395</v>
      </c>
      <c r="C534" s="66"/>
      <c r="D534" s="67"/>
      <c r="E534" s="68"/>
      <c r="F534" s="69"/>
      <c r="G534" s="66"/>
      <c r="H534" s="70"/>
      <c r="I534" s="71"/>
      <c r="J534" s="71"/>
      <c r="K534" s="36" t="s">
        <v>65</v>
      </c>
      <c r="L534" s="78">
        <v>534</v>
      </c>
      <c r="M534" s="78"/>
      <c r="N534" s="73"/>
      <c r="O534" s="80" t="s">
        <v>416</v>
      </c>
      <c r="P534" s="82">
        <v>44626.815972222219</v>
      </c>
      <c r="Q534" s="80" t="s">
        <v>592</v>
      </c>
      <c r="R534" s="83" t="str">
        <f>HYPERLINK("https://arts-sciences.buffalo.edu/history/news-events/upcoming-events.html")</f>
        <v>https://arts-sciences.buffalo.edu/history/news-events/upcoming-events.html</v>
      </c>
      <c r="S534" s="80" t="s">
        <v>632</v>
      </c>
      <c r="T534" s="85" t="s">
        <v>357</v>
      </c>
      <c r="U534" s="83" t="str">
        <f>HYPERLINK("https://pbs.twimg.com/media/FMtNUyLXIAAY-tg.jpg")</f>
        <v>https://pbs.twimg.com/media/FMtNUyLXIAAY-tg.jpg</v>
      </c>
      <c r="V534" s="83" t="str">
        <f>HYPERLINK("https://pbs.twimg.com/media/FMtNUyLXIAAY-tg.jpg")</f>
        <v>https://pbs.twimg.com/media/FMtNUyLXIAAY-tg.jpg</v>
      </c>
      <c r="W534" s="82">
        <v>44626.815972222219</v>
      </c>
      <c r="X534" s="88">
        <v>44626</v>
      </c>
      <c r="Y534" s="85" t="s">
        <v>1098</v>
      </c>
      <c r="Z534" s="83" t="str">
        <f>HYPERLINK("https://twitter.com/ub_history/status/1500555564635459584")</f>
        <v>https://twitter.com/ub_history/status/1500555564635459584</v>
      </c>
      <c r="AA534" s="80"/>
      <c r="AB534" s="80"/>
      <c r="AC534" s="85" t="s">
        <v>1550</v>
      </c>
      <c r="AD534" s="80"/>
      <c r="AE534" s="80" t="b">
        <v>0</v>
      </c>
      <c r="AF534" s="80">
        <v>0</v>
      </c>
      <c r="AG534" s="85" t="s">
        <v>1635</v>
      </c>
      <c r="AH534" s="80" t="b">
        <v>0</v>
      </c>
      <c r="AI534" s="80" t="s">
        <v>1642</v>
      </c>
      <c r="AJ534" s="80"/>
      <c r="AK534" s="85" t="s">
        <v>1635</v>
      </c>
      <c r="AL534" s="80" t="b">
        <v>0</v>
      </c>
      <c r="AM534" s="80">
        <v>0</v>
      </c>
      <c r="AN534" s="85" t="s">
        <v>1635</v>
      </c>
      <c r="AO534" s="85" t="s">
        <v>1686</v>
      </c>
      <c r="AP534" s="80" t="b">
        <v>0</v>
      </c>
      <c r="AQ534" s="85" t="s">
        <v>1550</v>
      </c>
      <c r="AR534" s="80" t="s">
        <v>179</v>
      </c>
      <c r="AS534" s="80">
        <v>0</v>
      </c>
      <c r="AT534" s="80">
        <v>0</v>
      </c>
      <c r="AU534" s="80"/>
      <c r="AV534" s="80"/>
      <c r="AW534" s="80"/>
      <c r="AX534" s="80"/>
      <c r="AY534" s="80"/>
      <c r="AZ534" s="80"/>
      <c r="BA534" s="80"/>
      <c r="BB534" s="80"/>
    </row>
    <row r="535" spans="1:54" x14ac:dyDescent="0.25">
      <c r="A535" s="65" t="s">
        <v>374</v>
      </c>
      <c r="B535" s="65" t="s">
        <v>395</v>
      </c>
      <c r="C535" s="66"/>
      <c r="D535" s="67"/>
      <c r="E535" s="68"/>
      <c r="F535" s="69"/>
      <c r="G535" s="66"/>
      <c r="H535" s="70"/>
      <c r="I535" s="71"/>
      <c r="J535" s="71"/>
      <c r="K535" s="36" t="s">
        <v>65</v>
      </c>
      <c r="L535" s="78">
        <v>535</v>
      </c>
      <c r="M535" s="78"/>
      <c r="N535" s="73"/>
      <c r="O535" s="80" t="s">
        <v>416</v>
      </c>
      <c r="P535" s="82">
        <v>44629.815972222219</v>
      </c>
      <c r="Q535" s="80" t="s">
        <v>461</v>
      </c>
      <c r="R535" s="83" t="str">
        <f>HYPERLINK("https://arts-sciences.buffalo.edu/history/news-events/upcoming-events.html")</f>
        <v>https://arts-sciences.buffalo.edu/history/news-events/upcoming-events.html</v>
      </c>
      <c r="S535" s="80" t="s">
        <v>632</v>
      </c>
      <c r="T535" s="85" t="s">
        <v>357</v>
      </c>
      <c r="U535" s="83" t="str">
        <f>HYPERLINK("https://pbs.twimg.com/media/FMtNZgTX0AoGlnL.jpg")</f>
        <v>https://pbs.twimg.com/media/FMtNZgTX0AoGlnL.jpg</v>
      </c>
      <c r="V535" s="83" t="str">
        <f>HYPERLINK("https://pbs.twimg.com/media/FMtNZgTX0AoGlnL.jpg")</f>
        <v>https://pbs.twimg.com/media/FMtNZgTX0AoGlnL.jpg</v>
      </c>
      <c r="W535" s="82">
        <v>44629.815972222219</v>
      </c>
      <c r="X535" s="88">
        <v>44629</v>
      </c>
      <c r="Y535" s="85" t="s">
        <v>1098</v>
      </c>
      <c r="Z535" s="83" t="str">
        <f>HYPERLINK("https://twitter.com/ub_history/status/1501642728282591237")</f>
        <v>https://twitter.com/ub_history/status/1501642728282591237</v>
      </c>
      <c r="AA535" s="80"/>
      <c r="AB535" s="80"/>
      <c r="AC535" s="85" t="s">
        <v>1551</v>
      </c>
      <c r="AD535" s="80"/>
      <c r="AE535" s="80" t="b">
        <v>0</v>
      </c>
      <c r="AF535" s="80">
        <v>4</v>
      </c>
      <c r="AG535" s="85" t="s">
        <v>1635</v>
      </c>
      <c r="AH535" s="80" t="b">
        <v>0</v>
      </c>
      <c r="AI535" s="80" t="s">
        <v>1642</v>
      </c>
      <c r="AJ535" s="80"/>
      <c r="AK535" s="85" t="s">
        <v>1635</v>
      </c>
      <c r="AL535" s="80" t="b">
        <v>0</v>
      </c>
      <c r="AM535" s="80">
        <v>2</v>
      </c>
      <c r="AN535" s="85" t="s">
        <v>1635</v>
      </c>
      <c r="AO535" s="85" t="s">
        <v>1686</v>
      </c>
      <c r="AP535" s="80" t="b">
        <v>0</v>
      </c>
      <c r="AQ535" s="85" t="s">
        <v>1551</v>
      </c>
      <c r="AR535" s="80" t="s">
        <v>179</v>
      </c>
      <c r="AS535" s="80">
        <v>0</v>
      </c>
      <c r="AT535" s="80">
        <v>0</v>
      </c>
      <c r="AU535" s="80"/>
      <c r="AV535" s="80"/>
      <c r="AW535" s="80"/>
      <c r="AX535" s="80"/>
      <c r="AY535" s="80"/>
      <c r="AZ535" s="80"/>
      <c r="BA535" s="80"/>
      <c r="BB535" s="80"/>
    </row>
    <row r="536" spans="1:54" x14ac:dyDescent="0.25">
      <c r="A536" s="65" t="s">
        <v>374</v>
      </c>
      <c r="B536" s="65" t="s">
        <v>395</v>
      </c>
      <c r="C536" s="66"/>
      <c r="D536" s="67"/>
      <c r="E536" s="68"/>
      <c r="F536" s="69"/>
      <c r="G536" s="66"/>
      <c r="H536" s="70"/>
      <c r="I536" s="71"/>
      <c r="J536" s="71"/>
      <c r="K536" s="36" t="s">
        <v>65</v>
      </c>
      <c r="L536" s="78">
        <v>536</v>
      </c>
      <c r="M536" s="78"/>
      <c r="N536" s="73"/>
      <c r="O536" s="80" t="s">
        <v>416</v>
      </c>
      <c r="P536" s="82">
        <v>44631.583356481482</v>
      </c>
      <c r="Q536" s="80" t="s">
        <v>593</v>
      </c>
      <c r="R536" s="83" t="str">
        <f>HYPERLINK("https://arts-sciences.buffalo.edu/history/news-events/upcoming-events.html")</f>
        <v>https://arts-sciences.buffalo.edu/history/news-events/upcoming-events.html</v>
      </c>
      <c r="S536" s="80" t="s">
        <v>632</v>
      </c>
      <c r="T536" s="85" t="s">
        <v>357</v>
      </c>
      <c r="U536" s="83" t="str">
        <f>HYPERLINK("https://pbs.twimg.com/media/FMtNejgXMAceR_1.jpg")</f>
        <v>https://pbs.twimg.com/media/FMtNejgXMAceR_1.jpg</v>
      </c>
      <c r="V536" s="83" t="str">
        <f>HYPERLINK("https://pbs.twimg.com/media/FMtNejgXMAceR_1.jpg")</f>
        <v>https://pbs.twimg.com/media/FMtNejgXMAceR_1.jpg</v>
      </c>
      <c r="W536" s="82">
        <v>44631.583356481482</v>
      </c>
      <c r="X536" s="88">
        <v>44631</v>
      </c>
      <c r="Y536" s="85" t="s">
        <v>1099</v>
      </c>
      <c r="Z536" s="83" t="str">
        <f>HYPERLINK("https://twitter.com/ub_history/status/1502283208083349507")</f>
        <v>https://twitter.com/ub_history/status/1502283208083349507</v>
      </c>
      <c r="AA536" s="80"/>
      <c r="AB536" s="80"/>
      <c r="AC536" s="85" t="s">
        <v>1552</v>
      </c>
      <c r="AD536" s="80"/>
      <c r="AE536" s="80" t="b">
        <v>0</v>
      </c>
      <c r="AF536" s="80">
        <v>1</v>
      </c>
      <c r="AG536" s="85" t="s">
        <v>1635</v>
      </c>
      <c r="AH536" s="80" t="b">
        <v>0</v>
      </c>
      <c r="AI536" s="80" t="s">
        <v>1642</v>
      </c>
      <c r="AJ536" s="80"/>
      <c r="AK536" s="85" t="s">
        <v>1635</v>
      </c>
      <c r="AL536" s="80" t="b">
        <v>0</v>
      </c>
      <c r="AM536" s="80">
        <v>0</v>
      </c>
      <c r="AN536" s="85" t="s">
        <v>1635</v>
      </c>
      <c r="AO536" s="85" t="s">
        <v>1686</v>
      </c>
      <c r="AP536" s="80" t="b">
        <v>0</v>
      </c>
      <c r="AQ536" s="85" t="s">
        <v>1552</v>
      </c>
      <c r="AR536" s="80" t="s">
        <v>179</v>
      </c>
      <c r="AS536" s="80">
        <v>0</v>
      </c>
      <c r="AT536" s="80">
        <v>0</v>
      </c>
      <c r="AU536" s="80"/>
      <c r="AV536" s="80"/>
      <c r="AW536" s="80"/>
      <c r="AX536" s="80"/>
      <c r="AY536" s="80"/>
      <c r="AZ536" s="80"/>
      <c r="BA536" s="80"/>
      <c r="BB536" s="80"/>
    </row>
    <row r="537" spans="1:54" x14ac:dyDescent="0.25">
      <c r="A537" s="65" t="s">
        <v>374</v>
      </c>
      <c r="B537" s="65" t="s">
        <v>403</v>
      </c>
      <c r="C537" s="66"/>
      <c r="D537" s="67"/>
      <c r="E537" s="68"/>
      <c r="F537" s="69"/>
      <c r="G537" s="66"/>
      <c r="H537" s="70"/>
      <c r="I537" s="71"/>
      <c r="J537" s="71"/>
      <c r="K537" s="36" t="s">
        <v>65</v>
      </c>
      <c r="L537" s="78">
        <v>537</v>
      </c>
      <c r="M537" s="78"/>
      <c r="N537" s="73"/>
      <c r="O537" s="80" t="s">
        <v>416</v>
      </c>
      <c r="P537" s="82">
        <v>44627.716041666667</v>
      </c>
      <c r="Q537" s="80" t="s">
        <v>594</v>
      </c>
      <c r="R537" s="83" t="str">
        <f>HYPERLINK("https://arts-sciences.buffalo.edu/history/news-events/upcoming-events.html")</f>
        <v>https://arts-sciences.buffalo.edu/history/news-events/upcoming-events.html</v>
      </c>
      <c r="S537" s="80" t="s">
        <v>632</v>
      </c>
      <c r="T537" s="85" t="s">
        <v>357</v>
      </c>
      <c r="U537" s="83" t="str">
        <f>HYPERLINK("https://pbs.twimg.com/media/FNQz8vUXsAAbsXM.jpg")</f>
        <v>https://pbs.twimg.com/media/FNQz8vUXsAAbsXM.jpg</v>
      </c>
      <c r="V537" s="83" t="str">
        <f>HYPERLINK("https://pbs.twimg.com/media/FNQz8vUXsAAbsXM.jpg")</f>
        <v>https://pbs.twimg.com/media/FNQz8vUXsAAbsXM.jpg</v>
      </c>
      <c r="W537" s="82">
        <v>44627.716041666667</v>
      </c>
      <c r="X537" s="88">
        <v>44627</v>
      </c>
      <c r="Y537" s="85" t="s">
        <v>1100</v>
      </c>
      <c r="Z537" s="83" t="str">
        <f>HYPERLINK("https://twitter.com/ub_history/status/1500881741359333384")</f>
        <v>https://twitter.com/ub_history/status/1500881741359333384</v>
      </c>
      <c r="AA537" s="80"/>
      <c r="AB537" s="80"/>
      <c r="AC537" s="85" t="s">
        <v>1553</v>
      </c>
      <c r="AD537" s="80"/>
      <c r="AE537" s="80" t="b">
        <v>0</v>
      </c>
      <c r="AF537" s="80">
        <v>0</v>
      </c>
      <c r="AG537" s="85" t="s">
        <v>1635</v>
      </c>
      <c r="AH537" s="80" t="b">
        <v>0</v>
      </c>
      <c r="AI537" s="80" t="s">
        <v>1642</v>
      </c>
      <c r="AJ537" s="80"/>
      <c r="AK537" s="85" t="s">
        <v>1635</v>
      </c>
      <c r="AL537" s="80" t="b">
        <v>0</v>
      </c>
      <c r="AM537" s="80">
        <v>0</v>
      </c>
      <c r="AN537" s="85" t="s">
        <v>1635</v>
      </c>
      <c r="AO537" s="85" t="s">
        <v>1672</v>
      </c>
      <c r="AP537" s="80" t="b">
        <v>0</v>
      </c>
      <c r="AQ537" s="85" t="s">
        <v>1553</v>
      </c>
      <c r="AR537" s="80" t="s">
        <v>179</v>
      </c>
      <c r="AS537" s="80">
        <v>0</v>
      </c>
      <c r="AT537" s="80">
        <v>0</v>
      </c>
      <c r="AU537" s="80"/>
      <c r="AV537" s="80"/>
      <c r="AW537" s="80"/>
      <c r="AX537" s="80"/>
      <c r="AY537" s="80"/>
      <c r="AZ537" s="80"/>
      <c r="BA537" s="80"/>
      <c r="BB537" s="80"/>
    </row>
    <row r="538" spans="1:54" x14ac:dyDescent="0.25">
      <c r="A538" s="65" t="s">
        <v>374</v>
      </c>
      <c r="B538" s="65" t="s">
        <v>403</v>
      </c>
      <c r="C538" s="66"/>
      <c r="D538" s="67"/>
      <c r="E538" s="68"/>
      <c r="F538" s="69"/>
      <c r="G538" s="66"/>
      <c r="H538" s="70"/>
      <c r="I538" s="71"/>
      <c r="J538" s="71"/>
      <c r="K538" s="36" t="s">
        <v>65</v>
      </c>
      <c r="L538" s="78">
        <v>538</v>
      </c>
      <c r="M538" s="78"/>
      <c r="N538" s="73"/>
      <c r="O538" s="80" t="s">
        <v>416</v>
      </c>
      <c r="P538" s="82">
        <v>44632.729861111111</v>
      </c>
      <c r="Q538" s="80" t="s">
        <v>495</v>
      </c>
      <c r="R538" s="83" t="str">
        <f>HYPERLINK("https://arts-sciences.buffalo.edu/history/news-events/upcoming-events.html")</f>
        <v>https://arts-sciences.buffalo.edu/history/news-events/upcoming-events.html</v>
      </c>
      <c r="S538" s="80" t="s">
        <v>632</v>
      </c>
      <c r="T538" s="85" t="s">
        <v>357</v>
      </c>
      <c r="U538" s="83" t="str">
        <f>HYPERLINK("https://pbs.twimg.com/media/FNQ0FysXwAM7dEH.jpg")</f>
        <v>https://pbs.twimg.com/media/FNQ0FysXwAM7dEH.jpg</v>
      </c>
      <c r="V538" s="83" t="str">
        <f>HYPERLINK("https://pbs.twimg.com/media/FNQ0FysXwAM7dEH.jpg")</f>
        <v>https://pbs.twimg.com/media/FNQ0FysXwAM7dEH.jpg</v>
      </c>
      <c r="W538" s="82">
        <v>44632.729861111111</v>
      </c>
      <c r="X538" s="88">
        <v>44632</v>
      </c>
      <c r="Y538" s="85" t="s">
        <v>1101</v>
      </c>
      <c r="Z538" s="83" t="str">
        <f>HYPERLINK("https://twitter.com/ub_history/status/1502698686266019840")</f>
        <v>https://twitter.com/ub_history/status/1502698686266019840</v>
      </c>
      <c r="AA538" s="80"/>
      <c r="AB538" s="80"/>
      <c r="AC538" s="85" t="s">
        <v>1554</v>
      </c>
      <c r="AD538" s="80"/>
      <c r="AE538" s="80" t="b">
        <v>0</v>
      </c>
      <c r="AF538" s="80">
        <v>4</v>
      </c>
      <c r="AG538" s="85" t="s">
        <v>1635</v>
      </c>
      <c r="AH538" s="80" t="b">
        <v>0</v>
      </c>
      <c r="AI538" s="80" t="s">
        <v>1642</v>
      </c>
      <c r="AJ538" s="80"/>
      <c r="AK538" s="85" t="s">
        <v>1635</v>
      </c>
      <c r="AL538" s="80" t="b">
        <v>0</v>
      </c>
      <c r="AM538" s="80">
        <v>1</v>
      </c>
      <c r="AN538" s="85" t="s">
        <v>1635</v>
      </c>
      <c r="AO538" s="85" t="s">
        <v>1686</v>
      </c>
      <c r="AP538" s="80" t="b">
        <v>0</v>
      </c>
      <c r="AQ538" s="85" t="s">
        <v>1554</v>
      </c>
      <c r="AR538" s="80" t="s">
        <v>179</v>
      </c>
      <c r="AS538" s="80">
        <v>0</v>
      </c>
      <c r="AT538" s="80">
        <v>0</v>
      </c>
      <c r="AU538" s="80"/>
      <c r="AV538" s="80"/>
      <c r="AW538" s="80"/>
      <c r="AX538" s="80"/>
      <c r="AY538" s="80"/>
      <c r="AZ538" s="80"/>
      <c r="BA538" s="80"/>
      <c r="BB538" s="80"/>
    </row>
    <row r="539" spans="1:54" x14ac:dyDescent="0.25">
      <c r="A539" s="65" t="s">
        <v>377</v>
      </c>
      <c r="B539" s="65" t="s">
        <v>411</v>
      </c>
      <c r="C539" s="66"/>
      <c r="D539" s="67"/>
      <c r="E539" s="68"/>
      <c r="F539" s="69"/>
      <c r="G539" s="66"/>
      <c r="H539" s="70"/>
      <c r="I539" s="71"/>
      <c r="J539" s="71"/>
      <c r="K539" s="36" t="s">
        <v>65</v>
      </c>
      <c r="L539" s="78">
        <v>539</v>
      </c>
      <c r="M539" s="78"/>
      <c r="N539" s="73"/>
      <c r="O539" s="80" t="s">
        <v>416</v>
      </c>
      <c r="P539" s="82">
        <v>44627.654918981483</v>
      </c>
      <c r="Q539" s="80" t="s">
        <v>595</v>
      </c>
      <c r="R539" s="83" t="str">
        <f>HYPERLINK("https://www.buffalo.edu/eln/students/project-portal.html")</f>
        <v>https://www.buffalo.edu/eln/students/project-portal.html</v>
      </c>
      <c r="S539" s="80" t="s">
        <v>632</v>
      </c>
      <c r="T539" s="85" t="s">
        <v>357</v>
      </c>
      <c r="U539" s="83" t="str">
        <f>HYPERLINK("https://pbs.twimg.com/media/FNQf1skWQAQEdj3.jpg")</f>
        <v>https://pbs.twimg.com/media/FNQf1skWQAQEdj3.jpg</v>
      </c>
      <c r="V539" s="83" t="str">
        <f>HYPERLINK("https://pbs.twimg.com/media/FNQf1skWQAQEdj3.jpg")</f>
        <v>https://pbs.twimg.com/media/FNQf1skWQAQEdj3.jpg</v>
      </c>
      <c r="W539" s="82">
        <v>44627.654918981483</v>
      </c>
      <c r="X539" s="88">
        <v>44627</v>
      </c>
      <c r="Y539" s="85" t="s">
        <v>1102</v>
      </c>
      <c r="Z539" s="83" t="str">
        <f>HYPERLINK("https://twitter.com/ubstudentexp/status/1500859590497423363")</f>
        <v>https://twitter.com/ubstudentexp/status/1500859590497423363</v>
      </c>
      <c r="AA539" s="80"/>
      <c r="AB539" s="80"/>
      <c r="AC539" s="85" t="s">
        <v>1555</v>
      </c>
      <c r="AD539" s="80"/>
      <c r="AE539" s="80" t="b">
        <v>0</v>
      </c>
      <c r="AF539" s="80">
        <v>2</v>
      </c>
      <c r="AG539" s="85" t="s">
        <v>1635</v>
      </c>
      <c r="AH539" s="80" t="b">
        <v>0</v>
      </c>
      <c r="AI539" s="80" t="s">
        <v>1642</v>
      </c>
      <c r="AJ539" s="80"/>
      <c r="AK539" s="85" t="s">
        <v>1635</v>
      </c>
      <c r="AL539" s="80" t="b">
        <v>0</v>
      </c>
      <c r="AM539" s="80">
        <v>0</v>
      </c>
      <c r="AN539" s="85" t="s">
        <v>1635</v>
      </c>
      <c r="AO539" s="85" t="s">
        <v>1679</v>
      </c>
      <c r="AP539" s="80" t="b">
        <v>0</v>
      </c>
      <c r="AQ539" s="85" t="s">
        <v>1555</v>
      </c>
      <c r="AR539" s="80" t="s">
        <v>179</v>
      </c>
      <c r="AS539" s="80">
        <v>0</v>
      </c>
      <c r="AT539" s="80">
        <v>0</v>
      </c>
      <c r="AU539" s="80"/>
      <c r="AV539" s="80"/>
      <c r="AW539" s="80"/>
      <c r="AX539" s="80"/>
      <c r="AY539" s="80"/>
      <c r="AZ539" s="80"/>
      <c r="BA539" s="80"/>
      <c r="BB539" s="80"/>
    </row>
    <row r="540" spans="1:54" x14ac:dyDescent="0.25">
      <c r="A540" s="65" t="s">
        <v>357</v>
      </c>
      <c r="B540" s="65" t="s">
        <v>368</v>
      </c>
      <c r="C540" s="66"/>
      <c r="D540" s="67"/>
      <c r="E540" s="68"/>
      <c r="F540" s="69"/>
      <c r="G540" s="66"/>
      <c r="H540" s="70"/>
      <c r="I540" s="71"/>
      <c r="J540" s="71"/>
      <c r="K540" s="36" t="s">
        <v>66</v>
      </c>
      <c r="L540" s="78">
        <v>540</v>
      </c>
      <c r="M540" s="78"/>
      <c r="N540" s="73"/>
      <c r="O540" s="80" t="s">
        <v>416</v>
      </c>
      <c r="P540" s="82">
        <v>44616.877372685187</v>
      </c>
      <c r="Q540" s="80" t="s">
        <v>454</v>
      </c>
      <c r="R540" s="80"/>
      <c r="S540" s="80"/>
      <c r="T540" s="85" t="s">
        <v>357</v>
      </c>
      <c r="U540" s="83" t="str">
        <f>HYPERLINK("https://pbs.twimg.com/media/FMY_mKKXEAgeZPp.jpg")</f>
        <v>https://pbs.twimg.com/media/FMY_mKKXEAgeZPp.jpg</v>
      </c>
      <c r="V540" s="83" t="str">
        <f>HYPERLINK("https://pbs.twimg.com/media/FMY_mKKXEAgeZPp.jpg")</f>
        <v>https://pbs.twimg.com/media/FMY_mKKXEAgeZPp.jpg</v>
      </c>
      <c r="W540" s="82">
        <v>44616.877372685187</v>
      </c>
      <c r="X540" s="88">
        <v>44616</v>
      </c>
      <c r="Y540" s="85" t="s">
        <v>1103</v>
      </c>
      <c r="Z540" s="83" t="str">
        <f>HYPERLINK("https://twitter.com/ubuffalo/status/1496953938578493443")</f>
        <v>https://twitter.com/ubuffalo/status/1496953938578493443</v>
      </c>
      <c r="AA540" s="80"/>
      <c r="AB540" s="80"/>
      <c r="AC540" s="85" t="s">
        <v>1556</v>
      </c>
      <c r="AD540" s="80"/>
      <c r="AE540" s="80" t="b">
        <v>0</v>
      </c>
      <c r="AF540" s="80">
        <v>37</v>
      </c>
      <c r="AG540" s="85" t="s">
        <v>1635</v>
      </c>
      <c r="AH540" s="80" t="b">
        <v>0</v>
      </c>
      <c r="AI540" s="80" t="s">
        <v>1642</v>
      </c>
      <c r="AJ540" s="80"/>
      <c r="AK540" s="85" t="s">
        <v>1635</v>
      </c>
      <c r="AL540" s="80" t="b">
        <v>0</v>
      </c>
      <c r="AM540" s="80">
        <v>7</v>
      </c>
      <c r="AN540" s="85" t="s">
        <v>1635</v>
      </c>
      <c r="AO540" s="85" t="s">
        <v>1679</v>
      </c>
      <c r="AP540" s="80" t="b">
        <v>0</v>
      </c>
      <c r="AQ540" s="85" t="s">
        <v>1556</v>
      </c>
      <c r="AR540" s="80" t="s">
        <v>415</v>
      </c>
      <c r="AS540" s="80">
        <v>0</v>
      </c>
      <c r="AT540" s="80">
        <v>0</v>
      </c>
      <c r="AU540" s="80"/>
      <c r="AV540" s="80"/>
      <c r="AW540" s="80"/>
      <c r="AX540" s="80"/>
      <c r="AY540" s="80"/>
      <c r="AZ540" s="80"/>
      <c r="BA540" s="80"/>
      <c r="BB540" s="80"/>
    </row>
    <row r="541" spans="1:54" x14ac:dyDescent="0.25">
      <c r="A541" s="65" t="s">
        <v>357</v>
      </c>
      <c r="B541" s="65" t="s">
        <v>368</v>
      </c>
      <c r="C541" s="66"/>
      <c r="D541" s="67"/>
      <c r="E541" s="68"/>
      <c r="F541" s="69"/>
      <c r="G541" s="66"/>
      <c r="H541" s="70"/>
      <c r="I541" s="71"/>
      <c r="J541" s="71"/>
      <c r="K541" s="36" t="s">
        <v>66</v>
      </c>
      <c r="L541" s="78">
        <v>541</v>
      </c>
      <c r="M541" s="78"/>
      <c r="N541" s="73"/>
      <c r="O541" s="80" t="s">
        <v>415</v>
      </c>
      <c r="P541" s="82">
        <v>44629.800428240742</v>
      </c>
      <c r="Q541" s="80" t="s">
        <v>450</v>
      </c>
      <c r="R541" s="80"/>
      <c r="S541" s="80"/>
      <c r="T541" s="85" t="s">
        <v>357</v>
      </c>
      <c r="U541" s="83" t="str">
        <f>HYPERLINK("https://pbs.twimg.com/ext_tw_video_thumb/1501561093814165506/pu/img/zcMRFGF0HHs8KwPm.jpg")</f>
        <v>https://pbs.twimg.com/ext_tw_video_thumb/1501561093814165506/pu/img/zcMRFGF0HHs8KwPm.jpg</v>
      </c>
      <c r="V541" s="83" t="str">
        <f>HYPERLINK("https://pbs.twimg.com/ext_tw_video_thumb/1501561093814165506/pu/img/zcMRFGF0HHs8KwPm.jpg")</f>
        <v>https://pbs.twimg.com/ext_tw_video_thumb/1501561093814165506/pu/img/zcMRFGF0HHs8KwPm.jpg</v>
      </c>
      <c r="W541" s="82">
        <v>44629.800428240742</v>
      </c>
      <c r="X541" s="88">
        <v>44629</v>
      </c>
      <c r="Y541" s="85" t="s">
        <v>1104</v>
      </c>
      <c r="Z541" s="83" t="str">
        <f>HYPERLINK("https://twitter.com/ubuffalo/status/1501637097060458501")</f>
        <v>https://twitter.com/ubuffalo/status/1501637097060458501</v>
      </c>
      <c r="AA541" s="80"/>
      <c r="AB541" s="80"/>
      <c r="AC541" s="85" t="s">
        <v>1557</v>
      </c>
      <c r="AD541" s="80"/>
      <c r="AE541" s="80" t="b">
        <v>0</v>
      </c>
      <c r="AF541" s="80">
        <v>0</v>
      </c>
      <c r="AG541" s="85" t="s">
        <v>1635</v>
      </c>
      <c r="AH541" s="80" t="b">
        <v>0</v>
      </c>
      <c r="AI541" s="80" t="s">
        <v>1642</v>
      </c>
      <c r="AJ541" s="80"/>
      <c r="AK541" s="85" t="s">
        <v>1635</v>
      </c>
      <c r="AL541" s="80" t="b">
        <v>0</v>
      </c>
      <c r="AM541" s="80">
        <v>5</v>
      </c>
      <c r="AN541" s="85" t="s">
        <v>1560</v>
      </c>
      <c r="AO541" s="85" t="s">
        <v>1672</v>
      </c>
      <c r="AP541" s="80" t="b">
        <v>0</v>
      </c>
      <c r="AQ541" s="85" t="s">
        <v>1560</v>
      </c>
      <c r="AR541" s="80" t="s">
        <v>179</v>
      </c>
      <c r="AS541" s="80">
        <v>0</v>
      </c>
      <c r="AT541" s="80">
        <v>0</v>
      </c>
      <c r="AU541" s="80"/>
      <c r="AV541" s="80"/>
      <c r="AW541" s="80"/>
      <c r="AX541" s="80"/>
      <c r="AY541" s="80"/>
      <c r="AZ541" s="80"/>
      <c r="BA541" s="80"/>
      <c r="BB541" s="80"/>
    </row>
    <row r="542" spans="1:54" x14ac:dyDescent="0.25">
      <c r="A542" s="65" t="s">
        <v>357</v>
      </c>
      <c r="B542" s="65" t="s">
        <v>368</v>
      </c>
      <c r="C542" s="66"/>
      <c r="D542" s="67"/>
      <c r="E542" s="68"/>
      <c r="F542" s="69"/>
      <c r="G542" s="66"/>
      <c r="H542" s="70"/>
      <c r="I542" s="71"/>
      <c r="J542" s="71"/>
      <c r="K542" s="36" t="s">
        <v>66</v>
      </c>
      <c r="L542" s="78">
        <v>542</v>
      </c>
      <c r="M542" s="78"/>
      <c r="N542" s="73"/>
      <c r="O542" s="80" t="s">
        <v>415</v>
      </c>
      <c r="P542" s="82">
        <v>44630.880254629628</v>
      </c>
      <c r="Q542" s="80" t="s">
        <v>584</v>
      </c>
      <c r="R542" s="83" t="str">
        <f>HYPERLINK("https://www.buffalo.edu/ubit/service-guides/computing-sites/north-campus/levelup.html")</f>
        <v>https://www.buffalo.edu/ubit/service-guides/computing-sites/north-campus/levelup.html</v>
      </c>
      <c r="S542" s="80" t="s">
        <v>632</v>
      </c>
      <c r="T542" s="85" t="s">
        <v>357</v>
      </c>
      <c r="U542" s="83" t="str">
        <f>HYPERLINK("https://pbs.twimg.com/media/FNgYybyWQAQ_ARr.jpg")</f>
        <v>https://pbs.twimg.com/media/FNgYybyWQAQ_ARr.jpg</v>
      </c>
      <c r="V542" s="83" t="str">
        <f>HYPERLINK("https://pbs.twimg.com/media/FNgYybyWQAQ_ARr.jpg")</f>
        <v>https://pbs.twimg.com/media/FNgYybyWQAQ_ARr.jpg</v>
      </c>
      <c r="W542" s="82">
        <v>44630.880254629628</v>
      </c>
      <c r="X542" s="88">
        <v>44630</v>
      </c>
      <c r="Y542" s="85" t="s">
        <v>1105</v>
      </c>
      <c r="Z542" s="83" t="str">
        <f>HYPERLINK("https://twitter.com/ubuffalo/status/1502028412919193601")</f>
        <v>https://twitter.com/ubuffalo/status/1502028412919193601</v>
      </c>
      <c r="AA542" s="80"/>
      <c r="AB542" s="80"/>
      <c r="AC542" s="85" t="s">
        <v>1558</v>
      </c>
      <c r="AD542" s="80"/>
      <c r="AE542" s="80" t="b">
        <v>0</v>
      </c>
      <c r="AF542" s="80">
        <v>0</v>
      </c>
      <c r="AG542" s="85" t="s">
        <v>1635</v>
      </c>
      <c r="AH542" s="80" t="b">
        <v>0</v>
      </c>
      <c r="AI542" s="80" t="s">
        <v>1642</v>
      </c>
      <c r="AJ542" s="80"/>
      <c r="AK542" s="85" t="s">
        <v>1635</v>
      </c>
      <c r="AL542" s="80" t="b">
        <v>0</v>
      </c>
      <c r="AM542" s="80">
        <v>3</v>
      </c>
      <c r="AN542" s="85" t="s">
        <v>1562</v>
      </c>
      <c r="AO542" s="85" t="s">
        <v>1672</v>
      </c>
      <c r="AP542" s="80" t="b">
        <v>0</v>
      </c>
      <c r="AQ542" s="85" t="s">
        <v>1562</v>
      </c>
      <c r="AR542" s="80" t="s">
        <v>179</v>
      </c>
      <c r="AS542" s="80">
        <v>0</v>
      </c>
      <c r="AT542" s="80">
        <v>0</v>
      </c>
      <c r="AU542" s="80"/>
      <c r="AV542" s="80"/>
      <c r="AW542" s="80"/>
      <c r="AX542" s="80"/>
      <c r="AY542" s="80"/>
      <c r="AZ542" s="80"/>
      <c r="BA542" s="80"/>
      <c r="BB542" s="80"/>
    </row>
    <row r="543" spans="1:54" x14ac:dyDescent="0.25">
      <c r="A543" s="65" t="s">
        <v>357</v>
      </c>
      <c r="B543" s="65" t="s">
        <v>368</v>
      </c>
      <c r="C543" s="66"/>
      <c r="D543" s="67"/>
      <c r="E543" s="68"/>
      <c r="F543" s="69"/>
      <c r="G543" s="66"/>
      <c r="H543" s="70"/>
      <c r="I543" s="71"/>
      <c r="J543" s="71"/>
      <c r="K543" s="36" t="s">
        <v>66</v>
      </c>
      <c r="L543" s="78">
        <v>543</v>
      </c>
      <c r="M543" s="78"/>
      <c r="N543" s="73"/>
      <c r="O543" s="80" t="s">
        <v>415</v>
      </c>
      <c r="P543" s="82">
        <v>44630.880937499998</v>
      </c>
      <c r="Q543" s="80" t="s">
        <v>596</v>
      </c>
      <c r="R543" s="83" t="str">
        <f>HYPERLINK("http://www.buffalo.edu/studentlife/who-we-are/departments/health-promotion.html")</f>
        <v>http://www.buffalo.edu/studentlife/who-we-are/departments/health-promotion.html</v>
      </c>
      <c r="S543" s="80" t="s">
        <v>632</v>
      </c>
      <c r="T543" s="85" t="s">
        <v>357</v>
      </c>
      <c r="U543" s="83" t="str">
        <f>HYPERLINK("https://pbs.twimg.com/media/FNf6ENTUYAMK4OF.jpg")</f>
        <v>https://pbs.twimg.com/media/FNf6ENTUYAMK4OF.jpg</v>
      </c>
      <c r="V543" s="83" t="str">
        <f>HYPERLINK("https://pbs.twimg.com/media/FNf6ENTUYAMK4OF.jpg")</f>
        <v>https://pbs.twimg.com/media/FNf6ENTUYAMK4OF.jpg</v>
      </c>
      <c r="W543" s="82">
        <v>44630.880937499998</v>
      </c>
      <c r="X543" s="88">
        <v>44630</v>
      </c>
      <c r="Y543" s="85" t="s">
        <v>1106</v>
      </c>
      <c r="Z543" s="83" t="str">
        <f>HYPERLINK("https://twitter.com/ubuffalo/status/1502028661209415688")</f>
        <v>https://twitter.com/ubuffalo/status/1502028661209415688</v>
      </c>
      <c r="AA543" s="80"/>
      <c r="AB543" s="80"/>
      <c r="AC543" s="85" t="s">
        <v>1559</v>
      </c>
      <c r="AD543" s="80"/>
      <c r="AE543" s="80" t="b">
        <v>0</v>
      </c>
      <c r="AF543" s="80">
        <v>0</v>
      </c>
      <c r="AG543" s="85" t="s">
        <v>1635</v>
      </c>
      <c r="AH543" s="80" t="b">
        <v>0</v>
      </c>
      <c r="AI543" s="80" t="s">
        <v>1642</v>
      </c>
      <c r="AJ543" s="80"/>
      <c r="AK543" s="85" t="s">
        <v>1635</v>
      </c>
      <c r="AL543" s="80" t="b">
        <v>0</v>
      </c>
      <c r="AM543" s="80">
        <v>1</v>
      </c>
      <c r="AN543" s="85" t="s">
        <v>1561</v>
      </c>
      <c r="AO543" s="85" t="s">
        <v>1672</v>
      </c>
      <c r="AP543" s="80" t="b">
        <v>0</v>
      </c>
      <c r="AQ543" s="85" t="s">
        <v>1561</v>
      </c>
      <c r="AR543" s="80" t="s">
        <v>179</v>
      </c>
      <c r="AS543" s="80">
        <v>0</v>
      </c>
      <c r="AT543" s="80">
        <v>0</v>
      </c>
      <c r="AU543" s="80"/>
      <c r="AV543" s="80"/>
      <c r="AW543" s="80"/>
      <c r="AX543" s="80"/>
      <c r="AY543" s="80"/>
      <c r="AZ543" s="80"/>
      <c r="BA543" s="80"/>
      <c r="BB543" s="80"/>
    </row>
    <row r="544" spans="1:54" x14ac:dyDescent="0.25">
      <c r="A544" s="65" t="s">
        <v>368</v>
      </c>
      <c r="B544" s="65" t="s">
        <v>368</v>
      </c>
      <c r="C544" s="66"/>
      <c r="D544" s="67"/>
      <c r="E544" s="68"/>
      <c r="F544" s="69"/>
      <c r="G544" s="66"/>
      <c r="H544" s="70"/>
      <c r="I544" s="71"/>
      <c r="J544" s="71"/>
      <c r="K544" s="36" t="s">
        <v>65</v>
      </c>
      <c r="L544" s="78">
        <v>544</v>
      </c>
      <c r="M544" s="78"/>
      <c r="N544" s="73"/>
      <c r="O544" s="80" t="s">
        <v>179</v>
      </c>
      <c r="P544" s="82">
        <v>44629.766724537039</v>
      </c>
      <c r="Q544" s="80" t="s">
        <v>450</v>
      </c>
      <c r="R544" s="80"/>
      <c r="S544" s="80"/>
      <c r="T544" s="85" t="s">
        <v>357</v>
      </c>
      <c r="U544" s="83" t="str">
        <f>HYPERLINK("https://pbs.twimg.com/ext_tw_video_thumb/1501561093814165506/pu/img/zcMRFGF0HHs8KwPm.jpg")</f>
        <v>https://pbs.twimg.com/ext_tw_video_thumb/1501561093814165506/pu/img/zcMRFGF0HHs8KwPm.jpg</v>
      </c>
      <c r="V544" s="83" t="str">
        <f>HYPERLINK("https://pbs.twimg.com/ext_tw_video_thumb/1501561093814165506/pu/img/zcMRFGF0HHs8KwPm.jpg")</f>
        <v>https://pbs.twimg.com/ext_tw_video_thumb/1501561093814165506/pu/img/zcMRFGF0HHs8KwPm.jpg</v>
      </c>
      <c r="W544" s="82">
        <v>44629.766724537039</v>
      </c>
      <c r="X544" s="88">
        <v>44629</v>
      </c>
      <c r="Y544" s="85" t="s">
        <v>1107</v>
      </c>
      <c r="Z544" s="83" t="str">
        <f>HYPERLINK("https://twitter.com/ubinfotech/status/1501624884052561921")</f>
        <v>https://twitter.com/ubinfotech/status/1501624884052561921</v>
      </c>
      <c r="AA544" s="80"/>
      <c r="AB544" s="80"/>
      <c r="AC544" s="85" t="s">
        <v>1560</v>
      </c>
      <c r="AD544" s="80"/>
      <c r="AE544" s="80" t="b">
        <v>0</v>
      </c>
      <c r="AF544" s="80">
        <v>22</v>
      </c>
      <c r="AG544" s="85" t="s">
        <v>1635</v>
      </c>
      <c r="AH544" s="80" t="b">
        <v>0</v>
      </c>
      <c r="AI544" s="80" t="s">
        <v>1642</v>
      </c>
      <c r="AJ544" s="80"/>
      <c r="AK544" s="85" t="s">
        <v>1635</v>
      </c>
      <c r="AL544" s="80" t="b">
        <v>0</v>
      </c>
      <c r="AM544" s="80">
        <v>5</v>
      </c>
      <c r="AN544" s="85" t="s">
        <v>1635</v>
      </c>
      <c r="AO544" s="85" t="s">
        <v>1672</v>
      </c>
      <c r="AP544" s="80" t="b">
        <v>0</v>
      </c>
      <c r="AQ544" s="85" t="s">
        <v>1560</v>
      </c>
      <c r="AR544" s="80" t="s">
        <v>179</v>
      </c>
      <c r="AS544" s="80">
        <v>0</v>
      </c>
      <c r="AT544" s="80">
        <v>0</v>
      </c>
      <c r="AU544" s="80"/>
      <c r="AV544" s="80"/>
      <c r="AW544" s="80"/>
      <c r="AX544" s="80"/>
      <c r="AY544" s="80"/>
      <c r="AZ544" s="80"/>
      <c r="BA544" s="80"/>
      <c r="BB544" s="80"/>
    </row>
    <row r="545" spans="1:54" x14ac:dyDescent="0.25">
      <c r="A545" s="65" t="s">
        <v>368</v>
      </c>
      <c r="B545" s="65" t="s">
        <v>368</v>
      </c>
      <c r="C545" s="66"/>
      <c r="D545" s="67"/>
      <c r="E545" s="68"/>
      <c r="F545" s="69"/>
      <c r="G545" s="66"/>
      <c r="H545" s="70"/>
      <c r="I545" s="71"/>
      <c r="J545" s="71"/>
      <c r="K545" s="36" t="s">
        <v>65</v>
      </c>
      <c r="L545" s="78">
        <v>545</v>
      </c>
      <c r="M545" s="78"/>
      <c r="N545" s="73"/>
      <c r="O545" s="80" t="s">
        <v>179</v>
      </c>
      <c r="P545" s="82">
        <v>44630.647523148145</v>
      </c>
      <c r="Q545" s="80" t="s">
        <v>596</v>
      </c>
      <c r="R545" s="83" t="str">
        <f>HYPERLINK("http://www.buffalo.edu/studentlife/who-we-are/departments/health-promotion.html")</f>
        <v>http://www.buffalo.edu/studentlife/who-we-are/departments/health-promotion.html</v>
      </c>
      <c r="S545" s="80" t="s">
        <v>632</v>
      </c>
      <c r="T545" s="85" t="s">
        <v>357</v>
      </c>
      <c r="U545" s="83" t="str">
        <f>HYPERLINK("https://pbs.twimg.com/media/FNf6ENTUYAMK4OF.jpg")</f>
        <v>https://pbs.twimg.com/media/FNf6ENTUYAMK4OF.jpg</v>
      </c>
      <c r="V545" s="83" t="str">
        <f>HYPERLINK("https://pbs.twimg.com/media/FNf6ENTUYAMK4OF.jpg")</f>
        <v>https://pbs.twimg.com/media/FNf6ENTUYAMK4OF.jpg</v>
      </c>
      <c r="W545" s="82">
        <v>44630.647523148145</v>
      </c>
      <c r="X545" s="88">
        <v>44630</v>
      </c>
      <c r="Y545" s="85" t="s">
        <v>1108</v>
      </c>
      <c r="Z545" s="83" t="str">
        <f>HYPERLINK("https://twitter.com/ubinfotech/status/1501944073048846346")</f>
        <v>https://twitter.com/ubinfotech/status/1501944073048846346</v>
      </c>
      <c r="AA545" s="80"/>
      <c r="AB545" s="80"/>
      <c r="AC545" s="85" t="s">
        <v>1561</v>
      </c>
      <c r="AD545" s="80"/>
      <c r="AE545" s="80" t="b">
        <v>0</v>
      </c>
      <c r="AF545" s="80">
        <v>6</v>
      </c>
      <c r="AG545" s="85" t="s">
        <v>1635</v>
      </c>
      <c r="AH545" s="80" t="b">
        <v>0</v>
      </c>
      <c r="AI545" s="80" t="s">
        <v>1642</v>
      </c>
      <c r="AJ545" s="80"/>
      <c r="AK545" s="85" t="s">
        <v>1635</v>
      </c>
      <c r="AL545" s="80" t="b">
        <v>0</v>
      </c>
      <c r="AM545" s="80">
        <v>1</v>
      </c>
      <c r="AN545" s="85" t="s">
        <v>1635</v>
      </c>
      <c r="AO545" s="85" t="s">
        <v>1672</v>
      </c>
      <c r="AP545" s="80" t="b">
        <v>0</v>
      </c>
      <c r="AQ545" s="85" t="s">
        <v>1561</v>
      </c>
      <c r="AR545" s="80" t="s">
        <v>179</v>
      </c>
      <c r="AS545" s="80">
        <v>0</v>
      </c>
      <c r="AT545" s="80">
        <v>0</v>
      </c>
      <c r="AU545" s="80"/>
      <c r="AV545" s="80"/>
      <c r="AW545" s="80"/>
      <c r="AX545" s="80"/>
      <c r="AY545" s="80"/>
      <c r="AZ545" s="80"/>
      <c r="BA545" s="80"/>
      <c r="BB545" s="80"/>
    </row>
    <row r="546" spans="1:54" x14ac:dyDescent="0.25">
      <c r="A546" s="65" t="s">
        <v>368</v>
      </c>
      <c r="B546" s="65" t="s">
        <v>368</v>
      </c>
      <c r="C546" s="66"/>
      <c r="D546" s="67"/>
      <c r="E546" s="68"/>
      <c r="F546" s="69"/>
      <c r="G546" s="66"/>
      <c r="H546" s="70"/>
      <c r="I546" s="71"/>
      <c r="J546" s="71"/>
      <c r="K546" s="36" t="s">
        <v>65</v>
      </c>
      <c r="L546" s="78">
        <v>546</v>
      </c>
      <c r="M546" s="78"/>
      <c r="N546" s="73"/>
      <c r="O546" s="80" t="s">
        <v>179</v>
      </c>
      <c r="P546" s="82">
        <v>44630.740694444445</v>
      </c>
      <c r="Q546" s="80" t="s">
        <v>584</v>
      </c>
      <c r="R546" s="83" t="str">
        <f>HYPERLINK("https://www.buffalo.edu/ubit/service-guides/computing-sites/north-campus/levelup.html")</f>
        <v>https://www.buffalo.edu/ubit/service-guides/computing-sites/north-campus/levelup.html</v>
      </c>
      <c r="S546" s="80" t="s">
        <v>632</v>
      </c>
      <c r="T546" s="85" t="s">
        <v>357</v>
      </c>
      <c r="U546" s="83" t="str">
        <f>HYPERLINK("https://pbs.twimg.com/media/FNgYybyWQAQ_ARr.jpg")</f>
        <v>https://pbs.twimg.com/media/FNgYybyWQAQ_ARr.jpg</v>
      </c>
      <c r="V546" s="83" t="str">
        <f>HYPERLINK("https://pbs.twimg.com/media/FNgYybyWQAQ_ARr.jpg")</f>
        <v>https://pbs.twimg.com/media/FNgYybyWQAQ_ARr.jpg</v>
      </c>
      <c r="W546" s="82">
        <v>44630.740694444445</v>
      </c>
      <c r="X546" s="88">
        <v>44630</v>
      </c>
      <c r="Y546" s="85" t="s">
        <v>1109</v>
      </c>
      <c r="Z546" s="83" t="str">
        <f>HYPERLINK("https://twitter.com/ubinfotech/status/1501977836667936768")</f>
        <v>https://twitter.com/ubinfotech/status/1501977836667936768</v>
      </c>
      <c r="AA546" s="80"/>
      <c r="AB546" s="80"/>
      <c r="AC546" s="85" t="s">
        <v>1562</v>
      </c>
      <c r="AD546" s="80"/>
      <c r="AE546" s="80" t="b">
        <v>0</v>
      </c>
      <c r="AF546" s="80">
        <v>6</v>
      </c>
      <c r="AG546" s="85" t="s">
        <v>1635</v>
      </c>
      <c r="AH546" s="80" t="b">
        <v>0</v>
      </c>
      <c r="AI546" s="80" t="s">
        <v>1642</v>
      </c>
      <c r="AJ546" s="80"/>
      <c r="AK546" s="85" t="s">
        <v>1635</v>
      </c>
      <c r="AL546" s="80" t="b">
        <v>0</v>
      </c>
      <c r="AM546" s="80">
        <v>3</v>
      </c>
      <c r="AN546" s="85" t="s">
        <v>1635</v>
      </c>
      <c r="AO546" s="85" t="s">
        <v>1672</v>
      </c>
      <c r="AP546" s="80" t="b">
        <v>0</v>
      </c>
      <c r="AQ546" s="85" t="s">
        <v>1562</v>
      </c>
      <c r="AR546" s="80" t="s">
        <v>179</v>
      </c>
      <c r="AS546" s="80">
        <v>0</v>
      </c>
      <c r="AT546" s="80">
        <v>0</v>
      </c>
      <c r="AU546" s="80"/>
      <c r="AV546" s="80"/>
      <c r="AW546" s="80"/>
      <c r="AX546" s="80"/>
      <c r="AY546" s="80"/>
      <c r="AZ546" s="80"/>
      <c r="BA546" s="80"/>
      <c r="BB546" s="80"/>
    </row>
    <row r="547" spans="1:54" x14ac:dyDescent="0.25">
      <c r="A547" s="65" t="s">
        <v>368</v>
      </c>
      <c r="B547" s="65" t="s">
        <v>357</v>
      </c>
      <c r="C547" s="66"/>
      <c r="D547" s="67"/>
      <c r="E547" s="68"/>
      <c r="F547" s="69"/>
      <c r="G547" s="66"/>
      <c r="H547" s="70"/>
      <c r="I547" s="71"/>
      <c r="J547" s="71"/>
      <c r="K547" s="36" t="s">
        <v>66</v>
      </c>
      <c r="L547" s="78">
        <v>547</v>
      </c>
      <c r="M547" s="78"/>
      <c r="N547" s="73"/>
      <c r="O547" s="80" t="s">
        <v>415</v>
      </c>
      <c r="P547" s="82">
        <v>44634.610023148147</v>
      </c>
      <c r="Q547" s="80" t="s">
        <v>574</v>
      </c>
      <c r="R547" s="80"/>
      <c r="S547" s="80"/>
      <c r="T547" s="85" t="s">
        <v>718</v>
      </c>
      <c r="U547" s="83" t="str">
        <f>HYPERLINK("https://pbs.twimg.com/media/FN0FrlLWQAQYHcF.jpg")</f>
        <v>https://pbs.twimg.com/media/FN0FrlLWQAQYHcF.jpg</v>
      </c>
      <c r="V547" s="83" t="str">
        <f>HYPERLINK("https://pbs.twimg.com/media/FN0FrlLWQAQYHcF.jpg")</f>
        <v>https://pbs.twimg.com/media/FN0FrlLWQAQYHcF.jpg</v>
      </c>
      <c r="W547" s="82">
        <v>44634.610023148147</v>
      </c>
      <c r="X547" s="88">
        <v>44634</v>
      </c>
      <c r="Y547" s="85" t="s">
        <v>1110</v>
      </c>
      <c r="Z547" s="83" t="str">
        <f>HYPERLINK("https://twitter.com/ubinfotech/status/1503380035297845253")</f>
        <v>https://twitter.com/ubinfotech/status/1503380035297845253</v>
      </c>
      <c r="AA547" s="80"/>
      <c r="AB547" s="80"/>
      <c r="AC547" s="85" t="s">
        <v>1563</v>
      </c>
      <c r="AD547" s="80"/>
      <c r="AE547" s="80" t="b">
        <v>0</v>
      </c>
      <c r="AF547" s="80">
        <v>0</v>
      </c>
      <c r="AG547" s="85" t="s">
        <v>1635</v>
      </c>
      <c r="AH547" s="80" t="b">
        <v>0</v>
      </c>
      <c r="AI547" s="80" t="s">
        <v>1642</v>
      </c>
      <c r="AJ547" s="80"/>
      <c r="AK547" s="85" t="s">
        <v>1635</v>
      </c>
      <c r="AL547" s="80" t="b">
        <v>0</v>
      </c>
      <c r="AM547" s="80">
        <v>6</v>
      </c>
      <c r="AN547" s="85" t="s">
        <v>1629</v>
      </c>
      <c r="AO547" s="85" t="s">
        <v>1672</v>
      </c>
      <c r="AP547" s="80" t="b">
        <v>0</v>
      </c>
      <c r="AQ547" s="85" t="s">
        <v>1629</v>
      </c>
      <c r="AR547" s="80" t="s">
        <v>179</v>
      </c>
      <c r="AS547" s="80">
        <v>0</v>
      </c>
      <c r="AT547" s="80">
        <v>0</v>
      </c>
      <c r="AU547" s="80"/>
      <c r="AV547" s="80"/>
      <c r="AW547" s="80"/>
      <c r="AX547" s="80"/>
      <c r="AY547" s="80"/>
      <c r="AZ547" s="80"/>
      <c r="BA547" s="80"/>
      <c r="BB547" s="80"/>
    </row>
    <row r="548" spans="1:54" x14ac:dyDescent="0.25">
      <c r="A548" s="65" t="s">
        <v>368</v>
      </c>
      <c r="B548" s="65" t="s">
        <v>368</v>
      </c>
      <c r="C548" s="66"/>
      <c r="D548" s="67"/>
      <c r="E548" s="68"/>
      <c r="F548" s="69"/>
      <c r="G548" s="66"/>
      <c r="H548" s="70"/>
      <c r="I548" s="71"/>
      <c r="J548" s="71"/>
      <c r="K548" s="36" t="s">
        <v>65</v>
      </c>
      <c r="L548" s="78">
        <v>548</v>
      </c>
      <c r="M548" s="78"/>
      <c r="N548" s="73"/>
      <c r="O548" s="80" t="s">
        <v>179</v>
      </c>
      <c r="P548" s="82">
        <v>44634.617905092593</v>
      </c>
      <c r="Q548" s="80" t="s">
        <v>587</v>
      </c>
      <c r="R548" s="83" t="str">
        <f>HYPERLINK("http://www.buffalo.edu/ubit/levelup")</f>
        <v>http://www.buffalo.edu/ubit/levelup</v>
      </c>
      <c r="S548" s="80" t="s">
        <v>632</v>
      </c>
      <c r="T548" s="85" t="s">
        <v>357</v>
      </c>
      <c r="U548" s="83" t="str">
        <f>HYPERLINK("https://pbs.twimg.com/media/FN0VfjcWQAUiaSG.jpg")</f>
        <v>https://pbs.twimg.com/media/FN0VfjcWQAUiaSG.jpg</v>
      </c>
      <c r="V548" s="83" t="str">
        <f>HYPERLINK("https://pbs.twimg.com/media/FN0VfjcWQAUiaSG.jpg")</f>
        <v>https://pbs.twimg.com/media/FN0VfjcWQAUiaSG.jpg</v>
      </c>
      <c r="W548" s="82">
        <v>44634.617905092593</v>
      </c>
      <c r="X548" s="88">
        <v>44634</v>
      </c>
      <c r="Y548" s="85" t="s">
        <v>1111</v>
      </c>
      <c r="Z548" s="83" t="str">
        <f>HYPERLINK("https://twitter.com/ubinfotech/status/1503382890553434117")</f>
        <v>https://twitter.com/ubinfotech/status/1503382890553434117</v>
      </c>
      <c r="AA548" s="80"/>
      <c r="AB548" s="80"/>
      <c r="AC548" s="85" t="s">
        <v>1564</v>
      </c>
      <c r="AD548" s="80"/>
      <c r="AE548" s="80" t="b">
        <v>0</v>
      </c>
      <c r="AF548" s="80">
        <v>3</v>
      </c>
      <c r="AG548" s="85" t="s">
        <v>1635</v>
      </c>
      <c r="AH548" s="80" t="b">
        <v>0</v>
      </c>
      <c r="AI548" s="80" t="s">
        <v>1642</v>
      </c>
      <c r="AJ548" s="80"/>
      <c r="AK548" s="85" t="s">
        <v>1635</v>
      </c>
      <c r="AL548" s="80" t="b">
        <v>0</v>
      </c>
      <c r="AM548" s="80">
        <v>1</v>
      </c>
      <c r="AN548" s="85" t="s">
        <v>1635</v>
      </c>
      <c r="AO548" s="85" t="s">
        <v>1672</v>
      </c>
      <c r="AP548" s="80" t="b">
        <v>0</v>
      </c>
      <c r="AQ548" s="85" t="s">
        <v>1564</v>
      </c>
      <c r="AR548" s="80" t="s">
        <v>179</v>
      </c>
      <c r="AS548" s="80">
        <v>0</v>
      </c>
      <c r="AT548" s="80">
        <v>0</v>
      </c>
      <c r="AU548" s="80"/>
      <c r="AV548" s="80"/>
      <c r="AW548" s="80"/>
      <c r="AX548" s="80"/>
      <c r="AY548" s="80"/>
      <c r="AZ548" s="80"/>
      <c r="BA548" s="80"/>
      <c r="BB548" s="80"/>
    </row>
    <row r="549" spans="1:54" x14ac:dyDescent="0.25">
      <c r="A549" s="65" t="s">
        <v>377</v>
      </c>
      <c r="B549" s="65" t="s">
        <v>368</v>
      </c>
      <c r="C549" s="66"/>
      <c r="D549" s="67"/>
      <c r="E549" s="68"/>
      <c r="F549" s="69"/>
      <c r="G549" s="66"/>
      <c r="H549" s="70"/>
      <c r="I549" s="71"/>
      <c r="J549" s="71"/>
      <c r="K549" s="36" t="s">
        <v>65</v>
      </c>
      <c r="L549" s="78">
        <v>549</v>
      </c>
      <c r="M549" s="78"/>
      <c r="N549" s="73"/>
      <c r="O549" s="80" t="s">
        <v>415</v>
      </c>
      <c r="P549" s="82">
        <v>44630.749803240738</v>
      </c>
      <c r="Q549" s="80" t="s">
        <v>584</v>
      </c>
      <c r="R549" s="83" t="str">
        <f>HYPERLINK("https://www.buffalo.edu/ubit/service-guides/computing-sites/north-campus/levelup.html")</f>
        <v>https://www.buffalo.edu/ubit/service-guides/computing-sites/north-campus/levelup.html</v>
      </c>
      <c r="S549" s="80" t="s">
        <v>632</v>
      </c>
      <c r="T549" s="85" t="s">
        <v>357</v>
      </c>
      <c r="U549" s="83" t="str">
        <f>HYPERLINK("https://pbs.twimg.com/media/FNgYybyWQAQ_ARr.jpg")</f>
        <v>https://pbs.twimg.com/media/FNgYybyWQAQ_ARr.jpg</v>
      </c>
      <c r="V549" s="83" t="str">
        <f>HYPERLINK("https://pbs.twimg.com/media/FNgYybyWQAQ_ARr.jpg")</f>
        <v>https://pbs.twimg.com/media/FNgYybyWQAQ_ARr.jpg</v>
      </c>
      <c r="W549" s="82">
        <v>44630.749803240738</v>
      </c>
      <c r="X549" s="88">
        <v>44630</v>
      </c>
      <c r="Y549" s="85" t="s">
        <v>1112</v>
      </c>
      <c r="Z549" s="83" t="str">
        <f>HYPERLINK("https://twitter.com/ubstudentexp/status/1501981140290318342")</f>
        <v>https://twitter.com/ubstudentexp/status/1501981140290318342</v>
      </c>
      <c r="AA549" s="80"/>
      <c r="AB549" s="80"/>
      <c r="AC549" s="85" t="s">
        <v>1565</v>
      </c>
      <c r="AD549" s="80"/>
      <c r="AE549" s="80" t="b">
        <v>0</v>
      </c>
      <c r="AF549" s="80">
        <v>0</v>
      </c>
      <c r="AG549" s="85" t="s">
        <v>1635</v>
      </c>
      <c r="AH549" s="80" t="b">
        <v>0</v>
      </c>
      <c r="AI549" s="80" t="s">
        <v>1642</v>
      </c>
      <c r="AJ549" s="80"/>
      <c r="AK549" s="85" t="s">
        <v>1635</v>
      </c>
      <c r="AL549" s="80" t="b">
        <v>0</v>
      </c>
      <c r="AM549" s="80">
        <v>3</v>
      </c>
      <c r="AN549" s="85" t="s">
        <v>1562</v>
      </c>
      <c r="AO549" s="85" t="s">
        <v>1672</v>
      </c>
      <c r="AP549" s="80" t="b">
        <v>0</v>
      </c>
      <c r="AQ549" s="85" t="s">
        <v>1562</v>
      </c>
      <c r="AR549" s="80" t="s">
        <v>179</v>
      </c>
      <c r="AS549" s="80">
        <v>0</v>
      </c>
      <c r="AT549" s="80">
        <v>0</v>
      </c>
      <c r="AU549" s="80"/>
      <c r="AV549" s="80"/>
      <c r="AW549" s="80"/>
      <c r="AX549" s="80"/>
      <c r="AY549" s="80"/>
      <c r="AZ549" s="80"/>
      <c r="BA549" s="80"/>
      <c r="BB549" s="80"/>
    </row>
    <row r="550" spans="1:54" x14ac:dyDescent="0.25">
      <c r="A550" s="65" t="s">
        <v>280</v>
      </c>
      <c r="B550" s="65" t="s">
        <v>280</v>
      </c>
      <c r="C550" s="66"/>
      <c r="D550" s="67"/>
      <c r="E550" s="68"/>
      <c r="F550" s="69"/>
      <c r="G550" s="66"/>
      <c r="H550" s="70"/>
      <c r="I550" s="71"/>
      <c r="J550" s="71"/>
      <c r="K550" s="36" t="s">
        <v>65</v>
      </c>
      <c r="L550" s="78">
        <v>550</v>
      </c>
      <c r="M550" s="78"/>
      <c r="N550" s="73"/>
      <c r="O550" s="80" t="s">
        <v>179</v>
      </c>
      <c r="P550" s="82">
        <v>44627.612407407411</v>
      </c>
      <c r="Q550" s="80" t="s">
        <v>597</v>
      </c>
      <c r="R550" s="83" t="str">
        <f>HYPERLINK("https://www.buffalo.edu/parking/getting-around-UB/wayfinding.html")</f>
        <v>https://www.buffalo.edu/parking/getting-around-UB/wayfinding.html</v>
      </c>
      <c r="S550" s="80" t="s">
        <v>632</v>
      </c>
      <c r="T550" s="85" t="s">
        <v>357</v>
      </c>
      <c r="U550" s="80"/>
      <c r="V550" s="83" t="str">
        <f>HYPERLINK("https://pbs.twimg.com/profile_images/1229781686084390916/FgbALggb_normal.jpg")</f>
        <v>https://pbs.twimg.com/profile_images/1229781686084390916/FgbALggb_normal.jpg</v>
      </c>
      <c r="W550" s="82">
        <v>44627.612407407411</v>
      </c>
      <c r="X550" s="88">
        <v>44627</v>
      </c>
      <c r="Y550" s="85" t="s">
        <v>1113</v>
      </c>
      <c r="Z550" s="83" t="str">
        <f>HYPERLINK("https://twitter.com/ubparking/status/1500844183527079940")</f>
        <v>https://twitter.com/ubparking/status/1500844183527079940</v>
      </c>
      <c r="AA550" s="80"/>
      <c r="AB550" s="80"/>
      <c r="AC550" s="85" t="s">
        <v>1566</v>
      </c>
      <c r="AD550" s="80"/>
      <c r="AE550" s="80" t="b">
        <v>0</v>
      </c>
      <c r="AF550" s="80">
        <v>1</v>
      </c>
      <c r="AG550" s="85" t="s">
        <v>1635</v>
      </c>
      <c r="AH550" s="80" t="b">
        <v>0</v>
      </c>
      <c r="AI550" s="80" t="s">
        <v>1642</v>
      </c>
      <c r="AJ550" s="80"/>
      <c r="AK550" s="85" t="s">
        <v>1635</v>
      </c>
      <c r="AL550" s="80" t="b">
        <v>0</v>
      </c>
      <c r="AM550" s="80">
        <v>0</v>
      </c>
      <c r="AN550" s="85" t="s">
        <v>1635</v>
      </c>
      <c r="AO550" s="85" t="s">
        <v>1672</v>
      </c>
      <c r="AP550" s="80" t="b">
        <v>0</v>
      </c>
      <c r="AQ550" s="85" t="s">
        <v>1566</v>
      </c>
      <c r="AR550" s="80" t="s">
        <v>179</v>
      </c>
      <c r="AS550" s="80">
        <v>0</v>
      </c>
      <c r="AT550" s="80">
        <v>0</v>
      </c>
      <c r="AU550" s="80"/>
      <c r="AV550" s="80"/>
      <c r="AW550" s="80"/>
      <c r="AX550" s="80"/>
      <c r="AY550" s="80"/>
      <c r="AZ550" s="80"/>
      <c r="BA550" s="80"/>
      <c r="BB550" s="80"/>
    </row>
    <row r="551" spans="1:54" x14ac:dyDescent="0.25">
      <c r="A551" s="65" t="s">
        <v>280</v>
      </c>
      <c r="B551" s="65" t="s">
        <v>280</v>
      </c>
      <c r="C551" s="66"/>
      <c r="D551" s="67"/>
      <c r="E551" s="68"/>
      <c r="F551" s="69"/>
      <c r="G551" s="66"/>
      <c r="H551" s="70"/>
      <c r="I551" s="71"/>
      <c r="J551" s="71"/>
      <c r="K551" s="36" t="s">
        <v>65</v>
      </c>
      <c r="L551" s="78">
        <v>551</v>
      </c>
      <c r="M551" s="78"/>
      <c r="N551" s="73"/>
      <c r="O551" s="80" t="s">
        <v>179</v>
      </c>
      <c r="P551" s="82">
        <v>44627.776099537034</v>
      </c>
      <c r="Q551" s="80" t="s">
        <v>445</v>
      </c>
      <c r="R551" s="80"/>
      <c r="S551" s="80"/>
      <c r="T551" s="85" t="s">
        <v>357</v>
      </c>
      <c r="U551" s="80"/>
      <c r="V551" s="83" t="str">
        <f>HYPERLINK("https://pbs.twimg.com/profile_images/1229781686084390916/FgbALggb_normal.jpg")</f>
        <v>https://pbs.twimg.com/profile_images/1229781686084390916/FgbALggb_normal.jpg</v>
      </c>
      <c r="W551" s="82">
        <v>44627.776099537034</v>
      </c>
      <c r="X551" s="88">
        <v>44627</v>
      </c>
      <c r="Y551" s="85" t="s">
        <v>1114</v>
      </c>
      <c r="Z551" s="83" t="str">
        <f>HYPERLINK("https://twitter.com/ubparking/status/1500903505686675457")</f>
        <v>https://twitter.com/ubparking/status/1500903505686675457</v>
      </c>
      <c r="AA551" s="80"/>
      <c r="AB551" s="80"/>
      <c r="AC551" s="85" t="s">
        <v>1567</v>
      </c>
      <c r="AD551" s="80"/>
      <c r="AE551" s="80" t="b">
        <v>0</v>
      </c>
      <c r="AF551" s="80">
        <v>8</v>
      </c>
      <c r="AG551" s="85" t="s">
        <v>1635</v>
      </c>
      <c r="AH551" s="80" t="b">
        <v>0</v>
      </c>
      <c r="AI551" s="80" t="s">
        <v>1642</v>
      </c>
      <c r="AJ551" s="80"/>
      <c r="AK551" s="85" t="s">
        <v>1635</v>
      </c>
      <c r="AL551" s="80" t="b">
        <v>0</v>
      </c>
      <c r="AM551" s="80">
        <v>2</v>
      </c>
      <c r="AN551" s="85" t="s">
        <v>1635</v>
      </c>
      <c r="AO551" s="85" t="s">
        <v>1672</v>
      </c>
      <c r="AP551" s="80" t="b">
        <v>0</v>
      </c>
      <c r="AQ551" s="85" t="s">
        <v>1567</v>
      </c>
      <c r="AR551" s="80" t="s">
        <v>179</v>
      </c>
      <c r="AS551" s="80">
        <v>0</v>
      </c>
      <c r="AT551" s="80">
        <v>0</v>
      </c>
      <c r="AU551" s="80"/>
      <c r="AV551" s="80"/>
      <c r="AW551" s="80"/>
      <c r="AX551" s="80"/>
      <c r="AY551" s="80"/>
      <c r="AZ551" s="80"/>
      <c r="BA551" s="80"/>
      <c r="BB551" s="80"/>
    </row>
    <row r="552" spans="1:54" x14ac:dyDescent="0.25">
      <c r="A552" s="65" t="s">
        <v>280</v>
      </c>
      <c r="B552" s="65" t="s">
        <v>280</v>
      </c>
      <c r="C552" s="66"/>
      <c r="D552" s="67"/>
      <c r="E552" s="68"/>
      <c r="F552" s="69"/>
      <c r="G552" s="66"/>
      <c r="H552" s="70"/>
      <c r="I552" s="71"/>
      <c r="J552" s="71"/>
      <c r="K552" s="36" t="s">
        <v>65</v>
      </c>
      <c r="L552" s="78">
        <v>552</v>
      </c>
      <c r="M552" s="78"/>
      <c r="N552" s="73"/>
      <c r="O552" s="80" t="s">
        <v>179</v>
      </c>
      <c r="P552" s="82">
        <v>44628.798530092594</v>
      </c>
      <c r="Q552" s="80" t="s">
        <v>446</v>
      </c>
      <c r="R552" s="83" t="str">
        <f>HYPERLINK("https://www.buffalo.edu/parking/announcements.host.html/content/shared/www/parking/need-to-know/2021-22/seats-available-spring-break-express-bus.detail.html")</f>
        <v>https://www.buffalo.edu/parking/announcements.host.html/content/shared/www/parking/need-to-know/2021-22/seats-available-spring-break-express-bus.detail.html</v>
      </c>
      <c r="S552" s="80" t="s">
        <v>632</v>
      </c>
      <c r="T552" s="85" t="s">
        <v>357</v>
      </c>
      <c r="U552" s="80"/>
      <c r="V552" s="83" t="str">
        <f>HYPERLINK("https://pbs.twimg.com/profile_images/1229781686084390916/FgbALggb_normal.jpg")</f>
        <v>https://pbs.twimg.com/profile_images/1229781686084390916/FgbALggb_normal.jpg</v>
      </c>
      <c r="W552" s="82">
        <v>44628.798530092594</v>
      </c>
      <c r="X552" s="88">
        <v>44628</v>
      </c>
      <c r="Y552" s="85" t="s">
        <v>1115</v>
      </c>
      <c r="Z552" s="83" t="str">
        <f>HYPERLINK("https://twitter.com/ubparking/status/1501274020657958915")</f>
        <v>https://twitter.com/ubparking/status/1501274020657958915</v>
      </c>
      <c r="AA552" s="80"/>
      <c r="AB552" s="80"/>
      <c r="AC552" s="85" t="s">
        <v>1568</v>
      </c>
      <c r="AD552" s="80"/>
      <c r="AE552" s="80" t="b">
        <v>0</v>
      </c>
      <c r="AF552" s="80">
        <v>2</v>
      </c>
      <c r="AG552" s="85" t="s">
        <v>1635</v>
      </c>
      <c r="AH552" s="80" t="b">
        <v>0</v>
      </c>
      <c r="AI552" s="80" t="s">
        <v>1642</v>
      </c>
      <c r="AJ552" s="80"/>
      <c r="AK552" s="85" t="s">
        <v>1635</v>
      </c>
      <c r="AL552" s="80" t="b">
        <v>0</v>
      </c>
      <c r="AM552" s="80">
        <v>2</v>
      </c>
      <c r="AN552" s="85" t="s">
        <v>1635</v>
      </c>
      <c r="AO552" s="85" t="s">
        <v>1672</v>
      </c>
      <c r="AP552" s="80" t="b">
        <v>0</v>
      </c>
      <c r="AQ552" s="85" t="s">
        <v>1568</v>
      </c>
      <c r="AR552" s="80" t="s">
        <v>179</v>
      </c>
      <c r="AS552" s="80">
        <v>0</v>
      </c>
      <c r="AT552" s="80">
        <v>0</v>
      </c>
      <c r="AU552" s="80"/>
      <c r="AV552" s="80"/>
      <c r="AW552" s="80"/>
      <c r="AX552" s="80"/>
      <c r="AY552" s="80"/>
      <c r="AZ552" s="80"/>
      <c r="BA552" s="80"/>
      <c r="BB552" s="80"/>
    </row>
    <row r="553" spans="1:54" x14ac:dyDescent="0.25">
      <c r="A553" s="65" t="s">
        <v>280</v>
      </c>
      <c r="B553" s="65" t="s">
        <v>280</v>
      </c>
      <c r="C553" s="66"/>
      <c r="D553" s="67"/>
      <c r="E553" s="68"/>
      <c r="F553" s="69"/>
      <c r="G553" s="66"/>
      <c r="H553" s="70"/>
      <c r="I553" s="71"/>
      <c r="J553" s="71"/>
      <c r="K553" s="36" t="s">
        <v>65</v>
      </c>
      <c r="L553" s="78">
        <v>553</v>
      </c>
      <c r="M553" s="78"/>
      <c r="N553" s="73"/>
      <c r="O553" s="80" t="s">
        <v>179</v>
      </c>
      <c r="P553" s="82">
        <v>44631.552418981482</v>
      </c>
      <c r="Q553" s="80" t="s">
        <v>598</v>
      </c>
      <c r="R553" s="83" t="str">
        <f>HYPERLINK("https://www.buffalo.edu/parking/service-advisories.host.html/content/shared/www/parking/advisories/2021-22/masks-still-required-riding-transportation.detail.html")</f>
        <v>https://www.buffalo.edu/parking/service-advisories.host.html/content/shared/www/parking/advisories/2021-22/masks-still-required-riding-transportation.detail.html</v>
      </c>
      <c r="S553" s="80" t="s">
        <v>632</v>
      </c>
      <c r="T553" s="85" t="s">
        <v>357</v>
      </c>
      <c r="U553" s="80"/>
      <c r="V553" s="83" t="str">
        <f>HYPERLINK("https://pbs.twimg.com/profile_images/1229781686084390916/FgbALggb_normal.jpg")</f>
        <v>https://pbs.twimg.com/profile_images/1229781686084390916/FgbALggb_normal.jpg</v>
      </c>
      <c r="W553" s="82">
        <v>44631.552418981482</v>
      </c>
      <c r="X553" s="88">
        <v>44631</v>
      </c>
      <c r="Y553" s="85" t="s">
        <v>1116</v>
      </c>
      <c r="Z553" s="83" t="str">
        <f>HYPERLINK("https://twitter.com/ubparking/status/1502271994578055173")</f>
        <v>https://twitter.com/ubparking/status/1502271994578055173</v>
      </c>
      <c r="AA553" s="80"/>
      <c r="AB553" s="80"/>
      <c r="AC553" s="85" t="s">
        <v>1569</v>
      </c>
      <c r="AD553" s="80"/>
      <c r="AE553" s="80" t="b">
        <v>0</v>
      </c>
      <c r="AF553" s="80">
        <v>1</v>
      </c>
      <c r="AG553" s="85" t="s">
        <v>1635</v>
      </c>
      <c r="AH553" s="80" t="b">
        <v>0</v>
      </c>
      <c r="AI553" s="80" t="s">
        <v>1642</v>
      </c>
      <c r="AJ553" s="80"/>
      <c r="AK553" s="85" t="s">
        <v>1635</v>
      </c>
      <c r="AL553" s="80" t="b">
        <v>0</v>
      </c>
      <c r="AM553" s="80">
        <v>1</v>
      </c>
      <c r="AN553" s="85" t="s">
        <v>1635</v>
      </c>
      <c r="AO553" s="85" t="s">
        <v>1672</v>
      </c>
      <c r="AP553" s="80" t="b">
        <v>0</v>
      </c>
      <c r="AQ553" s="85" t="s">
        <v>1569</v>
      </c>
      <c r="AR553" s="80" t="s">
        <v>179</v>
      </c>
      <c r="AS553" s="80">
        <v>0</v>
      </c>
      <c r="AT553" s="80">
        <v>0</v>
      </c>
      <c r="AU553" s="80"/>
      <c r="AV553" s="80"/>
      <c r="AW553" s="80"/>
      <c r="AX553" s="80"/>
      <c r="AY553" s="80"/>
      <c r="AZ553" s="80"/>
      <c r="BA553" s="80"/>
      <c r="BB553" s="80"/>
    </row>
    <row r="554" spans="1:54" x14ac:dyDescent="0.25">
      <c r="A554" s="65" t="s">
        <v>357</v>
      </c>
      <c r="B554" s="65" t="s">
        <v>280</v>
      </c>
      <c r="C554" s="66"/>
      <c r="D554" s="67"/>
      <c r="E554" s="68"/>
      <c r="F554" s="69"/>
      <c r="G554" s="66"/>
      <c r="H554" s="70"/>
      <c r="I554" s="71"/>
      <c r="J554" s="71"/>
      <c r="K554" s="36" t="s">
        <v>65</v>
      </c>
      <c r="L554" s="78">
        <v>554</v>
      </c>
      <c r="M554" s="78"/>
      <c r="N554" s="73"/>
      <c r="O554" s="80" t="s">
        <v>415</v>
      </c>
      <c r="P554" s="82">
        <v>44627.89707175926</v>
      </c>
      <c r="Q554" s="80" t="s">
        <v>445</v>
      </c>
      <c r="R554" s="80"/>
      <c r="S554" s="80"/>
      <c r="T554" s="85" t="s">
        <v>357</v>
      </c>
      <c r="U554" s="80"/>
      <c r="V554" s="83" t="str">
        <f>HYPERLINK("https://pbs.twimg.com/profile_images/991327943317213185/Hgte82Vq_normal.jpg")</f>
        <v>https://pbs.twimg.com/profile_images/991327943317213185/Hgte82Vq_normal.jpg</v>
      </c>
      <c r="W554" s="82">
        <v>44627.89707175926</v>
      </c>
      <c r="X554" s="88">
        <v>44627</v>
      </c>
      <c r="Y554" s="85" t="s">
        <v>1117</v>
      </c>
      <c r="Z554" s="83" t="str">
        <f>HYPERLINK("https://twitter.com/ubuffalo/status/1500947342878511106")</f>
        <v>https://twitter.com/ubuffalo/status/1500947342878511106</v>
      </c>
      <c r="AA554" s="80"/>
      <c r="AB554" s="80"/>
      <c r="AC554" s="85" t="s">
        <v>1570</v>
      </c>
      <c r="AD554" s="80"/>
      <c r="AE554" s="80" t="b">
        <v>0</v>
      </c>
      <c r="AF554" s="80">
        <v>0</v>
      </c>
      <c r="AG554" s="85" t="s">
        <v>1635</v>
      </c>
      <c r="AH554" s="80" t="b">
        <v>0</v>
      </c>
      <c r="AI554" s="80" t="s">
        <v>1642</v>
      </c>
      <c r="AJ554" s="80"/>
      <c r="AK554" s="85" t="s">
        <v>1635</v>
      </c>
      <c r="AL554" s="80" t="b">
        <v>0</v>
      </c>
      <c r="AM554" s="80">
        <v>2</v>
      </c>
      <c r="AN554" s="85" t="s">
        <v>1567</v>
      </c>
      <c r="AO554" s="85" t="s">
        <v>1672</v>
      </c>
      <c r="AP554" s="80" t="b">
        <v>0</v>
      </c>
      <c r="AQ554" s="85" t="s">
        <v>1567</v>
      </c>
      <c r="AR554" s="80" t="s">
        <v>179</v>
      </c>
      <c r="AS554" s="80">
        <v>0</v>
      </c>
      <c r="AT554" s="80">
        <v>0</v>
      </c>
      <c r="AU554" s="80"/>
      <c r="AV554" s="80"/>
      <c r="AW554" s="80"/>
      <c r="AX554" s="80"/>
      <c r="AY554" s="80"/>
      <c r="AZ554" s="80"/>
      <c r="BA554" s="80"/>
      <c r="BB554" s="80"/>
    </row>
    <row r="555" spans="1:54" x14ac:dyDescent="0.25">
      <c r="A555" s="65" t="s">
        <v>377</v>
      </c>
      <c r="B555" s="65" t="s">
        <v>280</v>
      </c>
      <c r="C555" s="66"/>
      <c r="D555" s="67"/>
      <c r="E555" s="68"/>
      <c r="F555" s="69"/>
      <c r="G555" s="66"/>
      <c r="H555" s="70"/>
      <c r="I555" s="71"/>
      <c r="J555" s="71"/>
      <c r="K555" s="36" t="s">
        <v>65</v>
      </c>
      <c r="L555" s="78">
        <v>555</v>
      </c>
      <c r="M555" s="78"/>
      <c r="N555" s="73"/>
      <c r="O555" s="80" t="s">
        <v>415</v>
      </c>
      <c r="P555" s="82">
        <v>44628.827731481484</v>
      </c>
      <c r="Q555" s="80" t="s">
        <v>446</v>
      </c>
      <c r="R555" s="83" t="str">
        <f>HYPERLINK("https://www.buffalo.edu/parking/announcements.host.html/content/shared/www/parking/need-to-know/2021-22/seats-available-spring-break-express-bus.detail.html")</f>
        <v>https://www.buffalo.edu/parking/announcements.host.html/content/shared/www/parking/need-to-know/2021-22/seats-available-spring-break-express-bus.detail.html</v>
      </c>
      <c r="S555" s="80" t="s">
        <v>632</v>
      </c>
      <c r="T555" s="85" t="s">
        <v>357</v>
      </c>
      <c r="U555" s="80"/>
      <c r="V555" s="83" t="str">
        <f>HYPERLINK("https://pbs.twimg.com/profile_images/1226935171875770368/-iqXH9Ad_normal.jpg")</f>
        <v>https://pbs.twimg.com/profile_images/1226935171875770368/-iqXH9Ad_normal.jpg</v>
      </c>
      <c r="W555" s="82">
        <v>44628.827731481484</v>
      </c>
      <c r="X555" s="88">
        <v>44628</v>
      </c>
      <c r="Y555" s="85" t="s">
        <v>1118</v>
      </c>
      <c r="Z555" s="83" t="str">
        <f>HYPERLINK("https://twitter.com/ubstudentexp/status/1501284600860983296")</f>
        <v>https://twitter.com/ubstudentexp/status/1501284600860983296</v>
      </c>
      <c r="AA555" s="80"/>
      <c r="AB555" s="80"/>
      <c r="AC555" s="85" t="s">
        <v>1571</v>
      </c>
      <c r="AD555" s="80"/>
      <c r="AE555" s="80" t="b">
        <v>0</v>
      </c>
      <c r="AF555" s="80">
        <v>0</v>
      </c>
      <c r="AG555" s="85" t="s">
        <v>1635</v>
      </c>
      <c r="AH555" s="80" t="b">
        <v>0</v>
      </c>
      <c r="AI555" s="80" t="s">
        <v>1642</v>
      </c>
      <c r="AJ555" s="80"/>
      <c r="AK555" s="85" t="s">
        <v>1635</v>
      </c>
      <c r="AL555" s="80" t="b">
        <v>0</v>
      </c>
      <c r="AM555" s="80">
        <v>2</v>
      </c>
      <c r="AN555" s="85" t="s">
        <v>1568</v>
      </c>
      <c r="AO555" s="85" t="s">
        <v>1671</v>
      </c>
      <c r="AP555" s="80" t="b">
        <v>0</v>
      </c>
      <c r="AQ555" s="85" t="s">
        <v>1568</v>
      </c>
      <c r="AR555" s="80" t="s">
        <v>179</v>
      </c>
      <c r="AS555" s="80">
        <v>0</v>
      </c>
      <c r="AT555" s="80">
        <v>0</v>
      </c>
      <c r="AU555" s="80"/>
      <c r="AV555" s="80"/>
      <c r="AW555" s="80"/>
      <c r="AX555" s="80"/>
      <c r="AY555" s="80"/>
      <c r="AZ555" s="80"/>
      <c r="BA555" s="80"/>
      <c r="BB555" s="80"/>
    </row>
    <row r="556" spans="1:54" x14ac:dyDescent="0.25">
      <c r="A556" s="65" t="s">
        <v>377</v>
      </c>
      <c r="B556" s="65" t="s">
        <v>280</v>
      </c>
      <c r="C556" s="66"/>
      <c r="D556" s="67"/>
      <c r="E556" s="68"/>
      <c r="F556" s="69"/>
      <c r="G556" s="66"/>
      <c r="H556" s="70"/>
      <c r="I556" s="71"/>
      <c r="J556" s="71"/>
      <c r="K556" s="36" t="s">
        <v>65</v>
      </c>
      <c r="L556" s="78">
        <v>556</v>
      </c>
      <c r="M556" s="78"/>
      <c r="N556" s="73"/>
      <c r="O556" s="80" t="s">
        <v>415</v>
      </c>
      <c r="P556" s="82">
        <v>44631.59652777778</v>
      </c>
      <c r="Q556" s="80" t="s">
        <v>598</v>
      </c>
      <c r="R556" s="83" t="str">
        <f>HYPERLINK("https://www.buffalo.edu/parking/service-advisories.host.html/content/shared/www/parking/advisories/2021-22/masks-still-required-riding-transportation.detail.html")</f>
        <v>https://www.buffalo.edu/parking/service-advisories.host.html/content/shared/www/parking/advisories/2021-22/masks-still-required-riding-transportation.detail.html</v>
      </c>
      <c r="S556" s="80" t="s">
        <v>632</v>
      </c>
      <c r="T556" s="85" t="s">
        <v>357</v>
      </c>
      <c r="U556" s="80"/>
      <c r="V556" s="83" t="str">
        <f>HYPERLINK("https://pbs.twimg.com/profile_images/1226935171875770368/-iqXH9Ad_normal.jpg")</f>
        <v>https://pbs.twimg.com/profile_images/1226935171875770368/-iqXH9Ad_normal.jpg</v>
      </c>
      <c r="W556" s="82">
        <v>44631.59652777778</v>
      </c>
      <c r="X556" s="88">
        <v>44631</v>
      </c>
      <c r="Y556" s="85" t="s">
        <v>1119</v>
      </c>
      <c r="Z556" s="83" t="str">
        <f>HYPERLINK("https://twitter.com/ubstudentexp/status/1502287980765003776")</f>
        <v>https://twitter.com/ubstudentexp/status/1502287980765003776</v>
      </c>
      <c r="AA556" s="80"/>
      <c r="AB556" s="80"/>
      <c r="AC556" s="85" t="s">
        <v>1572</v>
      </c>
      <c r="AD556" s="80"/>
      <c r="AE556" s="80" t="b">
        <v>0</v>
      </c>
      <c r="AF556" s="80">
        <v>0</v>
      </c>
      <c r="AG556" s="85" t="s">
        <v>1635</v>
      </c>
      <c r="AH556" s="80" t="b">
        <v>0</v>
      </c>
      <c r="AI556" s="80" t="s">
        <v>1642</v>
      </c>
      <c r="AJ556" s="80"/>
      <c r="AK556" s="85" t="s">
        <v>1635</v>
      </c>
      <c r="AL556" s="80" t="b">
        <v>0</v>
      </c>
      <c r="AM556" s="80">
        <v>1</v>
      </c>
      <c r="AN556" s="85" t="s">
        <v>1569</v>
      </c>
      <c r="AO556" s="85" t="s">
        <v>1672</v>
      </c>
      <c r="AP556" s="80" t="b">
        <v>0</v>
      </c>
      <c r="AQ556" s="85" t="s">
        <v>1569</v>
      </c>
      <c r="AR556" s="80" t="s">
        <v>179</v>
      </c>
      <c r="AS556" s="80">
        <v>0</v>
      </c>
      <c r="AT556" s="80">
        <v>0</v>
      </c>
      <c r="AU556" s="80"/>
      <c r="AV556" s="80"/>
      <c r="AW556" s="80"/>
      <c r="AX556" s="80"/>
      <c r="AY556" s="80"/>
      <c r="AZ556" s="80"/>
      <c r="BA556" s="80"/>
      <c r="BB556" s="80"/>
    </row>
    <row r="557" spans="1:54" x14ac:dyDescent="0.25">
      <c r="A557" s="65" t="s">
        <v>378</v>
      </c>
      <c r="B557" s="65" t="s">
        <v>377</v>
      </c>
      <c r="C557" s="66"/>
      <c r="D557" s="67"/>
      <c r="E557" s="68"/>
      <c r="F557" s="69"/>
      <c r="G557" s="66"/>
      <c r="H557" s="70"/>
      <c r="I557" s="71"/>
      <c r="J557" s="71"/>
      <c r="K557" s="36" t="s">
        <v>66</v>
      </c>
      <c r="L557" s="78">
        <v>557</v>
      </c>
      <c r="M557" s="78"/>
      <c r="N557" s="73"/>
      <c r="O557" s="80" t="s">
        <v>415</v>
      </c>
      <c r="P557" s="82">
        <v>44627.880555555559</v>
      </c>
      <c r="Q557" s="80" t="s">
        <v>599</v>
      </c>
      <c r="R557" s="83" t="str">
        <f>HYPERLINK("https://www.buffalo.edu/academic-integrity/awards.html")</f>
        <v>https://www.buffalo.edu/academic-integrity/awards.html</v>
      </c>
      <c r="S557" s="80" t="s">
        <v>632</v>
      </c>
      <c r="T557" s="85" t="s">
        <v>357</v>
      </c>
      <c r="U557" s="80"/>
      <c r="V557" s="83" t="str">
        <f>HYPERLINK("https://pbs.twimg.com/profile_images/855115679233716224/-WNS7KVI_normal.jpg")</f>
        <v>https://pbs.twimg.com/profile_images/855115679233716224/-WNS7KVI_normal.jpg</v>
      </c>
      <c r="W557" s="82">
        <v>44627.880555555559</v>
      </c>
      <c r="X557" s="88">
        <v>44627</v>
      </c>
      <c r="Y557" s="85" t="s">
        <v>1120</v>
      </c>
      <c r="Z557" s="83" t="str">
        <f>HYPERLINK("https://twitter.com/ubrecreation/status/1500941356193177604")</f>
        <v>https://twitter.com/ubrecreation/status/1500941356193177604</v>
      </c>
      <c r="AA557" s="80"/>
      <c r="AB557" s="80"/>
      <c r="AC557" s="85" t="s">
        <v>1573</v>
      </c>
      <c r="AD557" s="80"/>
      <c r="AE557" s="80" t="b">
        <v>0</v>
      </c>
      <c r="AF557" s="80">
        <v>0</v>
      </c>
      <c r="AG557" s="85" t="s">
        <v>1635</v>
      </c>
      <c r="AH557" s="80" t="b">
        <v>0</v>
      </c>
      <c r="AI557" s="80" t="s">
        <v>1642</v>
      </c>
      <c r="AJ557" s="80"/>
      <c r="AK557" s="85" t="s">
        <v>1635</v>
      </c>
      <c r="AL557" s="80" t="b">
        <v>0</v>
      </c>
      <c r="AM557" s="80">
        <v>1</v>
      </c>
      <c r="AN557" s="85" t="s">
        <v>1590</v>
      </c>
      <c r="AO557" s="85" t="s">
        <v>1671</v>
      </c>
      <c r="AP557" s="80" t="b">
        <v>0</v>
      </c>
      <c r="AQ557" s="85" t="s">
        <v>1590</v>
      </c>
      <c r="AR557" s="80" t="s">
        <v>179</v>
      </c>
      <c r="AS557" s="80">
        <v>0</v>
      </c>
      <c r="AT557" s="80">
        <v>0</v>
      </c>
      <c r="AU557" s="80"/>
      <c r="AV557" s="80"/>
      <c r="AW557" s="80"/>
      <c r="AX557" s="80"/>
      <c r="AY557" s="80"/>
      <c r="AZ557" s="80"/>
      <c r="BA557" s="80"/>
      <c r="BB557" s="80"/>
    </row>
    <row r="558" spans="1:54" x14ac:dyDescent="0.25">
      <c r="A558" s="65" t="s">
        <v>378</v>
      </c>
      <c r="B558" s="65" t="s">
        <v>357</v>
      </c>
      <c r="C558" s="66"/>
      <c r="D558" s="67"/>
      <c r="E558" s="68"/>
      <c r="F558" s="69"/>
      <c r="G558" s="66"/>
      <c r="H558" s="70"/>
      <c r="I558" s="71"/>
      <c r="J558" s="71"/>
      <c r="K558" s="36" t="s">
        <v>65</v>
      </c>
      <c r="L558" s="78">
        <v>558</v>
      </c>
      <c r="M558" s="78"/>
      <c r="N558" s="73"/>
      <c r="O558" s="80" t="s">
        <v>416</v>
      </c>
      <c r="P558" s="82">
        <v>44631.786585648151</v>
      </c>
      <c r="Q558" s="80" t="s">
        <v>600</v>
      </c>
      <c r="R558" s="80"/>
      <c r="S558" s="80"/>
      <c r="T558" s="85" t="s">
        <v>665</v>
      </c>
      <c r="U558" s="83" t="str">
        <f>HYPERLINK("https://pbs.twimg.com/media/FNlxmE6XoAU2wAB.jpg")</f>
        <v>https://pbs.twimg.com/media/FNlxmE6XoAU2wAB.jpg</v>
      </c>
      <c r="V558" s="83" t="str">
        <f>HYPERLINK("https://pbs.twimg.com/media/FNlxmE6XoAU2wAB.jpg")</f>
        <v>https://pbs.twimg.com/media/FNlxmE6XoAU2wAB.jpg</v>
      </c>
      <c r="W558" s="82">
        <v>44631.786585648151</v>
      </c>
      <c r="X558" s="88">
        <v>44631</v>
      </c>
      <c r="Y558" s="85" t="s">
        <v>997</v>
      </c>
      <c r="Z558" s="83" t="str">
        <f>HYPERLINK("https://twitter.com/ubrecreation/status/1502356854478938118")</f>
        <v>https://twitter.com/ubrecreation/status/1502356854478938118</v>
      </c>
      <c r="AA558" s="80"/>
      <c r="AB558" s="80"/>
      <c r="AC558" s="85" t="s">
        <v>1574</v>
      </c>
      <c r="AD558" s="80"/>
      <c r="AE558" s="80" t="b">
        <v>0</v>
      </c>
      <c r="AF558" s="80">
        <v>5</v>
      </c>
      <c r="AG558" s="85" t="s">
        <v>1635</v>
      </c>
      <c r="AH558" s="80" t="b">
        <v>0</v>
      </c>
      <c r="AI558" s="80" t="s">
        <v>1642</v>
      </c>
      <c r="AJ558" s="80"/>
      <c r="AK558" s="85" t="s">
        <v>1635</v>
      </c>
      <c r="AL558" s="80" t="b">
        <v>0</v>
      </c>
      <c r="AM558" s="80">
        <v>1</v>
      </c>
      <c r="AN558" s="85" t="s">
        <v>1635</v>
      </c>
      <c r="AO558" s="85" t="s">
        <v>1671</v>
      </c>
      <c r="AP558" s="80" t="b">
        <v>0</v>
      </c>
      <c r="AQ558" s="85" t="s">
        <v>1574</v>
      </c>
      <c r="AR558" s="80" t="s">
        <v>179</v>
      </c>
      <c r="AS558" s="80">
        <v>0</v>
      </c>
      <c r="AT558" s="80">
        <v>0</v>
      </c>
      <c r="AU558" s="80" t="s">
        <v>1688</v>
      </c>
      <c r="AV558" s="80" t="s">
        <v>1691</v>
      </c>
      <c r="AW558" s="80" t="s">
        <v>1692</v>
      </c>
      <c r="AX558" s="80" t="s">
        <v>1694</v>
      </c>
      <c r="AY558" s="80" t="s">
        <v>1698</v>
      </c>
      <c r="AZ558" s="80" t="s">
        <v>1702</v>
      </c>
      <c r="BA558" s="80" t="s">
        <v>1705</v>
      </c>
      <c r="BB558" s="83" t="str">
        <f>HYPERLINK("https://api.twitter.com/1.1/geo/id/a307591cd0413588.json")</f>
        <v>https://api.twitter.com/1.1/geo/id/a307591cd0413588.json</v>
      </c>
    </row>
    <row r="559" spans="1:54" x14ac:dyDescent="0.25">
      <c r="A559" s="65" t="s">
        <v>378</v>
      </c>
      <c r="B559" s="65" t="s">
        <v>357</v>
      </c>
      <c r="C559" s="66"/>
      <c r="D559" s="67"/>
      <c r="E559" s="68"/>
      <c r="F559" s="69"/>
      <c r="G559" s="66"/>
      <c r="H559" s="70"/>
      <c r="I559" s="71"/>
      <c r="J559" s="71"/>
      <c r="K559" s="36" t="s">
        <v>65</v>
      </c>
      <c r="L559" s="78">
        <v>559</v>
      </c>
      <c r="M559" s="78"/>
      <c r="N559" s="73"/>
      <c r="O559" s="80" t="s">
        <v>415</v>
      </c>
      <c r="P559" s="82">
        <v>44632.51703703704</v>
      </c>
      <c r="Q559" s="80" t="s">
        <v>504</v>
      </c>
      <c r="R559" s="83" t="str">
        <f>HYPERLINK("https://www.buffalo.edu/ubnow/stories/2022/03/true-blue-club.html?utm_source=TWITTER&amp;utm_medium=social&amp;utm_term=20220311&amp;utm_content=100002967585037&amp;utm_campaign=UB+True+Blue&amp;linkId=100000114683785")</f>
        <v>https://www.buffalo.edu/ubnow/stories/2022/03/true-blue-club.html?utm_source=TWITTER&amp;utm_medium=social&amp;utm_term=20220311&amp;utm_content=100002967585037&amp;utm_campaign=UB+True+Blue&amp;linkId=100000114683785</v>
      </c>
      <c r="S559" s="80" t="s">
        <v>632</v>
      </c>
      <c r="T559" s="85" t="s">
        <v>699</v>
      </c>
      <c r="U559" s="80"/>
      <c r="V559" s="83" t="str">
        <f>HYPERLINK("https://pbs.twimg.com/profile_images/855115679233716224/-WNS7KVI_normal.jpg")</f>
        <v>https://pbs.twimg.com/profile_images/855115679233716224/-WNS7KVI_normal.jpg</v>
      </c>
      <c r="W559" s="82">
        <v>44632.51703703704</v>
      </c>
      <c r="X559" s="88">
        <v>44632</v>
      </c>
      <c r="Y559" s="85" t="s">
        <v>1121</v>
      </c>
      <c r="Z559" s="83" t="str">
        <f>HYPERLINK("https://twitter.com/ubrecreation/status/1502621563434278914")</f>
        <v>https://twitter.com/ubrecreation/status/1502621563434278914</v>
      </c>
      <c r="AA559" s="80"/>
      <c r="AB559" s="80"/>
      <c r="AC559" s="85" t="s">
        <v>1575</v>
      </c>
      <c r="AD559" s="80"/>
      <c r="AE559" s="80" t="b">
        <v>0</v>
      </c>
      <c r="AF559" s="80">
        <v>0</v>
      </c>
      <c r="AG559" s="85" t="s">
        <v>1635</v>
      </c>
      <c r="AH559" s="80" t="b">
        <v>0</v>
      </c>
      <c r="AI559" s="80" t="s">
        <v>1642</v>
      </c>
      <c r="AJ559" s="80"/>
      <c r="AK559" s="85" t="s">
        <v>1635</v>
      </c>
      <c r="AL559" s="80" t="b">
        <v>0</v>
      </c>
      <c r="AM559" s="80">
        <v>4</v>
      </c>
      <c r="AN559" s="85" t="s">
        <v>1621</v>
      </c>
      <c r="AO559" s="85" t="s">
        <v>1671</v>
      </c>
      <c r="AP559" s="80" t="b">
        <v>0</v>
      </c>
      <c r="AQ559" s="85" t="s">
        <v>1621</v>
      </c>
      <c r="AR559" s="80" t="s">
        <v>179</v>
      </c>
      <c r="AS559" s="80">
        <v>0</v>
      </c>
      <c r="AT559" s="80">
        <v>0</v>
      </c>
      <c r="AU559" s="80"/>
      <c r="AV559" s="80"/>
      <c r="AW559" s="80"/>
      <c r="AX559" s="80"/>
      <c r="AY559" s="80"/>
      <c r="AZ559" s="80"/>
      <c r="BA559" s="80"/>
      <c r="BB559" s="80"/>
    </row>
    <row r="560" spans="1:54" x14ac:dyDescent="0.25">
      <c r="A560" s="65" t="s">
        <v>378</v>
      </c>
      <c r="B560" s="65" t="s">
        <v>357</v>
      </c>
      <c r="C560" s="66"/>
      <c r="D560" s="67"/>
      <c r="E560" s="68"/>
      <c r="F560" s="69"/>
      <c r="G560" s="66"/>
      <c r="H560" s="70"/>
      <c r="I560" s="71"/>
      <c r="J560" s="71"/>
      <c r="K560" s="36" t="s">
        <v>65</v>
      </c>
      <c r="L560" s="78">
        <v>560</v>
      </c>
      <c r="M560" s="78"/>
      <c r="N560" s="73"/>
      <c r="O560" s="80" t="s">
        <v>415</v>
      </c>
      <c r="P560" s="82">
        <v>44633.512129629627</v>
      </c>
      <c r="Q560" s="80" t="s">
        <v>505</v>
      </c>
      <c r="R560" s="80"/>
      <c r="S560" s="80"/>
      <c r="T560" s="85" t="s">
        <v>700</v>
      </c>
      <c r="U560" s="83" t="str">
        <f>HYPERLINK("https://pbs.twimg.com/media/FNq-K9kWUAII3TB.jpg")</f>
        <v>https://pbs.twimg.com/media/FNq-K9kWUAII3TB.jpg</v>
      </c>
      <c r="V560" s="83" t="str">
        <f>HYPERLINK("https://pbs.twimg.com/media/FNq-K9kWUAII3TB.jpg")</f>
        <v>https://pbs.twimg.com/media/FNq-K9kWUAII3TB.jpg</v>
      </c>
      <c r="W560" s="82">
        <v>44633.512129629627</v>
      </c>
      <c r="X560" s="88">
        <v>44633</v>
      </c>
      <c r="Y560" s="85" t="s">
        <v>1122</v>
      </c>
      <c r="Z560" s="83" t="str">
        <f>HYPERLINK("https://twitter.com/ubrecreation/status/1502982170805161985")</f>
        <v>https://twitter.com/ubrecreation/status/1502982170805161985</v>
      </c>
      <c r="AA560" s="80"/>
      <c r="AB560" s="80"/>
      <c r="AC560" s="85" t="s">
        <v>1576</v>
      </c>
      <c r="AD560" s="80"/>
      <c r="AE560" s="80" t="b">
        <v>0</v>
      </c>
      <c r="AF560" s="80">
        <v>0</v>
      </c>
      <c r="AG560" s="85" t="s">
        <v>1635</v>
      </c>
      <c r="AH560" s="80" t="b">
        <v>0</v>
      </c>
      <c r="AI560" s="80" t="s">
        <v>1642</v>
      </c>
      <c r="AJ560" s="80"/>
      <c r="AK560" s="85" t="s">
        <v>1635</v>
      </c>
      <c r="AL560" s="80" t="b">
        <v>0</v>
      </c>
      <c r="AM560" s="80">
        <v>40</v>
      </c>
      <c r="AN560" s="85" t="s">
        <v>1627</v>
      </c>
      <c r="AO560" s="85" t="s">
        <v>1671</v>
      </c>
      <c r="AP560" s="80" t="b">
        <v>0</v>
      </c>
      <c r="AQ560" s="85" t="s">
        <v>1627</v>
      </c>
      <c r="AR560" s="80" t="s">
        <v>179</v>
      </c>
      <c r="AS560" s="80">
        <v>0</v>
      </c>
      <c r="AT560" s="80">
        <v>0</v>
      </c>
      <c r="AU560" s="80"/>
      <c r="AV560" s="80"/>
      <c r="AW560" s="80"/>
      <c r="AX560" s="80"/>
      <c r="AY560" s="80"/>
      <c r="AZ560" s="80"/>
      <c r="BA560" s="80"/>
      <c r="BB560" s="80"/>
    </row>
    <row r="561" spans="1:54" x14ac:dyDescent="0.25">
      <c r="A561" s="65" t="s">
        <v>378</v>
      </c>
      <c r="B561" s="65" t="s">
        <v>378</v>
      </c>
      <c r="C561" s="66"/>
      <c r="D561" s="67"/>
      <c r="E561" s="68"/>
      <c r="F561" s="69"/>
      <c r="G561" s="66"/>
      <c r="H561" s="70"/>
      <c r="I561" s="71"/>
      <c r="J561" s="71"/>
      <c r="K561" s="36" t="s">
        <v>65</v>
      </c>
      <c r="L561" s="78">
        <v>561</v>
      </c>
      <c r="M561" s="78"/>
      <c r="N561" s="73"/>
      <c r="O561" s="80" t="s">
        <v>179</v>
      </c>
      <c r="P561" s="82">
        <v>44633.516655092593</v>
      </c>
      <c r="Q561" s="80" t="s">
        <v>601</v>
      </c>
      <c r="R561" s="80"/>
      <c r="S561" s="80"/>
      <c r="T561" s="85" t="s">
        <v>357</v>
      </c>
      <c r="U561" s="80"/>
      <c r="V561" s="83" t="str">
        <f>HYPERLINK("https://pbs.twimg.com/profile_images/855115679233716224/-WNS7KVI_normal.jpg")</f>
        <v>https://pbs.twimg.com/profile_images/855115679233716224/-WNS7KVI_normal.jpg</v>
      </c>
      <c r="W561" s="82">
        <v>44633.516655092593</v>
      </c>
      <c r="X561" s="88">
        <v>44633</v>
      </c>
      <c r="Y561" s="85" t="s">
        <v>1123</v>
      </c>
      <c r="Z561" s="83" t="str">
        <f>HYPERLINK("https://twitter.com/ubrecreation/status/1502983812858400777")</f>
        <v>https://twitter.com/ubrecreation/status/1502983812858400777</v>
      </c>
      <c r="AA561" s="80"/>
      <c r="AB561" s="80"/>
      <c r="AC561" s="85" t="s">
        <v>1577</v>
      </c>
      <c r="AD561" s="85" t="s">
        <v>1634</v>
      </c>
      <c r="AE561" s="80" t="b">
        <v>0</v>
      </c>
      <c r="AF561" s="80">
        <v>0</v>
      </c>
      <c r="AG561" s="85" t="s">
        <v>1640</v>
      </c>
      <c r="AH561" s="80" t="b">
        <v>0</v>
      </c>
      <c r="AI561" s="80" t="s">
        <v>1643</v>
      </c>
      <c r="AJ561" s="80"/>
      <c r="AK561" s="85" t="s">
        <v>1635</v>
      </c>
      <c r="AL561" s="80" t="b">
        <v>0</v>
      </c>
      <c r="AM561" s="80">
        <v>0</v>
      </c>
      <c r="AN561" s="85" t="s">
        <v>1635</v>
      </c>
      <c r="AO561" s="85" t="s">
        <v>1671</v>
      </c>
      <c r="AP561" s="80" t="b">
        <v>0</v>
      </c>
      <c r="AQ561" s="85" t="s">
        <v>1634</v>
      </c>
      <c r="AR561" s="80" t="s">
        <v>179</v>
      </c>
      <c r="AS561" s="80">
        <v>0</v>
      </c>
      <c r="AT561" s="80">
        <v>0</v>
      </c>
      <c r="AU561" s="80" t="s">
        <v>1688</v>
      </c>
      <c r="AV561" s="80" t="s">
        <v>1691</v>
      </c>
      <c r="AW561" s="80" t="s">
        <v>1692</v>
      </c>
      <c r="AX561" s="80" t="s">
        <v>1694</v>
      </c>
      <c r="AY561" s="80" t="s">
        <v>1698</v>
      </c>
      <c r="AZ561" s="80" t="s">
        <v>1702</v>
      </c>
      <c r="BA561" s="80" t="s">
        <v>1705</v>
      </c>
      <c r="BB561" s="83" t="str">
        <f>HYPERLINK("https://api.twitter.com/1.1/geo/id/a307591cd0413588.json")</f>
        <v>https://api.twitter.com/1.1/geo/id/a307591cd0413588.json</v>
      </c>
    </row>
    <row r="562" spans="1:54" x14ac:dyDescent="0.25">
      <c r="A562" s="65" t="s">
        <v>378</v>
      </c>
      <c r="B562" s="65" t="s">
        <v>378</v>
      </c>
      <c r="C562" s="66"/>
      <c r="D562" s="67"/>
      <c r="E562" s="68"/>
      <c r="F562" s="69"/>
      <c r="G562" s="66"/>
      <c r="H562" s="70"/>
      <c r="I562" s="71"/>
      <c r="J562" s="71"/>
      <c r="K562" s="36" t="s">
        <v>65</v>
      </c>
      <c r="L562" s="78">
        <v>562</v>
      </c>
      <c r="M562" s="78"/>
      <c r="N562" s="73"/>
      <c r="O562" s="80" t="s">
        <v>179</v>
      </c>
      <c r="P562" s="82">
        <v>44633.518113425926</v>
      </c>
      <c r="Q562" s="80" t="s">
        <v>602</v>
      </c>
      <c r="R562" s="80"/>
      <c r="S562" s="80"/>
      <c r="T562" s="85" t="s">
        <v>725</v>
      </c>
      <c r="U562" s="80"/>
      <c r="V562" s="83" t="str">
        <f>HYPERLINK("https://pbs.twimg.com/profile_images/855115679233716224/-WNS7KVI_normal.jpg")</f>
        <v>https://pbs.twimg.com/profile_images/855115679233716224/-WNS7KVI_normal.jpg</v>
      </c>
      <c r="W562" s="82">
        <v>44633.518113425926</v>
      </c>
      <c r="X562" s="88">
        <v>44633</v>
      </c>
      <c r="Y562" s="85" t="s">
        <v>1124</v>
      </c>
      <c r="Z562" s="83" t="str">
        <f>HYPERLINK("https://twitter.com/ubrecreation/status/1502984339281354755")</f>
        <v>https://twitter.com/ubrecreation/status/1502984339281354755</v>
      </c>
      <c r="AA562" s="80"/>
      <c r="AB562" s="80"/>
      <c r="AC562" s="85" t="s">
        <v>1578</v>
      </c>
      <c r="AD562" s="80"/>
      <c r="AE562" s="80" t="b">
        <v>0</v>
      </c>
      <c r="AF562" s="80">
        <v>0</v>
      </c>
      <c r="AG562" s="85" t="s">
        <v>1635</v>
      </c>
      <c r="AH562" s="80" t="b">
        <v>0</v>
      </c>
      <c r="AI562" s="80" t="s">
        <v>1642</v>
      </c>
      <c r="AJ562" s="80"/>
      <c r="AK562" s="85" t="s">
        <v>1635</v>
      </c>
      <c r="AL562" s="80" t="b">
        <v>0</v>
      </c>
      <c r="AM562" s="80">
        <v>0</v>
      </c>
      <c r="AN562" s="85" t="s">
        <v>1635</v>
      </c>
      <c r="AO562" s="85" t="s">
        <v>1671</v>
      </c>
      <c r="AP562" s="80" t="b">
        <v>0</v>
      </c>
      <c r="AQ562" s="85" t="s">
        <v>1578</v>
      </c>
      <c r="AR562" s="80" t="s">
        <v>179</v>
      </c>
      <c r="AS562" s="80">
        <v>0</v>
      </c>
      <c r="AT562" s="80">
        <v>0</v>
      </c>
      <c r="AU562" s="80" t="s">
        <v>1688</v>
      </c>
      <c r="AV562" s="80" t="s">
        <v>1691</v>
      </c>
      <c r="AW562" s="80" t="s">
        <v>1692</v>
      </c>
      <c r="AX562" s="80" t="s">
        <v>1694</v>
      </c>
      <c r="AY562" s="80" t="s">
        <v>1698</v>
      </c>
      <c r="AZ562" s="80" t="s">
        <v>1702</v>
      </c>
      <c r="BA562" s="80" t="s">
        <v>1705</v>
      </c>
      <c r="BB562" s="83" t="str">
        <f>HYPERLINK("https://api.twitter.com/1.1/geo/id/a307591cd0413588.json")</f>
        <v>https://api.twitter.com/1.1/geo/id/a307591cd0413588.json</v>
      </c>
    </row>
    <row r="563" spans="1:54" x14ac:dyDescent="0.25">
      <c r="A563" s="65" t="s">
        <v>377</v>
      </c>
      <c r="B563" s="65" t="s">
        <v>378</v>
      </c>
      <c r="C563" s="66"/>
      <c r="D563" s="67"/>
      <c r="E563" s="68"/>
      <c r="F563" s="69"/>
      <c r="G563" s="66"/>
      <c r="H563" s="70"/>
      <c r="I563" s="71"/>
      <c r="J563" s="71"/>
      <c r="K563" s="36" t="s">
        <v>66</v>
      </c>
      <c r="L563" s="78">
        <v>563</v>
      </c>
      <c r="M563" s="78"/>
      <c r="N563" s="73"/>
      <c r="O563" s="80" t="s">
        <v>415</v>
      </c>
      <c r="P563" s="82">
        <v>44631.811481481483</v>
      </c>
      <c r="Q563" s="80" t="s">
        <v>600</v>
      </c>
      <c r="R563" s="80"/>
      <c r="S563" s="80"/>
      <c r="T563" s="85" t="s">
        <v>665</v>
      </c>
      <c r="U563" s="83" t="str">
        <f>HYPERLINK("https://pbs.twimg.com/media/FNlxmE6XoAU2wAB.jpg")</f>
        <v>https://pbs.twimg.com/media/FNlxmE6XoAU2wAB.jpg</v>
      </c>
      <c r="V563" s="83" t="str">
        <f>HYPERLINK("https://pbs.twimg.com/media/FNlxmE6XoAU2wAB.jpg")</f>
        <v>https://pbs.twimg.com/media/FNlxmE6XoAU2wAB.jpg</v>
      </c>
      <c r="W563" s="82">
        <v>44631.811481481483</v>
      </c>
      <c r="X563" s="88">
        <v>44631</v>
      </c>
      <c r="Y563" s="85" t="s">
        <v>1125</v>
      </c>
      <c r="Z563" s="83" t="str">
        <f>HYPERLINK("https://twitter.com/ubstudentexp/status/1502365877777440774")</f>
        <v>https://twitter.com/ubstudentexp/status/1502365877777440774</v>
      </c>
      <c r="AA563" s="80"/>
      <c r="AB563" s="80"/>
      <c r="AC563" s="85" t="s">
        <v>1579</v>
      </c>
      <c r="AD563" s="80"/>
      <c r="AE563" s="80" t="b">
        <v>0</v>
      </c>
      <c r="AF563" s="80">
        <v>0</v>
      </c>
      <c r="AG563" s="85" t="s">
        <v>1635</v>
      </c>
      <c r="AH563" s="80" t="b">
        <v>0</v>
      </c>
      <c r="AI563" s="80" t="s">
        <v>1642</v>
      </c>
      <c r="AJ563" s="80"/>
      <c r="AK563" s="85" t="s">
        <v>1635</v>
      </c>
      <c r="AL563" s="80" t="b">
        <v>0</v>
      </c>
      <c r="AM563" s="80">
        <v>1</v>
      </c>
      <c r="AN563" s="85" t="s">
        <v>1574</v>
      </c>
      <c r="AO563" s="85" t="s">
        <v>1672</v>
      </c>
      <c r="AP563" s="80" t="b">
        <v>0</v>
      </c>
      <c r="AQ563" s="85" t="s">
        <v>1574</v>
      </c>
      <c r="AR563" s="80" t="s">
        <v>179</v>
      </c>
      <c r="AS563" s="80">
        <v>0</v>
      </c>
      <c r="AT563" s="80">
        <v>0</v>
      </c>
      <c r="AU563" s="80"/>
      <c r="AV563" s="80"/>
      <c r="AW563" s="80"/>
      <c r="AX563" s="80"/>
      <c r="AY563" s="80"/>
      <c r="AZ563" s="80"/>
      <c r="BA563" s="80"/>
      <c r="BB563" s="80"/>
    </row>
    <row r="564" spans="1:54" x14ac:dyDescent="0.25">
      <c r="A564" s="65" t="s">
        <v>357</v>
      </c>
      <c r="B564" s="65" t="s">
        <v>385</v>
      </c>
      <c r="C564" s="66"/>
      <c r="D564" s="67"/>
      <c r="E564" s="68"/>
      <c r="F564" s="69"/>
      <c r="G564" s="66"/>
      <c r="H564" s="70"/>
      <c r="I564" s="71"/>
      <c r="J564" s="71"/>
      <c r="K564" s="36" t="s">
        <v>65</v>
      </c>
      <c r="L564" s="78">
        <v>564</v>
      </c>
      <c r="M564" s="78"/>
      <c r="N564" s="73"/>
      <c r="O564" s="80" t="s">
        <v>414</v>
      </c>
      <c r="P564" s="82">
        <v>44632.675393518519</v>
      </c>
      <c r="Q564" s="80" t="s">
        <v>516</v>
      </c>
      <c r="R564" s="83" t="str">
        <f>HYPERLINK("https://digital.lib.buffalo.edu/collection/LIB-UA021/")</f>
        <v>https://digital.lib.buffalo.edu/collection/LIB-UA021/</v>
      </c>
      <c r="S564" s="80" t="s">
        <v>632</v>
      </c>
      <c r="T564" s="85" t="s">
        <v>665</v>
      </c>
      <c r="U564" s="83" t="str">
        <f>HYPERLINK("https://pbs.twimg.com/media/FNp9fYPXoAkTobt.jpg")</f>
        <v>https://pbs.twimg.com/media/FNp9fYPXoAkTobt.jpg</v>
      </c>
      <c r="V564" s="83" t="str">
        <f>HYPERLINK("https://pbs.twimg.com/media/FNp9fYPXoAkTobt.jpg")</f>
        <v>https://pbs.twimg.com/media/FNp9fYPXoAkTobt.jpg</v>
      </c>
      <c r="W564" s="82">
        <v>44632.675393518519</v>
      </c>
      <c r="X564" s="88">
        <v>44632</v>
      </c>
      <c r="Y564" s="85" t="s">
        <v>1027</v>
      </c>
      <c r="Z564" s="83" t="str">
        <f>HYPERLINK("https://twitter.com/ubuffalo/status/1502678947749928962")</f>
        <v>https://twitter.com/ubuffalo/status/1502678947749928962</v>
      </c>
      <c r="AA564" s="80"/>
      <c r="AB564" s="80"/>
      <c r="AC564" s="85" t="s">
        <v>1477</v>
      </c>
      <c r="AD564" s="80"/>
      <c r="AE564" s="80" t="b">
        <v>0</v>
      </c>
      <c r="AF564" s="80">
        <v>0</v>
      </c>
      <c r="AG564" s="85" t="s">
        <v>1635</v>
      </c>
      <c r="AH564" s="80" t="b">
        <v>0</v>
      </c>
      <c r="AI564" s="80" t="s">
        <v>1642</v>
      </c>
      <c r="AJ564" s="80"/>
      <c r="AK564" s="85" t="s">
        <v>1635</v>
      </c>
      <c r="AL564" s="80" t="b">
        <v>0</v>
      </c>
      <c r="AM564" s="80">
        <v>3</v>
      </c>
      <c r="AN564" s="85" t="s">
        <v>1474</v>
      </c>
      <c r="AO564" s="85" t="s">
        <v>1672</v>
      </c>
      <c r="AP564" s="80" t="b">
        <v>0</v>
      </c>
      <c r="AQ564" s="85" t="s">
        <v>1474</v>
      </c>
      <c r="AR564" s="80" t="s">
        <v>179</v>
      </c>
      <c r="AS564" s="80">
        <v>0</v>
      </c>
      <c r="AT564" s="80">
        <v>0</v>
      </c>
      <c r="AU564" s="80"/>
      <c r="AV564" s="80"/>
      <c r="AW564" s="80"/>
      <c r="AX564" s="80"/>
      <c r="AY564" s="80"/>
      <c r="AZ564" s="80"/>
      <c r="BA564" s="80"/>
      <c r="BB564" s="80"/>
    </row>
    <row r="565" spans="1:54" x14ac:dyDescent="0.25">
      <c r="A565" s="65" t="s">
        <v>357</v>
      </c>
      <c r="B565" s="65" t="s">
        <v>385</v>
      </c>
      <c r="C565" s="66"/>
      <c r="D565" s="67"/>
      <c r="E565" s="68"/>
      <c r="F565" s="69"/>
      <c r="G565" s="66"/>
      <c r="H565" s="70"/>
      <c r="I565" s="71"/>
      <c r="J565" s="71"/>
      <c r="K565" s="36" t="s">
        <v>65</v>
      </c>
      <c r="L565" s="78">
        <v>565</v>
      </c>
      <c r="M565" s="78"/>
      <c r="N565" s="73"/>
      <c r="O565" s="80" t="s">
        <v>416</v>
      </c>
      <c r="P565" s="82">
        <v>44632.683888888889</v>
      </c>
      <c r="Q565" s="80" t="s">
        <v>569</v>
      </c>
      <c r="R565" s="80"/>
      <c r="S565" s="80"/>
      <c r="T565" s="85" t="s">
        <v>357</v>
      </c>
      <c r="U565" s="80"/>
      <c r="V565" s="83" t="str">
        <f>HYPERLINK("https://pbs.twimg.com/profile_images/991327943317213185/Hgte82Vq_normal.jpg")</f>
        <v>https://pbs.twimg.com/profile_images/991327943317213185/Hgte82Vq_normal.jpg</v>
      </c>
      <c r="W565" s="82">
        <v>44632.683888888889</v>
      </c>
      <c r="X565" s="88">
        <v>44632</v>
      </c>
      <c r="Y565" s="85" t="s">
        <v>1041</v>
      </c>
      <c r="Z565" s="83" t="str">
        <f>HYPERLINK("https://twitter.com/ubuffalo/status/1502682028487196683")</f>
        <v>https://twitter.com/ubuffalo/status/1502682028487196683</v>
      </c>
      <c r="AA565" s="80"/>
      <c r="AB565" s="80"/>
      <c r="AC565" s="85" t="s">
        <v>1492</v>
      </c>
      <c r="AD565" s="85" t="s">
        <v>1633</v>
      </c>
      <c r="AE565" s="80" t="b">
        <v>0</v>
      </c>
      <c r="AF565" s="80">
        <v>2</v>
      </c>
      <c r="AG565" s="85" t="s">
        <v>1636</v>
      </c>
      <c r="AH565" s="80" t="b">
        <v>0</v>
      </c>
      <c r="AI565" s="80" t="s">
        <v>1642</v>
      </c>
      <c r="AJ565" s="80"/>
      <c r="AK565" s="85" t="s">
        <v>1635</v>
      </c>
      <c r="AL565" s="80" t="b">
        <v>0</v>
      </c>
      <c r="AM565" s="80">
        <v>1</v>
      </c>
      <c r="AN565" s="85" t="s">
        <v>1635</v>
      </c>
      <c r="AO565" s="85" t="s">
        <v>1672</v>
      </c>
      <c r="AP565" s="80" t="b">
        <v>0</v>
      </c>
      <c r="AQ565" s="85" t="s">
        <v>1633</v>
      </c>
      <c r="AR565" s="80" t="s">
        <v>179</v>
      </c>
      <c r="AS565" s="80">
        <v>0</v>
      </c>
      <c r="AT565" s="80">
        <v>0</v>
      </c>
      <c r="AU565" s="80"/>
      <c r="AV565" s="80"/>
      <c r="AW565" s="80"/>
      <c r="AX565" s="80"/>
      <c r="AY565" s="80"/>
      <c r="AZ565" s="80"/>
      <c r="BA565" s="80"/>
      <c r="BB565" s="80"/>
    </row>
    <row r="566" spans="1:54" x14ac:dyDescent="0.25">
      <c r="A566" s="65" t="s">
        <v>357</v>
      </c>
      <c r="B566" s="65" t="s">
        <v>385</v>
      </c>
      <c r="C566" s="66"/>
      <c r="D566" s="67"/>
      <c r="E566" s="68"/>
      <c r="F566" s="69"/>
      <c r="G566" s="66"/>
      <c r="H566" s="70"/>
      <c r="I566" s="71"/>
      <c r="J566" s="71"/>
      <c r="K566" s="36" t="s">
        <v>65</v>
      </c>
      <c r="L566" s="78">
        <v>566</v>
      </c>
      <c r="M566" s="78"/>
      <c r="N566" s="73"/>
      <c r="O566" s="80" t="s">
        <v>416</v>
      </c>
      <c r="P566" s="82">
        <v>44632.712789351855</v>
      </c>
      <c r="Q566" s="80" t="s">
        <v>523</v>
      </c>
      <c r="R566" s="83" t="str">
        <f>HYPERLINK("https://twitter.com/UBAthletics/status/1502689759491248135")</f>
        <v>https://twitter.com/UBAthletics/status/1502689759491248135</v>
      </c>
      <c r="S566" s="80" t="s">
        <v>633</v>
      </c>
      <c r="T566" s="85" t="s">
        <v>665</v>
      </c>
      <c r="U566" s="80"/>
      <c r="V566" s="83" t="str">
        <f>HYPERLINK("https://pbs.twimg.com/profile_images/991327943317213185/Hgte82Vq_normal.jpg")</f>
        <v>https://pbs.twimg.com/profile_images/991327943317213185/Hgte82Vq_normal.jpg</v>
      </c>
      <c r="W566" s="82">
        <v>44632.712789351855</v>
      </c>
      <c r="X566" s="88">
        <v>44632</v>
      </c>
      <c r="Y566" s="85" t="s">
        <v>1126</v>
      </c>
      <c r="Z566" s="83" t="str">
        <f>HYPERLINK("https://twitter.com/ubuffalo/status/1502692499994914825")</f>
        <v>https://twitter.com/ubuffalo/status/1502692499994914825</v>
      </c>
      <c r="AA566" s="80"/>
      <c r="AB566" s="80"/>
      <c r="AC566" s="85" t="s">
        <v>1580</v>
      </c>
      <c r="AD566" s="80"/>
      <c r="AE566" s="80" t="b">
        <v>0</v>
      </c>
      <c r="AF566" s="80">
        <v>2</v>
      </c>
      <c r="AG566" s="85" t="s">
        <v>1635</v>
      </c>
      <c r="AH566" s="80" t="b">
        <v>1</v>
      </c>
      <c r="AI566" s="80" t="s">
        <v>1642</v>
      </c>
      <c r="AJ566" s="80"/>
      <c r="AK566" s="85" t="s">
        <v>1655</v>
      </c>
      <c r="AL566" s="80" t="b">
        <v>0</v>
      </c>
      <c r="AM566" s="80">
        <v>1</v>
      </c>
      <c r="AN566" s="85" t="s">
        <v>1635</v>
      </c>
      <c r="AO566" s="85" t="s">
        <v>1672</v>
      </c>
      <c r="AP566" s="80" t="b">
        <v>0</v>
      </c>
      <c r="AQ566" s="85" t="s">
        <v>1580</v>
      </c>
      <c r="AR566" s="80" t="s">
        <v>179</v>
      </c>
      <c r="AS566" s="80">
        <v>0</v>
      </c>
      <c r="AT566" s="80">
        <v>0</v>
      </c>
      <c r="AU566" s="80"/>
      <c r="AV566" s="80"/>
      <c r="AW566" s="80"/>
      <c r="AX566" s="80"/>
      <c r="AY566" s="80"/>
      <c r="AZ566" s="80"/>
      <c r="BA566" s="80"/>
      <c r="BB566" s="80"/>
    </row>
    <row r="567" spans="1:54" x14ac:dyDescent="0.25">
      <c r="A567" s="65" t="s">
        <v>357</v>
      </c>
      <c r="B567" s="65" t="s">
        <v>385</v>
      </c>
      <c r="C567" s="66"/>
      <c r="D567" s="67"/>
      <c r="E567" s="68"/>
      <c r="F567" s="69"/>
      <c r="G567" s="66"/>
      <c r="H567" s="70"/>
      <c r="I567" s="71"/>
      <c r="J567" s="71"/>
      <c r="K567" s="36" t="s">
        <v>65</v>
      </c>
      <c r="L567" s="78">
        <v>567</v>
      </c>
      <c r="M567" s="78"/>
      <c r="N567" s="73"/>
      <c r="O567" s="80" t="s">
        <v>416</v>
      </c>
      <c r="P567" s="82">
        <v>44632.758784722224</v>
      </c>
      <c r="Q567" s="80" t="s">
        <v>502</v>
      </c>
      <c r="R567" s="83" t="str">
        <f>HYPERLINK("https://twitter.com/UBAthletics/status/1502708562472148997")</f>
        <v>https://twitter.com/UBAthletics/status/1502708562472148997</v>
      </c>
      <c r="S567" s="80" t="s">
        <v>633</v>
      </c>
      <c r="T567" s="85" t="s">
        <v>698</v>
      </c>
      <c r="U567" s="80"/>
      <c r="V567" s="83" t="str">
        <f>HYPERLINK("https://pbs.twimg.com/profile_images/991327943317213185/Hgte82Vq_normal.jpg")</f>
        <v>https://pbs.twimg.com/profile_images/991327943317213185/Hgte82Vq_normal.jpg</v>
      </c>
      <c r="W567" s="82">
        <v>44632.758784722224</v>
      </c>
      <c r="X567" s="88">
        <v>44632</v>
      </c>
      <c r="Y567" s="85" t="s">
        <v>1127</v>
      </c>
      <c r="Z567" s="83" t="str">
        <f>HYPERLINK("https://twitter.com/ubuffalo/status/1502709167458594824")</f>
        <v>https://twitter.com/ubuffalo/status/1502709167458594824</v>
      </c>
      <c r="AA567" s="80"/>
      <c r="AB567" s="80"/>
      <c r="AC567" s="85" t="s">
        <v>1581</v>
      </c>
      <c r="AD567" s="80"/>
      <c r="AE567" s="80" t="b">
        <v>0</v>
      </c>
      <c r="AF567" s="80">
        <v>85</v>
      </c>
      <c r="AG567" s="85" t="s">
        <v>1635</v>
      </c>
      <c r="AH567" s="80" t="b">
        <v>1</v>
      </c>
      <c r="AI567" s="80" t="s">
        <v>1642</v>
      </c>
      <c r="AJ567" s="80"/>
      <c r="AK567" s="85" t="s">
        <v>1652</v>
      </c>
      <c r="AL567" s="80" t="b">
        <v>0</v>
      </c>
      <c r="AM567" s="80">
        <v>8</v>
      </c>
      <c r="AN567" s="85" t="s">
        <v>1635</v>
      </c>
      <c r="AO567" s="85" t="s">
        <v>1672</v>
      </c>
      <c r="AP567" s="80" t="b">
        <v>0</v>
      </c>
      <c r="AQ567" s="85" t="s">
        <v>1581</v>
      </c>
      <c r="AR567" s="80" t="s">
        <v>179</v>
      </c>
      <c r="AS567" s="80">
        <v>0</v>
      </c>
      <c r="AT567" s="80">
        <v>0</v>
      </c>
      <c r="AU567" s="80"/>
      <c r="AV567" s="80"/>
      <c r="AW567" s="80"/>
      <c r="AX567" s="80"/>
      <c r="AY567" s="80"/>
      <c r="AZ567" s="80"/>
      <c r="BA567" s="80"/>
      <c r="BB567" s="80"/>
    </row>
    <row r="568" spans="1:54" x14ac:dyDescent="0.25">
      <c r="A568" s="65" t="s">
        <v>357</v>
      </c>
      <c r="B568" s="65" t="s">
        <v>385</v>
      </c>
      <c r="C568" s="66"/>
      <c r="D568" s="67"/>
      <c r="E568" s="68"/>
      <c r="F568" s="69"/>
      <c r="G568" s="66"/>
      <c r="H568" s="70"/>
      <c r="I568" s="71"/>
      <c r="J568" s="71"/>
      <c r="K568" s="36" t="s">
        <v>65</v>
      </c>
      <c r="L568" s="78">
        <v>568</v>
      </c>
      <c r="M568" s="78"/>
      <c r="N568" s="73"/>
      <c r="O568" s="80" t="s">
        <v>416</v>
      </c>
      <c r="P568" s="82">
        <v>44632.76185185185</v>
      </c>
      <c r="Q568" s="80" t="s">
        <v>517</v>
      </c>
      <c r="R568" s="83" t="str">
        <f>HYPERLINK("https://twitter.com/UBwomenshoops/status/1502707861029326854")</f>
        <v>https://twitter.com/UBwomenshoops/status/1502707861029326854</v>
      </c>
      <c r="S568" s="80" t="s">
        <v>633</v>
      </c>
      <c r="T568" s="85" t="s">
        <v>357</v>
      </c>
      <c r="U568" s="80"/>
      <c r="V568" s="83" t="str">
        <f>HYPERLINK("https://pbs.twimg.com/profile_images/991327943317213185/Hgte82Vq_normal.jpg")</f>
        <v>https://pbs.twimg.com/profile_images/991327943317213185/Hgte82Vq_normal.jpg</v>
      </c>
      <c r="W568" s="82">
        <v>44632.76185185185</v>
      </c>
      <c r="X568" s="88">
        <v>44632</v>
      </c>
      <c r="Y568" s="85" t="s">
        <v>1029</v>
      </c>
      <c r="Z568" s="83" t="str">
        <f>HYPERLINK("https://twitter.com/ubuffalo/status/1502710282161999878")</f>
        <v>https://twitter.com/ubuffalo/status/1502710282161999878</v>
      </c>
      <c r="AA568" s="80"/>
      <c r="AB568" s="80"/>
      <c r="AC568" s="85" t="s">
        <v>1479</v>
      </c>
      <c r="AD568" s="80"/>
      <c r="AE568" s="80" t="b">
        <v>0</v>
      </c>
      <c r="AF568" s="80">
        <v>21</v>
      </c>
      <c r="AG568" s="85" t="s">
        <v>1635</v>
      </c>
      <c r="AH568" s="80" t="b">
        <v>1</v>
      </c>
      <c r="AI568" s="80" t="s">
        <v>1642</v>
      </c>
      <c r="AJ568" s="80"/>
      <c r="AK568" s="85" t="s">
        <v>1651</v>
      </c>
      <c r="AL568" s="80" t="b">
        <v>0</v>
      </c>
      <c r="AM568" s="80">
        <v>2</v>
      </c>
      <c r="AN568" s="85" t="s">
        <v>1635</v>
      </c>
      <c r="AO568" s="85" t="s">
        <v>1672</v>
      </c>
      <c r="AP568" s="80" t="b">
        <v>0</v>
      </c>
      <c r="AQ568" s="85" t="s">
        <v>1479</v>
      </c>
      <c r="AR568" s="80" t="s">
        <v>179</v>
      </c>
      <c r="AS568" s="80">
        <v>0</v>
      </c>
      <c r="AT568" s="80">
        <v>0</v>
      </c>
      <c r="AU568" s="80"/>
      <c r="AV568" s="80"/>
      <c r="AW568" s="80"/>
      <c r="AX568" s="80"/>
      <c r="AY568" s="80"/>
      <c r="AZ568" s="80"/>
      <c r="BA568" s="80"/>
      <c r="BB568" s="80"/>
    </row>
    <row r="569" spans="1:54" x14ac:dyDescent="0.25">
      <c r="A569" s="65" t="s">
        <v>357</v>
      </c>
      <c r="B569" s="65" t="s">
        <v>385</v>
      </c>
      <c r="C569" s="66"/>
      <c r="D569" s="67"/>
      <c r="E569" s="68"/>
      <c r="F569" s="69"/>
      <c r="G569" s="66"/>
      <c r="H569" s="70"/>
      <c r="I569" s="71"/>
      <c r="J569" s="71"/>
      <c r="K569" s="36" t="s">
        <v>65</v>
      </c>
      <c r="L569" s="78">
        <v>569</v>
      </c>
      <c r="M569" s="78"/>
      <c r="N569" s="73"/>
      <c r="O569" s="80" t="s">
        <v>414</v>
      </c>
      <c r="P569" s="82">
        <v>44632.762962962966</v>
      </c>
      <c r="Q569" s="80" t="s">
        <v>500</v>
      </c>
      <c r="R569" s="80"/>
      <c r="S569" s="80"/>
      <c r="T569" s="85" t="s">
        <v>697</v>
      </c>
      <c r="U569" s="80"/>
      <c r="V569" s="83" t="str">
        <f>HYPERLINK("https://pbs.twimg.com/profile_images/991327943317213185/Hgte82Vq_normal.jpg")</f>
        <v>https://pbs.twimg.com/profile_images/991327943317213185/Hgte82Vq_normal.jpg</v>
      </c>
      <c r="W569" s="82">
        <v>44632.762962962966</v>
      </c>
      <c r="X569" s="88">
        <v>44632</v>
      </c>
      <c r="Y569" s="85" t="s">
        <v>1085</v>
      </c>
      <c r="Z569" s="83" t="str">
        <f>HYPERLINK("https://twitter.com/ubuffalo/status/1502710681312940036")</f>
        <v>https://twitter.com/ubuffalo/status/1502710681312940036</v>
      </c>
      <c r="AA569" s="80"/>
      <c r="AB569" s="80"/>
      <c r="AC569" s="85" t="s">
        <v>1536</v>
      </c>
      <c r="AD569" s="80"/>
      <c r="AE569" s="80" t="b">
        <v>0</v>
      </c>
      <c r="AF569" s="80">
        <v>0</v>
      </c>
      <c r="AG569" s="85" t="s">
        <v>1635</v>
      </c>
      <c r="AH569" s="80" t="b">
        <v>0</v>
      </c>
      <c r="AI569" s="80" t="s">
        <v>1642</v>
      </c>
      <c r="AJ569" s="80"/>
      <c r="AK569" s="85" t="s">
        <v>1635</v>
      </c>
      <c r="AL569" s="80" t="b">
        <v>0</v>
      </c>
      <c r="AM569" s="80">
        <v>7</v>
      </c>
      <c r="AN569" s="85" t="s">
        <v>1537</v>
      </c>
      <c r="AO569" s="85" t="s">
        <v>1672</v>
      </c>
      <c r="AP569" s="80" t="b">
        <v>0</v>
      </c>
      <c r="AQ569" s="85" t="s">
        <v>1537</v>
      </c>
      <c r="AR569" s="80" t="s">
        <v>179</v>
      </c>
      <c r="AS569" s="80">
        <v>0</v>
      </c>
      <c r="AT569" s="80">
        <v>0</v>
      </c>
      <c r="AU569" s="80"/>
      <c r="AV569" s="80"/>
      <c r="AW569" s="80"/>
      <c r="AX569" s="80"/>
      <c r="AY569" s="80"/>
      <c r="AZ569" s="80"/>
      <c r="BA569" s="80"/>
      <c r="BB569" s="80"/>
    </row>
    <row r="570" spans="1:54" x14ac:dyDescent="0.25">
      <c r="A570" s="65" t="s">
        <v>377</v>
      </c>
      <c r="B570" s="65" t="s">
        <v>385</v>
      </c>
      <c r="C570" s="66"/>
      <c r="D570" s="67"/>
      <c r="E570" s="68"/>
      <c r="F570" s="69"/>
      <c r="G570" s="66"/>
      <c r="H570" s="70"/>
      <c r="I570" s="71"/>
      <c r="J570" s="71"/>
      <c r="K570" s="36" t="s">
        <v>65</v>
      </c>
      <c r="L570" s="78">
        <v>570</v>
      </c>
      <c r="M570" s="78"/>
      <c r="N570" s="73"/>
      <c r="O570" s="80" t="s">
        <v>416</v>
      </c>
      <c r="P570" s="82">
        <v>44632.742743055554</v>
      </c>
      <c r="Q570" s="80" t="s">
        <v>603</v>
      </c>
      <c r="R570" s="80"/>
      <c r="S570" s="80"/>
      <c r="T570" s="85" t="s">
        <v>357</v>
      </c>
      <c r="U570" s="83" t="str">
        <f>HYPERLINK("https://pbs.twimg.com/tweet_video_thumb/FNqsvHoXwAIN9al.jpg")</f>
        <v>https://pbs.twimg.com/tweet_video_thumb/FNqsvHoXwAIN9al.jpg</v>
      </c>
      <c r="V570" s="83" t="str">
        <f>HYPERLINK("https://pbs.twimg.com/tweet_video_thumb/FNqsvHoXwAIN9al.jpg")</f>
        <v>https://pbs.twimg.com/tweet_video_thumb/FNqsvHoXwAIN9al.jpg</v>
      </c>
      <c r="W570" s="82">
        <v>44632.742743055554</v>
      </c>
      <c r="X570" s="88">
        <v>44632</v>
      </c>
      <c r="Y570" s="85" t="s">
        <v>1128</v>
      </c>
      <c r="Z570" s="83" t="str">
        <f>HYPERLINK("https://twitter.com/ubstudentexp/status/1502703356707586059")</f>
        <v>https://twitter.com/ubstudentexp/status/1502703356707586059</v>
      </c>
      <c r="AA570" s="80"/>
      <c r="AB570" s="80"/>
      <c r="AC570" s="85" t="s">
        <v>1582</v>
      </c>
      <c r="AD570" s="80"/>
      <c r="AE570" s="80" t="b">
        <v>0</v>
      </c>
      <c r="AF570" s="80">
        <v>5</v>
      </c>
      <c r="AG570" s="85" t="s">
        <v>1635</v>
      </c>
      <c r="AH570" s="80" t="b">
        <v>0</v>
      </c>
      <c r="AI570" s="80" t="s">
        <v>1642</v>
      </c>
      <c r="AJ570" s="80"/>
      <c r="AK570" s="85" t="s">
        <v>1635</v>
      </c>
      <c r="AL570" s="80" t="b">
        <v>0</v>
      </c>
      <c r="AM570" s="80">
        <v>0</v>
      </c>
      <c r="AN570" s="85" t="s">
        <v>1635</v>
      </c>
      <c r="AO570" s="85" t="s">
        <v>1671</v>
      </c>
      <c r="AP570" s="80" t="b">
        <v>0</v>
      </c>
      <c r="AQ570" s="85" t="s">
        <v>1582</v>
      </c>
      <c r="AR570" s="80" t="s">
        <v>179</v>
      </c>
      <c r="AS570" s="80">
        <v>0</v>
      </c>
      <c r="AT570" s="80">
        <v>0</v>
      </c>
      <c r="AU570" s="80" t="s">
        <v>1687</v>
      </c>
      <c r="AV570" s="80" t="s">
        <v>1691</v>
      </c>
      <c r="AW570" s="80" t="s">
        <v>1692</v>
      </c>
      <c r="AX570" s="80" t="s">
        <v>1693</v>
      </c>
      <c r="AY570" s="80" t="s">
        <v>1697</v>
      </c>
      <c r="AZ570" s="80" t="s">
        <v>1701</v>
      </c>
      <c r="BA570" s="80" t="s">
        <v>1705</v>
      </c>
      <c r="BB570" s="83" t="str">
        <f>HYPERLINK("https://api.twitter.com/1.1/geo/id/7dabbf75534f6cee.json")</f>
        <v>https://api.twitter.com/1.1/geo/id/7dabbf75534f6cee.json</v>
      </c>
    </row>
    <row r="571" spans="1:54" x14ac:dyDescent="0.25">
      <c r="A571" s="65" t="s">
        <v>357</v>
      </c>
      <c r="B571" s="65" t="s">
        <v>377</v>
      </c>
      <c r="C571" s="66"/>
      <c r="D571" s="67"/>
      <c r="E571" s="68"/>
      <c r="F571" s="69"/>
      <c r="G571" s="66"/>
      <c r="H571" s="70"/>
      <c r="I571" s="71"/>
      <c r="J571" s="71"/>
      <c r="K571" s="36" t="s">
        <v>66</v>
      </c>
      <c r="L571" s="78">
        <v>571</v>
      </c>
      <c r="M571" s="78"/>
      <c r="N571" s="73"/>
      <c r="O571" s="80" t="s">
        <v>415</v>
      </c>
      <c r="P571" s="82">
        <v>44629.607731481483</v>
      </c>
      <c r="Q571" s="80" t="s">
        <v>447</v>
      </c>
      <c r="R571" s="83" t="str">
        <f>HYPERLINK("http://www.buffalo.edu/commencement/student-checklists/capsandgowns.html")</f>
        <v>http://www.buffalo.edu/commencement/student-checklists/capsandgowns.html</v>
      </c>
      <c r="S571" s="80" t="s">
        <v>632</v>
      </c>
      <c r="T571" s="85" t="s">
        <v>678</v>
      </c>
      <c r="U571" s="83" t="str">
        <f>HYPERLINK("https://pbs.twimg.com/media/FNWyqOWVcAEf12Z.jpg")</f>
        <v>https://pbs.twimg.com/media/FNWyqOWVcAEf12Z.jpg</v>
      </c>
      <c r="V571" s="83" t="str">
        <f>HYPERLINK("https://pbs.twimg.com/media/FNWyqOWVcAEf12Z.jpg")</f>
        <v>https://pbs.twimg.com/media/FNWyqOWVcAEf12Z.jpg</v>
      </c>
      <c r="W571" s="82">
        <v>44629.607731481483</v>
      </c>
      <c r="X571" s="88">
        <v>44629</v>
      </c>
      <c r="Y571" s="85" t="s">
        <v>1129</v>
      </c>
      <c r="Z571" s="83" t="str">
        <f>HYPERLINK("https://twitter.com/ubuffalo/status/1501567266894270465")</f>
        <v>https://twitter.com/ubuffalo/status/1501567266894270465</v>
      </c>
      <c r="AA571" s="80"/>
      <c r="AB571" s="80"/>
      <c r="AC571" s="85" t="s">
        <v>1583</v>
      </c>
      <c r="AD571" s="80"/>
      <c r="AE571" s="80" t="b">
        <v>0</v>
      </c>
      <c r="AF571" s="80">
        <v>0</v>
      </c>
      <c r="AG571" s="85" t="s">
        <v>1635</v>
      </c>
      <c r="AH571" s="80" t="b">
        <v>0</v>
      </c>
      <c r="AI571" s="80" t="s">
        <v>1642</v>
      </c>
      <c r="AJ571" s="80"/>
      <c r="AK571" s="85" t="s">
        <v>1635</v>
      </c>
      <c r="AL571" s="80" t="b">
        <v>0</v>
      </c>
      <c r="AM571" s="80">
        <v>4</v>
      </c>
      <c r="AN571" s="85" t="s">
        <v>1595</v>
      </c>
      <c r="AO571" s="85" t="s">
        <v>1672</v>
      </c>
      <c r="AP571" s="80" t="b">
        <v>0</v>
      </c>
      <c r="AQ571" s="85" t="s">
        <v>1595</v>
      </c>
      <c r="AR571" s="80" t="s">
        <v>179</v>
      </c>
      <c r="AS571" s="80">
        <v>0</v>
      </c>
      <c r="AT571" s="80">
        <v>0</v>
      </c>
      <c r="AU571" s="80"/>
      <c r="AV571" s="80"/>
      <c r="AW571" s="80"/>
      <c r="AX571" s="80"/>
      <c r="AY571" s="80"/>
      <c r="AZ571" s="80"/>
      <c r="BA571" s="80"/>
      <c r="BB571" s="80"/>
    </row>
    <row r="572" spans="1:54" x14ac:dyDescent="0.25">
      <c r="A572" s="65" t="s">
        <v>357</v>
      </c>
      <c r="B572" s="65" t="s">
        <v>377</v>
      </c>
      <c r="C572" s="66"/>
      <c r="D572" s="67"/>
      <c r="E572" s="68"/>
      <c r="F572" s="69"/>
      <c r="G572" s="66"/>
      <c r="H572" s="70"/>
      <c r="I572" s="71"/>
      <c r="J572" s="71"/>
      <c r="K572" s="36" t="s">
        <v>66</v>
      </c>
      <c r="L572" s="78">
        <v>572</v>
      </c>
      <c r="M572" s="78"/>
      <c r="N572" s="73"/>
      <c r="O572" s="80" t="s">
        <v>415</v>
      </c>
      <c r="P572" s="82">
        <v>44629.767071759263</v>
      </c>
      <c r="Q572" s="80" t="s">
        <v>604</v>
      </c>
      <c r="R572" s="83" t="str">
        <f>HYPERLINK("https://www.buffalo.edu/studentlife/who-we-are/announcements.host.html/content/shared/www/studentlife/gateway-wide-content/announcements/2022/national-college-health-assessment.detail.html")</f>
        <v>https://www.buffalo.edu/studentlife/who-we-are/announcements.host.html/content/shared/www/studentlife/gateway-wide-content/announcements/2022/national-college-health-assessment.detail.html</v>
      </c>
      <c r="S572" s="80" t="s">
        <v>632</v>
      </c>
      <c r="T572" s="85" t="s">
        <v>357</v>
      </c>
      <c r="U572" s="83" t="str">
        <f>HYPERLINK("https://pbs.twimg.com/media/FNbFUXLXEAMf3B0.jpg")</f>
        <v>https://pbs.twimg.com/media/FNbFUXLXEAMf3B0.jpg</v>
      </c>
      <c r="V572" s="83" t="str">
        <f>HYPERLINK("https://pbs.twimg.com/media/FNbFUXLXEAMf3B0.jpg")</f>
        <v>https://pbs.twimg.com/media/FNbFUXLXEAMf3B0.jpg</v>
      </c>
      <c r="W572" s="82">
        <v>44629.767071759263</v>
      </c>
      <c r="X572" s="88">
        <v>44629</v>
      </c>
      <c r="Y572" s="85" t="s">
        <v>1130</v>
      </c>
      <c r="Z572" s="83" t="str">
        <f>HYPERLINK("https://twitter.com/ubuffalo/status/1501625008585678857")</f>
        <v>https://twitter.com/ubuffalo/status/1501625008585678857</v>
      </c>
      <c r="AA572" s="80"/>
      <c r="AB572" s="80"/>
      <c r="AC572" s="85" t="s">
        <v>1584</v>
      </c>
      <c r="AD572" s="80"/>
      <c r="AE572" s="80" t="b">
        <v>0</v>
      </c>
      <c r="AF572" s="80">
        <v>0</v>
      </c>
      <c r="AG572" s="85" t="s">
        <v>1635</v>
      </c>
      <c r="AH572" s="80" t="b">
        <v>0</v>
      </c>
      <c r="AI572" s="80" t="s">
        <v>1642</v>
      </c>
      <c r="AJ572" s="80"/>
      <c r="AK572" s="85" t="s">
        <v>1635</v>
      </c>
      <c r="AL572" s="80" t="b">
        <v>0</v>
      </c>
      <c r="AM572" s="80">
        <v>1</v>
      </c>
      <c r="AN572" s="85" t="s">
        <v>1596</v>
      </c>
      <c r="AO572" s="85" t="s">
        <v>1672</v>
      </c>
      <c r="AP572" s="80" t="b">
        <v>0</v>
      </c>
      <c r="AQ572" s="85" t="s">
        <v>1596</v>
      </c>
      <c r="AR572" s="80" t="s">
        <v>179</v>
      </c>
      <c r="AS572" s="80">
        <v>0</v>
      </c>
      <c r="AT572" s="80">
        <v>0</v>
      </c>
      <c r="AU572" s="80"/>
      <c r="AV572" s="80"/>
      <c r="AW572" s="80"/>
      <c r="AX572" s="80"/>
      <c r="AY572" s="80"/>
      <c r="AZ572" s="80"/>
      <c r="BA572" s="80"/>
      <c r="BB572" s="80"/>
    </row>
    <row r="573" spans="1:54" x14ac:dyDescent="0.25">
      <c r="A573" s="65" t="s">
        <v>357</v>
      </c>
      <c r="B573" s="65" t="s">
        <v>377</v>
      </c>
      <c r="C573" s="66"/>
      <c r="D573" s="67"/>
      <c r="E573" s="68"/>
      <c r="F573" s="69"/>
      <c r="G573" s="66"/>
      <c r="H573" s="70"/>
      <c r="I573" s="71"/>
      <c r="J573" s="71"/>
      <c r="K573" s="36" t="s">
        <v>66</v>
      </c>
      <c r="L573" s="78">
        <v>573</v>
      </c>
      <c r="M573" s="78"/>
      <c r="N573" s="73"/>
      <c r="O573" s="80" t="s">
        <v>415</v>
      </c>
      <c r="P573" s="82">
        <v>44630.879560185182</v>
      </c>
      <c r="Q573" s="80" t="s">
        <v>605</v>
      </c>
      <c r="R573" s="83" t="str">
        <f>HYPERLINK("https://buffalo.campuslabs.com/engage/event/7652834")</f>
        <v>https://buffalo.campuslabs.com/engage/event/7652834</v>
      </c>
      <c r="S573" s="80" t="s">
        <v>660</v>
      </c>
      <c r="T573" s="85" t="s">
        <v>357</v>
      </c>
      <c r="U573" s="83" t="str">
        <f>HYPERLINK("https://pbs.twimg.com/media/FNg94X5XMAAyU9F.jpg")</f>
        <v>https://pbs.twimg.com/media/FNg94X5XMAAyU9F.jpg</v>
      </c>
      <c r="V573" s="83" t="str">
        <f>HYPERLINK("https://pbs.twimg.com/media/FNg94X5XMAAyU9F.jpg")</f>
        <v>https://pbs.twimg.com/media/FNg94X5XMAAyU9F.jpg</v>
      </c>
      <c r="W573" s="82">
        <v>44630.879560185182</v>
      </c>
      <c r="X573" s="88">
        <v>44630</v>
      </c>
      <c r="Y573" s="85" t="s">
        <v>1131</v>
      </c>
      <c r="Z573" s="83" t="str">
        <f>HYPERLINK("https://twitter.com/ubuffalo/status/1502028161860743171")</f>
        <v>https://twitter.com/ubuffalo/status/1502028161860743171</v>
      </c>
      <c r="AA573" s="80"/>
      <c r="AB573" s="80"/>
      <c r="AC573" s="85" t="s">
        <v>1585</v>
      </c>
      <c r="AD573" s="80"/>
      <c r="AE573" s="80" t="b">
        <v>0</v>
      </c>
      <c r="AF573" s="80">
        <v>0</v>
      </c>
      <c r="AG573" s="85" t="s">
        <v>1635</v>
      </c>
      <c r="AH573" s="80" t="b">
        <v>0</v>
      </c>
      <c r="AI573" s="80" t="s">
        <v>1642</v>
      </c>
      <c r="AJ573" s="80"/>
      <c r="AK573" s="85" t="s">
        <v>1635</v>
      </c>
      <c r="AL573" s="80" t="b">
        <v>0</v>
      </c>
      <c r="AM573" s="80">
        <v>1</v>
      </c>
      <c r="AN573" s="85" t="s">
        <v>1598</v>
      </c>
      <c r="AO573" s="85" t="s">
        <v>1672</v>
      </c>
      <c r="AP573" s="80" t="b">
        <v>0</v>
      </c>
      <c r="AQ573" s="85" t="s">
        <v>1598</v>
      </c>
      <c r="AR573" s="80" t="s">
        <v>179</v>
      </c>
      <c r="AS573" s="80">
        <v>0</v>
      </c>
      <c r="AT573" s="80">
        <v>0</v>
      </c>
      <c r="AU573" s="80"/>
      <c r="AV573" s="80"/>
      <c r="AW573" s="80"/>
      <c r="AX573" s="80"/>
      <c r="AY573" s="80"/>
      <c r="AZ573" s="80"/>
      <c r="BA573" s="80"/>
      <c r="BB573" s="80"/>
    </row>
    <row r="574" spans="1:54" x14ac:dyDescent="0.25">
      <c r="A574" s="65" t="s">
        <v>357</v>
      </c>
      <c r="B574" s="65" t="s">
        <v>377</v>
      </c>
      <c r="C574" s="66"/>
      <c r="D574" s="67"/>
      <c r="E574" s="68"/>
      <c r="F574" s="69"/>
      <c r="G574" s="66"/>
      <c r="H574" s="70"/>
      <c r="I574" s="71"/>
      <c r="J574" s="71"/>
      <c r="K574" s="36" t="s">
        <v>66</v>
      </c>
      <c r="L574" s="78">
        <v>574</v>
      </c>
      <c r="M574" s="78"/>
      <c r="N574" s="73"/>
      <c r="O574" s="80" t="s">
        <v>415</v>
      </c>
      <c r="P574" s="82">
        <v>44630.880416666667</v>
      </c>
      <c r="Q574" s="80" t="s">
        <v>606</v>
      </c>
      <c r="R574" s="83" t="str">
        <f>HYPERLINK("https://www.buffalo.edu/studentlife/life-on-campus/health/medical-care/health-insurance.html")</f>
        <v>https://www.buffalo.edu/studentlife/life-on-campus/health/medical-care/health-insurance.html</v>
      </c>
      <c r="S574" s="80" t="s">
        <v>632</v>
      </c>
      <c r="T574" s="85" t="s">
        <v>357</v>
      </c>
      <c r="U574" s="80"/>
      <c r="V574" s="83" t="str">
        <f>HYPERLINK("https://pbs.twimg.com/profile_images/991327943317213185/Hgte82Vq_normal.jpg")</f>
        <v>https://pbs.twimg.com/profile_images/991327943317213185/Hgte82Vq_normal.jpg</v>
      </c>
      <c r="W574" s="82">
        <v>44630.880416666667</v>
      </c>
      <c r="X574" s="88">
        <v>44630</v>
      </c>
      <c r="Y574" s="85" t="s">
        <v>1132</v>
      </c>
      <c r="Z574" s="83" t="str">
        <f>HYPERLINK("https://twitter.com/ubuffalo/status/1502028470477537297")</f>
        <v>https://twitter.com/ubuffalo/status/1502028470477537297</v>
      </c>
      <c r="AA574" s="80"/>
      <c r="AB574" s="80"/>
      <c r="AC574" s="85" t="s">
        <v>1586</v>
      </c>
      <c r="AD574" s="80"/>
      <c r="AE574" s="80" t="b">
        <v>0</v>
      </c>
      <c r="AF574" s="80">
        <v>0</v>
      </c>
      <c r="AG574" s="85" t="s">
        <v>1635</v>
      </c>
      <c r="AH574" s="80" t="b">
        <v>0</v>
      </c>
      <c r="AI574" s="80" t="s">
        <v>1642</v>
      </c>
      <c r="AJ574" s="80"/>
      <c r="AK574" s="85" t="s">
        <v>1635</v>
      </c>
      <c r="AL574" s="80" t="b">
        <v>0</v>
      </c>
      <c r="AM574" s="80">
        <v>1</v>
      </c>
      <c r="AN574" s="85" t="s">
        <v>1597</v>
      </c>
      <c r="AO574" s="85" t="s">
        <v>1672</v>
      </c>
      <c r="AP574" s="80" t="b">
        <v>0</v>
      </c>
      <c r="AQ574" s="85" t="s">
        <v>1597</v>
      </c>
      <c r="AR574" s="80" t="s">
        <v>179</v>
      </c>
      <c r="AS574" s="80">
        <v>0</v>
      </c>
      <c r="AT574" s="80">
        <v>0</v>
      </c>
      <c r="AU574" s="80"/>
      <c r="AV574" s="80"/>
      <c r="AW574" s="80"/>
      <c r="AX574" s="80"/>
      <c r="AY574" s="80"/>
      <c r="AZ574" s="80"/>
      <c r="BA574" s="80"/>
      <c r="BB574" s="80"/>
    </row>
    <row r="575" spans="1:54" x14ac:dyDescent="0.25">
      <c r="A575" s="65" t="s">
        <v>374</v>
      </c>
      <c r="B575" s="65" t="s">
        <v>377</v>
      </c>
      <c r="C575" s="66"/>
      <c r="D575" s="67"/>
      <c r="E575" s="68"/>
      <c r="F575" s="69"/>
      <c r="G575" s="66"/>
      <c r="H575" s="70"/>
      <c r="I575" s="71"/>
      <c r="J575" s="71"/>
      <c r="K575" s="36" t="s">
        <v>65</v>
      </c>
      <c r="L575" s="78">
        <v>575</v>
      </c>
      <c r="M575" s="78"/>
      <c r="N575" s="73"/>
      <c r="O575" s="80" t="s">
        <v>415</v>
      </c>
      <c r="P575" s="82">
        <v>44629.56521990741</v>
      </c>
      <c r="Q575" s="80" t="s">
        <v>447</v>
      </c>
      <c r="R575" s="83" t="str">
        <f>HYPERLINK("http://www.buffalo.edu/commencement/student-checklists/capsandgowns.html")</f>
        <v>http://www.buffalo.edu/commencement/student-checklists/capsandgowns.html</v>
      </c>
      <c r="S575" s="80" t="s">
        <v>632</v>
      </c>
      <c r="T575" s="85" t="s">
        <v>678</v>
      </c>
      <c r="U575" s="83" t="str">
        <f>HYPERLINK("https://pbs.twimg.com/media/FNWyqOWVcAEf12Z.jpg")</f>
        <v>https://pbs.twimg.com/media/FNWyqOWVcAEf12Z.jpg</v>
      </c>
      <c r="V575" s="83" t="str">
        <f>HYPERLINK("https://pbs.twimg.com/media/FNWyqOWVcAEf12Z.jpg")</f>
        <v>https://pbs.twimg.com/media/FNWyqOWVcAEf12Z.jpg</v>
      </c>
      <c r="W575" s="82">
        <v>44629.56521990741</v>
      </c>
      <c r="X575" s="88">
        <v>44629</v>
      </c>
      <c r="Y575" s="85" t="s">
        <v>1133</v>
      </c>
      <c r="Z575" s="83" t="str">
        <f>HYPERLINK("https://twitter.com/ub_history/status/1501551858246168581")</f>
        <v>https://twitter.com/ub_history/status/1501551858246168581</v>
      </c>
      <c r="AA575" s="80"/>
      <c r="AB575" s="80"/>
      <c r="AC575" s="85" t="s">
        <v>1587</v>
      </c>
      <c r="AD575" s="80"/>
      <c r="AE575" s="80" t="b">
        <v>0</v>
      </c>
      <c r="AF575" s="80">
        <v>0</v>
      </c>
      <c r="AG575" s="85" t="s">
        <v>1635</v>
      </c>
      <c r="AH575" s="80" t="b">
        <v>0</v>
      </c>
      <c r="AI575" s="80" t="s">
        <v>1642</v>
      </c>
      <c r="AJ575" s="80"/>
      <c r="AK575" s="85" t="s">
        <v>1635</v>
      </c>
      <c r="AL575" s="80" t="b">
        <v>0</v>
      </c>
      <c r="AM575" s="80">
        <v>4</v>
      </c>
      <c r="AN575" s="85" t="s">
        <v>1595</v>
      </c>
      <c r="AO575" s="85" t="s">
        <v>1672</v>
      </c>
      <c r="AP575" s="80" t="b">
        <v>0</v>
      </c>
      <c r="AQ575" s="85" t="s">
        <v>1595</v>
      </c>
      <c r="AR575" s="80" t="s">
        <v>179</v>
      </c>
      <c r="AS575" s="80">
        <v>0</v>
      </c>
      <c r="AT575" s="80">
        <v>0</v>
      </c>
      <c r="AU575" s="80"/>
      <c r="AV575" s="80"/>
      <c r="AW575" s="80"/>
      <c r="AX575" s="80"/>
      <c r="AY575" s="80"/>
      <c r="AZ575" s="80"/>
      <c r="BA575" s="80"/>
      <c r="BB575" s="80"/>
    </row>
    <row r="576" spans="1:54" x14ac:dyDescent="0.25">
      <c r="A576" s="65" t="s">
        <v>377</v>
      </c>
      <c r="B576" s="65" t="s">
        <v>377</v>
      </c>
      <c r="C576" s="66"/>
      <c r="D576" s="67"/>
      <c r="E576" s="68"/>
      <c r="F576" s="69"/>
      <c r="G576" s="66"/>
      <c r="H576" s="70"/>
      <c r="I576" s="71"/>
      <c r="J576" s="71"/>
      <c r="K576" s="36" t="s">
        <v>65</v>
      </c>
      <c r="L576" s="78">
        <v>576</v>
      </c>
      <c r="M576" s="78"/>
      <c r="N576" s="73"/>
      <c r="O576" s="80" t="s">
        <v>179</v>
      </c>
      <c r="P576" s="82">
        <v>44627.579872685186</v>
      </c>
      <c r="Q576" s="80" t="s">
        <v>607</v>
      </c>
      <c r="R576" s="80"/>
      <c r="S576" s="80"/>
      <c r="T576" s="85" t="s">
        <v>726</v>
      </c>
      <c r="U576" s="83" t="str">
        <f>HYPERLINK("https://pbs.twimg.com/media/FNQHG6sXoAAEVuC.jpg")</f>
        <v>https://pbs.twimg.com/media/FNQHG6sXoAAEVuC.jpg</v>
      </c>
      <c r="V576" s="83" t="str">
        <f>HYPERLINK("https://pbs.twimg.com/media/FNQHG6sXoAAEVuC.jpg")</f>
        <v>https://pbs.twimg.com/media/FNQHG6sXoAAEVuC.jpg</v>
      </c>
      <c r="W576" s="82">
        <v>44627.579872685186</v>
      </c>
      <c r="X576" s="88">
        <v>44627</v>
      </c>
      <c r="Y576" s="85" t="s">
        <v>1134</v>
      </c>
      <c r="Z576" s="83" t="str">
        <f>HYPERLINK("https://twitter.com/ubstudentexp/status/1500832394458411012")</f>
        <v>https://twitter.com/ubstudentexp/status/1500832394458411012</v>
      </c>
      <c r="AA576" s="80"/>
      <c r="AB576" s="80"/>
      <c r="AC576" s="85" t="s">
        <v>1588</v>
      </c>
      <c r="AD576" s="80"/>
      <c r="AE576" s="80" t="b">
        <v>0</v>
      </c>
      <c r="AF576" s="80">
        <v>2</v>
      </c>
      <c r="AG576" s="85" t="s">
        <v>1635</v>
      </c>
      <c r="AH576" s="80" t="b">
        <v>0</v>
      </c>
      <c r="AI576" s="80" t="s">
        <v>1642</v>
      </c>
      <c r="AJ576" s="80"/>
      <c r="AK576" s="85" t="s">
        <v>1635</v>
      </c>
      <c r="AL576" s="80" t="b">
        <v>0</v>
      </c>
      <c r="AM576" s="80">
        <v>0</v>
      </c>
      <c r="AN576" s="85" t="s">
        <v>1635</v>
      </c>
      <c r="AO576" s="85" t="s">
        <v>1679</v>
      </c>
      <c r="AP576" s="80" t="b">
        <v>0</v>
      </c>
      <c r="AQ576" s="85" t="s">
        <v>1588</v>
      </c>
      <c r="AR576" s="80" t="s">
        <v>179</v>
      </c>
      <c r="AS576" s="80">
        <v>0</v>
      </c>
      <c r="AT576" s="80">
        <v>0</v>
      </c>
      <c r="AU576" s="80"/>
      <c r="AV576" s="80"/>
      <c r="AW576" s="80"/>
      <c r="AX576" s="80"/>
      <c r="AY576" s="80"/>
      <c r="AZ576" s="80"/>
      <c r="BA576" s="80"/>
      <c r="BB576" s="80"/>
    </row>
    <row r="577" spans="1:54" x14ac:dyDescent="0.25">
      <c r="A577" s="65" t="s">
        <v>377</v>
      </c>
      <c r="B577" s="65" t="s">
        <v>377</v>
      </c>
      <c r="C577" s="66"/>
      <c r="D577" s="67"/>
      <c r="E577" s="68"/>
      <c r="F577" s="69"/>
      <c r="G577" s="66"/>
      <c r="H577" s="70"/>
      <c r="I577" s="71"/>
      <c r="J577" s="71"/>
      <c r="K577" s="36" t="s">
        <v>65</v>
      </c>
      <c r="L577" s="78">
        <v>577</v>
      </c>
      <c r="M577" s="78"/>
      <c r="N577" s="73"/>
      <c r="O577" s="80" t="s">
        <v>179</v>
      </c>
      <c r="P577" s="82">
        <v>44627.771562499998</v>
      </c>
      <c r="Q577" s="80" t="s">
        <v>608</v>
      </c>
      <c r="R577" s="80"/>
      <c r="S577" s="80"/>
      <c r="T577" s="85" t="s">
        <v>357</v>
      </c>
      <c r="U577" s="83" t="str">
        <f>HYPERLINK("https://pbs.twimg.com/media/FNRGR6TX0AUG5-m.png")</f>
        <v>https://pbs.twimg.com/media/FNRGR6TX0AUG5-m.png</v>
      </c>
      <c r="V577" s="83" t="str">
        <f>HYPERLINK("https://pbs.twimg.com/media/FNRGR6TX0AUG5-m.png")</f>
        <v>https://pbs.twimg.com/media/FNRGR6TX0AUG5-m.png</v>
      </c>
      <c r="W577" s="82">
        <v>44627.771562499998</v>
      </c>
      <c r="X577" s="88">
        <v>44627</v>
      </c>
      <c r="Y577" s="85" t="s">
        <v>1135</v>
      </c>
      <c r="Z577" s="83" t="str">
        <f>HYPERLINK("https://twitter.com/ubstudentexp/status/1500901859690749955")</f>
        <v>https://twitter.com/ubstudentexp/status/1500901859690749955</v>
      </c>
      <c r="AA577" s="80"/>
      <c r="AB577" s="80"/>
      <c r="AC577" s="85" t="s">
        <v>1589</v>
      </c>
      <c r="AD577" s="80"/>
      <c r="AE577" s="80" t="b">
        <v>0</v>
      </c>
      <c r="AF577" s="80">
        <v>3</v>
      </c>
      <c r="AG577" s="85" t="s">
        <v>1635</v>
      </c>
      <c r="AH577" s="80" t="b">
        <v>0</v>
      </c>
      <c r="AI577" s="80" t="s">
        <v>1642</v>
      </c>
      <c r="AJ577" s="80"/>
      <c r="AK577" s="85" t="s">
        <v>1635</v>
      </c>
      <c r="AL577" s="80" t="b">
        <v>0</v>
      </c>
      <c r="AM577" s="80">
        <v>0</v>
      </c>
      <c r="AN577" s="85" t="s">
        <v>1635</v>
      </c>
      <c r="AO577" s="85" t="s">
        <v>1679</v>
      </c>
      <c r="AP577" s="80" t="b">
        <v>0</v>
      </c>
      <c r="AQ577" s="85" t="s">
        <v>1589</v>
      </c>
      <c r="AR577" s="80" t="s">
        <v>179</v>
      </c>
      <c r="AS577" s="80">
        <v>0</v>
      </c>
      <c r="AT577" s="80">
        <v>0</v>
      </c>
      <c r="AU577" s="80"/>
      <c r="AV577" s="80"/>
      <c r="AW577" s="80"/>
      <c r="AX577" s="80"/>
      <c r="AY577" s="80"/>
      <c r="AZ577" s="80"/>
      <c r="BA577" s="80"/>
      <c r="BB577" s="80"/>
    </row>
    <row r="578" spans="1:54" x14ac:dyDescent="0.25">
      <c r="A578" s="65" t="s">
        <v>377</v>
      </c>
      <c r="B578" s="65" t="s">
        <v>377</v>
      </c>
      <c r="C578" s="66"/>
      <c r="D578" s="67"/>
      <c r="E578" s="68"/>
      <c r="F578" s="69"/>
      <c r="G578" s="66"/>
      <c r="H578" s="70"/>
      <c r="I578" s="71"/>
      <c r="J578" s="71"/>
      <c r="K578" s="36" t="s">
        <v>65</v>
      </c>
      <c r="L578" s="78">
        <v>578</v>
      </c>
      <c r="M578" s="78"/>
      <c r="N578" s="73"/>
      <c r="O578" s="80" t="s">
        <v>179</v>
      </c>
      <c r="P578" s="82">
        <v>44627.776018518518</v>
      </c>
      <c r="Q578" s="80" t="s">
        <v>599</v>
      </c>
      <c r="R578" s="83" t="str">
        <f>HYPERLINK("https://www.buffalo.edu/academic-integrity/awards.html")</f>
        <v>https://www.buffalo.edu/academic-integrity/awards.html</v>
      </c>
      <c r="S578" s="80" t="s">
        <v>632</v>
      </c>
      <c r="T578" s="85" t="s">
        <v>357</v>
      </c>
      <c r="U578" s="80"/>
      <c r="V578" s="83" t="str">
        <f>HYPERLINK("https://pbs.twimg.com/profile_images/1226935171875770368/-iqXH9Ad_normal.jpg")</f>
        <v>https://pbs.twimg.com/profile_images/1226935171875770368/-iqXH9Ad_normal.jpg</v>
      </c>
      <c r="W578" s="82">
        <v>44627.776018518518</v>
      </c>
      <c r="X578" s="88">
        <v>44627</v>
      </c>
      <c r="Y578" s="85" t="s">
        <v>1136</v>
      </c>
      <c r="Z578" s="83" t="str">
        <f>HYPERLINK("https://twitter.com/ubstudentexp/status/1500903475512811521")</f>
        <v>https://twitter.com/ubstudentexp/status/1500903475512811521</v>
      </c>
      <c r="AA578" s="80"/>
      <c r="AB578" s="80"/>
      <c r="AC578" s="85" t="s">
        <v>1590</v>
      </c>
      <c r="AD578" s="85" t="s">
        <v>1589</v>
      </c>
      <c r="AE578" s="80" t="b">
        <v>0</v>
      </c>
      <c r="AF578" s="80">
        <v>3</v>
      </c>
      <c r="AG578" s="85" t="s">
        <v>1641</v>
      </c>
      <c r="AH578" s="80" t="b">
        <v>0</v>
      </c>
      <c r="AI578" s="80" t="s">
        <v>1642</v>
      </c>
      <c r="AJ578" s="80"/>
      <c r="AK578" s="85" t="s">
        <v>1635</v>
      </c>
      <c r="AL578" s="80" t="b">
        <v>0</v>
      </c>
      <c r="AM578" s="80">
        <v>1</v>
      </c>
      <c r="AN578" s="85" t="s">
        <v>1635</v>
      </c>
      <c r="AO578" s="85" t="s">
        <v>1671</v>
      </c>
      <c r="AP578" s="80" t="b">
        <v>0</v>
      </c>
      <c r="AQ578" s="85" t="s">
        <v>1589</v>
      </c>
      <c r="AR578" s="80" t="s">
        <v>179</v>
      </c>
      <c r="AS578" s="80">
        <v>0</v>
      </c>
      <c r="AT578" s="80">
        <v>0</v>
      </c>
      <c r="AU578" s="80"/>
      <c r="AV578" s="80"/>
      <c r="AW578" s="80"/>
      <c r="AX578" s="80"/>
      <c r="AY578" s="80"/>
      <c r="AZ578" s="80"/>
      <c r="BA578" s="80"/>
      <c r="BB578" s="80"/>
    </row>
    <row r="579" spans="1:54" x14ac:dyDescent="0.25">
      <c r="A579" s="65" t="s">
        <v>377</v>
      </c>
      <c r="B579" s="65" t="s">
        <v>377</v>
      </c>
      <c r="C579" s="66"/>
      <c r="D579" s="67"/>
      <c r="E579" s="68"/>
      <c r="F579" s="69"/>
      <c r="G579" s="66"/>
      <c r="H579" s="70"/>
      <c r="I579" s="71"/>
      <c r="J579" s="71"/>
      <c r="K579" s="36" t="s">
        <v>65</v>
      </c>
      <c r="L579" s="78">
        <v>579</v>
      </c>
      <c r="M579" s="78"/>
      <c r="N579" s="73"/>
      <c r="O579" s="80" t="s">
        <v>179</v>
      </c>
      <c r="P579" s="82">
        <v>44628.585428240738</v>
      </c>
      <c r="Q579" s="80" t="s">
        <v>468</v>
      </c>
      <c r="R579" s="83" t="str">
        <f>HYPERLINK("https://www.buffalo.edu/coronavirus/health-and-safety/testing.html")</f>
        <v>https://www.buffalo.edu/coronavirus/health-and-safety/testing.html</v>
      </c>
      <c r="S579" s="80" t="s">
        <v>632</v>
      </c>
      <c r="T579" s="85" t="s">
        <v>357</v>
      </c>
      <c r="U579" s="80"/>
      <c r="V579" s="83" t="str">
        <f>HYPERLINK("https://pbs.twimg.com/profile_images/1226935171875770368/-iqXH9Ad_normal.jpg")</f>
        <v>https://pbs.twimg.com/profile_images/1226935171875770368/-iqXH9Ad_normal.jpg</v>
      </c>
      <c r="W579" s="82">
        <v>44628.585428240738</v>
      </c>
      <c r="X579" s="88">
        <v>44628</v>
      </c>
      <c r="Y579" s="85" t="s">
        <v>1137</v>
      </c>
      <c r="Z579" s="83" t="str">
        <f>HYPERLINK("https://twitter.com/ubstudentexp/status/1501196793471770628")</f>
        <v>https://twitter.com/ubstudentexp/status/1501196793471770628</v>
      </c>
      <c r="AA579" s="80"/>
      <c r="AB579" s="80"/>
      <c r="AC579" s="85" t="s">
        <v>1591</v>
      </c>
      <c r="AD579" s="80"/>
      <c r="AE579" s="80" t="b">
        <v>0</v>
      </c>
      <c r="AF579" s="80">
        <v>1</v>
      </c>
      <c r="AG579" s="85" t="s">
        <v>1635</v>
      </c>
      <c r="AH579" s="80" t="b">
        <v>0</v>
      </c>
      <c r="AI579" s="80" t="s">
        <v>1642</v>
      </c>
      <c r="AJ579" s="80"/>
      <c r="AK579" s="85" t="s">
        <v>1635</v>
      </c>
      <c r="AL579" s="80" t="b">
        <v>0</v>
      </c>
      <c r="AM579" s="80">
        <v>1</v>
      </c>
      <c r="AN579" s="85" t="s">
        <v>1635</v>
      </c>
      <c r="AO579" s="85" t="s">
        <v>1679</v>
      </c>
      <c r="AP579" s="80" t="b">
        <v>0</v>
      </c>
      <c r="AQ579" s="85" t="s">
        <v>1591</v>
      </c>
      <c r="AR579" s="80" t="s">
        <v>179</v>
      </c>
      <c r="AS579" s="80">
        <v>0</v>
      </c>
      <c r="AT579" s="80">
        <v>0</v>
      </c>
      <c r="AU579" s="80"/>
      <c r="AV579" s="80"/>
      <c r="AW579" s="80"/>
      <c r="AX579" s="80"/>
      <c r="AY579" s="80"/>
      <c r="AZ579" s="80"/>
      <c r="BA579" s="80"/>
      <c r="BB579" s="80"/>
    </row>
    <row r="580" spans="1:54" x14ac:dyDescent="0.25">
      <c r="A580" s="65" t="s">
        <v>377</v>
      </c>
      <c r="B580" s="65" t="s">
        <v>357</v>
      </c>
      <c r="C580" s="66"/>
      <c r="D580" s="67"/>
      <c r="E580" s="68"/>
      <c r="F580" s="69"/>
      <c r="G580" s="66"/>
      <c r="H580" s="70"/>
      <c r="I580" s="71"/>
      <c r="J580" s="71"/>
      <c r="K580" s="36" t="s">
        <v>66</v>
      </c>
      <c r="L580" s="78">
        <v>580</v>
      </c>
      <c r="M580" s="78"/>
      <c r="N580" s="73"/>
      <c r="O580" s="80" t="s">
        <v>415</v>
      </c>
      <c r="P580" s="82">
        <v>44628.62158564815</v>
      </c>
      <c r="Q580" s="80" t="s">
        <v>433</v>
      </c>
      <c r="R580" s="80"/>
      <c r="S580" s="80"/>
      <c r="T580" s="85" t="s">
        <v>668</v>
      </c>
      <c r="U580" s="83" t="str">
        <f>HYPERLINK("https://pbs.twimg.com/amplify_video_thumb/1501188997695127554/img/suC8e3aV3xiZEsCE.jpg")</f>
        <v>https://pbs.twimg.com/amplify_video_thumb/1501188997695127554/img/suC8e3aV3xiZEsCE.jpg</v>
      </c>
      <c r="V580" s="83" t="str">
        <f>HYPERLINK("https://pbs.twimg.com/amplify_video_thumb/1501188997695127554/img/suC8e3aV3xiZEsCE.jpg")</f>
        <v>https://pbs.twimg.com/amplify_video_thumb/1501188997695127554/img/suC8e3aV3xiZEsCE.jpg</v>
      </c>
      <c r="W580" s="82">
        <v>44628.62158564815</v>
      </c>
      <c r="X580" s="88">
        <v>44628</v>
      </c>
      <c r="Y580" s="85" t="s">
        <v>1138</v>
      </c>
      <c r="Z580" s="83" t="str">
        <f>HYPERLINK("https://twitter.com/ubstudentexp/status/1501209897802899461")</f>
        <v>https://twitter.com/ubstudentexp/status/1501209897802899461</v>
      </c>
      <c r="AA580" s="80"/>
      <c r="AB580" s="80"/>
      <c r="AC580" s="85" t="s">
        <v>1592</v>
      </c>
      <c r="AD580" s="80"/>
      <c r="AE580" s="80" t="b">
        <v>0</v>
      </c>
      <c r="AF580" s="80">
        <v>0</v>
      </c>
      <c r="AG580" s="85" t="s">
        <v>1635</v>
      </c>
      <c r="AH580" s="80" t="b">
        <v>0</v>
      </c>
      <c r="AI580" s="80" t="s">
        <v>1642</v>
      </c>
      <c r="AJ580" s="80"/>
      <c r="AK580" s="85" t="s">
        <v>1635</v>
      </c>
      <c r="AL580" s="80" t="b">
        <v>0</v>
      </c>
      <c r="AM580" s="80">
        <v>10</v>
      </c>
      <c r="AN580" s="85" t="s">
        <v>1616</v>
      </c>
      <c r="AO580" s="85" t="s">
        <v>1672</v>
      </c>
      <c r="AP580" s="80" t="b">
        <v>0</v>
      </c>
      <c r="AQ580" s="85" t="s">
        <v>1616</v>
      </c>
      <c r="AR580" s="80" t="s">
        <v>179</v>
      </c>
      <c r="AS580" s="80">
        <v>0</v>
      </c>
      <c r="AT580" s="80">
        <v>0</v>
      </c>
      <c r="AU580" s="80"/>
      <c r="AV580" s="80"/>
      <c r="AW580" s="80"/>
      <c r="AX580" s="80"/>
      <c r="AY580" s="80"/>
      <c r="AZ580" s="80"/>
      <c r="BA580" s="80"/>
      <c r="BB580" s="80"/>
    </row>
    <row r="581" spans="1:54" x14ac:dyDescent="0.25">
      <c r="A581" s="65" t="s">
        <v>377</v>
      </c>
      <c r="B581" s="65" t="s">
        <v>377</v>
      </c>
      <c r="C581" s="66"/>
      <c r="D581" s="67"/>
      <c r="E581" s="68"/>
      <c r="F581" s="69"/>
      <c r="G581" s="66"/>
      <c r="H581" s="70"/>
      <c r="I581" s="71"/>
      <c r="J581" s="71"/>
      <c r="K581" s="36" t="s">
        <v>65</v>
      </c>
      <c r="L581" s="78">
        <v>581</v>
      </c>
      <c r="M581" s="78"/>
      <c r="N581" s="73"/>
      <c r="O581" s="80" t="s">
        <v>179</v>
      </c>
      <c r="P581" s="82">
        <v>44628.627303240741</v>
      </c>
      <c r="Q581" s="80" t="s">
        <v>436</v>
      </c>
      <c r="R581" s="83" t="str">
        <f>HYPERLINK("https://www.buffalo.edu/studentlife/life-on-campus/health/wellness-events-calendar.html")</f>
        <v>https://www.buffalo.edu/studentlife/life-on-campus/health/wellness-events-calendar.html</v>
      </c>
      <c r="S581" s="80" t="s">
        <v>632</v>
      </c>
      <c r="T581" s="85" t="s">
        <v>357</v>
      </c>
      <c r="U581" s="83" t="str">
        <f>HYPERLINK("https://pbs.twimg.com/media/FNVgU5IXoAYXKcQ.jpg")</f>
        <v>https://pbs.twimg.com/media/FNVgU5IXoAYXKcQ.jpg</v>
      </c>
      <c r="V581" s="83" t="str">
        <f>HYPERLINK("https://pbs.twimg.com/media/FNVgU5IXoAYXKcQ.jpg")</f>
        <v>https://pbs.twimg.com/media/FNVgU5IXoAYXKcQ.jpg</v>
      </c>
      <c r="W581" s="82">
        <v>44628.627303240741</v>
      </c>
      <c r="X581" s="88">
        <v>44628</v>
      </c>
      <c r="Y581" s="85" t="s">
        <v>1139</v>
      </c>
      <c r="Z581" s="83" t="str">
        <f>HYPERLINK("https://twitter.com/ubstudentexp/status/1501211969961013250")</f>
        <v>https://twitter.com/ubstudentexp/status/1501211969961013250</v>
      </c>
      <c r="AA581" s="80"/>
      <c r="AB581" s="80"/>
      <c r="AC581" s="85" t="s">
        <v>1593</v>
      </c>
      <c r="AD581" s="80"/>
      <c r="AE581" s="80" t="b">
        <v>0</v>
      </c>
      <c r="AF581" s="80">
        <v>2</v>
      </c>
      <c r="AG581" s="85" t="s">
        <v>1635</v>
      </c>
      <c r="AH581" s="80" t="b">
        <v>0</v>
      </c>
      <c r="AI581" s="80" t="s">
        <v>1642</v>
      </c>
      <c r="AJ581" s="80"/>
      <c r="AK581" s="85" t="s">
        <v>1635</v>
      </c>
      <c r="AL581" s="80" t="b">
        <v>0</v>
      </c>
      <c r="AM581" s="80">
        <v>1</v>
      </c>
      <c r="AN581" s="85" t="s">
        <v>1635</v>
      </c>
      <c r="AO581" s="85" t="s">
        <v>1679</v>
      </c>
      <c r="AP581" s="80" t="b">
        <v>0</v>
      </c>
      <c r="AQ581" s="85" t="s">
        <v>1593</v>
      </c>
      <c r="AR581" s="80" t="s">
        <v>179</v>
      </c>
      <c r="AS581" s="80">
        <v>0</v>
      </c>
      <c r="AT581" s="80">
        <v>0</v>
      </c>
      <c r="AU581" s="80"/>
      <c r="AV581" s="80"/>
      <c r="AW581" s="80"/>
      <c r="AX581" s="80"/>
      <c r="AY581" s="80"/>
      <c r="AZ581" s="80"/>
      <c r="BA581" s="80"/>
      <c r="BB581" s="80"/>
    </row>
    <row r="582" spans="1:54" x14ac:dyDescent="0.25">
      <c r="A582" s="65" t="s">
        <v>377</v>
      </c>
      <c r="B582" s="65" t="s">
        <v>377</v>
      </c>
      <c r="C582" s="66"/>
      <c r="D582" s="67"/>
      <c r="E582" s="68"/>
      <c r="F582" s="69"/>
      <c r="G582" s="66"/>
      <c r="H582" s="70"/>
      <c r="I582" s="71"/>
      <c r="J582" s="71"/>
      <c r="K582" s="36" t="s">
        <v>65</v>
      </c>
      <c r="L582" s="78">
        <v>582</v>
      </c>
      <c r="M582" s="78"/>
      <c r="N582" s="73"/>
      <c r="O582" s="80" t="s">
        <v>179</v>
      </c>
      <c r="P582" s="82">
        <v>44628.82366898148</v>
      </c>
      <c r="Q582" s="80" t="s">
        <v>609</v>
      </c>
      <c r="R582" s="83" t="str">
        <f>HYPERLINK("https://www.buffalo.edu/studentlife/life-on-campus/health/healthy-decisions.html")</f>
        <v>https://www.buffalo.edu/studentlife/life-on-campus/health/healthy-decisions.html</v>
      </c>
      <c r="S582" s="80" t="s">
        <v>632</v>
      </c>
      <c r="T582" s="85" t="s">
        <v>357</v>
      </c>
      <c r="U582" s="80"/>
      <c r="V582" s="83" t="str">
        <f>HYPERLINK("https://pbs.twimg.com/profile_images/1226935171875770368/-iqXH9Ad_normal.jpg")</f>
        <v>https://pbs.twimg.com/profile_images/1226935171875770368/-iqXH9Ad_normal.jpg</v>
      </c>
      <c r="W582" s="82">
        <v>44628.82366898148</v>
      </c>
      <c r="X582" s="88">
        <v>44628</v>
      </c>
      <c r="Y582" s="85" t="s">
        <v>1140</v>
      </c>
      <c r="Z582" s="83" t="str">
        <f>HYPERLINK("https://twitter.com/ubstudentexp/status/1501283128618340352")</f>
        <v>https://twitter.com/ubstudentexp/status/1501283128618340352</v>
      </c>
      <c r="AA582" s="80"/>
      <c r="AB582" s="80"/>
      <c r="AC582" s="85" t="s">
        <v>1594</v>
      </c>
      <c r="AD582" s="80"/>
      <c r="AE582" s="80" t="b">
        <v>0</v>
      </c>
      <c r="AF582" s="80">
        <v>0</v>
      </c>
      <c r="AG582" s="85" t="s">
        <v>1635</v>
      </c>
      <c r="AH582" s="80" t="b">
        <v>0</v>
      </c>
      <c r="AI582" s="80" t="s">
        <v>1642</v>
      </c>
      <c r="AJ582" s="80"/>
      <c r="AK582" s="85" t="s">
        <v>1635</v>
      </c>
      <c r="AL582" s="80" t="b">
        <v>0</v>
      </c>
      <c r="AM582" s="80">
        <v>0</v>
      </c>
      <c r="AN582" s="85" t="s">
        <v>1635</v>
      </c>
      <c r="AO582" s="85" t="s">
        <v>1679</v>
      </c>
      <c r="AP582" s="80" t="b">
        <v>0</v>
      </c>
      <c r="AQ582" s="85" t="s">
        <v>1594</v>
      </c>
      <c r="AR582" s="80" t="s">
        <v>179</v>
      </c>
      <c r="AS582" s="80">
        <v>0</v>
      </c>
      <c r="AT582" s="80">
        <v>0</v>
      </c>
      <c r="AU582" s="80"/>
      <c r="AV582" s="80"/>
      <c r="AW582" s="80"/>
      <c r="AX582" s="80"/>
      <c r="AY582" s="80"/>
      <c r="AZ582" s="80"/>
      <c r="BA582" s="80"/>
      <c r="BB582" s="80"/>
    </row>
    <row r="583" spans="1:54" x14ac:dyDescent="0.25">
      <c r="A583" s="65" t="s">
        <v>377</v>
      </c>
      <c r="B583" s="65" t="s">
        <v>377</v>
      </c>
      <c r="C583" s="66"/>
      <c r="D583" s="67"/>
      <c r="E583" s="68"/>
      <c r="F583" s="69"/>
      <c r="G583" s="66"/>
      <c r="H583" s="70"/>
      <c r="I583" s="71"/>
      <c r="J583" s="71"/>
      <c r="K583" s="36" t="s">
        <v>65</v>
      </c>
      <c r="L583" s="78">
        <v>583</v>
      </c>
      <c r="M583" s="78"/>
      <c r="N583" s="73"/>
      <c r="O583" s="80" t="s">
        <v>179</v>
      </c>
      <c r="P583" s="82">
        <v>44628.877118055556</v>
      </c>
      <c r="Q583" s="80" t="s">
        <v>447</v>
      </c>
      <c r="R583" s="83" t="str">
        <f>HYPERLINK("http://www.buffalo.edu/commencement/student-checklists/capsandgowns.html")</f>
        <v>http://www.buffalo.edu/commencement/student-checklists/capsandgowns.html</v>
      </c>
      <c r="S583" s="80" t="s">
        <v>632</v>
      </c>
      <c r="T583" s="85" t="s">
        <v>678</v>
      </c>
      <c r="U583" s="83" t="str">
        <f>HYPERLINK("https://pbs.twimg.com/media/FNWyqOWVcAEf12Z.jpg")</f>
        <v>https://pbs.twimg.com/media/FNWyqOWVcAEf12Z.jpg</v>
      </c>
      <c r="V583" s="83" t="str">
        <f>HYPERLINK("https://pbs.twimg.com/media/FNWyqOWVcAEf12Z.jpg")</f>
        <v>https://pbs.twimg.com/media/FNWyqOWVcAEf12Z.jpg</v>
      </c>
      <c r="W583" s="82">
        <v>44628.877118055556</v>
      </c>
      <c r="X583" s="88">
        <v>44628</v>
      </c>
      <c r="Y583" s="85" t="s">
        <v>1141</v>
      </c>
      <c r="Z583" s="83" t="str">
        <f>HYPERLINK("https://twitter.com/ubstudentexp/status/1501302500443447300")</f>
        <v>https://twitter.com/ubstudentexp/status/1501302500443447300</v>
      </c>
      <c r="AA583" s="80"/>
      <c r="AB583" s="80"/>
      <c r="AC583" s="85" t="s">
        <v>1595</v>
      </c>
      <c r="AD583" s="80"/>
      <c r="AE583" s="80" t="b">
        <v>0</v>
      </c>
      <c r="AF583" s="80">
        <v>3</v>
      </c>
      <c r="AG583" s="85" t="s">
        <v>1635</v>
      </c>
      <c r="AH583" s="80" t="b">
        <v>0</v>
      </c>
      <c r="AI583" s="80" t="s">
        <v>1642</v>
      </c>
      <c r="AJ583" s="80"/>
      <c r="AK583" s="85" t="s">
        <v>1635</v>
      </c>
      <c r="AL583" s="80" t="b">
        <v>0</v>
      </c>
      <c r="AM583" s="80">
        <v>4</v>
      </c>
      <c r="AN583" s="85" t="s">
        <v>1635</v>
      </c>
      <c r="AO583" s="85" t="s">
        <v>1679</v>
      </c>
      <c r="AP583" s="80" t="b">
        <v>0</v>
      </c>
      <c r="AQ583" s="85" t="s">
        <v>1595</v>
      </c>
      <c r="AR583" s="80" t="s">
        <v>179</v>
      </c>
      <c r="AS583" s="80">
        <v>0</v>
      </c>
      <c r="AT583" s="80">
        <v>0</v>
      </c>
      <c r="AU583" s="80"/>
      <c r="AV583" s="80"/>
      <c r="AW583" s="80"/>
      <c r="AX583" s="80"/>
      <c r="AY583" s="80"/>
      <c r="AZ583" s="80"/>
      <c r="BA583" s="80"/>
      <c r="BB583" s="80"/>
    </row>
    <row r="584" spans="1:54" x14ac:dyDescent="0.25">
      <c r="A584" s="65" t="s">
        <v>377</v>
      </c>
      <c r="B584" s="65" t="s">
        <v>377</v>
      </c>
      <c r="C584" s="66"/>
      <c r="D584" s="67"/>
      <c r="E584" s="68"/>
      <c r="F584" s="69"/>
      <c r="G584" s="66"/>
      <c r="H584" s="70"/>
      <c r="I584" s="71"/>
      <c r="J584" s="71"/>
      <c r="K584" s="36" t="s">
        <v>65</v>
      </c>
      <c r="L584" s="78">
        <v>584</v>
      </c>
      <c r="M584" s="78"/>
      <c r="N584" s="73"/>
      <c r="O584" s="80" t="s">
        <v>179</v>
      </c>
      <c r="P584" s="82">
        <v>44629.710428240738</v>
      </c>
      <c r="Q584" s="80" t="s">
        <v>604</v>
      </c>
      <c r="R584" s="83" t="str">
        <f>HYPERLINK("https://www.buffalo.edu/studentlife/who-we-are/announcements.host.html/content/shared/www/studentlife/gateway-wide-content/announcements/2022/national-college-health-assessment.detail.html")</f>
        <v>https://www.buffalo.edu/studentlife/who-we-are/announcements.host.html/content/shared/www/studentlife/gateway-wide-content/announcements/2022/national-college-health-assessment.detail.html</v>
      </c>
      <c r="S584" s="80" t="s">
        <v>632</v>
      </c>
      <c r="T584" s="85" t="s">
        <v>357</v>
      </c>
      <c r="U584" s="83" t="str">
        <f>HYPERLINK("https://pbs.twimg.com/media/FNbFUXLXEAMf3B0.jpg")</f>
        <v>https://pbs.twimg.com/media/FNbFUXLXEAMf3B0.jpg</v>
      </c>
      <c r="V584" s="83" t="str">
        <f>HYPERLINK("https://pbs.twimg.com/media/FNbFUXLXEAMf3B0.jpg")</f>
        <v>https://pbs.twimg.com/media/FNbFUXLXEAMf3B0.jpg</v>
      </c>
      <c r="W584" s="82">
        <v>44629.710428240738</v>
      </c>
      <c r="X584" s="88">
        <v>44629</v>
      </c>
      <c r="Y584" s="85" t="s">
        <v>1142</v>
      </c>
      <c r="Z584" s="83" t="str">
        <f>HYPERLINK("https://twitter.com/ubstudentexp/status/1501604482689515524")</f>
        <v>https://twitter.com/ubstudentexp/status/1501604482689515524</v>
      </c>
      <c r="AA584" s="80"/>
      <c r="AB584" s="80"/>
      <c r="AC584" s="85" t="s">
        <v>1596</v>
      </c>
      <c r="AD584" s="80"/>
      <c r="AE584" s="80" t="b">
        <v>0</v>
      </c>
      <c r="AF584" s="80">
        <v>2</v>
      </c>
      <c r="AG584" s="85" t="s">
        <v>1635</v>
      </c>
      <c r="AH584" s="80" t="b">
        <v>0</v>
      </c>
      <c r="AI584" s="80" t="s">
        <v>1642</v>
      </c>
      <c r="AJ584" s="80"/>
      <c r="AK584" s="85" t="s">
        <v>1635</v>
      </c>
      <c r="AL584" s="80" t="b">
        <v>0</v>
      </c>
      <c r="AM584" s="80">
        <v>1</v>
      </c>
      <c r="AN584" s="85" t="s">
        <v>1635</v>
      </c>
      <c r="AO584" s="85" t="s">
        <v>1679</v>
      </c>
      <c r="AP584" s="80" t="b">
        <v>0</v>
      </c>
      <c r="AQ584" s="85" t="s">
        <v>1596</v>
      </c>
      <c r="AR584" s="80" t="s">
        <v>179</v>
      </c>
      <c r="AS584" s="80">
        <v>0</v>
      </c>
      <c r="AT584" s="80">
        <v>0</v>
      </c>
      <c r="AU584" s="80"/>
      <c r="AV584" s="80"/>
      <c r="AW584" s="80"/>
      <c r="AX584" s="80"/>
      <c r="AY584" s="80"/>
      <c r="AZ584" s="80"/>
      <c r="BA584" s="80"/>
      <c r="BB584" s="80"/>
    </row>
    <row r="585" spans="1:54" x14ac:dyDescent="0.25">
      <c r="A585" s="65" t="s">
        <v>377</v>
      </c>
      <c r="B585" s="65" t="s">
        <v>377</v>
      </c>
      <c r="C585" s="66"/>
      <c r="D585" s="67"/>
      <c r="E585" s="68"/>
      <c r="F585" s="69"/>
      <c r="G585" s="66"/>
      <c r="H585" s="70"/>
      <c r="I585" s="71"/>
      <c r="J585" s="71"/>
      <c r="K585" s="36" t="s">
        <v>65</v>
      </c>
      <c r="L585" s="78">
        <v>585</v>
      </c>
      <c r="M585" s="78"/>
      <c r="N585" s="73"/>
      <c r="O585" s="80" t="s">
        <v>179</v>
      </c>
      <c r="P585" s="82">
        <v>44630.729861111111</v>
      </c>
      <c r="Q585" s="80" t="s">
        <v>606</v>
      </c>
      <c r="R585" s="83" t="str">
        <f>HYPERLINK("https://www.buffalo.edu/studentlife/life-on-campus/health/medical-care/health-insurance.html")</f>
        <v>https://www.buffalo.edu/studentlife/life-on-campus/health/medical-care/health-insurance.html</v>
      </c>
      <c r="S585" s="80" t="s">
        <v>632</v>
      </c>
      <c r="T585" s="85" t="s">
        <v>357</v>
      </c>
      <c r="U585" s="80"/>
      <c r="V585" s="83" t="str">
        <f>HYPERLINK("https://pbs.twimg.com/profile_images/1226935171875770368/-iqXH9Ad_normal.jpg")</f>
        <v>https://pbs.twimg.com/profile_images/1226935171875770368/-iqXH9Ad_normal.jpg</v>
      </c>
      <c r="W585" s="82">
        <v>44630.729861111111</v>
      </c>
      <c r="X585" s="88">
        <v>44630</v>
      </c>
      <c r="Y585" s="85" t="s">
        <v>1101</v>
      </c>
      <c r="Z585" s="83" t="str">
        <f>HYPERLINK("https://twitter.com/ubstudentexp/status/1501973910195167232")</f>
        <v>https://twitter.com/ubstudentexp/status/1501973910195167232</v>
      </c>
      <c r="AA585" s="80"/>
      <c r="AB585" s="80"/>
      <c r="AC585" s="85" t="s">
        <v>1597</v>
      </c>
      <c r="AD585" s="80"/>
      <c r="AE585" s="80" t="b">
        <v>0</v>
      </c>
      <c r="AF585" s="80">
        <v>1</v>
      </c>
      <c r="AG585" s="85" t="s">
        <v>1635</v>
      </c>
      <c r="AH585" s="80" t="b">
        <v>0</v>
      </c>
      <c r="AI585" s="80" t="s">
        <v>1642</v>
      </c>
      <c r="AJ585" s="80"/>
      <c r="AK585" s="85" t="s">
        <v>1635</v>
      </c>
      <c r="AL585" s="80" t="b">
        <v>0</v>
      </c>
      <c r="AM585" s="80">
        <v>1</v>
      </c>
      <c r="AN585" s="85" t="s">
        <v>1635</v>
      </c>
      <c r="AO585" s="85" t="s">
        <v>1679</v>
      </c>
      <c r="AP585" s="80" t="b">
        <v>0</v>
      </c>
      <c r="AQ585" s="85" t="s">
        <v>1597</v>
      </c>
      <c r="AR585" s="80" t="s">
        <v>179</v>
      </c>
      <c r="AS585" s="80">
        <v>0</v>
      </c>
      <c r="AT585" s="80">
        <v>0</v>
      </c>
      <c r="AU585" s="80"/>
      <c r="AV585" s="80"/>
      <c r="AW585" s="80"/>
      <c r="AX585" s="80"/>
      <c r="AY585" s="80"/>
      <c r="AZ585" s="80"/>
      <c r="BA585" s="80"/>
      <c r="BB585" s="80"/>
    </row>
    <row r="586" spans="1:54" x14ac:dyDescent="0.25">
      <c r="A586" s="65" t="s">
        <v>377</v>
      </c>
      <c r="B586" s="65" t="s">
        <v>377</v>
      </c>
      <c r="C586" s="66"/>
      <c r="D586" s="67"/>
      <c r="E586" s="68"/>
      <c r="F586" s="69"/>
      <c r="G586" s="66"/>
      <c r="H586" s="70"/>
      <c r="I586" s="71"/>
      <c r="J586" s="71"/>
      <c r="K586" s="36" t="s">
        <v>65</v>
      </c>
      <c r="L586" s="78">
        <v>586</v>
      </c>
      <c r="M586" s="78"/>
      <c r="N586" s="73"/>
      <c r="O586" s="80" t="s">
        <v>179</v>
      </c>
      <c r="P586" s="82">
        <v>44630.852951388886</v>
      </c>
      <c r="Q586" s="80" t="s">
        <v>605</v>
      </c>
      <c r="R586" s="83" t="str">
        <f>HYPERLINK("https://buffalo.campuslabs.com/engage/event/7652834")</f>
        <v>https://buffalo.campuslabs.com/engage/event/7652834</v>
      </c>
      <c r="S586" s="80" t="s">
        <v>660</v>
      </c>
      <c r="T586" s="85" t="s">
        <v>357</v>
      </c>
      <c r="U586" s="83" t="str">
        <f>HYPERLINK("https://pbs.twimg.com/media/FNg94X5XMAAyU9F.jpg")</f>
        <v>https://pbs.twimg.com/media/FNg94X5XMAAyU9F.jpg</v>
      </c>
      <c r="V586" s="83" t="str">
        <f>HYPERLINK("https://pbs.twimg.com/media/FNg94X5XMAAyU9F.jpg")</f>
        <v>https://pbs.twimg.com/media/FNg94X5XMAAyU9F.jpg</v>
      </c>
      <c r="W586" s="82">
        <v>44630.852951388886</v>
      </c>
      <c r="X586" s="88">
        <v>44630</v>
      </c>
      <c r="Y586" s="85" t="s">
        <v>1143</v>
      </c>
      <c r="Z586" s="83" t="str">
        <f>HYPERLINK("https://twitter.com/ubstudentexp/status/1502018517364879364")</f>
        <v>https://twitter.com/ubstudentexp/status/1502018517364879364</v>
      </c>
      <c r="AA586" s="80"/>
      <c r="AB586" s="80"/>
      <c r="AC586" s="85" t="s">
        <v>1598</v>
      </c>
      <c r="AD586" s="80"/>
      <c r="AE586" s="80" t="b">
        <v>0</v>
      </c>
      <c r="AF586" s="80">
        <v>1</v>
      </c>
      <c r="AG586" s="85" t="s">
        <v>1635</v>
      </c>
      <c r="AH586" s="80" t="b">
        <v>0</v>
      </c>
      <c r="AI586" s="80" t="s">
        <v>1642</v>
      </c>
      <c r="AJ586" s="80"/>
      <c r="AK586" s="85" t="s">
        <v>1635</v>
      </c>
      <c r="AL586" s="80" t="b">
        <v>0</v>
      </c>
      <c r="AM586" s="80">
        <v>1</v>
      </c>
      <c r="AN586" s="85" t="s">
        <v>1635</v>
      </c>
      <c r="AO586" s="85" t="s">
        <v>1679</v>
      </c>
      <c r="AP586" s="80" t="b">
        <v>0</v>
      </c>
      <c r="AQ586" s="85" t="s">
        <v>1598</v>
      </c>
      <c r="AR586" s="80" t="s">
        <v>179</v>
      </c>
      <c r="AS586" s="80">
        <v>0</v>
      </c>
      <c r="AT586" s="80">
        <v>0</v>
      </c>
      <c r="AU586" s="80"/>
      <c r="AV586" s="80"/>
      <c r="AW586" s="80"/>
      <c r="AX586" s="80"/>
      <c r="AY586" s="80"/>
      <c r="AZ586" s="80"/>
      <c r="BA586" s="80"/>
      <c r="BB586" s="80"/>
    </row>
    <row r="587" spans="1:54" x14ac:dyDescent="0.25">
      <c r="A587" s="65" t="s">
        <v>377</v>
      </c>
      <c r="B587" s="65" t="s">
        <v>377</v>
      </c>
      <c r="C587" s="66"/>
      <c r="D587" s="67"/>
      <c r="E587" s="68"/>
      <c r="F587" s="69"/>
      <c r="G587" s="66"/>
      <c r="H587" s="70"/>
      <c r="I587" s="71"/>
      <c r="J587" s="71"/>
      <c r="K587" s="36" t="s">
        <v>65</v>
      </c>
      <c r="L587" s="78">
        <v>587</v>
      </c>
      <c r="M587" s="78"/>
      <c r="N587" s="73"/>
      <c r="O587" s="80" t="s">
        <v>179</v>
      </c>
      <c r="P587" s="82">
        <v>44631.709814814814</v>
      </c>
      <c r="Q587" s="80" t="s">
        <v>610</v>
      </c>
      <c r="R587" s="83" t="str">
        <f>HYPERLINK("https://twitter.com/UBAthletics/status/1502295888701571076")</f>
        <v>https://twitter.com/UBAthletics/status/1502295888701571076</v>
      </c>
      <c r="S587" s="80" t="s">
        <v>633</v>
      </c>
      <c r="T587" s="85" t="s">
        <v>665</v>
      </c>
      <c r="U587" s="80"/>
      <c r="V587" s="83" t="str">
        <f>HYPERLINK("https://pbs.twimg.com/profile_images/1226935171875770368/-iqXH9Ad_normal.jpg")</f>
        <v>https://pbs.twimg.com/profile_images/1226935171875770368/-iqXH9Ad_normal.jpg</v>
      </c>
      <c r="W587" s="82">
        <v>44631.709814814814</v>
      </c>
      <c r="X587" s="88">
        <v>44631</v>
      </c>
      <c r="Y587" s="85" t="s">
        <v>1144</v>
      </c>
      <c r="Z587" s="83" t="str">
        <f>HYPERLINK("https://twitter.com/ubstudentexp/status/1502329033979310088")</f>
        <v>https://twitter.com/ubstudentexp/status/1502329033979310088</v>
      </c>
      <c r="AA587" s="80"/>
      <c r="AB587" s="80"/>
      <c r="AC587" s="85" t="s">
        <v>1599</v>
      </c>
      <c r="AD587" s="80"/>
      <c r="AE587" s="80" t="b">
        <v>0</v>
      </c>
      <c r="AF587" s="80">
        <v>1</v>
      </c>
      <c r="AG587" s="85" t="s">
        <v>1635</v>
      </c>
      <c r="AH587" s="80" t="b">
        <v>1</v>
      </c>
      <c r="AI587" s="80" t="s">
        <v>1642</v>
      </c>
      <c r="AJ587" s="80"/>
      <c r="AK587" s="85" t="s">
        <v>1669</v>
      </c>
      <c r="AL587" s="80" t="b">
        <v>0</v>
      </c>
      <c r="AM587" s="80">
        <v>0</v>
      </c>
      <c r="AN587" s="85" t="s">
        <v>1635</v>
      </c>
      <c r="AO587" s="85" t="s">
        <v>1672</v>
      </c>
      <c r="AP587" s="80" t="b">
        <v>0</v>
      </c>
      <c r="AQ587" s="85" t="s">
        <v>1599</v>
      </c>
      <c r="AR587" s="80" t="s">
        <v>179</v>
      </c>
      <c r="AS587" s="80">
        <v>0</v>
      </c>
      <c r="AT587" s="80">
        <v>0</v>
      </c>
      <c r="AU587" s="80"/>
      <c r="AV587" s="80"/>
      <c r="AW587" s="80"/>
      <c r="AX587" s="80"/>
      <c r="AY587" s="80"/>
      <c r="AZ587" s="80"/>
      <c r="BA587" s="80"/>
      <c r="BB587" s="80"/>
    </row>
    <row r="588" spans="1:54" x14ac:dyDescent="0.25">
      <c r="A588" s="65" t="s">
        <v>377</v>
      </c>
      <c r="B588" s="65" t="s">
        <v>377</v>
      </c>
      <c r="C588" s="66"/>
      <c r="D588" s="67"/>
      <c r="E588" s="68"/>
      <c r="F588" s="69"/>
      <c r="G588" s="66"/>
      <c r="H588" s="70"/>
      <c r="I588" s="71"/>
      <c r="J588" s="71"/>
      <c r="K588" s="36" t="s">
        <v>65</v>
      </c>
      <c r="L588" s="78">
        <v>588</v>
      </c>
      <c r="M588" s="78"/>
      <c r="N588" s="73"/>
      <c r="O588" s="80" t="s">
        <v>179</v>
      </c>
      <c r="P588" s="82">
        <v>44631.75209490741</v>
      </c>
      <c r="Q588" s="80" t="s">
        <v>611</v>
      </c>
      <c r="R588" s="83" t="str">
        <f>HYPERLINK("https://calendar.buffalo.edu/event/drop-in-meditation-group-16/")</f>
        <v>https://calendar.buffalo.edu/event/drop-in-meditation-group-16/</v>
      </c>
      <c r="S588" s="80" t="s">
        <v>632</v>
      </c>
      <c r="T588" s="85" t="s">
        <v>357</v>
      </c>
      <c r="U588" s="83" t="str">
        <f>HYPERLINK("https://pbs.twimg.com/media/FNlmOtdWQAcAeB8.jpg")</f>
        <v>https://pbs.twimg.com/media/FNlmOtdWQAcAeB8.jpg</v>
      </c>
      <c r="V588" s="83" t="str">
        <f>HYPERLINK("https://pbs.twimg.com/media/FNlmOtdWQAcAeB8.jpg")</f>
        <v>https://pbs.twimg.com/media/FNlmOtdWQAcAeB8.jpg</v>
      </c>
      <c r="W588" s="82">
        <v>44631.75209490741</v>
      </c>
      <c r="X588" s="88">
        <v>44631</v>
      </c>
      <c r="Y588" s="85" t="s">
        <v>1145</v>
      </c>
      <c r="Z588" s="83" t="str">
        <f>HYPERLINK("https://twitter.com/ubstudentexp/status/1502344356757389314")</f>
        <v>https://twitter.com/ubstudentexp/status/1502344356757389314</v>
      </c>
      <c r="AA588" s="80"/>
      <c r="AB588" s="80"/>
      <c r="AC588" s="85" t="s">
        <v>1600</v>
      </c>
      <c r="AD588" s="80"/>
      <c r="AE588" s="80" t="b">
        <v>0</v>
      </c>
      <c r="AF588" s="80">
        <v>2</v>
      </c>
      <c r="AG588" s="85" t="s">
        <v>1635</v>
      </c>
      <c r="AH588" s="80" t="b">
        <v>0</v>
      </c>
      <c r="AI588" s="80" t="s">
        <v>1642</v>
      </c>
      <c r="AJ588" s="80"/>
      <c r="AK588" s="85" t="s">
        <v>1635</v>
      </c>
      <c r="AL588" s="80" t="b">
        <v>0</v>
      </c>
      <c r="AM588" s="80">
        <v>0</v>
      </c>
      <c r="AN588" s="85" t="s">
        <v>1635</v>
      </c>
      <c r="AO588" s="85" t="s">
        <v>1679</v>
      </c>
      <c r="AP588" s="80" t="b">
        <v>0</v>
      </c>
      <c r="AQ588" s="85" t="s">
        <v>1600</v>
      </c>
      <c r="AR588" s="80" t="s">
        <v>179</v>
      </c>
      <c r="AS588" s="80">
        <v>0</v>
      </c>
      <c r="AT588" s="80">
        <v>0</v>
      </c>
      <c r="AU588" s="80"/>
      <c r="AV588" s="80"/>
      <c r="AW588" s="80"/>
      <c r="AX588" s="80"/>
      <c r="AY588" s="80"/>
      <c r="AZ588" s="80"/>
      <c r="BA588" s="80"/>
      <c r="BB588" s="80"/>
    </row>
    <row r="589" spans="1:54" x14ac:dyDescent="0.25">
      <c r="A589" s="65" t="s">
        <v>377</v>
      </c>
      <c r="B589" s="65" t="s">
        <v>357</v>
      </c>
      <c r="C589" s="66"/>
      <c r="D589" s="67"/>
      <c r="E589" s="68"/>
      <c r="F589" s="69"/>
      <c r="G589" s="66"/>
      <c r="H589" s="70"/>
      <c r="I589" s="71"/>
      <c r="J589" s="71"/>
      <c r="K589" s="36" t="s">
        <v>66</v>
      </c>
      <c r="L589" s="78">
        <v>589</v>
      </c>
      <c r="M589" s="78"/>
      <c r="N589" s="73"/>
      <c r="O589" s="80" t="s">
        <v>414</v>
      </c>
      <c r="P589" s="82">
        <v>44631.811481481483</v>
      </c>
      <c r="Q589" s="80" t="s">
        <v>600</v>
      </c>
      <c r="R589" s="80"/>
      <c r="S589" s="80"/>
      <c r="T589" s="85" t="s">
        <v>665</v>
      </c>
      <c r="U589" s="83" t="str">
        <f>HYPERLINK("https://pbs.twimg.com/media/FNlxmE6XoAU2wAB.jpg")</f>
        <v>https://pbs.twimg.com/media/FNlxmE6XoAU2wAB.jpg</v>
      </c>
      <c r="V589" s="83" t="str">
        <f>HYPERLINK("https://pbs.twimg.com/media/FNlxmE6XoAU2wAB.jpg")</f>
        <v>https://pbs.twimg.com/media/FNlxmE6XoAU2wAB.jpg</v>
      </c>
      <c r="W589" s="82">
        <v>44631.811481481483</v>
      </c>
      <c r="X589" s="88">
        <v>44631</v>
      </c>
      <c r="Y589" s="85" t="s">
        <v>1125</v>
      </c>
      <c r="Z589" s="83" t="str">
        <f>HYPERLINK("https://twitter.com/ubstudentexp/status/1502365877777440774")</f>
        <v>https://twitter.com/ubstudentexp/status/1502365877777440774</v>
      </c>
      <c r="AA589" s="80"/>
      <c r="AB589" s="80"/>
      <c r="AC589" s="85" t="s">
        <v>1579</v>
      </c>
      <c r="AD589" s="80"/>
      <c r="AE589" s="80" t="b">
        <v>0</v>
      </c>
      <c r="AF589" s="80">
        <v>0</v>
      </c>
      <c r="AG589" s="85" t="s">
        <v>1635</v>
      </c>
      <c r="AH589" s="80" t="b">
        <v>0</v>
      </c>
      <c r="AI589" s="80" t="s">
        <v>1642</v>
      </c>
      <c r="AJ589" s="80"/>
      <c r="AK589" s="85" t="s">
        <v>1635</v>
      </c>
      <c r="AL589" s="80" t="b">
        <v>0</v>
      </c>
      <c r="AM589" s="80">
        <v>1</v>
      </c>
      <c r="AN589" s="85" t="s">
        <v>1574</v>
      </c>
      <c r="AO589" s="85" t="s">
        <v>1672</v>
      </c>
      <c r="AP589" s="80" t="b">
        <v>0</v>
      </c>
      <c r="AQ589" s="85" t="s">
        <v>1574</v>
      </c>
      <c r="AR589" s="80" t="s">
        <v>179</v>
      </c>
      <c r="AS589" s="80">
        <v>0</v>
      </c>
      <c r="AT589" s="80">
        <v>0</v>
      </c>
      <c r="AU589" s="80"/>
      <c r="AV589" s="80"/>
      <c r="AW589" s="80"/>
      <c r="AX589" s="80"/>
      <c r="AY589" s="80"/>
      <c r="AZ589" s="80"/>
      <c r="BA589" s="80"/>
      <c r="BB589" s="80"/>
    </row>
    <row r="590" spans="1:54" x14ac:dyDescent="0.25">
      <c r="A590" s="65" t="s">
        <v>377</v>
      </c>
      <c r="B590" s="65" t="s">
        <v>357</v>
      </c>
      <c r="C590" s="66"/>
      <c r="D590" s="67"/>
      <c r="E590" s="68"/>
      <c r="F590" s="69"/>
      <c r="G590" s="66"/>
      <c r="H590" s="70"/>
      <c r="I590" s="71"/>
      <c r="J590" s="71"/>
      <c r="K590" s="36" t="s">
        <v>66</v>
      </c>
      <c r="L590" s="78">
        <v>590</v>
      </c>
      <c r="M590" s="78"/>
      <c r="N590" s="73"/>
      <c r="O590" s="80" t="s">
        <v>415</v>
      </c>
      <c r="P590" s="82">
        <v>44631.830891203703</v>
      </c>
      <c r="Q590" s="80" t="s">
        <v>573</v>
      </c>
      <c r="R590" s="83" t="str">
        <f>HYPERLINK("https://twitter.com/UBwomenshoops/status/1502367244831150087")</f>
        <v>https://twitter.com/UBwomenshoops/status/1502367244831150087</v>
      </c>
      <c r="S590" s="80" t="s">
        <v>633</v>
      </c>
      <c r="T590" s="85" t="s">
        <v>699</v>
      </c>
      <c r="U590" s="80"/>
      <c r="V590" s="83" t="str">
        <f>HYPERLINK("https://pbs.twimg.com/profile_images/1226935171875770368/-iqXH9Ad_normal.jpg")</f>
        <v>https://pbs.twimg.com/profile_images/1226935171875770368/-iqXH9Ad_normal.jpg</v>
      </c>
      <c r="W590" s="82">
        <v>44631.830891203703</v>
      </c>
      <c r="X590" s="88">
        <v>44631</v>
      </c>
      <c r="Y590" s="85" t="s">
        <v>1146</v>
      </c>
      <c r="Z590" s="83" t="str">
        <f>HYPERLINK("https://twitter.com/ubstudentexp/status/1502372912552103938")</f>
        <v>https://twitter.com/ubstudentexp/status/1502372912552103938</v>
      </c>
      <c r="AA590" s="80"/>
      <c r="AB590" s="80"/>
      <c r="AC590" s="85" t="s">
        <v>1601</v>
      </c>
      <c r="AD590" s="80"/>
      <c r="AE590" s="80" t="b">
        <v>0</v>
      </c>
      <c r="AF590" s="80">
        <v>0</v>
      </c>
      <c r="AG590" s="85" t="s">
        <v>1635</v>
      </c>
      <c r="AH590" s="80" t="b">
        <v>1</v>
      </c>
      <c r="AI590" s="80" t="s">
        <v>1642</v>
      </c>
      <c r="AJ590" s="80"/>
      <c r="AK590" s="85" t="s">
        <v>1653</v>
      </c>
      <c r="AL590" s="80" t="b">
        <v>0</v>
      </c>
      <c r="AM590" s="80">
        <v>2</v>
      </c>
      <c r="AN590" s="85" t="s">
        <v>1620</v>
      </c>
      <c r="AO590" s="85" t="s">
        <v>1671</v>
      </c>
      <c r="AP590" s="80" t="b">
        <v>0</v>
      </c>
      <c r="AQ590" s="85" t="s">
        <v>1620</v>
      </c>
      <c r="AR590" s="80" t="s">
        <v>179</v>
      </c>
      <c r="AS590" s="80">
        <v>0</v>
      </c>
      <c r="AT590" s="80">
        <v>0</v>
      </c>
      <c r="AU590" s="80"/>
      <c r="AV590" s="80"/>
      <c r="AW590" s="80"/>
      <c r="AX590" s="80"/>
      <c r="AY590" s="80"/>
      <c r="AZ590" s="80"/>
      <c r="BA590" s="80"/>
      <c r="BB590" s="80"/>
    </row>
    <row r="591" spans="1:54" x14ac:dyDescent="0.25">
      <c r="A591" s="65" t="s">
        <v>377</v>
      </c>
      <c r="B591" s="65" t="s">
        <v>377</v>
      </c>
      <c r="C591" s="66"/>
      <c r="D591" s="67"/>
      <c r="E591" s="68"/>
      <c r="F591" s="69"/>
      <c r="G591" s="66"/>
      <c r="H591" s="70"/>
      <c r="I591" s="71"/>
      <c r="J591" s="71"/>
      <c r="K591" s="36" t="s">
        <v>65</v>
      </c>
      <c r="L591" s="78">
        <v>591</v>
      </c>
      <c r="M591" s="78"/>
      <c r="N591" s="73"/>
      <c r="O591" s="80" t="s">
        <v>179</v>
      </c>
      <c r="P591" s="82">
        <v>44631.88449074074</v>
      </c>
      <c r="Q591" s="80" t="s">
        <v>612</v>
      </c>
      <c r="R591" s="83" t="str">
        <f>HYPERLINK("https://twitter.com/UBuffalo/status/1502387638292160512")</f>
        <v>https://twitter.com/UBuffalo/status/1502387638292160512</v>
      </c>
      <c r="S591" s="80" t="s">
        <v>633</v>
      </c>
      <c r="T591" s="85" t="s">
        <v>727</v>
      </c>
      <c r="U591" s="80"/>
      <c r="V591" s="83" t="str">
        <f>HYPERLINK("https://pbs.twimg.com/profile_images/1226935171875770368/-iqXH9Ad_normal.jpg")</f>
        <v>https://pbs.twimg.com/profile_images/1226935171875770368/-iqXH9Ad_normal.jpg</v>
      </c>
      <c r="W591" s="82">
        <v>44631.88449074074</v>
      </c>
      <c r="X591" s="88">
        <v>44631</v>
      </c>
      <c r="Y591" s="85" t="s">
        <v>1147</v>
      </c>
      <c r="Z591" s="83" t="str">
        <f>HYPERLINK("https://twitter.com/ubstudentexp/status/1502392336533405701")</f>
        <v>https://twitter.com/ubstudentexp/status/1502392336533405701</v>
      </c>
      <c r="AA591" s="80"/>
      <c r="AB591" s="80"/>
      <c r="AC591" s="85" t="s">
        <v>1602</v>
      </c>
      <c r="AD591" s="80"/>
      <c r="AE591" s="80" t="b">
        <v>0</v>
      </c>
      <c r="AF591" s="80">
        <v>2</v>
      </c>
      <c r="AG591" s="85" t="s">
        <v>1635</v>
      </c>
      <c r="AH591" s="80" t="b">
        <v>1</v>
      </c>
      <c r="AI591" s="80" t="s">
        <v>1642</v>
      </c>
      <c r="AJ591" s="80"/>
      <c r="AK591" s="85" t="s">
        <v>1621</v>
      </c>
      <c r="AL591" s="80" t="b">
        <v>0</v>
      </c>
      <c r="AM591" s="80">
        <v>0</v>
      </c>
      <c r="AN591" s="85" t="s">
        <v>1635</v>
      </c>
      <c r="AO591" s="85" t="s">
        <v>1671</v>
      </c>
      <c r="AP591" s="80" t="b">
        <v>0</v>
      </c>
      <c r="AQ591" s="85" t="s">
        <v>1602</v>
      </c>
      <c r="AR591" s="80" t="s">
        <v>179</v>
      </c>
      <c r="AS591" s="80">
        <v>0</v>
      </c>
      <c r="AT591" s="80">
        <v>0</v>
      </c>
      <c r="AU591" s="80" t="s">
        <v>1687</v>
      </c>
      <c r="AV591" s="80" t="s">
        <v>1691</v>
      </c>
      <c r="AW591" s="80" t="s">
        <v>1692</v>
      </c>
      <c r="AX591" s="80" t="s">
        <v>1693</v>
      </c>
      <c r="AY591" s="80" t="s">
        <v>1697</v>
      </c>
      <c r="AZ591" s="80" t="s">
        <v>1701</v>
      </c>
      <c r="BA591" s="80" t="s">
        <v>1705</v>
      </c>
      <c r="BB591" s="83" t="str">
        <f>HYPERLINK("https://api.twitter.com/1.1/geo/id/7dabbf75534f6cee.json")</f>
        <v>https://api.twitter.com/1.1/geo/id/7dabbf75534f6cee.json</v>
      </c>
    </row>
    <row r="592" spans="1:54" x14ac:dyDescent="0.25">
      <c r="A592" s="65" t="s">
        <v>377</v>
      </c>
      <c r="B592" s="65" t="s">
        <v>377</v>
      </c>
      <c r="C592" s="66"/>
      <c r="D592" s="67"/>
      <c r="E592" s="68"/>
      <c r="F592" s="69"/>
      <c r="G592" s="66"/>
      <c r="H592" s="70"/>
      <c r="I592" s="71"/>
      <c r="J592" s="71"/>
      <c r="K592" s="36" t="s">
        <v>65</v>
      </c>
      <c r="L592" s="78">
        <v>592</v>
      </c>
      <c r="M592" s="78"/>
      <c r="N592" s="73"/>
      <c r="O592" s="80" t="s">
        <v>179</v>
      </c>
      <c r="P592" s="82">
        <v>44632.752164351848</v>
      </c>
      <c r="Q592" s="80" t="s">
        <v>613</v>
      </c>
      <c r="R592" s="80"/>
      <c r="S592" s="80"/>
      <c r="T592" s="85" t="s">
        <v>357</v>
      </c>
      <c r="U592" s="83" t="str">
        <f>HYPERLINK("https://pbs.twimg.com/tweet_video_thumb/FNqv0olXsAgOoCv.jpg")</f>
        <v>https://pbs.twimg.com/tweet_video_thumb/FNqv0olXsAgOoCv.jpg</v>
      </c>
      <c r="V592" s="83" t="str">
        <f>HYPERLINK("https://pbs.twimg.com/tweet_video_thumb/FNqv0olXsAgOoCv.jpg")</f>
        <v>https://pbs.twimg.com/tweet_video_thumb/FNqv0olXsAgOoCv.jpg</v>
      </c>
      <c r="W592" s="82">
        <v>44632.752164351848</v>
      </c>
      <c r="X592" s="88">
        <v>44632</v>
      </c>
      <c r="Y592" s="85" t="s">
        <v>1148</v>
      </c>
      <c r="Z592" s="83" t="str">
        <f>HYPERLINK("https://twitter.com/ubstudentexp/status/1502706771034624002")</f>
        <v>https://twitter.com/ubstudentexp/status/1502706771034624002</v>
      </c>
      <c r="AA592" s="80"/>
      <c r="AB592" s="80"/>
      <c r="AC592" s="85" t="s">
        <v>1603</v>
      </c>
      <c r="AD592" s="80"/>
      <c r="AE592" s="80" t="b">
        <v>0</v>
      </c>
      <c r="AF592" s="80">
        <v>1</v>
      </c>
      <c r="AG592" s="85" t="s">
        <v>1635</v>
      </c>
      <c r="AH592" s="80" t="b">
        <v>0</v>
      </c>
      <c r="AI592" s="80" t="s">
        <v>1642</v>
      </c>
      <c r="AJ592" s="80"/>
      <c r="AK592" s="85" t="s">
        <v>1635</v>
      </c>
      <c r="AL592" s="80" t="b">
        <v>0</v>
      </c>
      <c r="AM592" s="80">
        <v>0</v>
      </c>
      <c r="AN592" s="85" t="s">
        <v>1635</v>
      </c>
      <c r="AO592" s="85" t="s">
        <v>1679</v>
      </c>
      <c r="AP592" s="80" t="b">
        <v>0</v>
      </c>
      <c r="AQ592" s="85" t="s">
        <v>1603</v>
      </c>
      <c r="AR592" s="80" t="s">
        <v>179</v>
      </c>
      <c r="AS592" s="80">
        <v>0</v>
      </c>
      <c r="AT592" s="80">
        <v>0</v>
      </c>
      <c r="AU592" s="80"/>
      <c r="AV592" s="80"/>
      <c r="AW592" s="80"/>
      <c r="AX592" s="80"/>
      <c r="AY592" s="80"/>
      <c r="AZ592" s="80"/>
      <c r="BA592" s="80"/>
      <c r="BB592" s="80"/>
    </row>
    <row r="593" spans="1:54" x14ac:dyDescent="0.25">
      <c r="A593" s="65" t="s">
        <v>377</v>
      </c>
      <c r="B593" s="65" t="s">
        <v>377</v>
      </c>
      <c r="C593" s="66"/>
      <c r="D593" s="67"/>
      <c r="E593" s="68"/>
      <c r="F593" s="69"/>
      <c r="G593" s="66"/>
      <c r="H593" s="70"/>
      <c r="I593" s="71"/>
      <c r="J593" s="71"/>
      <c r="K593" s="36" t="s">
        <v>65</v>
      </c>
      <c r="L593" s="78">
        <v>593</v>
      </c>
      <c r="M593" s="78"/>
      <c r="N593" s="73"/>
      <c r="O593" s="80" t="s">
        <v>179</v>
      </c>
      <c r="P593" s="82">
        <v>44634.607638888891</v>
      </c>
      <c r="Q593" s="80" t="s">
        <v>614</v>
      </c>
      <c r="R593" s="83" t="str">
        <f>HYPERLINK("https://twitter.com/UBStudentExp/status/1501973910195167232")</f>
        <v>https://twitter.com/UBStudentExp/status/1501973910195167232</v>
      </c>
      <c r="S593" s="80" t="s">
        <v>633</v>
      </c>
      <c r="T593" s="85" t="s">
        <v>357</v>
      </c>
      <c r="U593" s="80"/>
      <c r="V593" s="83" t="str">
        <f>HYPERLINK("https://pbs.twimg.com/profile_images/1226935171875770368/-iqXH9Ad_normal.jpg")</f>
        <v>https://pbs.twimg.com/profile_images/1226935171875770368/-iqXH9Ad_normal.jpg</v>
      </c>
      <c r="W593" s="82">
        <v>44634.607638888891</v>
      </c>
      <c r="X593" s="88">
        <v>44634</v>
      </c>
      <c r="Y593" s="85" t="s">
        <v>1149</v>
      </c>
      <c r="Z593" s="83" t="str">
        <f>HYPERLINK("https://twitter.com/ubstudentexp/status/1503379170641985537")</f>
        <v>https://twitter.com/ubstudentexp/status/1503379170641985537</v>
      </c>
      <c r="AA593" s="80"/>
      <c r="AB593" s="80"/>
      <c r="AC593" s="85" t="s">
        <v>1604</v>
      </c>
      <c r="AD593" s="80"/>
      <c r="AE593" s="80" t="b">
        <v>0</v>
      </c>
      <c r="AF593" s="80">
        <v>1</v>
      </c>
      <c r="AG593" s="85" t="s">
        <v>1635</v>
      </c>
      <c r="AH593" s="80" t="b">
        <v>1</v>
      </c>
      <c r="AI593" s="80" t="s">
        <v>1642</v>
      </c>
      <c r="AJ593" s="80"/>
      <c r="AK593" s="85" t="s">
        <v>1597</v>
      </c>
      <c r="AL593" s="80" t="b">
        <v>0</v>
      </c>
      <c r="AM593" s="80">
        <v>0</v>
      </c>
      <c r="AN593" s="85" t="s">
        <v>1635</v>
      </c>
      <c r="AO593" s="85" t="s">
        <v>1679</v>
      </c>
      <c r="AP593" s="80" t="b">
        <v>0</v>
      </c>
      <c r="AQ593" s="85" t="s">
        <v>1604</v>
      </c>
      <c r="AR593" s="80" t="s">
        <v>179</v>
      </c>
      <c r="AS593" s="80">
        <v>0</v>
      </c>
      <c r="AT593" s="80">
        <v>0</v>
      </c>
      <c r="AU593" s="80"/>
      <c r="AV593" s="80"/>
      <c r="AW593" s="80"/>
      <c r="AX593" s="80"/>
      <c r="AY593" s="80"/>
      <c r="AZ593" s="80"/>
      <c r="BA593" s="80"/>
      <c r="BB593" s="80"/>
    </row>
    <row r="594" spans="1:54" x14ac:dyDescent="0.25">
      <c r="A594" s="65" t="s">
        <v>377</v>
      </c>
      <c r="B594" s="65" t="s">
        <v>377</v>
      </c>
      <c r="C594" s="66"/>
      <c r="D594" s="67"/>
      <c r="E594" s="68"/>
      <c r="F594" s="69"/>
      <c r="G594" s="66"/>
      <c r="H594" s="70"/>
      <c r="I594" s="71"/>
      <c r="J594" s="71"/>
      <c r="K594" s="36" t="s">
        <v>65</v>
      </c>
      <c r="L594" s="78">
        <v>594</v>
      </c>
      <c r="M594" s="78"/>
      <c r="N594" s="73"/>
      <c r="O594" s="80" t="s">
        <v>179</v>
      </c>
      <c r="P594" s="82">
        <v>44634.637303240743</v>
      </c>
      <c r="Q594" s="80" t="s">
        <v>615</v>
      </c>
      <c r="R594" s="83" t="str">
        <f>HYPERLINK("https://www.buffalo.edu/ubit/service-guides/computing-sites/north-campus/levelup.html?utm_source=TWITTER&amp;utm_medium=social&amp;utm_term=20220314&amp;utm_content=100002972208692&amp;utm_campaign=General+Content&amp;linkId=100000115076337")</f>
        <v>https://www.buffalo.edu/ubit/service-guides/computing-sites/north-campus/levelup.html?utm_source=TWITTER&amp;utm_medium=social&amp;utm_term=20220314&amp;utm_content=100002972208692&amp;utm_campaign=General+Content&amp;linkId=100000115076337</v>
      </c>
      <c r="S594" s="80" t="s">
        <v>632</v>
      </c>
      <c r="T594" s="85" t="s">
        <v>357</v>
      </c>
      <c r="U594" s="83" t="str">
        <f>HYPERLINK("https://pbs.twimg.com/media/FN0dKqCWUAAeHwC.jpg")</f>
        <v>https://pbs.twimg.com/media/FN0dKqCWUAAeHwC.jpg</v>
      </c>
      <c r="V594" s="83" t="str">
        <f>HYPERLINK("https://pbs.twimg.com/media/FN0dKqCWUAAeHwC.jpg")</f>
        <v>https://pbs.twimg.com/media/FN0dKqCWUAAeHwC.jpg</v>
      </c>
      <c r="W594" s="82">
        <v>44634.637303240743</v>
      </c>
      <c r="X594" s="88">
        <v>44634</v>
      </c>
      <c r="Y594" s="85" t="s">
        <v>1150</v>
      </c>
      <c r="Z594" s="83" t="str">
        <f>HYPERLINK("https://twitter.com/ubstudentexp/status/1503389923126263808")</f>
        <v>https://twitter.com/ubstudentexp/status/1503389923126263808</v>
      </c>
      <c r="AA594" s="80"/>
      <c r="AB594" s="80"/>
      <c r="AC594" s="85" t="s">
        <v>1605</v>
      </c>
      <c r="AD594" s="80"/>
      <c r="AE594" s="80" t="b">
        <v>0</v>
      </c>
      <c r="AF594" s="80">
        <v>0</v>
      </c>
      <c r="AG594" s="85" t="s">
        <v>1635</v>
      </c>
      <c r="AH594" s="80" t="b">
        <v>0</v>
      </c>
      <c r="AI594" s="80" t="s">
        <v>1642</v>
      </c>
      <c r="AJ594" s="80"/>
      <c r="AK594" s="85" t="s">
        <v>1635</v>
      </c>
      <c r="AL594" s="80" t="b">
        <v>0</v>
      </c>
      <c r="AM594" s="80">
        <v>0</v>
      </c>
      <c r="AN594" s="85" t="s">
        <v>1635</v>
      </c>
      <c r="AO594" s="85" t="s">
        <v>1679</v>
      </c>
      <c r="AP594" s="80" t="b">
        <v>0</v>
      </c>
      <c r="AQ594" s="85" t="s">
        <v>1605</v>
      </c>
      <c r="AR594" s="80" t="s">
        <v>179</v>
      </c>
      <c r="AS594" s="80">
        <v>0</v>
      </c>
      <c r="AT594" s="80">
        <v>0</v>
      </c>
      <c r="AU594" s="80"/>
      <c r="AV594" s="80"/>
      <c r="AW594" s="80"/>
      <c r="AX594" s="80"/>
      <c r="AY594" s="80"/>
      <c r="AZ594" s="80"/>
      <c r="BA594" s="80"/>
      <c r="BB594" s="80"/>
    </row>
    <row r="595" spans="1:54" x14ac:dyDescent="0.25">
      <c r="A595" s="65" t="s">
        <v>379</v>
      </c>
      <c r="B595" s="65" t="s">
        <v>377</v>
      </c>
      <c r="C595" s="66"/>
      <c r="D595" s="67"/>
      <c r="E595" s="68"/>
      <c r="F595" s="69"/>
      <c r="G595" s="66"/>
      <c r="H595" s="70"/>
      <c r="I595" s="71"/>
      <c r="J595" s="71"/>
      <c r="K595" s="36" t="s">
        <v>65</v>
      </c>
      <c r="L595" s="78">
        <v>595</v>
      </c>
      <c r="M595" s="78"/>
      <c r="N595" s="73"/>
      <c r="O595" s="80" t="s">
        <v>415</v>
      </c>
      <c r="P595" s="82">
        <v>44629.608807870369</v>
      </c>
      <c r="Q595" s="80" t="s">
        <v>447</v>
      </c>
      <c r="R595" s="83" t="str">
        <f>HYPERLINK("http://www.buffalo.edu/commencement/student-checklists/capsandgowns.html")</f>
        <v>http://www.buffalo.edu/commencement/student-checklists/capsandgowns.html</v>
      </c>
      <c r="S595" s="80" t="s">
        <v>632</v>
      </c>
      <c r="T595" s="85" t="s">
        <v>678</v>
      </c>
      <c r="U595" s="83" t="str">
        <f>HYPERLINK("https://pbs.twimg.com/media/FNWyqOWVcAEf12Z.jpg")</f>
        <v>https://pbs.twimg.com/media/FNWyqOWVcAEf12Z.jpg</v>
      </c>
      <c r="V595" s="83" t="str">
        <f>HYPERLINK("https://pbs.twimg.com/media/FNWyqOWVcAEf12Z.jpg")</f>
        <v>https://pbs.twimg.com/media/FNWyqOWVcAEf12Z.jpg</v>
      </c>
      <c r="W595" s="82">
        <v>44629.608807870369</v>
      </c>
      <c r="X595" s="88">
        <v>44629</v>
      </c>
      <c r="Y595" s="85" t="s">
        <v>1151</v>
      </c>
      <c r="Z595" s="83" t="str">
        <f>HYPERLINK("https://twitter.com/ubcas/status/1501567653701468161")</f>
        <v>https://twitter.com/ubcas/status/1501567653701468161</v>
      </c>
      <c r="AA595" s="80"/>
      <c r="AB595" s="80"/>
      <c r="AC595" s="85" t="s">
        <v>1606</v>
      </c>
      <c r="AD595" s="80"/>
      <c r="AE595" s="80" t="b">
        <v>0</v>
      </c>
      <c r="AF595" s="80">
        <v>0</v>
      </c>
      <c r="AG595" s="85" t="s">
        <v>1635</v>
      </c>
      <c r="AH595" s="80" t="b">
        <v>0</v>
      </c>
      <c r="AI595" s="80" t="s">
        <v>1642</v>
      </c>
      <c r="AJ595" s="80"/>
      <c r="AK595" s="85" t="s">
        <v>1635</v>
      </c>
      <c r="AL595" s="80" t="b">
        <v>0</v>
      </c>
      <c r="AM595" s="80">
        <v>4</v>
      </c>
      <c r="AN595" s="85" t="s">
        <v>1595</v>
      </c>
      <c r="AO595" s="85" t="s">
        <v>1672</v>
      </c>
      <c r="AP595" s="80" t="b">
        <v>0</v>
      </c>
      <c r="AQ595" s="85" t="s">
        <v>1595</v>
      </c>
      <c r="AR595" s="80" t="s">
        <v>179</v>
      </c>
      <c r="AS595" s="80">
        <v>0</v>
      </c>
      <c r="AT595" s="80">
        <v>0</v>
      </c>
      <c r="AU595" s="80"/>
      <c r="AV595" s="80"/>
      <c r="AW595" s="80"/>
      <c r="AX595" s="80"/>
      <c r="AY595" s="80"/>
      <c r="AZ595" s="80"/>
      <c r="BA595" s="80"/>
      <c r="BB595" s="80"/>
    </row>
    <row r="596" spans="1:54" x14ac:dyDescent="0.25">
      <c r="A596" s="65" t="s">
        <v>374</v>
      </c>
      <c r="B596" s="65" t="s">
        <v>412</v>
      </c>
      <c r="C596" s="66"/>
      <c r="D596" s="67"/>
      <c r="E596" s="68"/>
      <c r="F596" s="69"/>
      <c r="G596" s="66"/>
      <c r="H596" s="70"/>
      <c r="I596" s="71"/>
      <c r="J596" s="71"/>
      <c r="K596" s="36" t="s">
        <v>65</v>
      </c>
      <c r="L596" s="78">
        <v>596</v>
      </c>
      <c r="M596" s="78"/>
      <c r="N596" s="73"/>
      <c r="O596" s="80" t="s">
        <v>416</v>
      </c>
      <c r="P596" s="82">
        <v>44629.598819444444</v>
      </c>
      <c r="Q596" s="80" t="s">
        <v>616</v>
      </c>
      <c r="R596" s="80"/>
      <c r="S596" s="80"/>
      <c r="T596" s="85" t="s">
        <v>357</v>
      </c>
      <c r="U596" s="80"/>
      <c r="V596" s="83" t="str">
        <f>HYPERLINK("https://pbs.twimg.com/profile_images/984812918112845824/XFCAPcfy_normal.jpg")</f>
        <v>https://pbs.twimg.com/profile_images/984812918112845824/XFCAPcfy_normal.jpg</v>
      </c>
      <c r="W596" s="82">
        <v>44629.598819444444</v>
      </c>
      <c r="X596" s="88">
        <v>44629</v>
      </c>
      <c r="Y596" s="85" t="s">
        <v>1152</v>
      </c>
      <c r="Z596" s="83" t="str">
        <f>HYPERLINK("https://twitter.com/ub_history/status/1501564034184880129")</f>
        <v>https://twitter.com/ub_history/status/1501564034184880129</v>
      </c>
      <c r="AA596" s="80"/>
      <c r="AB596" s="80"/>
      <c r="AC596" s="85" t="s">
        <v>1607</v>
      </c>
      <c r="AD596" s="80"/>
      <c r="AE596" s="80" t="b">
        <v>0</v>
      </c>
      <c r="AF596" s="80">
        <v>10</v>
      </c>
      <c r="AG596" s="85" t="s">
        <v>1635</v>
      </c>
      <c r="AH596" s="80" t="b">
        <v>0</v>
      </c>
      <c r="AI596" s="80" t="s">
        <v>1642</v>
      </c>
      <c r="AJ596" s="80"/>
      <c r="AK596" s="85" t="s">
        <v>1635</v>
      </c>
      <c r="AL596" s="80" t="b">
        <v>0</v>
      </c>
      <c r="AM596" s="80">
        <v>1</v>
      </c>
      <c r="AN596" s="85" t="s">
        <v>1635</v>
      </c>
      <c r="AO596" s="85" t="s">
        <v>1672</v>
      </c>
      <c r="AP596" s="80" t="b">
        <v>0</v>
      </c>
      <c r="AQ596" s="85" t="s">
        <v>1607</v>
      </c>
      <c r="AR596" s="80" t="s">
        <v>179</v>
      </c>
      <c r="AS596" s="80">
        <v>0</v>
      </c>
      <c r="AT596" s="80">
        <v>0</v>
      </c>
      <c r="AU596" s="80"/>
      <c r="AV596" s="80"/>
      <c r="AW596" s="80"/>
      <c r="AX596" s="80"/>
      <c r="AY596" s="80"/>
      <c r="AZ596" s="80"/>
      <c r="BA596" s="80"/>
      <c r="BB596" s="80"/>
    </row>
    <row r="597" spans="1:54" x14ac:dyDescent="0.25">
      <c r="A597" s="65" t="s">
        <v>379</v>
      </c>
      <c r="B597" s="65" t="s">
        <v>412</v>
      </c>
      <c r="C597" s="66"/>
      <c r="D597" s="67"/>
      <c r="E597" s="68"/>
      <c r="F597" s="69"/>
      <c r="G597" s="66"/>
      <c r="H597" s="70"/>
      <c r="I597" s="71"/>
      <c r="J597" s="71"/>
      <c r="K597" s="36" t="s">
        <v>65</v>
      </c>
      <c r="L597" s="78">
        <v>597</v>
      </c>
      <c r="M597" s="78"/>
      <c r="N597" s="73"/>
      <c r="O597" s="80" t="s">
        <v>414</v>
      </c>
      <c r="P597" s="82">
        <v>44629.782905092594</v>
      </c>
      <c r="Q597" s="80" t="s">
        <v>616</v>
      </c>
      <c r="R597" s="80"/>
      <c r="S597" s="80"/>
      <c r="T597" s="85" t="s">
        <v>357</v>
      </c>
      <c r="U597" s="80"/>
      <c r="V597" s="83" t="str">
        <f>HYPERLINK("https://pbs.twimg.com/profile_images/1294362420790599680/W2zxUHtY_normal.jpg")</f>
        <v>https://pbs.twimg.com/profile_images/1294362420790599680/W2zxUHtY_normal.jpg</v>
      </c>
      <c r="W597" s="82">
        <v>44629.782905092594</v>
      </c>
      <c r="X597" s="88">
        <v>44629</v>
      </c>
      <c r="Y597" s="85" t="s">
        <v>1153</v>
      </c>
      <c r="Z597" s="83" t="str">
        <f>HYPERLINK("https://twitter.com/ubcas/status/1501630744568938501")</f>
        <v>https://twitter.com/ubcas/status/1501630744568938501</v>
      </c>
      <c r="AA597" s="80"/>
      <c r="AB597" s="80"/>
      <c r="AC597" s="85" t="s">
        <v>1608</v>
      </c>
      <c r="AD597" s="80"/>
      <c r="AE597" s="80" t="b">
        <v>0</v>
      </c>
      <c r="AF597" s="80">
        <v>0</v>
      </c>
      <c r="AG597" s="85" t="s">
        <v>1635</v>
      </c>
      <c r="AH597" s="80" t="b">
        <v>0</v>
      </c>
      <c r="AI597" s="80" t="s">
        <v>1642</v>
      </c>
      <c r="AJ597" s="80"/>
      <c r="AK597" s="85" t="s">
        <v>1635</v>
      </c>
      <c r="AL597" s="80" t="b">
        <v>0</v>
      </c>
      <c r="AM597" s="80">
        <v>1</v>
      </c>
      <c r="AN597" s="85" t="s">
        <v>1607</v>
      </c>
      <c r="AO597" s="85" t="s">
        <v>1672</v>
      </c>
      <c r="AP597" s="80" t="b">
        <v>0</v>
      </c>
      <c r="AQ597" s="85" t="s">
        <v>1607</v>
      </c>
      <c r="AR597" s="80" t="s">
        <v>179</v>
      </c>
      <c r="AS597" s="80">
        <v>0</v>
      </c>
      <c r="AT597" s="80">
        <v>0</v>
      </c>
      <c r="AU597" s="80"/>
      <c r="AV597" s="80"/>
      <c r="AW597" s="80"/>
      <c r="AX597" s="80"/>
      <c r="AY597" s="80"/>
      <c r="AZ597" s="80"/>
      <c r="BA597" s="80"/>
      <c r="BB597" s="80"/>
    </row>
    <row r="598" spans="1:54" x14ac:dyDescent="0.25">
      <c r="A598" s="65" t="s">
        <v>374</v>
      </c>
      <c r="B598" s="65" t="s">
        <v>413</v>
      </c>
      <c r="C598" s="66"/>
      <c r="D598" s="67"/>
      <c r="E598" s="68"/>
      <c r="F598" s="69"/>
      <c r="G598" s="66"/>
      <c r="H598" s="70"/>
      <c r="I598" s="71"/>
      <c r="J598" s="71"/>
      <c r="K598" s="36" t="s">
        <v>65</v>
      </c>
      <c r="L598" s="78">
        <v>598</v>
      </c>
      <c r="M598" s="78"/>
      <c r="N598" s="73"/>
      <c r="O598" s="80" t="s">
        <v>416</v>
      </c>
      <c r="P598" s="82">
        <v>44629.598819444444</v>
      </c>
      <c r="Q598" s="80" t="s">
        <v>616</v>
      </c>
      <c r="R598" s="80"/>
      <c r="S598" s="80"/>
      <c r="T598" s="85" t="s">
        <v>357</v>
      </c>
      <c r="U598" s="80"/>
      <c r="V598" s="83" t="str">
        <f>HYPERLINK("https://pbs.twimg.com/profile_images/984812918112845824/XFCAPcfy_normal.jpg")</f>
        <v>https://pbs.twimg.com/profile_images/984812918112845824/XFCAPcfy_normal.jpg</v>
      </c>
      <c r="W598" s="82">
        <v>44629.598819444444</v>
      </c>
      <c r="X598" s="88">
        <v>44629</v>
      </c>
      <c r="Y598" s="85" t="s">
        <v>1152</v>
      </c>
      <c r="Z598" s="83" t="str">
        <f>HYPERLINK("https://twitter.com/ub_history/status/1501564034184880129")</f>
        <v>https://twitter.com/ub_history/status/1501564034184880129</v>
      </c>
      <c r="AA598" s="80"/>
      <c r="AB598" s="80"/>
      <c r="AC598" s="85" t="s">
        <v>1607</v>
      </c>
      <c r="AD598" s="80"/>
      <c r="AE598" s="80" t="b">
        <v>0</v>
      </c>
      <c r="AF598" s="80">
        <v>10</v>
      </c>
      <c r="AG598" s="85" t="s">
        <v>1635</v>
      </c>
      <c r="AH598" s="80" t="b">
        <v>0</v>
      </c>
      <c r="AI598" s="80" t="s">
        <v>1642</v>
      </c>
      <c r="AJ598" s="80"/>
      <c r="AK598" s="85" t="s">
        <v>1635</v>
      </c>
      <c r="AL598" s="80" t="b">
        <v>0</v>
      </c>
      <c r="AM598" s="80">
        <v>1</v>
      </c>
      <c r="AN598" s="85" t="s">
        <v>1635</v>
      </c>
      <c r="AO598" s="85" t="s">
        <v>1672</v>
      </c>
      <c r="AP598" s="80" t="b">
        <v>0</v>
      </c>
      <c r="AQ598" s="85" t="s">
        <v>1607</v>
      </c>
      <c r="AR598" s="80" t="s">
        <v>179</v>
      </c>
      <c r="AS598" s="80">
        <v>0</v>
      </c>
      <c r="AT598" s="80">
        <v>0</v>
      </c>
      <c r="AU598" s="80"/>
      <c r="AV598" s="80"/>
      <c r="AW598" s="80"/>
      <c r="AX598" s="80"/>
      <c r="AY598" s="80"/>
      <c r="AZ598" s="80"/>
      <c r="BA598" s="80"/>
      <c r="BB598" s="80"/>
    </row>
    <row r="599" spans="1:54" x14ac:dyDescent="0.25">
      <c r="A599" s="65" t="s">
        <v>379</v>
      </c>
      <c r="B599" s="65" t="s">
        <v>413</v>
      </c>
      <c r="C599" s="66"/>
      <c r="D599" s="67"/>
      <c r="E599" s="68"/>
      <c r="F599" s="69"/>
      <c r="G599" s="66"/>
      <c r="H599" s="70"/>
      <c r="I599" s="71"/>
      <c r="J599" s="71"/>
      <c r="K599" s="36" t="s">
        <v>65</v>
      </c>
      <c r="L599" s="78">
        <v>599</v>
      </c>
      <c r="M599" s="78"/>
      <c r="N599" s="73"/>
      <c r="O599" s="80" t="s">
        <v>414</v>
      </c>
      <c r="P599" s="82">
        <v>44629.782905092594</v>
      </c>
      <c r="Q599" s="80" t="s">
        <v>616</v>
      </c>
      <c r="R599" s="80"/>
      <c r="S599" s="80"/>
      <c r="T599" s="85" t="s">
        <v>357</v>
      </c>
      <c r="U599" s="80"/>
      <c r="V599" s="83" t="str">
        <f>HYPERLINK("https://pbs.twimg.com/profile_images/1294362420790599680/W2zxUHtY_normal.jpg")</f>
        <v>https://pbs.twimg.com/profile_images/1294362420790599680/W2zxUHtY_normal.jpg</v>
      </c>
      <c r="W599" s="82">
        <v>44629.782905092594</v>
      </c>
      <c r="X599" s="88">
        <v>44629</v>
      </c>
      <c r="Y599" s="85" t="s">
        <v>1153</v>
      </c>
      <c r="Z599" s="83" t="str">
        <f>HYPERLINK("https://twitter.com/ubcas/status/1501630744568938501")</f>
        <v>https://twitter.com/ubcas/status/1501630744568938501</v>
      </c>
      <c r="AA599" s="80"/>
      <c r="AB599" s="80"/>
      <c r="AC599" s="85" t="s">
        <v>1608</v>
      </c>
      <c r="AD599" s="80"/>
      <c r="AE599" s="80" t="b">
        <v>0</v>
      </c>
      <c r="AF599" s="80">
        <v>0</v>
      </c>
      <c r="AG599" s="85" t="s">
        <v>1635</v>
      </c>
      <c r="AH599" s="80" t="b">
        <v>0</v>
      </c>
      <c r="AI599" s="80" t="s">
        <v>1642</v>
      </c>
      <c r="AJ599" s="80"/>
      <c r="AK599" s="85" t="s">
        <v>1635</v>
      </c>
      <c r="AL599" s="80" t="b">
        <v>0</v>
      </c>
      <c r="AM599" s="80">
        <v>1</v>
      </c>
      <c r="AN599" s="85" t="s">
        <v>1607</v>
      </c>
      <c r="AO599" s="85" t="s">
        <v>1672</v>
      </c>
      <c r="AP599" s="80" t="b">
        <v>0</v>
      </c>
      <c r="AQ599" s="85" t="s">
        <v>1607</v>
      </c>
      <c r="AR599" s="80" t="s">
        <v>179</v>
      </c>
      <c r="AS599" s="80">
        <v>0</v>
      </c>
      <c r="AT599" s="80">
        <v>0</v>
      </c>
      <c r="AU599" s="80"/>
      <c r="AV599" s="80"/>
      <c r="AW599" s="80"/>
      <c r="AX599" s="80"/>
      <c r="AY599" s="80"/>
      <c r="AZ599" s="80"/>
      <c r="BA599" s="80"/>
      <c r="BB599" s="80"/>
    </row>
    <row r="600" spans="1:54" x14ac:dyDescent="0.25">
      <c r="A600" s="65" t="s">
        <v>374</v>
      </c>
      <c r="B600" s="65" t="s">
        <v>357</v>
      </c>
      <c r="C600" s="66"/>
      <c r="D600" s="67"/>
      <c r="E600" s="68"/>
      <c r="F600" s="69"/>
      <c r="G600" s="66"/>
      <c r="H600" s="70"/>
      <c r="I600" s="71"/>
      <c r="J600" s="71"/>
      <c r="K600" s="36" t="s">
        <v>65</v>
      </c>
      <c r="L600" s="78">
        <v>600</v>
      </c>
      <c r="M600" s="78"/>
      <c r="N600" s="73"/>
      <c r="O600" s="80" t="s">
        <v>415</v>
      </c>
      <c r="P600" s="82">
        <v>44627.702037037037</v>
      </c>
      <c r="Q600" s="80" t="s">
        <v>441</v>
      </c>
      <c r="R600" s="83" t="str">
        <f>HYPERLINK("https://financialaid.buffalo.edu/did-you-know/?utm_source=TWITTER&amp;utm_medium=social&amp;utm_term=20220307&amp;utm_content=100002956838777&amp;utm_campaign=General+Content&amp;linkId=100000113938382")</f>
        <v>https://financialaid.buffalo.edu/did-you-know/?utm_source=TWITTER&amp;utm_medium=social&amp;utm_term=20220307&amp;utm_content=100002956838777&amp;utm_campaign=General+Content&amp;linkId=100000113938382</v>
      </c>
      <c r="S600" s="80" t="s">
        <v>632</v>
      </c>
      <c r="T600" s="85" t="s">
        <v>357</v>
      </c>
      <c r="U600" s="83" t="str">
        <f>HYPERLINK("https://pbs.twimg.com/media/FNQs34JWYAEwXVa.jpg")</f>
        <v>https://pbs.twimg.com/media/FNQs34JWYAEwXVa.jpg</v>
      </c>
      <c r="V600" s="83" t="str">
        <f>HYPERLINK("https://pbs.twimg.com/media/FNQs34JWYAEwXVa.jpg")</f>
        <v>https://pbs.twimg.com/media/FNQs34JWYAEwXVa.jpg</v>
      </c>
      <c r="W600" s="82">
        <v>44627.702037037037</v>
      </c>
      <c r="X600" s="88">
        <v>44627</v>
      </c>
      <c r="Y600" s="85" t="s">
        <v>1154</v>
      </c>
      <c r="Z600" s="83" t="str">
        <f>HYPERLINK("https://twitter.com/ub_history/status/1500876664556953606")</f>
        <v>https://twitter.com/ub_history/status/1500876664556953606</v>
      </c>
      <c r="AA600" s="80"/>
      <c r="AB600" s="80"/>
      <c r="AC600" s="85" t="s">
        <v>1609</v>
      </c>
      <c r="AD600" s="80"/>
      <c r="AE600" s="80" t="b">
        <v>0</v>
      </c>
      <c r="AF600" s="80">
        <v>0</v>
      </c>
      <c r="AG600" s="85" t="s">
        <v>1635</v>
      </c>
      <c r="AH600" s="80" t="b">
        <v>0</v>
      </c>
      <c r="AI600" s="80" t="s">
        <v>1642</v>
      </c>
      <c r="AJ600" s="80"/>
      <c r="AK600" s="85" t="s">
        <v>1635</v>
      </c>
      <c r="AL600" s="80" t="b">
        <v>0</v>
      </c>
      <c r="AM600" s="80">
        <v>6</v>
      </c>
      <c r="AN600" s="85" t="s">
        <v>1615</v>
      </c>
      <c r="AO600" s="85" t="s">
        <v>1672</v>
      </c>
      <c r="AP600" s="80" t="b">
        <v>0</v>
      </c>
      <c r="AQ600" s="85" t="s">
        <v>1615</v>
      </c>
      <c r="AR600" s="80" t="s">
        <v>179</v>
      </c>
      <c r="AS600" s="80">
        <v>0</v>
      </c>
      <c r="AT600" s="80">
        <v>0</v>
      </c>
      <c r="AU600" s="80"/>
      <c r="AV600" s="80"/>
      <c r="AW600" s="80"/>
      <c r="AX600" s="80"/>
      <c r="AY600" s="80"/>
      <c r="AZ600" s="80"/>
      <c r="BA600" s="80"/>
      <c r="BB600" s="80"/>
    </row>
    <row r="601" spans="1:54" x14ac:dyDescent="0.25">
      <c r="A601" s="65" t="s">
        <v>374</v>
      </c>
      <c r="B601" s="65" t="s">
        <v>374</v>
      </c>
      <c r="C601" s="66"/>
      <c r="D601" s="67"/>
      <c r="E601" s="68"/>
      <c r="F601" s="69"/>
      <c r="G601" s="66"/>
      <c r="H601" s="70"/>
      <c r="I601" s="71"/>
      <c r="J601" s="71"/>
      <c r="K601" s="36" t="s">
        <v>65</v>
      </c>
      <c r="L601" s="78">
        <v>601</v>
      </c>
      <c r="M601" s="78"/>
      <c r="N601" s="73"/>
      <c r="O601" s="80" t="s">
        <v>179</v>
      </c>
      <c r="P601" s="82">
        <v>44629.721712962964</v>
      </c>
      <c r="Q601" s="80" t="s">
        <v>474</v>
      </c>
      <c r="R601" s="83" t="str">
        <f>HYPERLINK("https://www.alisondesforges.org/upcoming-events")</f>
        <v>https://www.alisondesforges.org/upcoming-events</v>
      </c>
      <c r="S601" s="80" t="s">
        <v>646</v>
      </c>
      <c r="T601" s="85" t="s">
        <v>357</v>
      </c>
      <c r="U601" s="83" t="str">
        <f>HYPERLINK("https://pbs.twimg.com/media/FNbI8t6WQAEdkTE.jpg")</f>
        <v>https://pbs.twimg.com/media/FNbI8t6WQAEdkTE.jpg</v>
      </c>
      <c r="V601" s="83" t="str">
        <f>HYPERLINK("https://pbs.twimg.com/media/FNbI8t6WQAEdkTE.jpg")</f>
        <v>https://pbs.twimg.com/media/FNbI8t6WQAEdkTE.jpg</v>
      </c>
      <c r="W601" s="82">
        <v>44629.721712962964</v>
      </c>
      <c r="X601" s="88">
        <v>44629</v>
      </c>
      <c r="Y601" s="85" t="s">
        <v>1155</v>
      </c>
      <c r="Z601" s="83" t="str">
        <f>HYPERLINK("https://twitter.com/ub_history/status/1501608570403573768")</f>
        <v>https://twitter.com/ub_history/status/1501608570403573768</v>
      </c>
      <c r="AA601" s="80"/>
      <c r="AB601" s="80"/>
      <c r="AC601" s="85" t="s">
        <v>1610</v>
      </c>
      <c r="AD601" s="80"/>
      <c r="AE601" s="80" t="b">
        <v>0</v>
      </c>
      <c r="AF601" s="80">
        <v>3</v>
      </c>
      <c r="AG601" s="85" t="s">
        <v>1635</v>
      </c>
      <c r="AH601" s="80" t="b">
        <v>0</v>
      </c>
      <c r="AI601" s="80" t="s">
        <v>1642</v>
      </c>
      <c r="AJ601" s="80"/>
      <c r="AK601" s="85" t="s">
        <v>1635</v>
      </c>
      <c r="AL601" s="80" t="b">
        <v>0</v>
      </c>
      <c r="AM601" s="80">
        <v>1</v>
      </c>
      <c r="AN601" s="85" t="s">
        <v>1635</v>
      </c>
      <c r="AO601" s="85" t="s">
        <v>1672</v>
      </c>
      <c r="AP601" s="80" t="b">
        <v>0</v>
      </c>
      <c r="AQ601" s="85" t="s">
        <v>1610</v>
      </c>
      <c r="AR601" s="80" t="s">
        <v>179</v>
      </c>
      <c r="AS601" s="80">
        <v>0</v>
      </c>
      <c r="AT601" s="80">
        <v>0</v>
      </c>
      <c r="AU601" s="80"/>
      <c r="AV601" s="80"/>
      <c r="AW601" s="80"/>
      <c r="AX601" s="80"/>
      <c r="AY601" s="80"/>
      <c r="AZ601" s="80"/>
      <c r="BA601" s="80"/>
      <c r="BB601" s="80"/>
    </row>
    <row r="602" spans="1:54" x14ac:dyDescent="0.25">
      <c r="A602" s="65" t="s">
        <v>374</v>
      </c>
      <c r="B602" s="65" t="s">
        <v>374</v>
      </c>
      <c r="C602" s="66"/>
      <c r="D602" s="67"/>
      <c r="E602" s="68"/>
      <c r="F602" s="69"/>
      <c r="G602" s="66"/>
      <c r="H602" s="70"/>
      <c r="I602" s="71"/>
      <c r="J602" s="71"/>
      <c r="K602" s="36" t="s">
        <v>65</v>
      </c>
      <c r="L602" s="78">
        <v>602</v>
      </c>
      <c r="M602" s="78"/>
      <c r="N602" s="73"/>
      <c r="O602" s="80" t="s">
        <v>179</v>
      </c>
      <c r="P602" s="82">
        <v>44631.617569444446</v>
      </c>
      <c r="Q602" s="80" t="s">
        <v>487</v>
      </c>
      <c r="R602" s="83" t="str">
        <f>HYPERLINK("https://arts-sciences.buffalo.edu/history/undergraduate/scholarships-awards.html")</f>
        <v>https://arts-sciences.buffalo.edu/history/undergraduate/scholarships-awards.html</v>
      </c>
      <c r="S602" s="80" t="s">
        <v>632</v>
      </c>
      <c r="T602" s="85" t="s">
        <v>357</v>
      </c>
      <c r="U602" s="83" t="str">
        <f>HYPERLINK("https://pbs.twimg.com/media/FNk5l21XoAA5HV9.jpg")</f>
        <v>https://pbs.twimg.com/media/FNk5l21XoAA5HV9.jpg</v>
      </c>
      <c r="V602" s="83" t="str">
        <f>HYPERLINK("https://pbs.twimg.com/media/FNk5l21XoAA5HV9.jpg")</f>
        <v>https://pbs.twimg.com/media/FNk5l21XoAA5HV9.jpg</v>
      </c>
      <c r="W602" s="82">
        <v>44631.617569444446</v>
      </c>
      <c r="X602" s="88">
        <v>44631</v>
      </c>
      <c r="Y602" s="85" t="s">
        <v>1156</v>
      </c>
      <c r="Z602" s="83" t="str">
        <f>HYPERLINK("https://twitter.com/ub_history/status/1502295605049241602")</f>
        <v>https://twitter.com/ub_history/status/1502295605049241602</v>
      </c>
      <c r="AA602" s="80"/>
      <c r="AB602" s="80"/>
      <c r="AC602" s="85" t="s">
        <v>1611</v>
      </c>
      <c r="AD602" s="80"/>
      <c r="AE602" s="80" t="b">
        <v>0</v>
      </c>
      <c r="AF602" s="80">
        <v>1</v>
      </c>
      <c r="AG602" s="85" t="s">
        <v>1635</v>
      </c>
      <c r="AH602" s="80" t="b">
        <v>0</v>
      </c>
      <c r="AI602" s="80" t="s">
        <v>1642</v>
      </c>
      <c r="AJ602" s="80"/>
      <c r="AK602" s="85" t="s">
        <v>1635</v>
      </c>
      <c r="AL602" s="80" t="b">
        <v>0</v>
      </c>
      <c r="AM602" s="80">
        <v>1</v>
      </c>
      <c r="AN602" s="85" t="s">
        <v>1635</v>
      </c>
      <c r="AO602" s="85" t="s">
        <v>1672</v>
      </c>
      <c r="AP602" s="80" t="b">
        <v>0</v>
      </c>
      <c r="AQ602" s="85" t="s">
        <v>1611</v>
      </c>
      <c r="AR602" s="80" t="s">
        <v>179</v>
      </c>
      <c r="AS602" s="80">
        <v>0</v>
      </c>
      <c r="AT602" s="80">
        <v>0</v>
      </c>
      <c r="AU602" s="80"/>
      <c r="AV602" s="80"/>
      <c r="AW602" s="80"/>
      <c r="AX602" s="80"/>
      <c r="AY602" s="80"/>
      <c r="AZ602" s="80"/>
      <c r="BA602" s="80"/>
      <c r="BB602" s="80"/>
    </row>
    <row r="603" spans="1:54" x14ac:dyDescent="0.25">
      <c r="A603" s="65" t="s">
        <v>374</v>
      </c>
      <c r="B603" s="65" t="s">
        <v>374</v>
      </c>
      <c r="C603" s="66"/>
      <c r="D603" s="67"/>
      <c r="E603" s="68"/>
      <c r="F603" s="69"/>
      <c r="G603" s="66"/>
      <c r="H603" s="70"/>
      <c r="I603" s="71"/>
      <c r="J603" s="71"/>
      <c r="K603" s="36" t="s">
        <v>65</v>
      </c>
      <c r="L603" s="78">
        <v>603</v>
      </c>
      <c r="M603" s="78"/>
      <c r="N603" s="73"/>
      <c r="O603" s="80" t="s">
        <v>179</v>
      </c>
      <c r="P603" s="82">
        <v>44634.540162037039</v>
      </c>
      <c r="Q603" s="80" t="s">
        <v>617</v>
      </c>
      <c r="R603" s="83" t="str">
        <f>HYPERLINK("https://arts-sciences.buffalo.edu/history/undergraduate/scholarships-awards.html")</f>
        <v>https://arts-sciences.buffalo.edu/history/undergraduate/scholarships-awards.html</v>
      </c>
      <c r="S603" s="80" t="s">
        <v>632</v>
      </c>
      <c r="T603" s="85" t="s">
        <v>357</v>
      </c>
      <c r="U603" s="80"/>
      <c r="V603" s="83" t="str">
        <f>HYPERLINK("https://pbs.twimg.com/profile_images/984812918112845824/XFCAPcfy_normal.jpg")</f>
        <v>https://pbs.twimg.com/profile_images/984812918112845824/XFCAPcfy_normal.jpg</v>
      </c>
      <c r="W603" s="82">
        <v>44634.540162037039</v>
      </c>
      <c r="X603" s="88">
        <v>44634</v>
      </c>
      <c r="Y603" s="85" t="s">
        <v>1157</v>
      </c>
      <c r="Z603" s="83" t="str">
        <f>HYPERLINK("https://twitter.com/ub_history/status/1503354719179268098")</f>
        <v>https://twitter.com/ub_history/status/1503354719179268098</v>
      </c>
      <c r="AA603" s="80"/>
      <c r="AB603" s="80"/>
      <c r="AC603" s="85" t="s">
        <v>1612</v>
      </c>
      <c r="AD603" s="80"/>
      <c r="AE603" s="80" t="b">
        <v>0</v>
      </c>
      <c r="AF603" s="80">
        <v>0</v>
      </c>
      <c r="AG603" s="85" t="s">
        <v>1635</v>
      </c>
      <c r="AH603" s="80" t="b">
        <v>0</v>
      </c>
      <c r="AI603" s="80" t="s">
        <v>1642</v>
      </c>
      <c r="AJ603" s="80"/>
      <c r="AK603" s="85" t="s">
        <v>1635</v>
      </c>
      <c r="AL603" s="80" t="b">
        <v>0</v>
      </c>
      <c r="AM603" s="80">
        <v>0</v>
      </c>
      <c r="AN603" s="85" t="s">
        <v>1635</v>
      </c>
      <c r="AO603" s="85" t="s">
        <v>1672</v>
      </c>
      <c r="AP603" s="80" t="b">
        <v>0</v>
      </c>
      <c r="AQ603" s="85" t="s">
        <v>1612</v>
      </c>
      <c r="AR603" s="80" t="s">
        <v>179</v>
      </c>
      <c r="AS603" s="80">
        <v>0</v>
      </c>
      <c r="AT603" s="80">
        <v>0</v>
      </c>
      <c r="AU603" s="80"/>
      <c r="AV603" s="80"/>
      <c r="AW603" s="80"/>
      <c r="AX603" s="80"/>
      <c r="AY603" s="80"/>
      <c r="AZ603" s="80"/>
      <c r="BA603" s="80"/>
      <c r="BB603" s="80"/>
    </row>
    <row r="604" spans="1:54" x14ac:dyDescent="0.25">
      <c r="A604" s="65" t="s">
        <v>374</v>
      </c>
      <c r="B604" s="65" t="s">
        <v>374</v>
      </c>
      <c r="C604" s="66"/>
      <c r="D604" s="67"/>
      <c r="E604" s="68"/>
      <c r="F604" s="69"/>
      <c r="G604" s="66"/>
      <c r="H604" s="70"/>
      <c r="I604" s="71"/>
      <c r="J604" s="71"/>
      <c r="K604" s="36" t="s">
        <v>65</v>
      </c>
      <c r="L604" s="78">
        <v>604</v>
      </c>
      <c r="M604" s="78"/>
      <c r="N604" s="73"/>
      <c r="O604" s="80" t="s">
        <v>179</v>
      </c>
      <c r="P604" s="82">
        <v>44634.634444444448</v>
      </c>
      <c r="Q604" s="80" t="s">
        <v>618</v>
      </c>
      <c r="R604" s="80"/>
      <c r="S604" s="80"/>
      <c r="T604" s="85" t="s">
        <v>357</v>
      </c>
      <c r="U604" s="83" t="str">
        <f>HYPERLINK("https://pbs.twimg.com/media/FN0cMIcXMAE_OOV.jpg")</f>
        <v>https://pbs.twimg.com/media/FN0cMIcXMAE_OOV.jpg</v>
      </c>
      <c r="V604" s="83" t="str">
        <f>HYPERLINK("https://pbs.twimg.com/media/FN0cMIcXMAE_OOV.jpg")</f>
        <v>https://pbs.twimg.com/media/FN0cMIcXMAE_OOV.jpg</v>
      </c>
      <c r="W604" s="82">
        <v>44634.634444444448</v>
      </c>
      <c r="X604" s="88">
        <v>44634</v>
      </c>
      <c r="Y604" s="85" t="s">
        <v>1158</v>
      </c>
      <c r="Z604" s="83" t="str">
        <f>HYPERLINK("https://twitter.com/ub_history/status/1503388884058755077")</f>
        <v>https://twitter.com/ub_history/status/1503388884058755077</v>
      </c>
      <c r="AA604" s="80"/>
      <c r="AB604" s="80"/>
      <c r="AC604" s="85" t="s">
        <v>1613</v>
      </c>
      <c r="AD604" s="80"/>
      <c r="AE604" s="80" t="b">
        <v>0</v>
      </c>
      <c r="AF604" s="80">
        <v>0</v>
      </c>
      <c r="AG604" s="85" t="s">
        <v>1635</v>
      </c>
      <c r="AH604" s="80" t="b">
        <v>0</v>
      </c>
      <c r="AI604" s="80" t="s">
        <v>1642</v>
      </c>
      <c r="AJ604" s="80"/>
      <c r="AK604" s="85" t="s">
        <v>1635</v>
      </c>
      <c r="AL604" s="80" t="b">
        <v>0</v>
      </c>
      <c r="AM604" s="80">
        <v>0</v>
      </c>
      <c r="AN604" s="85" t="s">
        <v>1635</v>
      </c>
      <c r="AO604" s="85" t="s">
        <v>1672</v>
      </c>
      <c r="AP604" s="80" t="b">
        <v>0</v>
      </c>
      <c r="AQ604" s="85" t="s">
        <v>1613</v>
      </c>
      <c r="AR604" s="80" t="s">
        <v>179</v>
      </c>
      <c r="AS604" s="80">
        <v>0</v>
      </c>
      <c r="AT604" s="80">
        <v>0</v>
      </c>
      <c r="AU604" s="80"/>
      <c r="AV604" s="80"/>
      <c r="AW604" s="80"/>
      <c r="AX604" s="80"/>
      <c r="AY604" s="80"/>
      <c r="AZ604" s="80"/>
      <c r="BA604" s="80"/>
      <c r="BB604" s="80"/>
    </row>
    <row r="605" spans="1:54" x14ac:dyDescent="0.25">
      <c r="A605" s="65" t="s">
        <v>379</v>
      </c>
      <c r="B605" s="65" t="s">
        <v>374</v>
      </c>
      <c r="C605" s="66"/>
      <c r="D605" s="67"/>
      <c r="E605" s="68"/>
      <c r="F605" s="69"/>
      <c r="G605" s="66"/>
      <c r="H605" s="70"/>
      <c r="I605" s="71"/>
      <c r="J605" s="71"/>
      <c r="K605" s="36" t="s">
        <v>65</v>
      </c>
      <c r="L605" s="78">
        <v>605</v>
      </c>
      <c r="M605" s="78"/>
      <c r="N605" s="73"/>
      <c r="O605" s="80" t="s">
        <v>415</v>
      </c>
      <c r="P605" s="82">
        <v>44629.782905092594</v>
      </c>
      <c r="Q605" s="80" t="s">
        <v>616</v>
      </c>
      <c r="R605" s="80"/>
      <c r="S605" s="80"/>
      <c r="T605" s="85" t="s">
        <v>357</v>
      </c>
      <c r="U605" s="80"/>
      <c r="V605" s="83" t="str">
        <f>HYPERLINK("https://pbs.twimg.com/profile_images/1294362420790599680/W2zxUHtY_normal.jpg")</f>
        <v>https://pbs.twimg.com/profile_images/1294362420790599680/W2zxUHtY_normal.jpg</v>
      </c>
      <c r="W605" s="82">
        <v>44629.782905092594</v>
      </c>
      <c r="X605" s="88">
        <v>44629</v>
      </c>
      <c r="Y605" s="85" t="s">
        <v>1153</v>
      </c>
      <c r="Z605" s="83" t="str">
        <f>HYPERLINK("https://twitter.com/ubcas/status/1501630744568938501")</f>
        <v>https://twitter.com/ubcas/status/1501630744568938501</v>
      </c>
      <c r="AA605" s="80"/>
      <c r="AB605" s="80"/>
      <c r="AC605" s="85" t="s">
        <v>1608</v>
      </c>
      <c r="AD605" s="80"/>
      <c r="AE605" s="80" t="b">
        <v>0</v>
      </c>
      <c r="AF605" s="80">
        <v>0</v>
      </c>
      <c r="AG605" s="85" t="s">
        <v>1635</v>
      </c>
      <c r="AH605" s="80" t="b">
        <v>0</v>
      </c>
      <c r="AI605" s="80" t="s">
        <v>1642</v>
      </c>
      <c r="AJ605" s="80"/>
      <c r="AK605" s="85" t="s">
        <v>1635</v>
      </c>
      <c r="AL605" s="80" t="b">
        <v>0</v>
      </c>
      <c r="AM605" s="80">
        <v>1</v>
      </c>
      <c r="AN605" s="85" t="s">
        <v>1607</v>
      </c>
      <c r="AO605" s="85" t="s">
        <v>1672</v>
      </c>
      <c r="AP605" s="80" t="b">
        <v>0</v>
      </c>
      <c r="AQ605" s="85" t="s">
        <v>1607</v>
      </c>
      <c r="AR605" s="80" t="s">
        <v>179</v>
      </c>
      <c r="AS605" s="80">
        <v>0</v>
      </c>
      <c r="AT605" s="80">
        <v>0</v>
      </c>
      <c r="AU605" s="80"/>
      <c r="AV605" s="80"/>
      <c r="AW605" s="80"/>
      <c r="AX605" s="80"/>
      <c r="AY605" s="80"/>
      <c r="AZ605" s="80"/>
      <c r="BA605" s="80"/>
      <c r="BB605" s="80"/>
    </row>
    <row r="606" spans="1:54" x14ac:dyDescent="0.25">
      <c r="A606" s="65" t="s">
        <v>357</v>
      </c>
      <c r="B606" s="65" t="s">
        <v>357</v>
      </c>
      <c r="C606" s="66"/>
      <c r="D606" s="67"/>
      <c r="E606" s="68"/>
      <c r="F606" s="69"/>
      <c r="G606" s="66"/>
      <c r="H606" s="70"/>
      <c r="I606" s="71"/>
      <c r="J606" s="71"/>
      <c r="K606" s="36" t="s">
        <v>65</v>
      </c>
      <c r="L606" s="78">
        <v>606</v>
      </c>
      <c r="M606" s="78"/>
      <c r="N606" s="73"/>
      <c r="O606" s="80" t="s">
        <v>179</v>
      </c>
      <c r="P606" s="82">
        <v>44622.718842592592</v>
      </c>
      <c r="Q606" s="80" t="s">
        <v>563</v>
      </c>
      <c r="R606" s="83" t="s">
        <v>625</v>
      </c>
      <c r="S606" s="80" t="s">
        <v>632</v>
      </c>
      <c r="T606" s="85" t="s">
        <v>357</v>
      </c>
      <c r="U606" s="80"/>
      <c r="V606" s="83" t="str">
        <f>HYPERLINK("https://pbs.twimg.com/profile_images/991327943317213185/Hgte82Vq_normal.jpg")</f>
        <v>https://pbs.twimg.com/profile_images/991327943317213185/Hgte82Vq_normal.jpg</v>
      </c>
      <c r="W606" s="82">
        <v>44622.718842592592</v>
      </c>
      <c r="X606" s="88">
        <v>44622</v>
      </c>
      <c r="Y606" s="85" t="s">
        <v>1159</v>
      </c>
      <c r="Z606" s="83" t="str">
        <f>HYPERLINK("https://twitter.com/ubuffalo/status/1499070814527836162")</f>
        <v>https://twitter.com/ubuffalo/status/1499070814527836162</v>
      </c>
      <c r="AA606" s="80"/>
      <c r="AB606" s="80"/>
      <c r="AC606" s="85" t="s">
        <v>1614</v>
      </c>
      <c r="AD606" s="80"/>
      <c r="AE606" s="80" t="b">
        <v>0</v>
      </c>
      <c r="AF606" s="80">
        <v>22</v>
      </c>
      <c r="AG606" s="85" t="s">
        <v>1635</v>
      </c>
      <c r="AH606" s="80" t="b">
        <v>0</v>
      </c>
      <c r="AI606" s="80" t="s">
        <v>1642</v>
      </c>
      <c r="AJ606" s="80"/>
      <c r="AK606" s="85" t="s">
        <v>1635</v>
      </c>
      <c r="AL606" s="80" t="b">
        <v>0</v>
      </c>
      <c r="AM606" s="80">
        <v>13</v>
      </c>
      <c r="AN606" s="85" t="s">
        <v>1635</v>
      </c>
      <c r="AO606" s="85" t="s">
        <v>1679</v>
      </c>
      <c r="AP606" s="80" t="b">
        <v>0</v>
      </c>
      <c r="AQ606" s="85" t="s">
        <v>1614</v>
      </c>
      <c r="AR606" s="80" t="s">
        <v>415</v>
      </c>
      <c r="AS606" s="80">
        <v>0</v>
      </c>
      <c r="AT606" s="80">
        <v>0</v>
      </c>
      <c r="AU606" s="80"/>
      <c r="AV606" s="80"/>
      <c r="AW606" s="80"/>
      <c r="AX606" s="80"/>
      <c r="AY606" s="80"/>
      <c r="AZ606" s="80"/>
      <c r="BA606" s="80"/>
      <c r="BB606" s="80"/>
    </row>
    <row r="607" spans="1:54" x14ac:dyDescent="0.25">
      <c r="A607" s="65" t="s">
        <v>357</v>
      </c>
      <c r="B607" s="65" t="s">
        <v>357</v>
      </c>
      <c r="C607" s="66"/>
      <c r="D607" s="67"/>
      <c r="E607" s="68"/>
      <c r="F607" s="69"/>
      <c r="G607" s="66"/>
      <c r="H607" s="70"/>
      <c r="I607" s="71"/>
      <c r="J607" s="71"/>
      <c r="K607" s="36" t="s">
        <v>65</v>
      </c>
      <c r="L607" s="78">
        <v>607</v>
      </c>
      <c r="M607" s="78"/>
      <c r="N607" s="73"/>
      <c r="O607" s="80" t="s">
        <v>179</v>
      </c>
      <c r="P607" s="82">
        <v>44627.694456018522</v>
      </c>
      <c r="Q607" s="80" t="s">
        <v>441</v>
      </c>
      <c r="R607" s="83" t="str">
        <f>HYPERLINK("https://financialaid.buffalo.edu/did-you-know/?utm_source=TWITTER&amp;utm_medium=social&amp;utm_term=20220307&amp;utm_content=100002956838777&amp;utm_campaign=General+Content&amp;linkId=100000113938382")</f>
        <v>https://financialaid.buffalo.edu/did-you-know/?utm_source=TWITTER&amp;utm_medium=social&amp;utm_term=20220307&amp;utm_content=100002956838777&amp;utm_campaign=General+Content&amp;linkId=100000113938382</v>
      </c>
      <c r="S607" s="80" t="s">
        <v>632</v>
      </c>
      <c r="T607" s="85" t="s">
        <v>357</v>
      </c>
      <c r="U607" s="83" t="str">
        <f>HYPERLINK("https://pbs.twimg.com/media/FNQs34JWYAEwXVa.jpg")</f>
        <v>https://pbs.twimg.com/media/FNQs34JWYAEwXVa.jpg</v>
      </c>
      <c r="V607" s="83" t="str">
        <f>HYPERLINK("https://pbs.twimg.com/media/FNQs34JWYAEwXVa.jpg")</f>
        <v>https://pbs.twimg.com/media/FNQs34JWYAEwXVa.jpg</v>
      </c>
      <c r="W607" s="82">
        <v>44627.694456018522</v>
      </c>
      <c r="X607" s="88">
        <v>44627</v>
      </c>
      <c r="Y607" s="85" t="s">
        <v>1160</v>
      </c>
      <c r="Z607" s="83" t="str">
        <f>HYPERLINK("https://twitter.com/ubuffalo/status/1500873917086547972")</f>
        <v>https://twitter.com/ubuffalo/status/1500873917086547972</v>
      </c>
      <c r="AA607" s="80"/>
      <c r="AB607" s="80"/>
      <c r="AC607" s="85" t="s">
        <v>1615</v>
      </c>
      <c r="AD607" s="80"/>
      <c r="AE607" s="80" t="b">
        <v>0</v>
      </c>
      <c r="AF607" s="80">
        <v>4</v>
      </c>
      <c r="AG607" s="85" t="s">
        <v>1635</v>
      </c>
      <c r="AH607" s="80" t="b">
        <v>0</v>
      </c>
      <c r="AI607" s="80" t="s">
        <v>1642</v>
      </c>
      <c r="AJ607" s="80"/>
      <c r="AK607" s="85" t="s">
        <v>1635</v>
      </c>
      <c r="AL607" s="80" t="b">
        <v>0</v>
      </c>
      <c r="AM607" s="80">
        <v>6</v>
      </c>
      <c r="AN607" s="85" t="s">
        <v>1635</v>
      </c>
      <c r="AO607" s="85" t="s">
        <v>1679</v>
      </c>
      <c r="AP607" s="80" t="b">
        <v>0</v>
      </c>
      <c r="AQ607" s="85" t="s">
        <v>1615</v>
      </c>
      <c r="AR607" s="80" t="s">
        <v>179</v>
      </c>
      <c r="AS607" s="80">
        <v>0</v>
      </c>
      <c r="AT607" s="80">
        <v>0</v>
      </c>
      <c r="AU607" s="80"/>
      <c r="AV607" s="80"/>
      <c r="AW607" s="80"/>
      <c r="AX607" s="80"/>
      <c r="AY607" s="80"/>
      <c r="AZ607" s="80"/>
      <c r="BA607" s="80"/>
      <c r="BB607" s="80"/>
    </row>
    <row r="608" spans="1:54" x14ac:dyDescent="0.25">
      <c r="A608" s="65" t="s">
        <v>357</v>
      </c>
      <c r="B608" s="65" t="s">
        <v>357</v>
      </c>
      <c r="C608" s="66"/>
      <c r="D608" s="67"/>
      <c r="E608" s="68"/>
      <c r="F608" s="69"/>
      <c r="G608" s="66"/>
      <c r="H608" s="70"/>
      <c r="I608" s="71"/>
      <c r="J608" s="71"/>
      <c r="K608" s="36" t="s">
        <v>65</v>
      </c>
      <c r="L608" s="78">
        <v>608</v>
      </c>
      <c r="M608" s="78"/>
      <c r="N608" s="73"/>
      <c r="O608" s="80" t="s">
        <v>179</v>
      </c>
      <c r="P608" s="82">
        <v>44628.564062500001</v>
      </c>
      <c r="Q608" s="80" t="s">
        <v>433</v>
      </c>
      <c r="R608" s="80"/>
      <c r="S608" s="80"/>
      <c r="T608" s="85" t="s">
        <v>668</v>
      </c>
      <c r="U608" s="83" t="str">
        <f>HYPERLINK("https://pbs.twimg.com/amplify_video_thumb/1501188997695127554/img/suC8e3aV3xiZEsCE.jpg")</f>
        <v>https://pbs.twimg.com/amplify_video_thumb/1501188997695127554/img/suC8e3aV3xiZEsCE.jpg</v>
      </c>
      <c r="V608" s="83" t="str">
        <f>HYPERLINK("https://pbs.twimg.com/amplify_video_thumb/1501188997695127554/img/suC8e3aV3xiZEsCE.jpg")</f>
        <v>https://pbs.twimg.com/amplify_video_thumb/1501188997695127554/img/suC8e3aV3xiZEsCE.jpg</v>
      </c>
      <c r="W608" s="82">
        <v>44628.564062500001</v>
      </c>
      <c r="X608" s="88">
        <v>44628</v>
      </c>
      <c r="Y608" s="85" t="s">
        <v>1161</v>
      </c>
      <c r="Z608" s="83" t="str">
        <f>HYPERLINK("https://twitter.com/ubuffalo/status/1501189053055741956")</f>
        <v>https://twitter.com/ubuffalo/status/1501189053055741956</v>
      </c>
      <c r="AA608" s="80"/>
      <c r="AB608" s="80"/>
      <c r="AC608" s="85" t="s">
        <v>1616</v>
      </c>
      <c r="AD608" s="80"/>
      <c r="AE608" s="80" t="b">
        <v>0</v>
      </c>
      <c r="AF608" s="80">
        <v>30</v>
      </c>
      <c r="AG608" s="85" t="s">
        <v>1635</v>
      </c>
      <c r="AH608" s="80" t="b">
        <v>0</v>
      </c>
      <c r="AI608" s="80" t="s">
        <v>1642</v>
      </c>
      <c r="AJ608" s="80"/>
      <c r="AK608" s="85" t="s">
        <v>1635</v>
      </c>
      <c r="AL608" s="80" t="b">
        <v>0</v>
      </c>
      <c r="AM608" s="80">
        <v>10</v>
      </c>
      <c r="AN608" s="85" t="s">
        <v>1635</v>
      </c>
      <c r="AO608" s="85" t="s">
        <v>1679</v>
      </c>
      <c r="AP608" s="80" t="b">
        <v>0</v>
      </c>
      <c r="AQ608" s="85" t="s">
        <v>1616</v>
      </c>
      <c r="AR608" s="80" t="s">
        <v>179</v>
      </c>
      <c r="AS608" s="80">
        <v>0</v>
      </c>
      <c r="AT608" s="80">
        <v>0</v>
      </c>
      <c r="AU608" s="80"/>
      <c r="AV608" s="80"/>
      <c r="AW608" s="80"/>
      <c r="AX608" s="80"/>
      <c r="AY608" s="80"/>
      <c r="AZ608" s="80"/>
      <c r="BA608" s="80"/>
      <c r="BB608" s="80"/>
    </row>
    <row r="609" spans="1:54" x14ac:dyDescent="0.25">
      <c r="A609" s="65" t="s">
        <v>357</v>
      </c>
      <c r="B609" s="65" t="s">
        <v>357</v>
      </c>
      <c r="C609" s="66"/>
      <c r="D609" s="67"/>
      <c r="E609" s="68"/>
      <c r="F609" s="69"/>
      <c r="G609" s="66"/>
      <c r="H609" s="70"/>
      <c r="I609" s="71"/>
      <c r="J609" s="71"/>
      <c r="K609" s="36" t="s">
        <v>65</v>
      </c>
      <c r="L609" s="78">
        <v>609</v>
      </c>
      <c r="M609" s="78"/>
      <c r="N609" s="73"/>
      <c r="O609" s="80" t="s">
        <v>179</v>
      </c>
      <c r="P609" s="82">
        <v>44629.606249999997</v>
      </c>
      <c r="Q609" s="80" t="s">
        <v>619</v>
      </c>
      <c r="R609" s="83" t="str">
        <f>HYPERLINK("https://twitter.com/UBwomenshoops/status/1501382934640701447")</f>
        <v>https://twitter.com/UBwomenshoops/status/1501382934640701447</v>
      </c>
      <c r="S609" s="80" t="s">
        <v>633</v>
      </c>
      <c r="T609" s="85" t="s">
        <v>357</v>
      </c>
      <c r="U609" s="80"/>
      <c r="V609" s="83" t="str">
        <f>HYPERLINK("https://pbs.twimg.com/profile_images/991327943317213185/Hgte82Vq_normal.jpg")</f>
        <v>https://pbs.twimg.com/profile_images/991327943317213185/Hgte82Vq_normal.jpg</v>
      </c>
      <c r="W609" s="82">
        <v>44629.606249999997</v>
      </c>
      <c r="X609" s="88">
        <v>44629</v>
      </c>
      <c r="Y609" s="85" t="s">
        <v>1162</v>
      </c>
      <c r="Z609" s="83" t="str">
        <f>HYPERLINK("https://twitter.com/ubuffalo/status/1501566727284473861")</f>
        <v>https://twitter.com/ubuffalo/status/1501566727284473861</v>
      </c>
      <c r="AA609" s="80"/>
      <c r="AB609" s="80"/>
      <c r="AC609" s="85" t="s">
        <v>1617</v>
      </c>
      <c r="AD609" s="80"/>
      <c r="AE609" s="80" t="b">
        <v>0</v>
      </c>
      <c r="AF609" s="80">
        <v>5</v>
      </c>
      <c r="AG609" s="85" t="s">
        <v>1635</v>
      </c>
      <c r="AH609" s="80" t="b">
        <v>1</v>
      </c>
      <c r="AI609" s="80" t="s">
        <v>1642</v>
      </c>
      <c r="AJ609" s="80"/>
      <c r="AK609" s="85" t="s">
        <v>1661</v>
      </c>
      <c r="AL609" s="80" t="b">
        <v>0</v>
      </c>
      <c r="AM609" s="80">
        <v>0</v>
      </c>
      <c r="AN609" s="85" t="s">
        <v>1635</v>
      </c>
      <c r="AO609" s="85" t="s">
        <v>1672</v>
      </c>
      <c r="AP609" s="80" t="b">
        <v>0</v>
      </c>
      <c r="AQ609" s="85" t="s">
        <v>1617</v>
      </c>
      <c r="AR609" s="80" t="s">
        <v>179</v>
      </c>
      <c r="AS609" s="80">
        <v>0</v>
      </c>
      <c r="AT609" s="80">
        <v>0</v>
      </c>
      <c r="AU609" s="80"/>
      <c r="AV609" s="80"/>
      <c r="AW609" s="80"/>
      <c r="AX609" s="80"/>
      <c r="AY609" s="80"/>
      <c r="AZ609" s="80"/>
      <c r="BA609" s="80"/>
      <c r="BB609" s="80"/>
    </row>
    <row r="610" spans="1:54" x14ac:dyDescent="0.25">
      <c r="A610" s="65" t="s">
        <v>357</v>
      </c>
      <c r="B610" s="65" t="s">
        <v>357</v>
      </c>
      <c r="C610" s="66"/>
      <c r="D610" s="67"/>
      <c r="E610" s="68"/>
      <c r="F610" s="69"/>
      <c r="G610" s="66"/>
      <c r="H610" s="70"/>
      <c r="I610" s="71"/>
      <c r="J610" s="71"/>
      <c r="K610" s="36" t="s">
        <v>65</v>
      </c>
      <c r="L610" s="78">
        <v>610</v>
      </c>
      <c r="M610" s="78"/>
      <c r="N610" s="73"/>
      <c r="O610" s="80" t="s">
        <v>179</v>
      </c>
      <c r="P610" s="82">
        <v>44629.771527777775</v>
      </c>
      <c r="Q610" s="80" t="s">
        <v>576</v>
      </c>
      <c r="R610" s="83" t="str">
        <f>HYPERLINK("https://www.buffalo.edu/ubnow/stories/2022/02/pacor-town-halls.html?utm_source=TWITTER&amp;utm_medium=social&amp;utm_term=20220309&amp;utm_content=100002962578936&amp;utm_campaign=General+Content&amp;linkId=100000114302482")</f>
        <v>https://www.buffalo.edu/ubnow/stories/2022/02/pacor-town-halls.html?utm_source=TWITTER&amp;utm_medium=social&amp;utm_term=20220309&amp;utm_content=100002962578936&amp;utm_campaign=General+Content&amp;linkId=100000114302482</v>
      </c>
      <c r="S610" s="80" t="s">
        <v>632</v>
      </c>
      <c r="T610" s="85" t="s">
        <v>357</v>
      </c>
      <c r="U610" s="80"/>
      <c r="V610" s="83" t="str">
        <f>HYPERLINK("https://pbs.twimg.com/profile_images/991327943317213185/Hgte82Vq_normal.jpg")</f>
        <v>https://pbs.twimg.com/profile_images/991327943317213185/Hgte82Vq_normal.jpg</v>
      </c>
      <c r="W610" s="82">
        <v>44629.771527777775</v>
      </c>
      <c r="X610" s="88">
        <v>44629</v>
      </c>
      <c r="Y610" s="85" t="s">
        <v>1163</v>
      </c>
      <c r="Z610" s="83" t="str">
        <f>HYPERLINK("https://twitter.com/ubuffalo/status/1501626624650981379")</f>
        <v>https://twitter.com/ubuffalo/status/1501626624650981379</v>
      </c>
      <c r="AA610" s="80"/>
      <c r="AB610" s="80"/>
      <c r="AC610" s="85" t="s">
        <v>1618</v>
      </c>
      <c r="AD610" s="80"/>
      <c r="AE610" s="80" t="b">
        <v>0</v>
      </c>
      <c r="AF610" s="80">
        <v>7</v>
      </c>
      <c r="AG610" s="85" t="s">
        <v>1635</v>
      </c>
      <c r="AH610" s="80" t="b">
        <v>0</v>
      </c>
      <c r="AI610" s="80" t="s">
        <v>1642</v>
      </c>
      <c r="AJ610" s="80"/>
      <c r="AK610" s="85" t="s">
        <v>1635</v>
      </c>
      <c r="AL610" s="80" t="b">
        <v>0</v>
      </c>
      <c r="AM610" s="80">
        <v>1</v>
      </c>
      <c r="AN610" s="85" t="s">
        <v>1635</v>
      </c>
      <c r="AO610" s="85" t="s">
        <v>1679</v>
      </c>
      <c r="AP610" s="80" t="b">
        <v>0</v>
      </c>
      <c r="AQ610" s="85" t="s">
        <v>1618</v>
      </c>
      <c r="AR610" s="80" t="s">
        <v>179</v>
      </c>
      <c r="AS610" s="80">
        <v>0</v>
      </c>
      <c r="AT610" s="80">
        <v>0</v>
      </c>
      <c r="AU610" s="80"/>
      <c r="AV610" s="80"/>
      <c r="AW610" s="80"/>
      <c r="AX610" s="80"/>
      <c r="AY610" s="80"/>
      <c r="AZ610" s="80"/>
      <c r="BA610" s="80"/>
      <c r="BB610" s="80"/>
    </row>
    <row r="611" spans="1:54" x14ac:dyDescent="0.25">
      <c r="A611" s="65" t="s">
        <v>357</v>
      </c>
      <c r="B611" s="65" t="s">
        <v>357</v>
      </c>
      <c r="C611" s="66"/>
      <c r="D611" s="67"/>
      <c r="E611" s="68"/>
      <c r="F611" s="69"/>
      <c r="G611" s="66"/>
      <c r="H611" s="70"/>
      <c r="I611" s="71"/>
      <c r="J611" s="71"/>
      <c r="K611" s="36" t="s">
        <v>65</v>
      </c>
      <c r="L611" s="78">
        <v>611</v>
      </c>
      <c r="M611" s="78"/>
      <c r="N611" s="73"/>
      <c r="O611" s="80" t="s">
        <v>179</v>
      </c>
      <c r="P611" s="82">
        <v>44629.984594907408</v>
      </c>
      <c r="Q611" s="80" t="s">
        <v>572</v>
      </c>
      <c r="R611" s="83" t="str">
        <f>HYPERLINK("https://twitter.com/UBAthletics/status/1501694702747369476")</f>
        <v>https://twitter.com/UBAthletics/status/1501694702747369476</v>
      </c>
      <c r="S611" s="80" t="s">
        <v>633</v>
      </c>
      <c r="T611" s="85" t="s">
        <v>357</v>
      </c>
      <c r="U611" s="80"/>
      <c r="V611" s="83" t="str">
        <f>HYPERLINK("https://pbs.twimg.com/profile_images/991327943317213185/Hgte82Vq_normal.jpg")</f>
        <v>https://pbs.twimg.com/profile_images/991327943317213185/Hgte82Vq_normal.jpg</v>
      </c>
      <c r="W611" s="82">
        <v>44629.984594907408</v>
      </c>
      <c r="X611" s="88">
        <v>44629</v>
      </c>
      <c r="Y611" s="85" t="s">
        <v>1164</v>
      </c>
      <c r="Z611" s="83" t="str">
        <f>HYPERLINK("https://twitter.com/ubuffalo/status/1501703835013820417")</f>
        <v>https://twitter.com/ubuffalo/status/1501703835013820417</v>
      </c>
      <c r="AA611" s="80"/>
      <c r="AB611" s="80"/>
      <c r="AC611" s="85" t="s">
        <v>1619</v>
      </c>
      <c r="AD611" s="80"/>
      <c r="AE611" s="80" t="b">
        <v>0</v>
      </c>
      <c r="AF611" s="80">
        <v>3</v>
      </c>
      <c r="AG611" s="85" t="s">
        <v>1635</v>
      </c>
      <c r="AH611" s="80" t="b">
        <v>1</v>
      </c>
      <c r="AI611" s="80" t="s">
        <v>1642</v>
      </c>
      <c r="AJ611" s="80"/>
      <c r="AK611" s="85" t="s">
        <v>1667</v>
      </c>
      <c r="AL611" s="80" t="b">
        <v>0</v>
      </c>
      <c r="AM611" s="80">
        <v>1</v>
      </c>
      <c r="AN611" s="85" t="s">
        <v>1635</v>
      </c>
      <c r="AO611" s="85" t="s">
        <v>1671</v>
      </c>
      <c r="AP611" s="80" t="b">
        <v>0</v>
      </c>
      <c r="AQ611" s="85" t="s">
        <v>1619</v>
      </c>
      <c r="AR611" s="80" t="s">
        <v>179</v>
      </c>
      <c r="AS611" s="80">
        <v>0</v>
      </c>
      <c r="AT611" s="80">
        <v>0</v>
      </c>
      <c r="AU611" s="80"/>
      <c r="AV611" s="80"/>
      <c r="AW611" s="80"/>
      <c r="AX611" s="80"/>
      <c r="AY611" s="80"/>
      <c r="AZ611" s="80"/>
      <c r="BA611" s="80"/>
      <c r="BB611" s="80"/>
    </row>
    <row r="612" spans="1:54" x14ac:dyDescent="0.25">
      <c r="A612" s="65" t="s">
        <v>357</v>
      </c>
      <c r="B612" s="65" t="s">
        <v>357</v>
      </c>
      <c r="C612" s="66"/>
      <c r="D612" s="67"/>
      <c r="E612" s="68"/>
      <c r="F612" s="69"/>
      <c r="G612" s="66"/>
      <c r="H612" s="70"/>
      <c r="I612" s="71"/>
      <c r="J612" s="71"/>
      <c r="K612" s="36" t="s">
        <v>65</v>
      </c>
      <c r="L612" s="78">
        <v>612</v>
      </c>
      <c r="M612" s="78"/>
      <c r="N612" s="73"/>
      <c r="O612" s="80" t="s">
        <v>179</v>
      </c>
      <c r="P612" s="82">
        <v>44631.817569444444</v>
      </c>
      <c r="Q612" s="80" t="s">
        <v>573</v>
      </c>
      <c r="R612" s="83" t="str">
        <f>HYPERLINK("https://twitter.com/UBwomenshoops/status/1502367244831150087")</f>
        <v>https://twitter.com/UBwomenshoops/status/1502367244831150087</v>
      </c>
      <c r="S612" s="80" t="s">
        <v>633</v>
      </c>
      <c r="T612" s="85" t="s">
        <v>699</v>
      </c>
      <c r="U612" s="80"/>
      <c r="V612" s="83" t="str">
        <f>HYPERLINK("https://pbs.twimg.com/profile_images/991327943317213185/Hgte82Vq_normal.jpg")</f>
        <v>https://pbs.twimg.com/profile_images/991327943317213185/Hgte82Vq_normal.jpg</v>
      </c>
      <c r="W612" s="82">
        <v>44631.817569444444</v>
      </c>
      <c r="X612" s="88">
        <v>44631</v>
      </c>
      <c r="Y612" s="85" t="s">
        <v>1165</v>
      </c>
      <c r="Z612" s="83" t="str">
        <f>HYPERLINK("https://twitter.com/ubuffalo/status/1502368085231165450")</f>
        <v>https://twitter.com/ubuffalo/status/1502368085231165450</v>
      </c>
      <c r="AA612" s="80"/>
      <c r="AB612" s="80"/>
      <c r="AC612" s="85" t="s">
        <v>1620</v>
      </c>
      <c r="AD612" s="80"/>
      <c r="AE612" s="80" t="b">
        <v>0</v>
      </c>
      <c r="AF612" s="80">
        <v>3</v>
      </c>
      <c r="AG612" s="85" t="s">
        <v>1635</v>
      </c>
      <c r="AH612" s="80" t="b">
        <v>1</v>
      </c>
      <c r="AI612" s="80" t="s">
        <v>1642</v>
      </c>
      <c r="AJ612" s="80"/>
      <c r="AK612" s="85" t="s">
        <v>1653</v>
      </c>
      <c r="AL612" s="80" t="b">
        <v>0</v>
      </c>
      <c r="AM612" s="80">
        <v>2</v>
      </c>
      <c r="AN612" s="85" t="s">
        <v>1635</v>
      </c>
      <c r="AO612" s="85" t="s">
        <v>1672</v>
      </c>
      <c r="AP612" s="80" t="b">
        <v>0</v>
      </c>
      <c r="AQ612" s="85" t="s">
        <v>1620</v>
      </c>
      <c r="AR612" s="80" t="s">
        <v>179</v>
      </c>
      <c r="AS612" s="80">
        <v>0</v>
      </c>
      <c r="AT612" s="80">
        <v>0</v>
      </c>
      <c r="AU612" s="80"/>
      <c r="AV612" s="80"/>
      <c r="AW612" s="80"/>
      <c r="AX612" s="80"/>
      <c r="AY612" s="80"/>
      <c r="AZ612" s="80"/>
      <c r="BA612" s="80"/>
      <c r="BB612" s="80"/>
    </row>
    <row r="613" spans="1:54" x14ac:dyDescent="0.25">
      <c r="A613" s="65" t="s">
        <v>357</v>
      </c>
      <c r="B613" s="65" t="s">
        <v>357</v>
      </c>
      <c r="C613" s="66"/>
      <c r="D613" s="67"/>
      <c r="E613" s="68"/>
      <c r="F613" s="69"/>
      <c r="G613" s="66"/>
      <c r="H613" s="70"/>
      <c r="I613" s="71"/>
      <c r="J613" s="71"/>
      <c r="K613" s="36" t="s">
        <v>65</v>
      </c>
      <c r="L613" s="78">
        <v>613</v>
      </c>
      <c r="M613" s="78"/>
      <c r="N613" s="73"/>
      <c r="O613" s="80" t="s">
        <v>179</v>
      </c>
      <c r="P613" s="82">
        <v>44631.871527777781</v>
      </c>
      <c r="Q613" s="80" t="s">
        <v>504</v>
      </c>
      <c r="R613" s="83" t="str">
        <f>HYPERLINK("https://www.buffalo.edu/ubnow/stories/2022/03/true-blue-club.html?utm_source=TWITTER&amp;utm_medium=social&amp;utm_term=20220311&amp;utm_content=100002967585037&amp;utm_campaign=UB+True+Blue&amp;linkId=100000114683785")</f>
        <v>https://www.buffalo.edu/ubnow/stories/2022/03/true-blue-club.html?utm_source=TWITTER&amp;utm_medium=social&amp;utm_term=20220311&amp;utm_content=100002967585037&amp;utm_campaign=UB+True+Blue&amp;linkId=100000114683785</v>
      </c>
      <c r="S613" s="80" t="s">
        <v>632</v>
      </c>
      <c r="T613" s="85" t="s">
        <v>699</v>
      </c>
      <c r="U613" s="80"/>
      <c r="V613" s="83" t="str">
        <f>HYPERLINK("https://pbs.twimg.com/profile_images/991327943317213185/Hgte82Vq_normal.jpg")</f>
        <v>https://pbs.twimg.com/profile_images/991327943317213185/Hgte82Vq_normal.jpg</v>
      </c>
      <c r="W613" s="82">
        <v>44631.871527777781</v>
      </c>
      <c r="X613" s="88">
        <v>44631</v>
      </c>
      <c r="Y613" s="85" t="s">
        <v>1166</v>
      </c>
      <c r="Z613" s="83" t="str">
        <f>HYPERLINK("https://twitter.com/ubuffalo/status/1502387638292160512")</f>
        <v>https://twitter.com/ubuffalo/status/1502387638292160512</v>
      </c>
      <c r="AA613" s="80"/>
      <c r="AB613" s="80"/>
      <c r="AC613" s="85" t="s">
        <v>1621</v>
      </c>
      <c r="AD613" s="80"/>
      <c r="AE613" s="80" t="b">
        <v>0</v>
      </c>
      <c r="AF613" s="80">
        <v>8</v>
      </c>
      <c r="AG613" s="85" t="s">
        <v>1635</v>
      </c>
      <c r="AH613" s="80" t="b">
        <v>0</v>
      </c>
      <c r="AI613" s="80" t="s">
        <v>1642</v>
      </c>
      <c r="AJ613" s="80"/>
      <c r="AK613" s="85" t="s">
        <v>1635</v>
      </c>
      <c r="AL613" s="80" t="b">
        <v>0</v>
      </c>
      <c r="AM613" s="80">
        <v>4</v>
      </c>
      <c r="AN613" s="85" t="s">
        <v>1635</v>
      </c>
      <c r="AO613" s="85" t="s">
        <v>1679</v>
      </c>
      <c r="AP613" s="80" t="b">
        <v>0</v>
      </c>
      <c r="AQ613" s="85" t="s">
        <v>1621</v>
      </c>
      <c r="AR613" s="80" t="s">
        <v>179</v>
      </c>
      <c r="AS613" s="80">
        <v>0</v>
      </c>
      <c r="AT613" s="80">
        <v>0</v>
      </c>
      <c r="AU613" s="80"/>
      <c r="AV613" s="80"/>
      <c r="AW613" s="80"/>
      <c r="AX613" s="80"/>
      <c r="AY613" s="80"/>
      <c r="AZ613" s="80"/>
      <c r="BA613" s="80"/>
      <c r="BB613" s="80"/>
    </row>
    <row r="614" spans="1:54" x14ac:dyDescent="0.25">
      <c r="A614" s="65" t="s">
        <v>357</v>
      </c>
      <c r="B614" s="65" t="s">
        <v>357</v>
      </c>
      <c r="C614" s="66"/>
      <c r="D614" s="67"/>
      <c r="E614" s="68"/>
      <c r="F614" s="69"/>
      <c r="G614" s="66"/>
      <c r="H614" s="70"/>
      <c r="I614" s="71"/>
      <c r="J614" s="71"/>
      <c r="K614" s="36" t="s">
        <v>65</v>
      </c>
      <c r="L614" s="78">
        <v>614</v>
      </c>
      <c r="M614" s="78"/>
      <c r="N614" s="73"/>
      <c r="O614" s="80" t="s">
        <v>179</v>
      </c>
      <c r="P614" s="82">
        <v>44632.525451388887</v>
      </c>
      <c r="Q614" s="80" t="s">
        <v>489</v>
      </c>
      <c r="R614" s="83" t="str">
        <f>HYPERLINK("https://www.buffalo.edu/how/articles.host.html/content/shared/www/eub/here-is-how/neighborhood-health.detail.html")</f>
        <v>https://www.buffalo.edu/how/articles.host.html/content/shared/www/eub/here-is-how/neighborhood-health.detail.html</v>
      </c>
      <c r="S614" s="80" t="s">
        <v>632</v>
      </c>
      <c r="T614" s="85" t="s">
        <v>693</v>
      </c>
      <c r="U614" s="83" t="str">
        <f>HYPERLINK("https://pbs.twimg.com/media/FNpko7NXIAAYxbs.jpg")</f>
        <v>https://pbs.twimg.com/media/FNpko7NXIAAYxbs.jpg</v>
      </c>
      <c r="V614" s="83" t="str">
        <f>HYPERLINK("https://pbs.twimg.com/media/FNpko7NXIAAYxbs.jpg")</f>
        <v>https://pbs.twimg.com/media/FNpko7NXIAAYxbs.jpg</v>
      </c>
      <c r="W614" s="82">
        <v>44632.525451388887</v>
      </c>
      <c r="X614" s="88">
        <v>44632</v>
      </c>
      <c r="Y614" s="85" t="s">
        <v>1167</v>
      </c>
      <c r="Z614" s="83" t="str">
        <f>HYPERLINK("https://twitter.com/ubuffalo/status/1502624613486022664")</f>
        <v>https://twitter.com/ubuffalo/status/1502624613486022664</v>
      </c>
      <c r="AA614" s="80"/>
      <c r="AB614" s="80"/>
      <c r="AC614" s="85" t="s">
        <v>1622</v>
      </c>
      <c r="AD614" s="80"/>
      <c r="AE614" s="80" t="b">
        <v>0</v>
      </c>
      <c r="AF614" s="80">
        <v>7</v>
      </c>
      <c r="AG614" s="85" t="s">
        <v>1635</v>
      </c>
      <c r="AH614" s="80" t="b">
        <v>0</v>
      </c>
      <c r="AI614" s="80" t="s">
        <v>1642</v>
      </c>
      <c r="AJ614" s="80"/>
      <c r="AK614" s="85" t="s">
        <v>1635</v>
      </c>
      <c r="AL614" s="80" t="b">
        <v>0</v>
      </c>
      <c r="AM614" s="80">
        <v>2</v>
      </c>
      <c r="AN614" s="85" t="s">
        <v>1635</v>
      </c>
      <c r="AO614" s="85" t="s">
        <v>1672</v>
      </c>
      <c r="AP614" s="80" t="b">
        <v>0</v>
      </c>
      <c r="AQ614" s="85" t="s">
        <v>1622</v>
      </c>
      <c r="AR614" s="80" t="s">
        <v>179</v>
      </c>
      <c r="AS614" s="80">
        <v>0</v>
      </c>
      <c r="AT614" s="80">
        <v>0</v>
      </c>
      <c r="AU614" s="80"/>
      <c r="AV614" s="80"/>
      <c r="AW614" s="80"/>
      <c r="AX614" s="80"/>
      <c r="AY614" s="80"/>
      <c r="AZ614" s="80"/>
      <c r="BA614" s="80"/>
      <c r="BB614" s="80"/>
    </row>
    <row r="615" spans="1:54" x14ac:dyDescent="0.25">
      <c r="A615" s="65" t="s">
        <v>357</v>
      </c>
      <c r="B615" s="65" t="s">
        <v>357</v>
      </c>
      <c r="C615" s="66"/>
      <c r="D615" s="67"/>
      <c r="E615" s="68"/>
      <c r="F615" s="69"/>
      <c r="G615" s="66"/>
      <c r="H615" s="70"/>
      <c r="I615" s="71"/>
      <c r="J615" s="71"/>
      <c r="K615" s="36" t="s">
        <v>65</v>
      </c>
      <c r="L615" s="78">
        <v>615</v>
      </c>
      <c r="M615" s="78"/>
      <c r="N615" s="73"/>
      <c r="O615" s="80" t="s">
        <v>179</v>
      </c>
      <c r="P615" s="82">
        <v>44632.673078703701</v>
      </c>
      <c r="Q615" s="80" t="s">
        <v>620</v>
      </c>
      <c r="R615" s="83" t="str">
        <f>HYPERLINK("https://twitter.com/UBAthletics/status/1502674437228974083")</f>
        <v>https://twitter.com/UBAthletics/status/1502674437228974083</v>
      </c>
      <c r="S615" s="80" t="s">
        <v>633</v>
      </c>
      <c r="T615" s="85" t="s">
        <v>665</v>
      </c>
      <c r="U615" s="80"/>
      <c r="V615" s="83" t="str">
        <f>HYPERLINK("https://pbs.twimg.com/profile_images/991327943317213185/Hgte82Vq_normal.jpg")</f>
        <v>https://pbs.twimg.com/profile_images/991327943317213185/Hgte82Vq_normal.jpg</v>
      </c>
      <c r="W615" s="82">
        <v>44632.673078703701</v>
      </c>
      <c r="X615" s="88">
        <v>44632</v>
      </c>
      <c r="Y615" s="85" t="s">
        <v>1168</v>
      </c>
      <c r="Z615" s="83" t="str">
        <f>HYPERLINK("https://twitter.com/ubuffalo/status/1502678110298324996")</f>
        <v>https://twitter.com/ubuffalo/status/1502678110298324996</v>
      </c>
      <c r="AA615" s="80"/>
      <c r="AB615" s="80"/>
      <c r="AC615" s="85" t="s">
        <v>1623</v>
      </c>
      <c r="AD615" s="80"/>
      <c r="AE615" s="80" t="b">
        <v>0</v>
      </c>
      <c r="AF615" s="80">
        <v>13</v>
      </c>
      <c r="AG615" s="85" t="s">
        <v>1635</v>
      </c>
      <c r="AH615" s="80" t="b">
        <v>1</v>
      </c>
      <c r="AI615" s="80" t="s">
        <v>1642</v>
      </c>
      <c r="AJ615" s="80"/>
      <c r="AK615" s="85" t="s">
        <v>1438</v>
      </c>
      <c r="AL615" s="80" t="b">
        <v>0</v>
      </c>
      <c r="AM615" s="80">
        <v>1</v>
      </c>
      <c r="AN615" s="85" t="s">
        <v>1635</v>
      </c>
      <c r="AO615" s="85" t="s">
        <v>1672</v>
      </c>
      <c r="AP615" s="80" t="b">
        <v>0</v>
      </c>
      <c r="AQ615" s="85" t="s">
        <v>1623</v>
      </c>
      <c r="AR615" s="80" t="s">
        <v>179</v>
      </c>
      <c r="AS615" s="80">
        <v>0</v>
      </c>
      <c r="AT615" s="80">
        <v>0</v>
      </c>
      <c r="AU615" s="80"/>
      <c r="AV615" s="80"/>
      <c r="AW615" s="80"/>
      <c r="AX615" s="80"/>
      <c r="AY615" s="80"/>
      <c r="AZ615" s="80"/>
      <c r="BA615" s="80"/>
      <c r="BB615" s="80"/>
    </row>
    <row r="616" spans="1:54" x14ac:dyDescent="0.25">
      <c r="A616" s="65" t="s">
        <v>357</v>
      </c>
      <c r="B616" s="65" t="s">
        <v>357</v>
      </c>
      <c r="C616" s="66"/>
      <c r="D616" s="67"/>
      <c r="E616" s="68"/>
      <c r="F616" s="69"/>
      <c r="G616" s="66"/>
      <c r="H616" s="70"/>
      <c r="I616" s="71"/>
      <c r="J616" s="71"/>
      <c r="K616" s="36" t="s">
        <v>65</v>
      </c>
      <c r="L616" s="78">
        <v>616</v>
      </c>
      <c r="M616" s="78"/>
      <c r="N616" s="73"/>
      <c r="O616" s="80" t="s">
        <v>179</v>
      </c>
      <c r="P616" s="82">
        <v>44632.68241898148</v>
      </c>
      <c r="Q616" s="80" t="s">
        <v>621</v>
      </c>
      <c r="R616" s="83" t="str">
        <f>HYPERLINK("https://twitter.com/UBwomenshoops/status/1502630488690741248")</f>
        <v>https://twitter.com/UBwomenshoops/status/1502630488690741248</v>
      </c>
      <c r="S616" s="80" t="s">
        <v>633</v>
      </c>
      <c r="T616" s="85" t="s">
        <v>357</v>
      </c>
      <c r="U616" s="80"/>
      <c r="V616" s="83" t="str">
        <f>HYPERLINK("https://pbs.twimg.com/profile_images/991327943317213185/Hgte82Vq_normal.jpg")</f>
        <v>https://pbs.twimg.com/profile_images/991327943317213185/Hgte82Vq_normal.jpg</v>
      </c>
      <c r="W616" s="82">
        <v>44632.68241898148</v>
      </c>
      <c r="X616" s="88">
        <v>44632</v>
      </c>
      <c r="Y616" s="85" t="s">
        <v>1169</v>
      </c>
      <c r="Z616" s="83" t="str">
        <f>HYPERLINK("https://twitter.com/ubuffalo/status/1502681493453389824")</f>
        <v>https://twitter.com/ubuffalo/status/1502681493453389824</v>
      </c>
      <c r="AA616" s="80"/>
      <c r="AB616" s="80"/>
      <c r="AC616" s="85" t="s">
        <v>1624</v>
      </c>
      <c r="AD616" s="80"/>
      <c r="AE616" s="80" t="b">
        <v>0</v>
      </c>
      <c r="AF616" s="80">
        <v>1</v>
      </c>
      <c r="AG616" s="85" t="s">
        <v>1635</v>
      </c>
      <c r="AH616" s="80" t="b">
        <v>1</v>
      </c>
      <c r="AI616" s="80" t="s">
        <v>1642</v>
      </c>
      <c r="AJ616" s="80"/>
      <c r="AK616" s="85" t="s">
        <v>1670</v>
      </c>
      <c r="AL616" s="80" t="b">
        <v>0</v>
      </c>
      <c r="AM616" s="80">
        <v>0</v>
      </c>
      <c r="AN616" s="85" t="s">
        <v>1635</v>
      </c>
      <c r="AO616" s="85" t="s">
        <v>1672</v>
      </c>
      <c r="AP616" s="80" t="b">
        <v>0</v>
      </c>
      <c r="AQ616" s="85" t="s">
        <v>1624</v>
      </c>
      <c r="AR616" s="80" t="s">
        <v>179</v>
      </c>
      <c r="AS616" s="80">
        <v>0</v>
      </c>
      <c r="AT616" s="80">
        <v>0</v>
      </c>
      <c r="AU616" s="80"/>
      <c r="AV616" s="80"/>
      <c r="AW616" s="80"/>
      <c r="AX616" s="80"/>
      <c r="AY616" s="80"/>
      <c r="AZ616" s="80"/>
      <c r="BA616" s="80"/>
      <c r="BB616" s="80"/>
    </row>
    <row r="617" spans="1:54" x14ac:dyDescent="0.25">
      <c r="A617" s="65" t="s">
        <v>357</v>
      </c>
      <c r="B617" s="65" t="s">
        <v>357</v>
      </c>
      <c r="C617" s="66"/>
      <c r="D617" s="67"/>
      <c r="E617" s="68"/>
      <c r="F617" s="69"/>
      <c r="G617" s="66"/>
      <c r="H617" s="70"/>
      <c r="I617" s="71"/>
      <c r="J617" s="71"/>
      <c r="K617" s="36" t="s">
        <v>65</v>
      </c>
      <c r="L617" s="78">
        <v>617</v>
      </c>
      <c r="M617" s="78"/>
      <c r="N617" s="73"/>
      <c r="O617" s="80" t="s">
        <v>179</v>
      </c>
      <c r="P617" s="82">
        <v>44632.719953703701</v>
      </c>
      <c r="Q617" s="80" t="s">
        <v>494</v>
      </c>
      <c r="R617" s="83" t="str">
        <f>HYPERLINK("https://twitter.com/UBwomenshoops/status/1502693312439934980")</f>
        <v>https://twitter.com/UBwomenshoops/status/1502693312439934980</v>
      </c>
      <c r="S617" s="80" t="s">
        <v>633</v>
      </c>
      <c r="T617" s="85" t="s">
        <v>357</v>
      </c>
      <c r="U617" s="80"/>
      <c r="V617" s="83" t="str">
        <f>HYPERLINK("https://pbs.twimg.com/profile_images/991327943317213185/Hgte82Vq_normal.jpg")</f>
        <v>https://pbs.twimg.com/profile_images/991327943317213185/Hgte82Vq_normal.jpg</v>
      </c>
      <c r="W617" s="82">
        <v>44632.719953703701</v>
      </c>
      <c r="X617" s="88">
        <v>44632</v>
      </c>
      <c r="Y617" s="85" t="s">
        <v>1170</v>
      </c>
      <c r="Z617" s="83" t="str">
        <f>HYPERLINK("https://twitter.com/ubuffalo/status/1502695098664075270")</f>
        <v>https://twitter.com/ubuffalo/status/1502695098664075270</v>
      </c>
      <c r="AA617" s="80"/>
      <c r="AB617" s="80"/>
      <c r="AC617" s="85" t="s">
        <v>1625</v>
      </c>
      <c r="AD617" s="80"/>
      <c r="AE617" s="80" t="b">
        <v>0</v>
      </c>
      <c r="AF617" s="80">
        <v>7</v>
      </c>
      <c r="AG617" s="85" t="s">
        <v>1635</v>
      </c>
      <c r="AH617" s="80" t="b">
        <v>1</v>
      </c>
      <c r="AI617" s="80" t="s">
        <v>1642</v>
      </c>
      <c r="AJ617" s="80"/>
      <c r="AK617" s="85" t="s">
        <v>1649</v>
      </c>
      <c r="AL617" s="80" t="b">
        <v>0</v>
      </c>
      <c r="AM617" s="80">
        <v>1</v>
      </c>
      <c r="AN617" s="85" t="s">
        <v>1635</v>
      </c>
      <c r="AO617" s="85" t="s">
        <v>1672</v>
      </c>
      <c r="AP617" s="80" t="b">
        <v>0</v>
      </c>
      <c r="AQ617" s="85" t="s">
        <v>1625</v>
      </c>
      <c r="AR617" s="80" t="s">
        <v>179</v>
      </c>
      <c r="AS617" s="80">
        <v>0</v>
      </c>
      <c r="AT617" s="80">
        <v>0</v>
      </c>
      <c r="AU617" s="80"/>
      <c r="AV617" s="80"/>
      <c r="AW617" s="80"/>
      <c r="AX617" s="80"/>
      <c r="AY617" s="80"/>
      <c r="AZ617" s="80"/>
      <c r="BA617" s="80"/>
      <c r="BB617" s="80"/>
    </row>
    <row r="618" spans="1:54" x14ac:dyDescent="0.25">
      <c r="A618" s="65" t="s">
        <v>357</v>
      </c>
      <c r="B618" s="65" t="s">
        <v>357</v>
      </c>
      <c r="C618" s="66"/>
      <c r="D618" s="67"/>
      <c r="E618" s="68"/>
      <c r="F618" s="69"/>
      <c r="G618" s="66"/>
      <c r="H618" s="70"/>
      <c r="I618" s="71"/>
      <c r="J618" s="71"/>
      <c r="K618" s="36" t="s">
        <v>65</v>
      </c>
      <c r="L618" s="78">
        <v>618</v>
      </c>
      <c r="M618" s="78"/>
      <c r="N618" s="73"/>
      <c r="O618" s="80" t="s">
        <v>179</v>
      </c>
      <c r="P618" s="82">
        <v>44632.776134259257</v>
      </c>
      <c r="Q618" s="80" t="s">
        <v>519</v>
      </c>
      <c r="R618" s="83" t="str">
        <f>HYPERLINK("https://twitter.com/UBAthletics/status/1502713680798130180")</f>
        <v>https://twitter.com/UBAthletics/status/1502713680798130180</v>
      </c>
      <c r="S618" s="80" t="s">
        <v>633</v>
      </c>
      <c r="T618" s="85" t="s">
        <v>357</v>
      </c>
      <c r="U618" s="80"/>
      <c r="V618" s="83" t="str">
        <f>HYPERLINK("https://pbs.twimg.com/profile_images/991327943317213185/Hgte82Vq_normal.jpg")</f>
        <v>https://pbs.twimg.com/profile_images/991327943317213185/Hgte82Vq_normal.jpg</v>
      </c>
      <c r="W618" s="82">
        <v>44632.776134259257</v>
      </c>
      <c r="X618" s="88">
        <v>44632</v>
      </c>
      <c r="Y618" s="85" t="s">
        <v>1171</v>
      </c>
      <c r="Z618" s="83" t="str">
        <f>HYPERLINK("https://twitter.com/ubuffalo/status/1502715455047356422")</f>
        <v>https://twitter.com/ubuffalo/status/1502715455047356422</v>
      </c>
      <c r="AA618" s="80"/>
      <c r="AB618" s="80"/>
      <c r="AC618" s="85" t="s">
        <v>1626</v>
      </c>
      <c r="AD618" s="80"/>
      <c r="AE618" s="80" t="b">
        <v>0</v>
      </c>
      <c r="AF618" s="80">
        <v>36</v>
      </c>
      <c r="AG618" s="85" t="s">
        <v>1635</v>
      </c>
      <c r="AH618" s="80" t="b">
        <v>1</v>
      </c>
      <c r="AI618" s="80" t="s">
        <v>1643</v>
      </c>
      <c r="AJ618" s="80"/>
      <c r="AK618" s="85" t="s">
        <v>1654</v>
      </c>
      <c r="AL618" s="80" t="b">
        <v>0</v>
      </c>
      <c r="AM618" s="80">
        <v>1</v>
      </c>
      <c r="AN618" s="85" t="s">
        <v>1635</v>
      </c>
      <c r="AO618" s="85" t="s">
        <v>1672</v>
      </c>
      <c r="AP618" s="80" t="b">
        <v>0</v>
      </c>
      <c r="AQ618" s="85" t="s">
        <v>1626</v>
      </c>
      <c r="AR618" s="80" t="s">
        <v>179</v>
      </c>
      <c r="AS618" s="80">
        <v>0</v>
      </c>
      <c r="AT618" s="80">
        <v>0</v>
      </c>
      <c r="AU618" s="80"/>
      <c r="AV618" s="80"/>
      <c r="AW618" s="80"/>
      <c r="AX618" s="80"/>
      <c r="AY618" s="80"/>
      <c r="AZ618" s="80"/>
      <c r="BA618" s="80"/>
      <c r="BB618" s="80"/>
    </row>
    <row r="619" spans="1:54" x14ac:dyDescent="0.25">
      <c r="A619" s="65" t="s">
        <v>357</v>
      </c>
      <c r="B619" s="65" t="s">
        <v>357</v>
      </c>
      <c r="C619" s="66"/>
      <c r="D619" s="67"/>
      <c r="E619" s="68"/>
      <c r="F619" s="69"/>
      <c r="G619" s="66"/>
      <c r="H619" s="70"/>
      <c r="I619" s="71"/>
      <c r="J619" s="71"/>
      <c r="K619" s="36" t="s">
        <v>65</v>
      </c>
      <c r="L619" s="78">
        <v>619</v>
      </c>
      <c r="M619" s="78"/>
      <c r="N619" s="73"/>
      <c r="O619" s="80" t="s">
        <v>179</v>
      </c>
      <c r="P619" s="82">
        <v>44632.795648148145</v>
      </c>
      <c r="Q619" s="80" t="s">
        <v>505</v>
      </c>
      <c r="R619" s="80"/>
      <c r="S619" s="80"/>
      <c r="T619" s="85" t="s">
        <v>700</v>
      </c>
      <c r="U619" s="83" t="str">
        <f>HYPERLINK("https://pbs.twimg.com/media/FNq-K9kWUAII3TB.jpg")</f>
        <v>https://pbs.twimg.com/media/FNq-K9kWUAII3TB.jpg</v>
      </c>
      <c r="V619" s="83" t="str">
        <f>HYPERLINK("https://pbs.twimg.com/media/FNq-K9kWUAII3TB.jpg")</f>
        <v>https://pbs.twimg.com/media/FNq-K9kWUAII3TB.jpg</v>
      </c>
      <c r="W619" s="82">
        <v>44632.795648148145</v>
      </c>
      <c r="X619" s="88">
        <v>44632</v>
      </c>
      <c r="Y619" s="85" t="s">
        <v>1172</v>
      </c>
      <c r="Z619" s="83" t="str">
        <f>HYPERLINK("https://twitter.com/ubuffalo/status/1502722525658337282")</f>
        <v>https://twitter.com/ubuffalo/status/1502722525658337282</v>
      </c>
      <c r="AA619" s="80"/>
      <c r="AB619" s="80"/>
      <c r="AC619" s="85" t="s">
        <v>1627</v>
      </c>
      <c r="AD619" s="80"/>
      <c r="AE619" s="80" t="b">
        <v>0</v>
      </c>
      <c r="AF619" s="80">
        <v>299</v>
      </c>
      <c r="AG619" s="85" t="s">
        <v>1635</v>
      </c>
      <c r="AH619" s="80" t="b">
        <v>0</v>
      </c>
      <c r="AI619" s="80" t="s">
        <v>1642</v>
      </c>
      <c r="AJ619" s="80"/>
      <c r="AK619" s="85" t="s">
        <v>1635</v>
      </c>
      <c r="AL619" s="80" t="b">
        <v>0</v>
      </c>
      <c r="AM619" s="80">
        <v>40</v>
      </c>
      <c r="AN619" s="85" t="s">
        <v>1635</v>
      </c>
      <c r="AO619" s="85" t="s">
        <v>1679</v>
      </c>
      <c r="AP619" s="80" t="b">
        <v>0</v>
      </c>
      <c r="AQ619" s="85" t="s">
        <v>1627</v>
      </c>
      <c r="AR619" s="80" t="s">
        <v>179</v>
      </c>
      <c r="AS619" s="80">
        <v>0</v>
      </c>
      <c r="AT619" s="80">
        <v>0</v>
      </c>
      <c r="AU619" s="80"/>
      <c r="AV619" s="80"/>
      <c r="AW619" s="80"/>
      <c r="AX619" s="80"/>
      <c r="AY619" s="80"/>
      <c r="AZ619" s="80"/>
      <c r="BA619" s="80"/>
      <c r="BB619" s="80"/>
    </row>
    <row r="620" spans="1:54" x14ac:dyDescent="0.25">
      <c r="A620" s="65" t="s">
        <v>357</v>
      </c>
      <c r="B620" s="65" t="s">
        <v>357</v>
      </c>
      <c r="C620" s="66"/>
      <c r="D620" s="67"/>
      <c r="E620" s="68"/>
      <c r="F620" s="69"/>
      <c r="G620" s="66"/>
      <c r="H620" s="70"/>
      <c r="I620" s="71"/>
      <c r="J620" s="71"/>
      <c r="K620" s="36" t="s">
        <v>65</v>
      </c>
      <c r="L620" s="78">
        <v>620</v>
      </c>
      <c r="M620" s="78"/>
      <c r="N620" s="73"/>
      <c r="O620" s="80" t="s">
        <v>179</v>
      </c>
      <c r="P620" s="82">
        <v>44633.625231481485</v>
      </c>
      <c r="Q620" s="80" t="s">
        <v>622</v>
      </c>
      <c r="R620" s="80"/>
      <c r="S620" s="80"/>
      <c r="T620" s="85" t="s">
        <v>357</v>
      </c>
      <c r="U620" s="83" t="str">
        <f>HYPERLINK("https://pbs.twimg.com/media/FNvPgQZXEA0eDew.jpg")</f>
        <v>https://pbs.twimg.com/media/FNvPgQZXEA0eDew.jpg</v>
      </c>
      <c r="V620" s="83" t="str">
        <f>HYPERLINK("https://pbs.twimg.com/media/FNvPgQZXEA0eDew.jpg")</f>
        <v>https://pbs.twimg.com/media/FNvPgQZXEA0eDew.jpg</v>
      </c>
      <c r="W620" s="82">
        <v>44633.625231481485</v>
      </c>
      <c r="X620" s="88">
        <v>44633</v>
      </c>
      <c r="Y620" s="85" t="s">
        <v>1173</v>
      </c>
      <c r="Z620" s="83" t="str">
        <f>HYPERLINK("https://twitter.com/ubuffalo/status/1503023157078372354")</f>
        <v>https://twitter.com/ubuffalo/status/1503023157078372354</v>
      </c>
      <c r="AA620" s="80"/>
      <c r="AB620" s="80"/>
      <c r="AC620" s="85" t="s">
        <v>1628</v>
      </c>
      <c r="AD620" s="80"/>
      <c r="AE620" s="80" t="b">
        <v>0</v>
      </c>
      <c r="AF620" s="80">
        <v>15</v>
      </c>
      <c r="AG620" s="85" t="s">
        <v>1635</v>
      </c>
      <c r="AH620" s="80" t="b">
        <v>0</v>
      </c>
      <c r="AI620" s="80" t="s">
        <v>1642</v>
      </c>
      <c r="AJ620" s="80"/>
      <c r="AK620" s="85" t="s">
        <v>1635</v>
      </c>
      <c r="AL620" s="80" t="b">
        <v>0</v>
      </c>
      <c r="AM620" s="80">
        <v>0</v>
      </c>
      <c r="AN620" s="85" t="s">
        <v>1635</v>
      </c>
      <c r="AO620" s="85" t="s">
        <v>1672</v>
      </c>
      <c r="AP620" s="80" t="b">
        <v>0</v>
      </c>
      <c r="AQ620" s="85" t="s">
        <v>1628</v>
      </c>
      <c r="AR620" s="80" t="s">
        <v>179</v>
      </c>
      <c r="AS620" s="80">
        <v>0</v>
      </c>
      <c r="AT620" s="80">
        <v>0</v>
      </c>
      <c r="AU620" s="80"/>
      <c r="AV620" s="80"/>
      <c r="AW620" s="80"/>
      <c r="AX620" s="80"/>
      <c r="AY620" s="80"/>
      <c r="AZ620" s="80"/>
      <c r="BA620" s="80"/>
      <c r="BB620" s="80"/>
    </row>
    <row r="621" spans="1:54" x14ac:dyDescent="0.25">
      <c r="A621" s="65" t="s">
        <v>357</v>
      </c>
      <c r="B621" s="65" t="s">
        <v>357</v>
      </c>
      <c r="C621" s="66"/>
      <c r="D621" s="67"/>
      <c r="E621" s="68"/>
      <c r="F621" s="69"/>
      <c r="G621" s="66"/>
      <c r="H621" s="70"/>
      <c r="I621" s="71"/>
      <c r="J621" s="71"/>
      <c r="K621" s="36" t="s">
        <v>65</v>
      </c>
      <c r="L621" s="78">
        <v>621</v>
      </c>
      <c r="M621" s="78"/>
      <c r="N621" s="73"/>
      <c r="O621" s="80" t="s">
        <v>179</v>
      </c>
      <c r="P621" s="82">
        <v>44634.566053240742</v>
      </c>
      <c r="Q621" s="80" t="s">
        <v>574</v>
      </c>
      <c r="R621" s="80"/>
      <c r="S621" s="80"/>
      <c r="T621" s="85" t="s">
        <v>718</v>
      </c>
      <c r="U621" s="83" t="str">
        <f>HYPERLINK("https://pbs.twimg.com/media/FN0FrlLWQAQYHcF.jpg")</f>
        <v>https://pbs.twimg.com/media/FN0FrlLWQAQYHcF.jpg</v>
      </c>
      <c r="V621" s="83" t="str">
        <f>HYPERLINK("https://pbs.twimg.com/media/FN0FrlLWQAQYHcF.jpg")</f>
        <v>https://pbs.twimg.com/media/FN0FrlLWQAQYHcF.jpg</v>
      </c>
      <c r="W621" s="82">
        <v>44634.566053240742</v>
      </c>
      <c r="X621" s="88">
        <v>44634</v>
      </c>
      <c r="Y621" s="85" t="s">
        <v>1174</v>
      </c>
      <c r="Z621" s="83" t="str">
        <f>HYPERLINK("https://twitter.com/ubuffalo/status/1503364101640179713")</f>
        <v>https://twitter.com/ubuffalo/status/1503364101640179713</v>
      </c>
      <c r="AA621" s="80"/>
      <c r="AB621" s="80"/>
      <c r="AC621" s="85" t="s">
        <v>1629</v>
      </c>
      <c r="AD621" s="80"/>
      <c r="AE621" s="80" t="b">
        <v>0</v>
      </c>
      <c r="AF621" s="80">
        <v>11</v>
      </c>
      <c r="AG621" s="85" t="s">
        <v>1635</v>
      </c>
      <c r="AH621" s="80" t="b">
        <v>0</v>
      </c>
      <c r="AI621" s="80" t="s">
        <v>1642</v>
      </c>
      <c r="AJ621" s="80"/>
      <c r="AK621" s="85" t="s">
        <v>1635</v>
      </c>
      <c r="AL621" s="80" t="b">
        <v>0</v>
      </c>
      <c r="AM621" s="80">
        <v>6</v>
      </c>
      <c r="AN621" s="85" t="s">
        <v>1635</v>
      </c>
      <c r="AO621" s="85" t="s">
        <v>1679</v>
      </c>
      <c r="AP621" s="80" t="b">
        <v>0</v>
      </c>
      <c r="AQ621" s="85" t="s">
        <v>1629</v>
      </c>
      <c r="AR621" s="80" t="s">
        <v>179</v>
      </c>
      <c r="AS621" s="80">
        <v>0</v>
      </c>
      <c r="AT621" s="80">
        <v>0</v>
      </c>
      <c r="AU621" s="80"/>
      <c r="AV621" s="80"/>
      <c r="AW621" s="80"/>
      <c r="AX621" s="80"/>
      <c r="AY621" s="80"/>
      <c r="AZ621" s="80"/>
      <c r="BA621" s="80"/>
      <c r="BB621" s="80"/>
    </row>
    <row r="622" spans="1:54" x14ac:dyDescent="0.25">
      <c r="A622" s="65" t="s">
        <v>379</v>
      </c>
      <c r="B622" s="65" t="s">
        <v>357</v>
      </c>
      <c r="C622" s="66"/>
      <c r="D622" s="67"/>
      <c r="E622" s="68"/>
      <c r="F622" s="69"/>
      <c r="G622" s="66"/>
      <c r="H622" s="70"/>
      <c r="I622" s="71"/>
      <c r="J622" s="71"/>
      <c r="K622" s="36" t="s">
        <v>65</v>
      </c>
      <c r="L622" s="78">
        <v>622</v>
      </c>
      <c r="M622" s="78"/>
      <c r="N622" s="73"/>
      <c r="O622" s="80" t="s">
        <v>415</v>
      </c>
      <c r="P622" s="82">
        <v>44634.646620370368</v>
      </c>
      <c r="Q622" s="80" t="s">
        <v>574</v>
      </c>
      <c r="R622" s="80"/>
      <c r="S622" s="80"/>
      <c r="T622" s="85" t="s">
        <v>718</v>
      </c>
      <c r="U622" s="83" t="str">
        <f>HYPERLINK("https://pbs.twimg.com/media/FN0FrlLWQAQYHcF.jpg")</f>
        <v>https://pbs.twimg.com/media/FN0FrlLWQAQYHcF.jpg</v>
      </c>
      <c r="V622" s="83" t="str">
        <f>HYPERLINK("https://pbs.twimg.com/media/FN0FrlLWQAQYHcF.jpg")</f>
        <v>https://pbs.twimg.com/media/FN0FrlLWQAQYHcF.jpg</v>
      </c>
      <c r="W622" s="82">
        <v>44634.646620370368</v>
      </c>
      <c r="X622" s="88">
        <v>44634</v>
      </c>
      <c r="Y622" s="85" t="s">
        <v>1175</v>
      </c>
      <c r="Z622" s="83" t="str">
        <f>HYPERLINK("https://twitter.com/ubcas/status/1503393296059621378")</f>
        <v>https://twitter.com/ubcas/status/1503393296059621378</v>
      </c>
      <c r="AA622" s="80"/>
      <c r="AB622" s="80"/>
      <c r="AC622" s="85" t="s">
        <v>1630</v>
      </c>
      <c r="AD622" s="80"/>
      <c r="AE622" s="80" t="b">
        <v>0</v>
      </c>
      <c r="AF622" s="80">
        <v>0</v>
      </c>
      <c r="AG622" s="85" t="s">
        <v>1635</v>
      </c>
      <c r="AH622" s="80" t="b">
        <v>0</v>
      </c>
      <c r="AI622" s="80" t="s">
        <v>1642</v>
      </c>
      <c r="AJ622" s="80"/>
      <c r="AK622" s="85" t="s">
        <v>1635</v>
      </c>
      <c r="AL622" s="80" t="b">
        <v>0</v>
      </c>
      <c r="AM622" s="80">
        <v>6</v>
      </c>
      <c r="AN622" s="85" t="s">
        <v>1629</v>
      </c>
      <c r="AO622" s="85" t="s">
        <v>1672</v>
      </c>
      <c r="AP622" s="80" t="b">
        <v>0</v>
      </c>
      <c r="AQ622" s="85" t="s">
        <v>1629</v>
      </c>
      <c r="AR622" s="80" t="s">
        <v>179</v>
      </c>
      <c r="AS622" s="80">
        <v>0</v>
      </c>
      <c r="AT622" s="80">
        <v>0</v>
      </c>
      <c r="AU622" s="80"/>
      <c r="AV622" s="80"/>
      <c r="AW622" s="80"/>
      <c r="AX622" s="80"/>
      <c r="AY622" s="80"/>
      <c r="AZ622" s="80"/>
      <c r="BA622" s="80"/>
      <c r="BB622" s="80"/>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62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622" xr:uid="{00000000-0002-0000-0000-000001000000}"/>
    <dataValidation allowBlank="1" showErrorMessage="1" sqref="N2:N62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62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622" xr:uid="{00000000-0002-0000-0000-000004000000}"/>
    <dataValidation allowBlank="1" showInputMessage="1" promptTitle="Edge Color" prompt="To select an optional edge color, right-click and select Select Color on the right-click menu." sqref="C3:C622" xr:uid="{00000000-0002-0000-0000-000005000000}"/>
    <dataValidation allowBlank="1" showInputMessage="1" errorTitle="Invalid Edge Width" error="The optional edge width must be a whole number between 1 and 10." promptTitle="Edge Width" prompt="Enter an optional edge width between 1 and 10." sqref="D3:D62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62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22" xr:uid="{00000000-0002-0000-0000-000008000000}">
      <formula1>ValidEdgeVisibilities</formula1>
    </dataValidation>
    <dataValidation allowBlank="1" showInputMessage="1" showErrorMessage="1" promptTitle="Vertex 1 Name" prompt="Enter the name of the edge's first vertex." sqref="A3:A622" xr:uid="{00000000-0002-0000-0000-000009000000}"/>
    <dataValidation allowBlank="1" showInputMessage="1" showErrorMessage="1" promptTitle="Vertex 2 Name" prompt="Enter the name of the edge's second vertex." sqref="B3:B62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62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2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622" xr:uid="{00000000-0002-0000-0000-00000D000000}"/>
  </dataValidations>
  <hyperlinks>
    <hyperlink ref="R6" r:id="rId1" display="https://nursing.buffalo.edu/news-events/latest_news.host.html/content/shared/nursing/articles/academic_articles/gaughan-journal-publication.detail.html?utm_source=twitter&amp;utm_medium=social-organic&amp;utm_term=&amp;utm_content=c5975279-1a92-46da-a80c-ff1d4a2711f5&amp;utm_campaign=son-social" xr:uid="{4E0D18F1-A37B-4683-B53C-EED3EEC0C193}"/>
    <hyperlink ref="R7" r:id="rId2" display="https://nursing.buffalo.edu/news-events/latest_news.host.html/content/shared/nursing/articles/academic_articles/gaughan-journal-publication.detail.html?utm_source=twitter&amp;utm_medium=social-organic&amp;utm_term=&amp;utm_content=c5975279-1a92-46da-a80c-ff1d4a2711f5&amp;utm_campaign=son-social" xr:uid="{99E82E24-AA8B-4837-8A06-02F4BC2F49D0}"/>
    <hyperlink ref="R379" r:id="rId3" display="https://nursing.buffalo.edu/news-events/latest_news.host.html/content/shared/nursing/articles/academic_articles/gaughan-journal-publication.detail.html?utm_source=twitter&amp;utm_medium=social-organic&amp;utm_term=&amp;utm_content=c5975279-1a92-46da-a80c-ff1d4a2711f5&amp;utm_campaign=son-social" xr:uid="{0A94DB44-B779-4C61-8893-FC468023B8AF}"/>
    <hyperlink ref="R381" r:id="rId4" display="https://nursing.buffalo.edu/news-events/nurses-report.host.html/content/shared/nursing/articles/nurses-report/posts/phd-student-day.detail.html?utm_source=twitter&amp;utm_medium=social-organic&amp;utm_term=&amp;utm_content=58d31467-cb58-4c2b-92cc-47dba31e0633&amp;utm_campaign=son-social" xr:uid="{66BB36B6-AF4A-4D19-B965-3E2D629A1076}"/>
    <hyperlink ref="R410" r:id="rId5" display="https://www.buffalo.edu/coronavirus/bulletins/announcement-host.host.html/content/shared/www/coronavirus/previous-bulletins/b-3-2-22--Mask-mandate-lifted-as-of-March-5.detail.html?utm_source=TWITTER&amp;utm_medium=social&amp;utm_term=20220302&amp;utm_content=100002946820281&amp;utm_campaign=Together+We+Are...&amp;linkId=100000113235795" xr:uid="{D36AFC65-1951-4E4A-94F4-2AEA22E0740B}"/>
    <hyperlink ref="R606" r:id="rId6" display="https://www.buffalo.edu/coronavirus/bulletins/announcement-host.host.html/content/shared/www/coronavirus/previous-bulletins/b-3-2-22--Mask-mandate-lifted-as-of-March-5.detail.html?utm_source=TWITTER&amp;utm_medium=social&amp;utm_term=20220302&amp;utm_content=100002946820281&amp;utm_campaign=Together+We+Are...&amp;linkId=100000113235795" xr:uid="{9898DEB3-9E4B-4B10-9785-550C53167F76}"/>
  </hyperlinks>
  <pageMargins left="0.7" right="0.7" top="0.75" bottom="0.75" header="0.3" footer="0.3"/>
  <pageSetup orientation="portrait" verticalDpi="0" r:id="rId7"/>
  <legacyDrawing r:id="rId8"/>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O199"/>
  <sheetViews>
    <sheetView tabSelected="1" workbookViewId="0">
      <pane xSplit="1" ySplit="2" topLeftCell="B3" activePane="bottomRight" state="frozen"/>
      <selection pane="topRight" activeCell="B1" sqref="B1"/>
      <selection pane="bottomLeft" activeCell="A3" sqref="A3"/>
      <selection pane="bottomRight" activeCell="A2" sqref="A2:AZ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9.5703125" style="3" bestFit="1" customWidth="1"/>
    <col min="32" max="32" width="11.5703125" style="3" bestFit="1" customWidth="1"/>
    <col min="33" max="33" width="12" style="3" bestFit="1" customWidth="1"/>
    <col min="34" max="34" width="9.7109375" style="3" bestFit="1" customWidth="1"/>
    <col min="35" max="35" width="9.42578125" bestFit="1" customWidth="1"/>
    <col min="36" max="36" width="18.140625" bestFit="1" customWidth="1"/>
    <col min="37" max="37" width="13.42578125" bestFit="1" customWidth="1"/>
    <col min="38" max="38" width="10.7109375" bestFit="1" customWidth="1"/>
    <col min="39" max="39" width="7.42578125" bestFit="1" customWidth="1"/>
    <col min="40" max="40" width="8.140625" bestFit="1" customWidth="1"/>
    <col min="41" max="41" width="16.5703125" bestFit="1" customWidth="1"/>
    <col min="42" max="42" width="12.5703125" bestFit="1" customWidth="1"/>
    <col min="43" max="43" width="10.28515625" bestFit="1" customWidth="1"/>
    <col min="44" max="44" width="16.85546875" bestFit="1" customWidth="1"/>
    <col min="45" max="45" width="10.42578125" bestFit="1" customWidth="1"/>
    <col min="46" max="46" width="11.5703125" bestFit="1" customWidth="1"/>
    <col min="47" max="47" width="9" bestFit="1" customWidth="1"/>
    <col min="48" max="48" width="20.7109375" bestFit="1" customWidth="1"/>
    <col min="49" max="49" width="10.5703125" bestFit="1" customWidth="1"/>
    <col min="50" max="51" width="16.140625" bestFit="1" customWidth="1"/>
    <col min="52" max="52" width="15.140625" bestFit="1" customWidth="1"/>
    <col min="53" max="53" width="17.28515625" bestFit="1" customWidth="1"/>
    <col min="54" max="54" width="19.5703125" bestFit="1" customWidth="1"/>
    <col min="55" max="55" width="17.42578125" bestFit="1" customWidth="1"/>
    <col min="56" max="56" width="19.5703125" bestFit="1" customWidth="1"/>
    <col min="57" max="57" width="17.5703125" bestFit="1" customWidth="1"/>
    <col min="58" max="58" width="19.5703125" bestFit="1" customWidth="1"/>
    <col min="59" max="59" width="17.28515625" bestFit="1" customWidth="1"/>
    <col min="60" max="60" width="19.5703125" bestFit="1" customWidth="1"/>
    <col min="61" max="61" width="19.28515625" bestFit="1" customWidth="1"/>
    <col min="62" max="62" width="19.5703125" bestFit="1" customWidth="1"/>
  </cols>
  <sheetData>
    <row r="1" spans="1:6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6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1707</v>
      </c>
      <c r="AE2" s="13" t="s">
        <v>1708</v>
      </c>
      <c r="AF2" s="13" t="s">
        <v>1709</v>
      </c>
      <c r="AG2" s="13" t="s">
        <v>1710</v>
      </c>
      <c r="AH2" s="13" t="s">
        <v>1711</v>
      </c>
      <c r="AI2" s="13" t="s">
        <v>1712</v>
      </c>
      <c r="AJ2" s="13" t="s">
        <v>1713</v>
      </c>
      <c r="AK2" s="13" t="s">
        <v>1714</v>
      </c>
      <c r="AL2" s="13" t="s">
        <v>1715</v>
      </c>
      <c r="AM2" s="13" t="s">
        <v>1716</v>
      </c>
      <c r="AN2" s="13" t="s">
        <v>1717</v>
      </c>
      <c r="AO2" s="13" t="s">
        <v>1718</v>
      </c>
      <c r="AP2" s="13" t="s">
        <v>1719</v>
      </c>
      <c r="AQ2" s="13" t="s">
        <v>1720</v>
      </c>
      <c r="AR2" s="13" t="s">
        <v>1721</v>
      </c>
      <c r="AS2" s="13" t="s">
        <v>1722</v>
      </c>
      <c r="AT2" s="13" t="s">
        <v>197</v>
      </c>
      <c r="AU2" s="13" t="s">
        <v>1723</v>
      </c>
      <c r="AV2" s="13" t="s">
        <v>1724</v>
      </c>
      <c r="AW2" s="13" t="s">
        <v>1725</v>
      </c>
      <c r="AX2" s="13" t="s">
        <v>1726</v>
      </c>
      <c r="AY2" s="13" t="s">
        <v>1727</v>
      </c>
      <c r="AZ2" s="13" t="s">
        <v>1728</v>
      </c>
      <c r="BA2" s="107" t="s">
        <v>2633</v>
      </c>
      <c r="BB2" s="107" t="s">
        <v>2708</v>
      </c>
      <c r="BC2" s="107" t="s">
        <v>2711</v>
      </c>
      <c r="BD2" s="107" t="s">
        <v>2732</v>
      </c>
      <c r="BE2" s="107" t="s">
        <v>2742</v>
      </c>
      <c r="BF2" s="107" t="s">
        <v>2780</v>
      </c>
      <c r="BG2" s="107" t="s">
        <v>2822</v>
      </c>
      <c r="BH2" s="107" t="s">
        <v>2939</v>
      </c>
      <c r="BI2" s="107" t="s">
        <v>2987</v>
      </c>
      <c r="BJ2" s="107" t="s">
        <v>3092</v>
      </c>
      <c r="BK2" s="3"/>
      <c r="BL2" s="3"/>
    </row>
    <row r="3" spans="1:67" ht="15" customHeight="1" x14ac:dyDescent="0.25">
      <c r="A3" s="65" t="s">
        <v>217</v>
      </c>
      <c r="B3" s="66"/>
      <c r="C3" s="66"/>
      <c r="D3" s="67"/>
      <c r="E3" s="69"/>
      <c r="F3" s="103" t="str">
        <f>HYPERLINK("https://pbs.twimg.com/profile_images/1373332519827963908/kqIg73wv_normal.jpg")</f>
        <v>https://pbs.twimg.com/profile_images/1373332519827963908/kqIg73wv_normal.jpg</v>
      </c>
      <c r="G3" s="66"/>
      <c r="H3" s="70"/>
      <c r="I3" s="71"/>
      <c r="J3" s="71"/>
      <c r="K3" s="70" t="s">
        <v>2578</v>
      </c>
      <c r="L3" s="74"/>
      <c r="M3" s="75">
        <v>3602.758056640625</v>
      </c>
      <c r="N3" s="75">
        <v>5323.17822265625</v>
      </c>
      <c r="O3" s="76"/>
      <c r="P3" s="77"/>
      <c r="Q3" s="77"/>
      <c r="R3" s="50"/>
      <c r="S3" s="50">
        <v>0</v>
      </c>
      <c r="T3" s="50">
        <v>3</v>
      </c>
      <c r="U3" s="51">
        <v>0.5</v>
      </c>
      <c r="V3" s="51">
        <v>1.8221999999999999E-2</v>
      </c>
      <c r="W3" s="51">
        <v>0</v>
      </c>
      <c r="X3" s="51">
        <v>4.8419999999999999E-3</v>
      </c>
      <c r="Y3" s="51">
        <v>0.33333333333333331</v>
      </c>
      <c r="Z3" s="51">
        <v>0</v>
      </c>
      <c r="AA3" s="72">
        <v>3</v>
      </c>
      <c r="AB3" s="72"/>
      <c r="AC3" s="73"/>
      <c r="AD3" s="79" t="s">
        <v>1924</v>
      </c>
      <c r="AE3" s="84" t="s">
        <v>2115</v>
      </c>
      <c r="AF3" s="79">
        <v>2241</v>
      </c>
      <c r="AG3" s="79">
        <v>1886</v>
      </c>
      <c r="AH3" s="79">
        <v>7251</v>
      </c>
      <c r="AI3" s="79">
        <v>6352</v>
      </c>
      <c r="AJ3" s="79"/>
      <c r="AK3" s="79" t="s">
        <v>2297</v>
      </c>
      <c r="AL3" s="79" t="s">
        <v>2298</v>
      </c>
      <c r="AM3" s="86" t="str">
        <f>HYPERLINK("https://t.co/oJusN2P65s")</f>
        <v>https://t.co/oJusN2P65s</v>
      </c>
      <c r="AN3" s="79"/>
      <c r="AO3" s="81">
        <v>42013.851388888892</v>
      </c>
      <c r="AP3" s="86" t="str">
        <f>HYPERLINK("https://pbs.twimg.com/profile_banners/2970315627/1643223736")</f>
        <v>https://pbs.twimg.com/profile_banners/2970315627/1643223736</v>
      </c>
      <c r="AQ3" s="79" t="b">
        <v>0</v>
      </c>
      <c r="AR3" s="79" t="b">
        <v>0</v>
      </c>
      <c r="AS3" s="79" t="b">
        <v>1</v>
      </c>
      <c r="AT3" s="79"/>
      <c r="AU3" s="79">
        <v>49</v>
      </c>
      <c r="AV3" s="86" t="str">
        <f>HYPERLINK("https://abs.twimg.com/images/themes/theme1/bg.png")</f>
        <v>https://abs.twimg.com/images/themes/theme1/bg.png</v>
      </c>
      <c r="AW3" s="79" t="b">
        <v>0</v>
      </c>
      <c r="AX3" s="79" t="s">
        <v>2381</v>
      </c>
      <c r="AY3" s="86" t="str">
        <f>HYPERLINK("https://twitter.com/nata_ipep")</f>
        <v>https://twitter.com/nata_ipep</v>
      </c>
      <c r="AZ3" s="79" t="s">
        <v>66</v>
      </c>
      <c r="BA3" s="50"/>
      <c r="BB3" s="50"/>
      <c r="BC3" s="50"/>
      <c r="BD3" s="50"/>
      <c r="BE3" s="50" t="s">
        <v>661</v>
      </c>
      <c r="BF3" s="50" t="s">
        <v>661</v>
      </c>
      <c r="BG3" s="108" t="s">
        <v>2823</v>
      </c>
      <c r="BH3" s="108" t="s">
        <v>2823</v>
      </c>
      <c r="BI3" s="108" t="s">
        <v>2988</v>
      </c>
      <c r="BJ3" s="108" t="s">
        <v>2988</v>
      </c>
      <c r="BK3" s="3"/>
      <c r="BL3" s="3"/>
    </row>
    <row r="4" spans="1:67" x14ac:dyDescent="0.25">
      <c r="A4" s="65" t="s">
        <v>382</v>
      </c>
      <c r="B4" s="66"/>
      <c r="C4" s="66"/>
      <c r="D4" s="67"/>
      <c r="E4" s="69"/>
      <c r="F4" s="103" t="str">
        <f>HYPERLINK("https://pbs.twimg.com/profile_images/1498679016970240005/N50o-P3o_normal.jpg")</f>
        <v>https://pbs.twimg.com/profile_images/1498679016970240005/N50o-P3o_normal.jpg</v>
      </c>
      <c r="G4" s="66"/>
      <c r="H4" s="70"/>
      <c r="I4" s="71"/>
      <c r="J4" s="71"/>
      <c r="K4" s="70" t="s">
        <v>2382</v>
      </c>
      <c r="L4" s="74"/>
      <c r="M4" s="75">
        <v>3808.17822265625</v>
      </c>
      <c r="N4" s="75">
        <v>1481.358154296875</v>
      </c>
      <c r="O4" s="76"/>
      <c r="P4" s="77"/>
      <c r="Q4" s="77"/>
      <c r="R4" s="89"/>
      <c r="S4" s="50">
        <v>4</v>
      </c>
      <c r="T4" s="50">
        <v>0</v>
      </c>
      <c r="U4" s="51">
        <v>2</v>
      </c>
      <c r="V4" s="51">
        <v>2.1259E-2</v>
      </c>
      <c r="W4" s="51">
        <v>0</v>
      </c>
      <c r="X4" s="51">
        <v>5.1799999999999997E-3</v>
      </c>
      <c r="Y4" s="51">
        <v>0.25</v>
      </c>
      <c r="Z4" s="51">
        <v>0</v>
      </c>
      <c r="AA4" s="72">
        <v>4</v>
      </c>
      <c r="AB4" s="72"/>
      <c r="AC4" s="73"/>
      <c r="AD4" s="79" t="s">
        <v>1729</v>
      </c>
      <c r="AE4" s="84" t="s">
        <v>1925</v>
      </c>
      <c r="AF4" s="79">
        <v>616</v>
      </c>
      <c r="AG4" s="79">
        <v>28872</v>
      </c>
      <c r="AH4" s="79">
        <v>18066</v>
      </c>
      <c r="AI4" s="79">
        <v>1727</v>
      </c>
      <c r="AJ4" s="79"/>
      <c r="AK4" s="79" t="s">
        <v>2116</v>
      </c>
      <c r="AL4" s="79" t="s">
        <v>2298</v>
      </c>
      <c r="AM4" s="86" t="str">
        <f>HYPERLINK("https://t.co/iCsb9TeQho")</f>
        <v>https://t.co/iCsb9TeQho</v>
      </c>
      <c r="AN4" s="79"/>
      <c r="AO4" s="81">
        <v>39945.786793981482</v>
      </c>
      <c r="AP4" s="86" t="str">
        <f>HYPERLINK("https://pbs.twimg.com/profile_banners/39566443/1646147897")</f>
        <v>https://pbs.twimg.com/profile_banners/39566443/1646147897</v>
      </c>
      <c r="AQ4" s="79" t="b">
        <v>0</v>
      </c>
      <c r="AR4" s="79" t="b">
        <v>0</v>
      </c>
      <c r="AS4" s="79" t="b">
        <v>1</v>
      </c>
      <c r="AT4" s="79"/>
      <c r="AU4" s="79">
        <v>272</v>
      </c>
      <c r="AV4" s="86" t="str">
        <f>HYPERLINK("https://abs.twimg.com/images/themes/theme9/bg.gif")</f>
        <v>https://abs.twimg.com/images/themes/theme9/bg.gif</v>
      </c>
      <c r="AW4" s="79" t="b">
        <v>0</v>
      </c>
      <c r="AX4" s="79" t="s">
        <v>2381</v>
      </c>
      <c r="AY4" s="86" t="str">
        <f>HYPERLINK("https://twitter.com/nata1950")</f>
        <v>https://twitter.com/nata1950</v>
      </c>
      <c r="AZ4" s="79" t="s">
        <v>65</v>
      </c>
      <c r="BA4" s="50"/>
      <c r="BB4" s="50"/>
      <c r="BC4" s="50"/>
      <c r="BD4" s="50"/>
      <c r="BE4" s="50"/>
      <c r="BF4" s="50"/>
      <c r="BG4" s="50"/>
      <c r="BH4" s="50"/>
      <c r="BI4" s="50"/>
      <c r="BJ4" s="50"/>
      <c r="BK4" s="2"/>
      <c r="BL4" s="3"/>
      <c r="BM4" s="3"/>
      <c r="BN4" s="3"/>
      <c r="BO4" s="3"/>
    </row>
    <row r="5" spans="1:67" x14ac:dyDescent="0.25">
      <c r="A5" s="65" t="s">
        <v>380</v>
      </c>
      <c r="B5" s="66"/>
      <c r="C5" s="66"/>
      <c r="D5" s="67"/>
      <c r="E5" s="69"/>
      <c r="F5" s="103" t="str">
        <f>HYPERLINK("https://pbs.twimg.com/profile_images/1354097586848858114/xukH5Bau_normal.jpg")</f>
        <v>https://pbs.twimg.com/profile_images/1354097586848858114/xukH5Bau_normal.jpg</v>
      </c>
      <c r="G5" s="66"/>
      <c r="H5" s="70"/>
      <c r="I5" s="71"/>
      <c r="J5" s="71"/>
      <c r="K5" s="70" t="s">
        <v>2383</v>
      </c>
      <c r="L5" s="74"/>
      <c r="M5" s="75">
        <v>4971.02685546875</v>
      </c>
      <c r="N5" s="75">
        <v>3132.5107421875</v>
      </c>
      <c r="O5" s="76"/>
      <c r="P5" s="77"/>
      <c r="Q5" s="77"/>
      <c r="R5" s="89"/>
      <c r="S5" s="50">
        <v>4</v>
      </c>
      <c r="T5" s="50">
        <v>0</v>
      </c>
      <c r="U5" s="51">
        <v>2</v>
      </c>
      <c r="V5" s="51">
        <v>2.1259E-2</v>
      </c>
      <c r="W5" s="51">
        <v>0</v>
      </c>
      <c r="X5" s="51">
        <v>5.1799999999999997E-3</v>
      </c>
      <c r="Y5" s="51">
        <v>0.25</v>
      </c>
      <c r="Z5" s="51">
        <v>0</v>
      </c>
      <c r="AA5" s="72">
        <v>5</v>
      </c>
      <c r="AB5" s="72"/>
      <c r="AC5" s="73"/>
      <c r="AD5" s="79" t="s">
        <v>1730</v>
      </c>
      <c r="AE5" s="84" t="s">
        <v>1926</v>
      </c>
      <c r="AF5" s="79">
        <v>213</v>
      </c>
      <c r="AG5" s="79">
        <v>1910</v>
      </c>
      <c r="AH5" s="79">
        <v>8134</v>
      </c>
      <c r="AI5" s="79">
        <v>1466</v>
      </c>
      <c r="AJ5" s="79"/>
      <c r="AK5" s="79" t="s">
        <v>2117</v>
      </c>
      <c r="AL5" s="79" t="s">
        <v>2299</v>
      </c>
      <c r="AM5" s="86" t="str">
        <f>HYPERLINK("https://t.co/xHZGq2PA2b")</f>
        <v>https://t.co/xHZGq2PA2b</v>
      </c>
      <c r="AN5" s="79"/>
      <c r="AO5" s="81">
        <v>41241.956469907411</v>
      </c>
      <c r="AP5" s="86" t="str">
        <f>HYPERLINK("https://pbs.twimg.com/profile_banners/977135736/1429576217")</f>
        <v>https://pbs.twimg.com/profile_banners/977135736/1429576217</v>
      </c>
      <c r="AQ5" s="79" t="b">
        <v>1</v>
      </c>
      <c r="AR5" s="79" t="b">
        <v>0</v>
      </c>
      <c r="AS5" s="79" t="b">
        <v>1</v>
      </c>
      <c r="AT5" s="79"/>
      <c r="AU5" s="79">
        <v>30</v>
      </c>
      <c r="AV5" s="86" t="str">
        <f>HYPERLINK("https://abs.twimg.com/images/themes/theme1/bg.png")</f>
        <v>https://abs.twimg.com/images/themes/theme1/bg.png</v>
      </c>
      <c r="AW5" s="79" t="b">
        <v>0</v>
      </c>
      <c r="AX5" s="79" t="s">
        <v>2381</v>
      </c>
      <c r="AY5" s="86" t="str">
        <f>HYPERLINK("https://twitter.com/go_nysata")</f>
        <v>https://twitter.com/go_nysata</v>
      </c>
      <c r="AZ5" s="79" t="s">
        <v>65</v>
      </c>
      <c r="BA5" s="50"/>
      <c r="BB5" s="50"/>
      <c r="BC5" s="50"/>
      <c r="BD5" s="50"/>
      <c r="BE5" s="50"/>
      <c r="BF5" s="50"/>
      <c r="BG5" s="50"/>
      <c r="BH5" s="50"/>
      <c r="BI5" s="50"/>
      <c r="BJ5" s="50"/>
      <c r="BK5" s="2"/>
      <c r="BL5" s="3"/>
      <c r="BM5" s="3"/>
      <c r="BN5" s="3"/>
      <c r="BO5" s="3"/>
    </row>
    <row r="6" spans="1:67" x14ac:dyDescent="0.25">
      <c r="A6" s="65" t="s">
        <v>294</v>
      </c>
      <c r="B6" s="66"/>
      <c r="C6" s="66"/>
      <c r="D6" s="67"/>
      <c r="E6" s="69"/>
      <c r="F6" s="103" t="str">
        <f>HYPERLINK("https://pbs.twimg.com/profile_images/1427698896470425602/WdPbFD_j_normal.jpg")</f>
        <v>https://pbs.twimg.com/profile_images/1427698896470425602/WdPbFD_j_normal.jpg</v>
      </c>
      <c r="G6" s="66"/>
      <c r="H6" s="70"/>
      <c r="I6" s="71"/>
      <c r="J6" s="71"/>
      <c r="K6" s="70" t="s">
        <v>2384</v>
      </c>
      <c r="L6" s="74"/>
      <c r="M6" s="75">
        <v>3900.972900390625</v>
      </c>
      <c r="N6" s="75">
        <v>1070.2025146484375</v>
      </c>
      <c r="O6" s="76"/>
      <c r="P6" s="77"/>
      <c r="Q6" s="77"/>
      <c r="R6" s="89"/>
      <c r="S6" s="50">
        <v>4</v>
      </c>
      <c r="T6" s="50">
        <v>3</v>
      </c>
      <c r="U6" s="51">
        <v>2.5</v>
      </c>
      <c r="V6" s="51">
        <v>2.5510000000000001E-2</v>
      </c>
      <c r="W6" s="51">
        <v>0</v>
      </c>
      <c r="X6" s="51">
        <v>5.5690000000000002E-3</v>
      </c>
      <c r="Y6" s="51">
        <v>0.3</v>
      </c>
      <c r="Z6" s="51">
        <v>0</v>
      </c>
      <c r="AA6" s="72">
        <v>6</v>
      </c>
      <c r="AB6" s="72"/>
      <c r="AC6" s="73"/>
      <c r="AD6" s="79" t="s">
        <v>1731</v>
      </c>
      <c r="AE6" s="84" t="s">
        <v>1927</v>
      </c>
      <c r="AF6" s="79">
        <v>361</v>
      </c>
      <c r="AG6" s="79">
        <v>227</v>
      </c>
      <c r="AH6" s="79">
        <v>468</v>
      </c>
      <c r="AI6" s="79">
        <v>647</v>
      </c>
      <c r="AJ6" s="79"/>
      <c r="AK6" s="79" t="s">
        <v>2118</v>
      </c>
      <c r="AL6" s="79" t="s">
        <v>1694</v>
      </c>
      <c r="AM6" s="86" t="str">
        <f>HYPERLINK("https://t.co/gYAyGbODaL")</f>
        <v>https://t.co/gYAyGbODaL</v>
      </c>
      <c r="AN6" s="79"/>
      <c r="AO6" s="81">
        <v>43080.856898148151</v>
      </c>
      <c r="AP6" s="86" t="str">
        <f>HYPERLINK("https://pbs.twimg.com/profile_banners/940318754155778048/1642098093")</f>
        <v>https://pbs.twimg.com/profile_banners/940318754155778048/1642098093</v>
      </c>
      <c r="AQ6" s="79" t="b">
        <v>1</v>
      </c>
      <c r="AR6" s="79" t="b">
        <v>0</v>
      </c>
      <c r="AS6" s="79" t="b">
        <v>1</v>
      </c>
      <c r="AT6" s="79"/>
      <c r="AU6" s="79">
        <v>0</v>
      </c>
      <c r="AV6" s="79"/>
      <c r="AW6" s="79" t="b">
        <v>0</v>
      </c>
      <c r="AX6" s="79" t="s">
        <v>2381</v>
      </c>
      <c r="AY6" s="86" t="str">
        <f>HYPERLINK("https://twitter.com/buffalo_at")</f>
        <v>https://twitter.com/buffalo_at</v>
      </c>
      <c r="AZ6" s="79" t="s">
        <v>66</v>
      </c>
      <c r="BA6" s="50"/>
      <c r="BB6" s="50"/>
      <c r="BC6" s="50"/>
      <c r="BD6" s="50"/>
      <c r="BE6" s="50" t="s">
        <v>2743</v>
      </c>
      <c r="BF6" s="50" t="s">
        <v>2781</v>
      </c>
      <c r="BG6" s="108" t="s">
        <v>2824</v>
      </c>
      <c r="BH6" s="108" t="s">
        <v>2940</v>
      </c>
      <c r="BI6" s="108" t="s">
        <v>2989</v>
      </c>
      <c r="BJ6" s="108" t="s">
        <v>2989</v>
      </c>
      <c r="BK6" s="2"/>
      <c r="BL6" s="3"/>
      <c r="BM6" s="3"/>
      <c r="BN6" s="3"/>
      <c r="BO6" s="3"/>
    </row>
    <row r="7" spans="1:67" x14ac:dyDescent="0.25">
      <c r="A7" s="65" t="s">
        <v>218</v>
      </c>
      <c r="B7" s="66"/>
      <c r="C7" s="66"/>
      <c r="D7" s="67"/>
      <c r="E7" s="69"/>
      <c r="F7" s="103" t="str">
        <f>HYPERLINK("https://pbs.twimg.com/profile_images/2818541873/d6cdd618bbf61fa404bb8a74d51d5248_normal.jpeg")</f>
        <v>https://pbs.twimg.com/profile_images/2818541873/d6cdd618bbf61fa404bb8a74d51d5248_normal.jpeg</v>
      </c>
      <c r="G7" s="66"/>
      <c r="H7" s="70"/>
      <c r="I7" s="71"/>
      <c r="J7" s="71"/>
      <c r="K7" s="70" t="s">
        <v>2385</v>
      </c>
      <c r="L7" s="74"/>
      <c r="M7" s="75">
        <v>613.0679931640625</v>
      </c>
      <c r="N7" s="75">
        <v>3193.1748046875</v>
      </c>
      <c r="O7" s="76"/>
      <c r="P7" s="77"/>
      <c r="Q7" s="77"/>
      <c r="R7" s="89"/>
      <c r="S7" s="50">
        <v>0</v>
      </c>
      <c r="T7" s="50">
        <v>2</v>
      </c>
      <c r="U7" s="51">
        <v>0</v>
      </c>
      <c r="V7" s="51">
        <v>0.25251499999999999</v>
      </c>
      <c r="W7" s="51">
        <v>4.6620000000000003E-3</v>
      </c>
      <c r="X7" s="51">
        <v>4.8430000000000001E-3</v>
      </c>
      <c r="Y7" s="51">
        <v>0.5</v>
      </c>
      <c r="Z7" s="51">
        <v>0</v>
      </c>
      <c r="AA7" s="72">
        <v>7</v>
      </c>
      <c r="AB7" s="72"/>
      <c r="AC7" s="73"/>
      <c r="AD7" s="79" t="s">
        <v>1732</v>
      </c>
      <c r="AE7" s="84" t="s">
        <v>1928</v>
      </c>
      <c r="AF7" s="79">
        <v>325</v>
      </c>
      <c r="AG7" s="79">
        <v>126</v>
      </c>
      <c r="AH7" s="79">
        <v>756</v>
      </c>
      <c r="AI7" s="79">
        <v>38</v>
      </c>
      <c r="AJ7" s="79"/>
      <c r="AK7" s="79"/>
      <c r="AL7" s="79" t="s">
        <v>2300</v>
      </c>
      <c r="AM7" s="79"/>
      <c r="AN7" s="79"/>
      <c r="AO7" s="81">
        <v>40582.816863425927</v>
      </c>
      <c r="AP7" s="79"/>
      <c r="AQ7" s="79" t="b">
        <v>1</v>
      </c>
      <c r="AR7" s="79" t="b">
        <v>0</v>
      </c>
      <c r="AS7" s="79" t="b">
        <v>1</v>
      </c>
      <c r="AT7" s="79"/>
      <c r="AU7" s="79">
        <v>3</v>
      </c>
      <c r="AV7" s="86" t="str">
        <f>HYPERLINK("https://abs.twimg.com/images/themes/theme1/bg.png")</f>
        <v>https://abs.twimg.com/images/themes/theme1/bg.png</v>
      </c>
      <c r="AW7" s="79" t="b">
        <v>0</v>
      </c>
      <c r="AX7" s="79" t="s">
        <v>2381</v>
      </c>
      <c r="AY7" s="86" t="str">
        <f>HYPERLINK("https://twitter.com/bectrobe")</f>
        <v>https://twitter.com/bectrobe</v>
      </c>
      <c r="AZ7" s="79" t="s">
        <v>66</v>
      </c>
      <c r="BA7" s="50" t="s">
        <v>623</v>
      </c>
      <c r="BB7" s="50" t="s">
        <v>623</v>
      </c>
      <c r="BC7" s="50" t="s">
        <v>632</v>
      </c>
      <c r="BD7" s="50" t="s">
        <v>632</v>
      </c>
      <c r="BE7" s="50" t="s">
        <v>357</v>
      </c>
      <c r="BF7" s="50" t="s">
        <v>357</v>
      </c>
      <c r="BG7" s="108" t="s">
        <v>2825</v>
      </c>
      <c r="BH7" s="108" t="s">
        <v>2825</v>
      </c>
      <c r="BI7" s="108" t="s">
        <v>2990</v>
      </c>
      <c r="BJ7" s="108" t="s">
        <v>2990</v>
      </c>
      <c r="BK7" s="2"/>
      <c r="BL7" s="3"/>
      <c r="BM7" s="3"/>
      <c r="BN7" s="3"/>
      <c r="BO7" s="3"/>
    </row>
    <row r="8" spans="1:67" x14ac:dyDescent="0.25">
      <c r="A8" s="65" t="s">
        <v>381</v>
      </c>
      <c r="B8" s="66"/>
      <c r="C8" s="66"/>
      <c r="D8" s="67"/>
      <c r="E8" s="69"/>
      <c r="F8" s="103" t="str">
        <f>HYPERLINK("https://pbs.twimg.com/profile_images/686569963855998976/bVys7Gbg_normal.jpg")</f>
        <v>https://pbs.twimg.com/profile_images/686569963855998976/bVys7Gbg_normal.jpg</v>
      </c>
      <c r="G8" s="66"/>
      <c r="H8" s="70"/>
      <c r="I8" s="71"/>
      <c r="J8" s="71"/>
      <c r="K8" s="70" t="s">
        <v>2386</v>
      </c>
      <c r="L8" s="74"/>
      <c r="M8" s="75">
        <v>251.78886413574219</v>
      </c>
      <c r="N8" s="75">
        <v>5134.19921875</v>
      </c>
      <c r="O8" s="76"/>
      <c r="P8" s="77"/>
      <c r="Q8" s="77"/>
      <c r="R8" s="89"/>
      <c r="S8" s="50">
        <v>2</v>
      </c>
      <c r="T8" s="50">
        <v>0</v>
      </c>
      <c r="U8" s="51">
        <v>0</v>
      </c>
      <c r="V8" s="51">
        <v>0.25251499999999999</v>
      </c>
      <c r="W8" s="51">
        <v>4.6620000000000003E-3</v>
      </c>
      <c r="X8" s="51">
        <v>4.8430000000000001E-3</v>
      </c>
      <c r="Y8" s="51">
        <v>0.5</v>
      </c>
      <c r="Z8" s="51">
        <v>0</v>
      </c>
      <c r="AA8" s="72">
        <v>8</v>
      </c>
      <c r="AB8" s="72"/>
      <c r="AC8" s="73"/>
      <c r="AD8" s="79" t="s">
        <v>1733</v>
      </c>
      <c r="AE8" s="84" t="s">
        <v>1929</v>
      </c>
      <c r="AF8" s="79">
        <v>2196</v>
      </c>
      <c r="AG8" s="79">
        <v>2592</v>
      </c>
      <c r="AH8" s="79">
        <v>3298</v>
      </c>
      <c r="AI8" s="79">
        <v>305</v>
      </c>
      <c r="AJ8" s="79"/>
      <c r="AK8" s="79" t="s">
        <v>2119</v>
      </c>
      <c r="AL8" s="79" t="s">
        <v>1696</v>
      </c>
      <c r="AM8" s="86" t="str">
        <f>HYPERLINK("http://t.co/6K4eH18kke")</f>
        <v>http://t.co/6K4eH18kke</v>
      </c>
      <c r="AN8" s="79"/>
      <c r="AO8" s="81">
        <v>40519.854594907411</v>
      </c>
      <c r="AP8" s="79"/>
      <c r="AQ8" s="79" t="b">
        <v>0</v>
      </c>
      <c r="AR8" s="79" t="b">
        <v>0</v>
      </c>
      <c r="AS8" s="79" t="b">
        <v>1</v>
      </c>
      <c r="AT8" s="79"/>
      <c r="AU8" s="79">
        <v>84</v>
      </c>
      <c r="AV8" s="86" t="str">
        <f>HYPERLINK("https://abs.twimg.com/images/themes/theme1/bg.png")</f>
        <v>https://abs.twimg.com/images/themes/theme1/bg.png</v>
      </c>
      <c r="AW8" s="79" t="b">
        <v>0</v>
      </c>
      <c r="AX8" s="79" t="s">
        <v>2381</v>
      </c>
      <c r="AY8" s="86" t="str">
        <f>HYPERLINK("https://twitter.com/cin_online")</f>
        <v>https://twitter.com/cin_online</v>
      </c>
      <c r="AZ8" s="79" t="s">
        <v>65</v>
      </c>
      <c r="BA8" s="50"/>
      <c r="BB8" s="50"/>
      <c r="BC8" s="50"/>
      <c r="BD8" s="50"/>
      <c r="BE8" s="50"/>
      <c r="BF8" s="50"/>
      <c r="BG8" s="50"/>
      <c r="BH8" s="50"/>
      <c r="BI8" s="50"/>
      <c r="BJ8" s="50"/>
      <c r="BK8" s="2"/>
      <c r="BL8" s="3"/>
      <c r="BM8" s="3"/>
      <c r="BN8" s="3"/>
      <c r="BO8" s="3"/>
    </row>
    <row r="9" spans="1:67" x14ac:dyDescent="0.25">
      <c r="A9" s="65" t="s">
        <v>356</v>
      </c>
      <c r="B9" s="66"/>
      <c r="C9" s="66"/>
      <c r="D9" s="67"/>
      <c r="E9" s="69"/>
      <c r="F9" s="103" t="str">
        <f>HYPERLINK("https://pbs.twimg.com/profile_images/1363910960424095744/19lDyEUm_normal.jpg")</f>
        <v>https://pbs.twimg.com/profile_images/1363910960424095744/19lDyEUm_normal.jpg</v>
      </c>
      <c r="G9" s="66"/>
      <c r="H9" s="70"/>
      <c r="I9" s="71"/>
      <c r="J9" s="71"/>
      <c r="K9" s="70" t="s">
        <v>2387</v>
      </c>
      <c r="L9" s="74"/>
      <c r="M9" s="75">
        <v>2233.64013671875</v>
      </c>
      <c r="N9" s="75">
        <v>1958.42822265625</v>
      </c>
      <c r="O9" s="76"/>
      <c r="P9" s="77"/>
      <c r="Q9" s="77"/>
      <c r="R9" s="89"/>
      <c r="S9" s="50">
        <v>3</v>
      </c>
      <c r="T9" s="50">
        <v>4</v>
      </c>
      <c r="U9" s="51">
        <v>1394</v>
      </c>
      <c r="V9" s="51">
        <v>0.34899999999999998</v>
      </c>
      <c r="W9" s="51">
        <v>5.1734000000000002E-2</v>
      </c>
      <c r="X9" s="51">
        <v>6.613E-3</v>
      </c>
      <c r="Y9" s="51">
        <v>0.05</v>
      </c>
      <c r="Z9" s="51">
        <v>0</v>
      </c>
      <c r="AA9" s="72">
        <v>9</v>
      </c>
      <c r="AB9" s="72"/>
      <c r="AC9" s="73"/>
      <c r="AD9" s="79" t="s">
        <v>1734</v>
      </c>
      <c r="AE9" s="84" t="s">
        <v>1930</v>
      </c>
      <c r="AF9" s="79">
        <v>588</v>
      </c>
      <c r="AG9" s="79">
        <v>1082</v>
      </c>
      <c r="AH9" s="79">
        <v>9624</v>
      </c>
      <c r="AI9" s="79">
        <v>2755</v>
      </c>
      <c r="AJ9" s="79"/>
      <c r="AK9" s="79" t="s">
        <v>2120</v>
      </c>
      <c r="AL9" s="79" t="s">
        <v>2301</v>
      </c>
      <c r="AM9" s="86" t="str">
        <f>HYPERLINK("https://t.co/61R6OekScY")</f>
        <v>https://t.co/61R6OekScY</v>
      </c>
      <c r="AN9" s="79"/>
      <c r="AO9" s="81">
        <v>41050.730104166665</v>
      </c>
      <c r="AP9" s="86" t="str">
        <f>HYPERLINK("https://pbs.twimg.com/profile_banners/586721428/1576870245")</f>
        <v>https://pbs.twimg.com/profile_banners/586721428/1576870245</v>
      </c>
      <c r="AQ9" s="79" t="b">
        <v>0</v>
      </c>
      <c r="AR9" s="79" t="b">
        <v>0</v>
      </c>
      <c r="AS9" s="79" t="b">
        <v>1</v>
      </c>
      <c r="AT9" s="79"/>
      <c r="AU9" s="79">
        <v>54</v>
      </c>
      <c r="AV9" s="86" t="str">
        <f>HYPERLINK("https://abs.twimg.com/images/themes/theme1/bg.png")</f>
        <v>https://abs.twimg.com/images/themes/theme1/bg.png</v>
      </c>
      <c r="AW9" s="79" t="b">
        <v>0</v>
      </c>
      <c r="AX9" s="79" t="s">
        <v>2381</v>
      </c>
      <c r="AY9" s="86" t="str">
        <f>HYPERLINK("https://twitter.com/ubnursing")</f>
        <v>https://twitter.com/ubnursing</v>
      </c>
      <c r="AZ9" s="79" t="s">
        <v>66</v>
      </c>
      <c r="BA9" s="50" t="s">
        <v>2634</v>
      </c>
      <c r="BB9" s="50" t="s">
        <v>2634</v>
      </c>
      <c r="BC9" s="50" t="s">
        <v>632</v>
      </c>
      <c r="BD9" s="50" t="s">
        <v>632</v>
      </c>
      <c r="BE9" s="50" t="s">
        <v>693</v>
      </c>
      <c r="BF9" s="50" t="s">
        <v>2782</v>
      </c>
      <c r="BG9" s="108" t="s">
        <v>2826</v>
      </c>
      <c r="BH9" s="108" t="s">
        <v>2941</v>
      </c>
      <c r="BI9" s="108" t="s">
        <v>2991</v>
      </c>
      <c r="BJ9" s="108" t="s">
        <v>2991</v>
      </c>
      <c r="BK9" s="2"/>
      <c r="BL9" s="3"/>
      <c r="BM9" s="3"/>
      <c r="BN9" s="3"/>
      <c r="BO9" s="3"/>
    </row>
    <row r="10" spans="1:67" x14ac:dyDescent="0.25">
      <c r="A10" s="65" t="s">
        <v>219</v>
      </c>
      <c r="B10" s="66"/>
      <c r="C10" s="66"/>
      <c r="D10" s="67"/>
      <c r="E10" s="69"/>
      <c r="F10" s="103" t="str">
        <f>HYPERLINK("https://pbs.twimg.com/profile_images/1154200397873111040/G27u67Rr_normal.jpg")</f>
        <v>https://pbs.twimg.com/profile_images/1154200397873111040/G27u67Rr_normal.jpg</v>
      </c>
      <c r="G10" s="66"/>
      <c r="H10" s="70"/>
      <c r="I10" s="71"/>
      <c r="J10" s="71"/>
      <c r="K10" s="70" t="s">
        <v>2388</v>
      </c>
      <c r="L10" s="74"/>
      <c r="M10" s="75">
        <v>6373.89501953125</v>
      </c>
      <c r="N10" s="75">
        <v>1693.73779296875</v>
      </c>
      <c r="O10" s="76"/>
      <c r="P10" s="77"/>
      <c r="Q10" s="77"/>
      <c r="R10" s="89"/>
      <c r="S10" s="50">
        <v>0</v>
      </c>
      <c r="T10" s="50">
        <v>3</v>
      </c>
      <c r="U10" s="51">
        <v>0.5</v>
      </c>
      <c r="V10" s="51">
        <v>1.8221999999999999E-2</v>
      </c>
      <c r="W10" s="51">
        <v>0</v>
      </c>
      <c r="X10" s="51">
        <v>4.8419999999999999E-3</v>
      </c>
      <c r="Y10" s="51">
        <v>0.33333333333333331</v>
      </c>
      <c r="Z10" s="51">
        <v>0</v>
      </c>
      <c r="AA10" s="72">
        <v>10</v>
      </c>
      <c r="AB10" s="72"/>
      <c r="AC10" s="73"/>
      <c r="AD10" s="79" t="s">
        <v>1735</v>
      </c>
      <c r="AE10" s="84" t="s">
        <v>1931</v>
      </c>
      <c r="AF10" s="79">
        <v>89</v>
      </c>
      <c r="AG10" s="79">
        <v>205</v>
      </c>
      <c r="AH10" s="79">
        <v>3576</v>
      </c>
      <c r="AI10" s="79">
        <v>60</v>
      </c>
      <c r="AJ10" s="79"/>
      <c r="AK10" s="79" t="s">
        <v>2121</v>
      </c>
      <c r="AL10" s="79" t="s">
        <v>2302</v>
      </c>
      <c r="AM10" s="79"/>
      <c r="AN10" s="79"/>
      <c r="AO10" s="81">
        <v>43670.830717592595</v>
      </c>
      <c r="AP10" s="86" t="str">
        <f>HYPERLINK("https://pbs.twimg.com/profile_banners/1154118107541180422/1575997599")</f>
        <v>https://pbs.twimg.com/profile_banners/1154118107541180422/1575997599</v>
      </c>
      <c r="AQ10" s="79" t="b">
        <v>0</v>
      </c>
      <c r="AR10" s="79" t="b">
        <v>0</v>
      </c>
      <c r="AS10" s="79" t="b">
        <v>0</v>
      </c>
      <c r="AT10" s="79"/>
      <c r="AU10" s="79">
        <v>1</v>
      </c>
      <c r="AV10" s="86" t="str">
        <f>HYPERLINK("https://abs.twimg.com/images/themes/theme1/bg.png")</f>
        <v>https://abs.twimg.com/images/themes/theme1/bg.png</v>
      </c>
      <c r="AW10" s="79" t="b">
        <v>0</v>
      </c>
      <c r="AX10" s="79" t="s">
        <v>2381</v>
      </c>
      <c r="AY10" s="86" t="str">
        <f>HYPERLINK("https://twitter.com/heartlandipe")</f>
        <v>https://twitter.com/heartlandipe</v>
      </c>
      <c r="AZ10" s="79" t="s">
        <v>66</v>
      </c>
      <c r="BA10" s="50"/>
      <c r="BB10" s="50"/>
      <c r="BC10" s="50"/>
      <c r="BD10" s="50"/>
      <c r="BE10" s="50" t="s">
        <v>661</v>
      </c>
      <c r="BF10" s="50" t="s">
        <v>661</v>
      </c>
      <c r="BG10" s="108" t="s">
        <v>2823</v>
      </c>
      <c r="BH10" s="108" t="s">
        <v>2823</v>
      </c>
      <c r="BI10" s="108" t="s">
        <v>2988</v>
      </c>
      <c r="BJ10" s="108" t="s">
        <v>2988</v>
      </c>
      <c r="BK10" s="2"/>
      <c r="BL10" s="3"/>
      <c r="BM10" s="3"/>
      <c r="BN10" s="3"/>
      <c r="BO10" s="3"/>
    </row>
    <row r="11" spans="1:67" x14ac:dyDescent="0.25">
      <c r="A11" s="65" t="s">
        <v>220</v>
      </c>
      <c r="B11" s="66"/>
      <c r="C11" s="66"/>
      <c r="D11" s="67"/>
      <c r="E11" s="69"/>
      <c r="F11" s="103" t="str">
        <f>HYPERLINK("https://abs.twimg.com/sticky/default_profile_images/default_profile_normal.png")</f>
        <v>https://abs.twimg.com/sticky/default_profile_images/default_profile_normal.png</v>
      </c>
      <c r="G11" s="66"/>
      <c r="H11" s="70"/>
      <c r="I11" s="71"/>
      <c r="J11" s="71"/>
      <c r="K11" s="70" t="s">
        <v>2389</v>
      </c>
      <c r="L11" s="74"/>
      <c r="M11" s="75">
        <v>2527.829345703125</v>
      </c>
      <c r="N11" s="75">
        <v>2093.3671875</v>
      </c>
      <c r="O11" s="76"/>
      <c r="P11" s="77"/>
      <c r="Q11" s="77"/>
      <c r="R11" s="89"/>
      <c r="S11" s="50">
        <v>0</v>
      </c>
      <c r="T11" s="50">
        <v>3</v>
      </c>
      <c r="U11" s="51">
        <v>0.5</v>
      </c>
      <c r="V11" s="51">
        <v>1.8221999999999999E-2</v>
      </c>
      <c r="W11" s="51">
        <v>0</v>
      </c>
      <c r="X11" s="51">
        <v>4.8419999999999999E-3</v>
      </c>
      <c r="Y11" s="51">
        <v>0.33333333333333331</v>
      </c>
      <c r="Z11" s="51">
        <v>0</v>
      </c>
      <c r="AA11" s="72">
        <v>11</v>
      </c>
      <c r="AB11" s="72"/>
      <c r="AC11" s="73"/>
      <c r="AD11" s="79" t="s">
        <v>1736</v>
      </c>
      <c r="AE11" s="84" t="s">
        <v>1932</v>
      </c>
      <c r="AF11" s="79">
        <v>1112</v>
      </c>
      <c r="AG11" s="79">
        <v>488</v>
      </c>
      <c r="AH11" s="79">
        <v>888</v>
      </c>
      <c r="AI11" s="79">
        <v>1378</v>
      </c>
      <c r="AJ11" s="79"/>
      <c r="AK11" s="79" t="s">
        <v>2122</v>
      </c>
      <c r="AL11" s="79" t="s">
        <v>2303</v>
      </c>
      <c r="AM11" s="79"/>
      <c r="AN11" s="79"/>
      <c r="AO11" s="81">
        <v>42401.652453703704</v>
      </c>
      <c r="AP11" s="79"/>
      <c r="AQ11" s="79" t="b">
        <v>1</v>
      </c>
      <c r="AR11" s="79" t="b">
        <v>1</v>
      </c>
      <c r="AS11" s="79" t="b">
        <v>0</v>
      </c>
      <c r="AT11" s="79"/>
      <c r="AU11" s="79">
        <v>4</v>
      </c>
      <c r="AV11" s="79"/>
      <c r="AW11" s="79" t="b">
        <v>0</v>
      </c>
      <c r="AX11" s="79" t="s">
        <v>2381</v>
      </c>
      <c r="AY11" s="86" t="str">
        <f>HYPERLINK("https://twitter.com/bostonuat1st")</f>
        <v>https://twitter.com/bostonuat1st</v>
      </c>
      <c r="AZ11" s="79" t="s">
        <v>66</v>
      </c>
      <c r="BA11" s="50"/>
      <c r="BB11" s="50"/>
      <c r="BC11" s="50"/>
      <c r="BD11" s="50"/>
      <c r="BE11" s="50" t="s">
        <v>661</v>
      </c>
      <c r="BF11" s="50" t="s">
        <v>661</v>
      </c>
      <c r="BG11" s="108" t="s">
        <v>2823</v>
      </c>
      <c r="BH11" s="108" t="s">
        <v>2823</v>
      </c>
      <c r="BI11" s="108" t="s">
        <v>2988</v>
      </c>
      <c r="BJ11" s="108" t="s">
        <v>2988</v>
      </c>
      <c r="BK11" s="2"/>
      <c r="BL11" s="3"/>
      <c r="BM11" s="3"/>
      <c r="BN11" s="3"/>
      <c r="BO11" s="3"/>
    </row>
    <row r="12" spans="1:67" x14ac:dyDescent="0.25">
      <c r="A12" s="65" t="s">
        <v>221</v>
      </c>
      <c r="B12" s="66"/>
      <c r="C12" s="66"/>
      <c r="D12" s="67"/>
      <c r="E12" s="69"/>
      <c r="F12" s="103" t="str">
        <f>HYPERLINK("https://pbs.twimg.com/profile_images/1389954675072389121/5ISwnCRb_normal.jpg")</f>
        <v>https://pbs.twimg.com/profile_images/1389954675072389121/5ISwnCRb_normal.jpg</v>
      </c>
      <c r="G12" s="66"/>
      <c r="H12" s="70"/>
      <c r="I12" s="71"/>
      <c r="J12" s="71"/>
      <c r="K12" s="70" t="s">
        <v>2390</v>
      </c>
      <c r="L12" s="74"/>
      <c r="M12" s="75">
        <v>7765.1923828125</v>
      </c>
      <c r="N12" s="75">
        <v>2647.092529296875</v>
      </c>
      <c r="O12" s="76"/>
      <c r="P12" s="77"/>
      <c r="Q12" s="77"/>
      <c r="R12" s="89"/>
      <c r="S12" s="50">
        <v>0</v>
      </c>
      <c r="T12" s="50">
        <v>1</v>
      </c>
      <c r="U12" s="51">
        <v>0</v>
      </c>
      <c r="V12" s="51">
        <v>0.229658</v>
      </c>
      <c r="W12" s="51">
        <v>6.9870000000000002E-3</v>
      </c>
      <c r="X12" s="51">
        <v>4.4200000000000003E-3</v>
      </c>
      <c r="Y12" s="51">
        <v>0</v>
      </c>
      <c r="Z12" s="51">
        <v>0</v>
      </c>
      <c r="AA12" s="72">
        <v>12</v>
      </c>
      <c r="AB12" s="72"/>
      <c r="AC12" s="73"/>
      <c r="AD12" s="79" t="s">
        <v>1737</v>
      </c>
      <c r="AE12" s="84" t="s">
        <v>1933</v>
      </c>
      <c r="AF12" s="79">
        <v>126</v>
      </c>
      <c r="AG12" s="79">
        <v>3293</v>
      </c>
      <c r="AH12" s="79">
        <v>188407</v>
      </c>
      <c r="AI12" s="79">
        <v>95784</v>
      </c>
      <c r="AJ12" s="79"/>
      <c r="AK12" s="79" t="s">
        <v>2123</v>
      </c>
      <c r="AL12" s="79"/>
      <c r="AM12" s="79"/>
      <c r="AN12" s="79"/>
      <c r="AO12" s="81">
        <v>44160.620127314818</v>
      </c>
      <c r="AP12" s="86" t="str">
        <f>HYPERLINK("https://pbs.twimg.com/profile_banners/1331611799053955073/1620225995")</f>
        <v>https://pbs.twimg.com/profile_banners/1331611799053955073/1620225995</v>
      </c>
      <c r="AQ12" s="79" t="b">
        <v>1</v>
      </c>
      <c r="AR12" s="79" t="b">
        <v>0</v>
      </c>
      <c r="AS12" s="79" t="b">
        <v>0</v>
      </c>
      <c r="AT12" s="79"/>
      <c r="AU12" s="79">
        <v>28</v>
      </c>
      <c r="AV12" s="79"/>
      <c r="AW12" s="79" t="b">
        <v>0</v>
      </c>
      <c r="AX12" s="79" t="s">
        <v>2381</v>
      </c>
      <c r="AY12" s="86" t="str">
        <f>HYPERLINK("https://twitter.com/b0tsci")</f>
        <v>https://twitter.com/b0tsci</v>
      </c>
      <c r="AZ12" s="79" t="s">
        <v>66</v>
      </c>
      <c r="BA12" s="50" t="s">
        <v>2635</v>
      </c>
      <c r="BB12" s="50" t="s">
        <v>2635</v>
      </c>
      <c r="BC12" s="50" t="s">
        <v>633</v>
      </c>
      <c r="BD12" s="50" t="s">
        <v>633</v>
      </c>
      <c r="BE12" s="50" t="s">
        <v>662</v>
      </c>
      <c r="BF12" s="50" t="s">
        <v>662</v>
      </c>
      <c r="BG12" s="108" t="s">
        <v>2827</v>
      </c>
      <c r="BH12" s="108" t="s">
        <v>2827</v>
      </c>
      <c r="BI12" s="108" t="s">
        <v>2992</v>
      </c>
      <c r="BJ12" s="108" t="s">
        <v>2992</v>
      </c>
      <c r="BK12" s="2"/>
      <c r="BL12" s="3"/>
      <c r="BM12" s="3"/>
      <c r="BN12" s="3"/>
      <c r="BO12" s="3"/>
    </row>
    <row r="13" spans="1:67" x14ac:dyDescent="0.25">
      <c r="A13" s="65" t="s">
        <v>351</v>
      </c>
      <c r="B13" s="66"/>
      <c r="C13" s="66"/>
      <c r="D13" s="67"/>
      <c r="E13" s="69"/>
      <c r="F13" s="103" t="str">
        <f>HYPERLINK("https://pbs.twimg.com/profile_images/1442572455378227204/d3yPcxnc_normal.jpg")</f>
        <v>https://pbs.twimg.com/profile_images/1442572455378227204/d3yPcxnc_normal.jpg</v>
      </c>
      <c r="G13" s="66"/>
      <c r="H13" s="70"/>
      <c r="I13" s="71"/>
      <c r="J13" s="71"/>
      <c r="K13" s="70" t="s">
        <v>2391</v>
      </c>
      <c r="L13" s="74"/>
      <c r="M13" s="75">
        <v>5531.814453125</v>
      </c>
      <c r="N13" s="75">
        <v>6344.73779296875</v>
      </c>
      <c r="O13" s="76"/>
      <c r="P13" s="77"/>
      <c r="Q13" s="77"/>
      <c r="R13" s="89"/>
      <c r="S13" s="50">
        <v>7</v>
      </c>
      <c r="T13" s="50">
        <v>4</v>
      </c>
      <c r="U13" s="51">
        <v>1086.5443130000001</v>
      </c>
      <c r="V13" s="51">
        <v>0.30738799999999999</v>
      </c>
      <c r="W13" s="51">
        <v>8.4520999999999999E-2</v>
      </c>
      <c r="X13" s="51">
        <v>7.0219999999999996E-3</v>
      </c>
      <c r="Y13" s="51">
        <v>9.7222222222222224E-2</v>
      </c>
      <c r="Z13" s="51">
        <v>0</v>
      </c>
      <c r="AA13" s="72">
        <v>13</v>
      </c>
      <c r="AB13" s="72"/>
      <c r="AC13" s="73"/>
      <c r="AD13" s="79" t="s">
        <v>1738</v>
      </c>
      <c r="AE13" s="84" t="s">
        <v>1934</v>
      </c>
      <c r="AF13" s="79">
        <v>702</v>
      </c>
      <c r="AG13" s="79">
        <v>314</v>
      </c>
      <c r="AH13" s="79">
        <v>1433</v>
      </c>
      <c r="AI13" s="79">
        <v>10054</v>
      </c>
      <c r="AJ13" s="79"/>
      <c r="AK13" s="79" t="s">
        <v>2124</v>
      </c>
      <c r="AL13" s="79" t="s">
        <v>1694</v>
      </c>
      <c r="AM13" s="86" t="str">
        <f>HYPERLINK("https://t.co/P4vTOjPiAT")</f>
        <v>https://t.co/P4vTOjPiAT</v>
      </c>
      <c r="AN13" s="79"/>
      <c r="AO13" s="81">
        <v>42908.694780092592</v>
      </c>
      <c r="AP13" s="86" t="str">
        <f>HYPERLINK("https://pbs.twimg.com/profile_banners/877929293799727104/1498150095")</f>
        <v>https://pbs.twimg.com/profile_banners/877929293799727104/1498150095</v>
      </c>
      <c r="AQ13" s="79" t="b">
        <v>1</v>
      </c>
      <c r="AR13" s="79" t="b">
        <v>0</v>
      </c>
      <c r="AS13" s="79" t="b">
        <v>1</v>
      </c>
      <c r="AT13" s="79"/>
      <c r="AU13" s="79">
        <v>0</v>
      </c>
      <c r="AV13" s="79"/>
      <c r="AW13" s="79" t="b">
        <v>0</v>
      </c>
      <c r="AX13" s="79" t="s">
        <v>2381</v>
      </c>
      <c r="AY13" s="86" t="str">
        <f>HYPERLINK("https://twitter.com/ubaa_president")</f>
        <v>https://twitter.com/ubaa_president</v>
      </c>
      <c r="AZ13" s="79" t="s">
        <v>66</v>
      </c>
      <c r="BA13" s="50" t="s">
        <v>2636</v>
      </c>
      <c r="BB13" s="50" t="s">
        <v>2636</v>
      </c>
      <c r="BC13" s="50" t="s">
        <v>633</v>
      </c>
      <c r="BD13" s="50" t="s">
        <v>633</v>
      </c>
      <c r="BE13" s="50" t="s">
        <v>2744</v>
      </c>
      <c r="BF13" s="50" t="s">
        <v>2783</v>
      </c>
      <c r="BG13" s="108" t="s">
        <v>2828</v>
      </c>
      <c r="BH13" s="108" t="s">
        <v>2942</v>
      </c>
      <c r="BI13" s="108" t="s">
        <v>2993</v>
      </c>
      <c r="BJ13" s="108" t="s">
        <v>3093</v>
      </c>
      <c r="BK13" s="2"/>
      <c r="BL13" s="3"/>
      <c r="BM13" s="3"/>
      <c r="BN13" s="3"/>
      <c r="BO13" s="3"/>
    </row>
    <row r="14" spans="1:67" x14ac:dyDescent="0.25">
      <c r="A14" s="65" t="s">
        <v>222</v>
      </c>
      <c r="B14" s="66"/>
      <c r="C14" s="66"/>
      <c r="D14" s="67"/>
      <c r="E14" s="69"/>
      <c r="F14" s="103" t="str">
        <f>HYPERLINK("https://pbs.twimg.com/profile_images/1453829206459158528/oQLV7P-C_normal.jpg")</f>
        <v>https://pbs.twimg.com/profile_images/1453829206459158528/oQLV7P-C_normal.jpg</v>
      </c>
      <c r="G14" s="66"/>
      <c r="H14" s="70"/>
      <c r="I14" s="71"/>
      <c r="J14" s="71"/>
      <c r="K14" s="70" t="s">
        <v>2392</v>
      </c>
      <c r="L14" s="74"/>
      <c r="M14" s="75">
        <v>1195.8336181640625</v>
      </c>
      <c r="N14" s="75">
        <v>7151.0302734375</v>
      </c>
      <c r="O14" s="76"/>
      <c r="P14" s="77"/>
      <c r="Q14" s="77"/>
      <c r="R14" s="89"/>
      <c r="S14" s="50">
        <v>0</v>
      </c>
      <c r="T14" s="50">
        <v>1</v>
      </c>
      <c r="U14" s="51">
        <v>0</v>
      </c>
      <c r="V14" s="51">
        <v>0.229658</v>
      </c>
      <c r="W14" s="51">
        <v>6.9870000000000002E-3</v>
      </c>
      <c r="X14" s="51">
        <v>4.4200000000000003E-3</v>
      </c>
      <c r="Y14" s="51">
        <v>0</v>
      </c>
      <c r="Z14" s="51">
        <v>0</v>
      </c>
      <c r="AA14" s="72">
        <v>14</v>
      </c>
      <c r="AB14" s="72"/>
      <c r="AC14" s="73"/>
      <c r="AD14" s="79" t="s">
        <v>1739</v>
      </c>
      <c r="AE14" s="84" t="s">
        <v>1935</v>
      </c>
      <c r="AF14" s="79">
        <v>16</v>
      </c>
      <c r="AG14" s="79">
        <v>255</v>
      </c>
      <c r="AH14" s="79">
        <v>16064</v>
      </c>
      <c r="AI14" s="79">
        <v>40</v>
      </c>
      <c r="AJ14" s="79"/>
      <c r="AK14" s="79" t="s">
        <v>2125</v>
      </c>
      <c r="AL14" s="79"/>
      <c r="AM14" s="86" t="str">
        <f>HYPERLINK("https://t.co/EM8i7rwFJl")</f>
        <v>https://t.co/EM8i7rwFJl</v>
      </c>
      <c r="AN14" s="79"/>
      <c r="AO14" s="81">
        <v>42009.703055555554</v>
      </c>
      <c r="AP14" s="86" t="str">
        <f>HYPERLINK("https://pbs.twimg.com/profile_banners/2962298817/1636058287")</f>
        <v>https://pbs.twimg.com/profile_banners/2962298817/1636058287</v>
      </c>
      <c r="AQ14" s="79" t="b">
        <v>0</v>
      </c>
      <c r="AR14" s="79" t="b">
        <v>0</v>
      </c>
      <c r="AS14" s="79" t="b">
        <v>1</v>
      </c>
      <c r="AT14" s="79"/>
      <c r="AU14" s="79">
        <v>4</v>
      </c>
      <c r="AV14" s="86" t="str">
        <f>HYPERLINK("https://abs.twimg.com/images/themes/theme1/bg.png")</f>
        <v>https://abs.twimg.com/images/themes/theme1/bg.png</v>
      </c>
      <c r="AW14" s="79" t="b">
        <v>0</v>
      </c>
      <c r="AX14" s="79" t="s">
        <v>2381</v>
      </c>
      <c r="AY14" s="86" t="str">
        <f>HYPERLINK("https://twitter.com/steminist_bot")</f>
        <v>https://twitter.com/steminist_bot</v>
      </c>
      <c r="AZ14" s="79" t="s">
        <v>66</v>
      </c>
      <c r="BA14" s="50" t="s">
        <v>2635</v>
      </c>
      <c r="BB14" s="50" t="s">
        <v>2635</v>
      </c>
      <c r="BC14" s="50" t="s">
        <v>633</v>
      </c>
      <c r="BD14" s="50" t="s">
        <v>633</v>
      </c>
      <c r="BE14" s="50" t="s">
        <v>662</v>
      </c>
      <c r="BF14" s="50" t="s">
        <v>662</v>
      </c>
      <c r="BG14" s="108" t="s">
        <v>2827</v>
      </c>
      <c r="BH14" s="108" t="s">
        <v>2827</v>
      </c>
      <c r="BI14" s="108" t="s">
        <v>2992</v>
      </c>
      <c r="BJ14" s="108" t="s">
        <v>2992</v>
      </c>
      <c r="BK14" s="2"/>
      <c r="BL14" s="3"/>
      <c r="BM14" s="3"/>
      <c r="BN14" s="3"/>
      <c r="BO14" s="3"/>
    </row>
    <row r="15" spans="1:67" x14ac:dyDescent="0.25">
      <c r="A15" s="65" t="s">
        <v>223</v>
      </c>
      <c r="B15" s="66"/>
      <c r="C15" s="66"/>
      <c r="D15" s="67"/>
      <c r="E15" s="69"/>
      <c r="F15" s="103" t="str">
        <f>HYPERLINK("https://pbs.twimg.com/profile_images/1490792916377391120/ZfzytRaT_normal.jpg")</f>
        <v>https://pbs.twimg.com/profile_images/1490792916377391120/ZfzytRaT_normal.jpg</v>
      </c>
      <c r="G15" s="66"/>
      <c r="H15" s="70"/>
      <c r="I15" s="71"/>
      <c r="J15" s="71"/>
      <c r="K15" s="70" t="s">
        <v>2393</v>
      </c>
      <c r="L15" s="74"/>
      <c r="M15" s="75">
        <v>8367.2412109375</v>
      </c>
      <c r="N15" s="75">
        <v>8114.5537109375</v>
      </c>
      <c r="O15" s="76"/>
      <c r="P15" s="77"/>
      <c r="Q15" s="77"/>
      <c r="R15" s="89"/>
      <c r="S15" s="50">
        <v>0</v>
      </c>
      <c r="T15" s="50">
        <v>1</v>
      </c>
      <c r="U15" s="51">
        <v>0</v>
      </c>
      <c r="V15" s="51">
        <v>0.229658</v>
      </c>
      <c r="W15" s="51">
        <v>6.9870000000000002E-3</v>
      </c>
      <c r="X15" s="51">
        <v>4.4200000000000003E-3</v>
      </c>
      <c r="Y15" s="51">
        <v>0</v>
      </c>
      <c r="Z15" s="51">
        <v>0</v>
      </c>
      <c r="AA15" s="72">
        <v>15</v>
      </c>
      <c r="AB15" s="72"/>
      <c r="AC15" s="73"/>
      <c r="AD15" s="79" t="s">
        <v>1740</v>
      </c>
      <c r="AE15" s="84" t="s">
        <v>1936</v>
      </c>
      <c r="AF15" s="79">
        <v>230</v>
      </c>
      <c r="AG15" s="79">
        <v>186</v>
      </c>
      <c r="AH15" s="79">
        <v>8634</v>
      </c>
      <c r="AI15" s="79">
        <v>1</v>
      </c>
      <c r="AJ15" s="79"/>
      <c r="AK15" s="79" t="s">
        <v>2126</v>
      </c>
      <c r="AL15" s="79" t="s">
        <v>2304</v>
      </c>
      <c r="AM15" s="86" t="str">
        <f>HYPERLINK("https://t.co/Xhi3OnWEIl")</f>
        <v>https://t.co/Xhi3OnWEIl</v>
      </c>
      <c r="AN15" s="79"/>
      <c r="AO15" s="81">
        <v>44494.77988425926</v>
      </c>
      <c r="AP15" s="86" t="str">
        <f>HYPERLINK("https://pbs.twimg.com/profile_banners/1452707267099377671/1644267715")</f>
        <v>https://pbs.twimg.com/profile_banners/1452707267099377671/1644267715</v>
      </c>
      <c r="AQ15" s="79" t="b">
        <v>1</v>
      </c>
      <c r="AR15" s="79" t="b">
        <v>0</v>
      </c>
      <c r="AS15" s="79" t="b">
        <v>0</v>
      </c>
      <c r="AT15" s="79"/>
      <c r="AU15" s="79">
        <v>2</v>
      </c>
      <c r="AV15" s="79"/>
      <c r="AW15" s="79" t="b">
        <v>0</v>
      </c>
      <c r="AX15" s="79" t="s">
        <v>2381</v>
      </c>
      <c r="AY15" s="86" t="str">
        <f>HYPERLINK("https://twitter.com/womenhealthbot")</f>
        <v>https://twitter.com/womenhealthbot</v>
      </c>
      <c r="AZ15" s="79" t="s">
        <v>66</v>
      </c>
      <c r="BA15" s="50" t="s">
        <v>2635</v>
      </c>
      <c r="BB15" s="50" t="s">
        <v>2635</v>
      </c>
      <c r="BC15" s="50" t="s">
        <v>633</v>
      </c>
      <c r="BD15" s="50" t="s">
        <v>633</v>
      </c>
      <c r="BE15" s="50" t="s">
        <v>662</v>
      </c>
      <c r="BF15" s="50" t="s">
        <v>662</v>
      </c>
      <c r="BG15" s="108" t="s">
        <v>2827</v>
      </c>
      <c r="BH15" s="108" t="s">
        <v>2827</v>
      </c>
      <c r="BI15" s="108" t="s">
        <v>2992</v>
      </c>
      <c r="BJ15" s="108" t="s">
        <v>2992</v>
      </c>
      <c r="BK15" s="2"/>
      <c r="BL15" s="3"/>
      <c r="BM15" s="3"/>
      <c r="BN15" s="3"/>
      <c r="BO15" s="3"/>
    </row>
    <row r="16" spans="1:67" x14ac:dyDescent="0.25">
      <c r="A16" s="65" t="s">
        <v>224</v>
      </c>
      <c r="B16" s="66"/>
      <c r="C16" s="66"/>
      <c r="D16" s="67"/>
      <c r="E16" s="69"/>
      <c r="F16" s="103" t="str">
        <f>HYPERLINK("https://pbs.twimg.com/profile_images/1503335104755687431/VubVAjgL_normal.jpg")</f>
        <v>https://pbs.twimg.com/profile_images/1503335104755687431/VubVAjgL_normal.jpg</v>
      </c>
      <c r="G16" s="66"/>
      <c r="H16" s="70"/>
      <c r="I16" s="71"/>
      <c r="J16" s="71"/>
      <c r="K16" s="70" t="s">
        <v>2394</v>
      </c>
      <c r="L16" s="74"/>
      <c r="M16" s="75">
        <v>8879.166015625</v>
      </c>
      <c r="N16" s="75">
        <v>5385.4775390625</v>
      </c>
      <c r="O16" s="76"/>
      <c r="P16" s="77"/>
      <c r="Q16" s="77"/>
      <c r="R16" s="89"/>
      <c r="S16" s="50">
        <v>0</v>
      </c>
      <c r="T16" s="50">
        <v>1</v>
      </c>
      <c r="U16" s="51">
        <v>0</v>
      </c>
      <c r="V16" s="51">
        <v>0.28042400000000001</v>
      </c>
      <c r="W16" s="51">
        <v>1.7610000000000001E-2</v>
      </c>
      <c r="X16" s="51">
        <v>4.3790000000000001E-3</v>
      </c>
      <c r="Y16" s="51">
        <v>0</v>
      </c>
      <c r="Z16" s="51">
        <v>0</v>
      </c>
      <c r="AA16" s="72">
        <v>16</v>
      </c>
      <c r="AB16" s="72"/>
      <c r="AC16" s="73"/>
      <c r="AD16" s="79" t="s">
        <v>1741</v>
      </c>
      <c r="AE16" s="84" t="s">
        <v>1937</v>
      </c>
      <c r="AF16" s="79">
        <v>613</v>
      </c>
      <c r="AG16" s="79">
        <v>1249</v>
      </c>
      <c r="AH16" s="79">
        <v>66746</v>
      </c>
      <c r="AI16" s="79">
        <v>13049</v>
      </c>
      <c r="AJ16" s="79"/>
      <c r="AK16" s="79" t="s">
        <v>2127</v>
      </c>
      <c r="AL16" s="79" t="s">
        <v>2305</v>
      </c>
      <c r="AM16" s="79"/>
      <c r="AN16" s="79"/>
      <c r="AO16" s="81">
        <v>40614.020729166667</v>
      </c>
      <c r="AP16" s="86" t="str">
        <f>HYPERLINK("https://pbs.twimg.com/profile_banners/264490098/1440756366")</f>
        <v>https://pbs.twimg.com/profile_banners/264490098/1440756366</v>
      </c>
      <c r="AQ16" s="79" t="b">
        <v>1</v>
      </c>
      <c r="AR16" s="79" t="b">
        <v>0</v>
      </c>
      <c r="AS16" s="79" t="b">
        <v>1</v>
      </c>
      <c r="AT16" s="79"/>
      <c r="AU16" s="79">
        <v>12</v>
      </c>
      <c r="AV16" s="86" t="str">
        <f>HYPERLINK("https://abs.twimg.com/images/themes/theme1/bg.png")</f>
        <v>https://abs.twimg.com/images/themes/theme1/bg.png</v>
      </c>
      <c r="AW16" s="79" t="b">
        <v>0</v>
      </c>
      <c r="AX16" s="79" t="s">
        <v>2381</v>
      </c>
      <c r="AY16" s="86" t="str">
        <f>HYPERLINK("https://twitter.com/geniusinhd")</f>
        <v>https://twitter.com/geniusinhd</v>
      </c>
      <c r="AZ16" s="79" t="s">
        <v>66</v>
      </c>
      <c r="BA16" s="50" t="s">
        <v>2637</v>
      </c>
      <c r="BB16" s="50" t="s">
        <v>2637</v>
      </c>
      <c r="BC16" s="50" t="s">
        <v>634</v>
      </c>
      <c r="BD16" s="50" t="s">
        <v>634</v>
      </c>
      <c r="BE16" s="50" t="s">
        <v>357</v>
      </c>
      <c r="BF16" s="50" t="s">
        <v>357</v>
      </c>
      <c r="BG16" s="108" t="s">
        <v>2829</v>
      </c>
      <c r="BH16" s="108" t="s">
        <v>2829</v>
      </c>
      <c r="BI16" s="108" t="s">
        <v>2994</v>
      </c>
      <c r="BJ16" s="108" t="s">
        <v>2994</v>
      </c>
      <c r="BK16" s="2"/>
      <c r="BL16" s="3"/>
      <c r="BM16" s="3"/>
      <c r="BN16" s="3"/>
      <c r="BO16" s="3"/>
    </row>
    <row r="17" spans="1:67" x14ac:dyDescent="0.25">
      <c r="A17" s="65" t="s">
        <v>353</v>
      </c>
      <c r="B17" s="66"/>
      <c r="C17" s="66"/>
      <c r="D17" s="67"/>
      <c r="E17" s="69"/>
      <c r="F17" s="103" t="str">
        <f>HYPERLINK("https://pbs.twimg.com/profile_images/1060537291154878469/YDggWrP4_normal.jpg")</f>
        <v>https://pbs.twimg.com/profile_images/1060537291154878469/YDggWrP4_normal.jpg</v>
      </c>
      <c r="G17" s="66"/>
      <c r="H17" s="70"/>
      <c r="I17" s="71"/>
      <c r="J17" s="71"/>
      <c r="K17" s="70" t="s">
        <v>2395</v>
      </c>
      <c r="L17" s="74"/>
      <c r="M17" s="75">
        <v>5660.0771484375</v>
      </c>
      <c r="N17" s="75">
        <v>6093.22216796875</v>
      </c>
      <c r="O17" s="76"/>
      <c r="P17" s="77"/>
      <c r="Q17" s="77"/>
      <c r="R17" s="89"/>
      <c r="S17" s="50">
        <v>16</v>
      </c>
      <c r="T17" s="50">
        <v>13</v>
      </c>
      <c r="U17" s="51">
        <v>4589.7075130000003</v>
      </c>
      <c r="V17" s="51">
        <v>0.40569</v>
      </c>
      <c r="W17" s="51">
        <v>0.21303900000000001</v>
      </c>
      <c r="X17" s="51">
        <v>1.1579000000000001E-2</v>
      </c>
      <c r="Y17" s="51">
        <v>5.6923076923076923E-2</v>
      </c>
      <c r="Z17" s="51">
        <v>3.8461538461538464E-2</v>
      </c>
      <c r="AA17" s="72">
        <v>17</v>
      </c>
      <c r="AB17" s="72"/>
      <c r="AC17" s="73"/>
      <c r="AD17" s="79" t="s">
        <v>1742</v>
      </c>
      <c r="AE17" s="84" t="s">
        <v>1636</v>
      </c>
      <c r="AF17" s="79">
        <v>649</v>
      </c>
      <c r="AG17" s="79">
        <v>6622</v>
      </c>
      <c r="AH17" s="79">
        <v>6318</v>
      </c>
      <c r="AI17" s="79">
        <v>6463</v>
      </c>
      <c r="AJ17" s="79"/>
      <c r="AK17" s="79" t="s">
        <v>2128</v>
      </c>
      <c r="AL17" s="79" t="s">
        <v>2306</v>
      </c>
      <c r="AM17" s="86" t="str">
        <f>HYPERLINK("https://t.co/z9vT6DCK6h")</f>
        <v>https://t.co/z9vT6DCK6h</v>
      </c>
      <c r="AN17" s="79"/>
      <c r="AO17" s="81">
        <v>39500.763657407406</v>
      </c>
      <c r="AP17" s="86" t="str">
        <f>HYPERLINK("https://pbs.twimg.com/profile_banners/13830252/1526396688")</f>
        <v>https://pbs.twimg.com/profile_banners/13830252/1526396688</v>
      </c>
      <c r="AQ17" s="79" t="b">
        <v>0</v>
      </c>
      <c r="AR17" s="79" t="b">
        <v>0</v>
      </c>
      <c r="AS17" s="79" t="b">
        <v>1</v>
      </c>
      <c r="AT17" s="79"/>
      <c r="AU17" s="79">
        <v>137</v>
      </c>
      <c r="AV17" s="86" t="str">
        <f>HYPERLINK("https://abs.twimg.com/images/themes/theme15/bg.png")</f>
        <v>https://abs.twimg.com/images/themes/theme15/bg.png</v>
      </c>
      <c r="AW17" s="79" t="b">
        <v>1</v>
      </c>
      <c r="AX17" s="79" t="s">
        <v>2381</v>
      </c>
      <c r="AY17" s="86" t="str">
        <f>HYPERLINK("https://twitter.com/ubalumni")</f>
        <v>https://twitter.com/ubalumni</v>
      </c>
      <c r="AZ17" s="79" t="s">
        <v>66</v>
      </c>
      <c r="BA17" s="50" t="s">
        <v>2638</v>
      </c>
      <c r="BB17" s="50" t="s">
        <v>2638</v>
      </c>
      <c r="BC17" s="50" t="s">
        <v>2712</v>
      </c>
      <c r="BD17" s="50" t="s">
        <v>2712</v>
      </c>
      <c r="BE17" s="50" t="s">
        <v>2745</v>
      </c>
      <c r="BF17" s="50" t="s">
        <v>2784</v>
      </c>
      <c r="BG17" s="108" t="s">
        <v>2830</v>
      </c>
      <c r="BH17" s="108" t="s">
        <v>2943</v>
      </c>
      <c r="BI17" s="108" t="s">
        <v>2995</v>
      </c>
      <c r="BJ17" s="108" t="s">
        <v>3094</v>
      </c>
      <c r="BK17" s="2"/>
      <c r="BL17" s="3"/>
      <c r="BM17" s="3"/>
      <c r="BN17" s="3"/>
      <c r="BO17" s="3"/>
    </row>
    <row r="18" spans="1:67" x14ac:dyDescent="0.25">
      <c r="A18" s="65" t="s">
        <v>225</v>
      </c>
      <c r="B18" s="66"/>
      <c r="C18" s="66"/>
      <c r="D18" s="67"/>
      <c r="E18" s="69"/>
      <c r="F18" s="103" t="str">
        <f>HYPERLINK("https://pbs.twimg.com/profile_images/1434899550821666822/ewtLUxP__normal.jpg")</f>
        <v>https://pbs.twimg.com/profile_images/1434899550821666822/ewtLUxP__normal.jpg</v>
      </c>
      <c r="G18" s="66"/>
      <c r="H18" s="70"/>
      <c r="I18" s="71"/>
      <c r="J18" s="71"/>
      <c r="K18" s="70" t="s">
        <v>2396</v>
      </c>
      <c r="L18" s="74"/>
      <c r="M18" s="75">
        <v>7032.61865234375</v>
      </c>
      <c r="N18" s="75">
        <v>2322.616455078125</v>
      </c>
      <c r="O18" s="76"/>
      <c r="P18" s="77"/>
      <c r="Q18" s="77"/>
      <c r="R18" s="89"/>
      <c r="S18" s="50">
        <v>0</v>
      </c>
      <c r="T18" s="50">
        <v>1</v>
      </c>
      <c r="U18" s="51">
        <v>0</v>
      </c>
      <c r="V18" s="51">
        <v>0.17261499999999999</v>
      </c>
      <c r="W18" s="51">
        <v>7.7000000000000001E-5</v>
      </c>
      <c r="X18" s="51">
        <v>4.4949999999999999E-3</v>
      </c>
      <c r="Y18" s="51">
        <v>0</v>
      </c>
      <c r="Z18" s="51">
        <v>0</v>
      </c>
      <c r="AA18" s="72">
        <v>18</v>
      </c>
      <c r="AB18" s="72"/>
      <c r="AC18" s="73"/>
      <c r="AD18" s="79" t="s">
        <v>1743</v>
      </c>
      <c r="AE18" s="84" t="s">
        <v>1938</v>
      </c>
      <c r="AF18" s="79">
        <v>1117</v>
      </c>
      <c r="AG18" s="79">
        <v>1458</v>
      </c>
      <c r="AH18" s="79">
        <v>1340</v>
      </c>
      <c r="AI18" s="79">
        <v>3305</v>
      </c>
      <c r="AJ18" s="79"/>
      <c r="AK18" s="79" t="s">
        <v>2129</v>
      </c>
      <c r="AL18" s="79" t="s">
        <v>2307</v>
      </c>
      <c r="AM18" s="86" t="str">
        <f>HYPERLINK("https://t.co/egVhRh0EkN")</f>
        <v>https://t.co/egVhRh0EkN</v>
      </c>
      <c r="AN18" s="79"/>
      <c r="AO18" s="81">
        <v>43766.556493055556</v>
      </c>
      <c r="AP18" s="86" t="str">
        <f>HYPERLINK("https://pbs.twimg.com/profile_banners/1188807912753373184/1617028919")</f>
        <v>https://pbs.twimg.com/profile_banners/1188807912753373184/1617028919</v>
      </c>
      <c r="AQ18" s="79" t="b">
        <v>1</v>
      </c>
      <c r="AR18" s="79" t="b">
        <v>0</v>
      </c>
      <c r="AS18" s="79" t="b">
        <v>0</v>
      </c>
      <c r="AT18" s="79"/>
      <c r="AU18" s="79">
        <v>13</v>
      </c>
      <c r="AV18" s="79"/>
      <c r="AW18" s="79" t="b">
        <v>0</v>
      </c>
      <c r="AX18" s="79" t="s">
        <v>2381</v>
      </c>
      <c r="AY18" s="86" t="str">
        <f>HYPERLINK("https://twitter.com/sugaronthegash")</f>
        <v>https://twitter.com/sugaronthegash</v>
      </c>
      <c r="AZ18" s="79" t="s">
        <v>66</v>
      </c>
      <c r="BA18" s="50" t="s">
        <v>2639</v>
      </c>
      <c r="BB18" s="50" t="s">
        <v>2639</v>
      </c>
      <c r="BC18" s="50" t="s">
        <v>635</v>
      </c>
      <c r="BD18" s="50" t="s">
        <v>635</v>
      </c>
      <c r="BE18" s="50" t="s">
        <v>357</v>
      </c>
      <c r="BF18" s="50" t="s">
        <v>357</v>
      </c>
      <c r="BG18" s="108" t="s">
        <v>2831</v>
      </c>
      <c r="BH18" s="108" t="s">
        <v>2831</v>
      </c>
      <c r="BI18" s="108" t="s">
        <v>2996</v>
      </c>
      <c r="BJ18" s="108" t="s">
        <v>2996</v>
      </c>
      <c r="BK18" s="2"/>
      <c r="BL18" s="3"/>
      <c r="BM18" s="3"/>
      <c r="BN18" s="3"/>
      <c r="BO18" s="3"/>
    </row>
    <row r="19" spans="1:67" x14ac:dyDescent="0.25">
      <c r="A19" s="65" t="s">
        <v>286</v>
      </c>
      <c r="B19" s="66"/>
      <c r="C19" s="66"/>
      <c r="D19" s="67"/>
      <c r="E19" s="69"/>
      <c r="F19" s="103" t="str">
        <f>HYPERLINK("https://pbs.twimg.com/profile_images/1427337925814013952/kGaBCjef_normal.jpg")</f>
        <v>https://pbs.twimg.com/profile_images/1427337925814013952/kGaBCjef_normal.jpg</v>
      </c>
      <c r="G19" s="66"/>
      <c r="H19" s="70"/>
      <c r="I19" s="71"/>
      <c r="J19" s="71"/>
      <c r="K19" s="70" t="s">
        <v>2397</v>
      </c>
      <c r="L19" s="74"/>
      <c r="M19" s="75">
        <v>6431.26025390625</v>
      </c>
      <c r="N19" s="75">
        <v>6495.23876953125</v>
      </c>
      <c r="O19" s="76"/>
      <c r="P19" s="77"/>
      <c r="Q19" s="77"/>
      <c r="R19" s="89"/>
      <c r="S19" s="50">
        <v>5</v>
      </c>
      <c r="T19" s="50">
        <v>2</v>
      </c>
      <c r="U19" s="51">
        <v>526</v>
      </c>
      <c r="V19" s="51">
        <v>0.21312200000000001</v>
      </c>
      <c r="W19" s="51">
        <v>9.3700000000000001E-4</v>
      </c>
      <c r="X19" s="51">
        <v>6.0210000000000003E-3</v>
      </c>
      <c r="Y19" s="51">
        <v>0.16666666666666666</v>
      </c>
      <c r="Z19" s="51">
        <v>0.25</v>
      </c>
      <c r="AA19" s="72">
        <v>19</v>
      </c>
      <c r="AB19" s="72"/>
      <c r="AC19" s="73"/>
      <c r="AD19" s="79" t="s">
        <v>1744</v>
      </c>
      <c r="AE19" s="84" t="s">
        <v>1939</v>
      </c>
      <c r="AF19" s="79">
        <v>257</v>
      </c>
      <c r="AG19" s="79">
        <v>487</v>
      </c>
      <c r="AH19" s="79">
        <v>1014</v>
      </c>
      <c r="AI19" s="79">
        <v>58</v>
      </c>
      <c r="AJ19" s="79"/>
      <c r="AK19" s="79" t="s">
        <v>2130</v>
      </c>
      <c r="AL19" s="79" t="s">
        <v>1694</v>
      </c>
      <c r="AM19" s="86" t="str">
        <f>HYPERLINK("http://t.co/G8YysLjwQC")</f>
        <v>http://t.co/G8YysLjwQC</v>
      </c>
      <c r="AN19" s="79"/>
      <c r="AO19" s="81">
        <v>41723.705428240741</v>
      </c>
      <c r="AP19" s="86" t="str">
        <f>HYPERLINK("https://pbs.twimg.com/profile_banners/2411292110/1395768553")</f>
        <v>https://pbs.twimg.com/profile_banners/2411292110/1395768553</v>
      </c>
      <c r="AQ19" s="79" t="b">
        <v>1</v>
      </c>
      <c r="AR19" s="79" t="b">
        <v>0</v>
      </c>
      <c r="AS19" s="79" t="b">
        <v>0</v>
      </c>
      <c r="AT19" s="79"/>
      <c r="AU19" s="79">
        <v>13</v>
      </c>
      <c r="AV19" s="86" t="str">
        <f>HYPERLINK("https://abs.twimg.com/images/themes/theme1/bg.png")</f>
        <v>https://abs.twimg.com/images/themes/theme1/bg.png</v>
      </c>
      <c r="AW19" s="79" t="b">
        <v>0</v>
      </c>
      <c r="AX19" s="79" t="s">
        <v>2381</v>
      </c>
      <c r="AY19" s="86" t="str">
        <f>HYPERLINK("https://twitter.com/ub_english")</f>
        <v>https://twitter.com/ub_english</v>
      </c>
      <c r="AZ19" s="79" t="s">
        <v>66</v>
      </c>
      <c r="BA19" s="50" t="s">
        <v>2640</v>
      </c>
      <c r="BB19" s="50" t="s">
        <v>2640</v>
      </c>
      <c r="BC19" s="50" t="s">
        <v>2713</v>
      </c>
      <c r="BD19" s="50" t="s">
        <v>2713</v>
      </c>
      <c r="BE19" s="50" t="s">
        <v>688</v>
      </c>
      <c r="BF19" s="50" t="s">
        <v>2785</v>
      </c>
      <c r="BG19" s="108" t="s">
        <v>2832</v>
      </c>
      <c r="BH19" s="108" t="s">
        <v>2944</v>
      </c>
      <c r="BI19" s="108" t="s">
        <v>2997</v>
      </c>
      <c r="BJ19" s="108" t="s">
        <v>2997</v>
      </c>
      <c r="BK19" s="2"/>
      <c r="BL19" s="3"/>
      <c r="BM19" s="3"/>
      <c r="BN19" s="3"/>
      <c r="BO19" s="3"/>
    </row>
    <row r="20" spans="1:67" x14ac:dyDescent="0.25">
      <c r="A20" s="65" t="s">
        <v>226</v>
      </c>
      <c r="B20" s="66"/>
      <c r="C20" s="66"/>
      <c r="D20" s="67"/>
      <c r="E20" s="69"/>
      <c r="F20" s="103" t="str">
        <f>HYPERLINK("https://pbs.twimg.com/profile_images/1282725535379009542/J5H9kAtv_normal.jpg")</f>
        <v>https://pbs.twimg.com/profile_images/1282725535379009542/J5H9kAtv_normal.jpg</v>
      </c>
      <c r="G20" s="66"/>
      <c r="H20" s="70"/>
      <c r="I20" s="71"/>
      <c r="J20" s="71"/>
      <c r="K20" s="70" t="s">
        <v>2398</v>
      </c>
      <c r="L20" s="74"/>
      <c r="M20" s="75">
        <v>9593.060546875</v>
      </c>
      <c r="N20" s="75">
        <v>2462.45458984375</v>
      </c>
      <c r="O20" s="76"/>
      <c r="P20" s="77"/>
      <c r="Q20" s="77"/>
      <c r="R20" s="89"/>
      <c r="S20" s="50">
        <v>1</v>
      </c>
      <c r="T20" s="50">
        <v>1</v>
      </c>
      <c r="U20" s="51">
        <v>0</v>
      </c>
      <c r="V20" s="51">
        <v>0</v>
      </c>
      <c r="W20" s="51">
        <v>0</v>
      </c>
      <c r="X20" s="51">
        <v>5.0759999999999998E-3</v>
      </c>
      <c r="Y20" s="51">
        <v>0</v>
      </c>
      <c r="Z20" s="51">
        <v>0</v>
      </c>
      <c r="AA20" s="72">
        <v>20</v>
      </c>
      <c r="AB20" s="72"/>
      <c r="AC20" s="73"/>
      <c r="AD20" s="79" t="s">
        <v>1745</v>
      </c>
      <c r="AE20" s="84" t="s">
        <v>1940</v>
      </c>
      <c r="AF20" s="79">
        <v>139</v>
      </c>
      <c r="AG20" s="79">
        <v>432</v>
      </c>
      <c r="AH20" s="79">
        <v>310</v>
      </c>
      <c r="AI20" s="79">
        <v>713</v>
      </c>
      <c r="AJ20" s="79"/>
      <c r="AK20" s="79" t="s">
        <v>2131</v>
      </c>
      <c r="AL20" s="79" t="s">
        <v>2308</v>
      </c>
      <c r="AM20" s="86" t="str">
        <f>HYPERLINK("https://t.co/Y1JvCQ81kK")</f>
        <v>https://t.co/Y1JvCQ81kK</v>
      </c>
      <c r="AN20" s="79"/>
      <c r="AO20" s="81">
        <v>43957.856840277775</v>
      </c>
      <c r="AP20" s="86" t="str">
        <f>HYPERLINK("https://pbs.twimg.com/profile_banners/1258132673819742211/1594660809")</f>
        <v>https://pbs.twimg.com/profile_banners/1258132673819742211/1594660809</v>
      </c>
      <c r="AQ20" s="79" t="b">
        <v>1</v>
      </c>
      <c r="AR20" s="79" t="b">
        <v>0</v>
      </c>
      <c r="AS20" s="79" t="b">
        <v>0</v>
      </c>
      <c r="AT20" s="79"/>
      <c r="AU20" s="79">
        <v>13</v>
      </c>
      <c r="AV20" s="79"/>
      <c r="AW20" s="79" t="b">
        <v>0</v>
      </c>
      <c r="AX20" s="79" t="s">
        <v>2381</v>
      </c>
      <c r="AY20" s="86" t="str">
        <f>HYPERLINK("https://twitter.com/nyslibrary")</f>
        <v>https://twitter.com/nyslibrary</v>
      </c>
      <c r="AZ20" s="79" t="s">
        <v>66</v>
      </c>
      <c r="BA20" s="50" t="s">
        <v>2641</v>
      </c>
      <c r="BB20" s="50" t="s">
        <v>2641</v>
      </c>
      <c r="BC20" s="50" t="s">
        <v>636</v>
      </c>
      <c r="BD20" s="50" t="s">
        <v>636</v>
      </c>
      <c r="BE20" s="50" t="s">
        <v>663</v>
      </c>
      <c r="BF20" s="50" t="s">
        <v>663</v>
      </c>
      <c r="BG20" s="108" t="s">
        <v>2833</v>
      </c>
      <c r="BH20" s="108" t="s">
        <v>2833</v>
      </c>
      <c r="BI20" s="108" t="s">
        <v>2998</v>
      </c>
      <c r="BJ20" s="108" t="s">
        <v>2998</v>
      </c>
      <c r="BK20" s="2"/>
      <c r="BL20" s="3"/>
      <c r="BM20" s="3"/>
      <c r="BN20" s="3"/>
      <c r="BO20" s="3"/>
    </row>
    <row r="21" spans="1:67" x14ac:dyDescent="0.25">
      <c r="A21" s="65" t="s">
        <v>227</v>
      </c>
      <c r="B21" s="66"/>
      <c r="C21" s="66"/>
      <c r="D21" s="67"/>
      <c r="E21" s="69"/>
      <c r="F21" s="103" t="str">
        <f>HYPERLINK("https://pbs.twimg.com/profile_images/1036943659307085824/1AHDfU6i_normal.jpg")</f>
        <v>https://pbs.twimg.com/profile_images/1036943659307085824/1AHDfU6i_normal.jpg</v>
      </c>
      <c r="G21" s="66"/>
      <c r="H21" s="70"/>
      <c r="I21" s="71"/>
      <c r="J21" s="71"/>
      <c r="K21" s="70" t="s">
        <v>2399</v>
      </c>
      <c r="L21" s="74"/>
      <c r="M21" s="75">
        <v>7657.5810546875</v>
      </c>
      <c r="N21" s="75">
        <v>9395.123046875</v>
      </c>
      <c r="O21" s="76"/>
      <c r="P21" s="77"/>
      <c r="Q21" s="77"/>
      <c r="R21" s="89"/>
      <c r="S21" s="50">
        <v>1</v>
      </c>
      <c r="T21" s="50">
        <v>1</v>
      </c>
      <c r="U21" s="51">
        <v>0</v>
      </c>
      <c r="V21" s="51">
        <v>0</v>
      </c>
      <c r="W21" s="51">
        <v>0</v>
      </c>
      <c r="X21" s="51">
        <v>5.0759999999999998E-3</v>
      </c>
      <c r="Y21" s="51">
        <v>0</v>
      </c>
      <c r="Z21" s="51">
        <v>0</v>
      </c>
      <c r="AA21" s="72">
        <v>21</v>
      </c>
      <c r="AB21" s="72"/>
      <c r="AC21" s="73"/>
      <c r="AD21" s="79" t="s">
        <v>1746</v>
      </c>
      <c r="AE21" s="84" t="s">
        <v>1941</v>
      </c>
      <c r="AF21" s="79">
        <v>235</v>
      </c>
      <c r="AG21" s="79">
        <v>292</v>
      </c>
      <c r="AH21" s="79">
        <v>604</v>
      </c>
      <c r="AI21" s="79">
        <v>17</v>
      </c>
      <c r="AJ21" s="79"/>
      <c r="AK21" s="79" t="s">
        <v>2132</v>
      </c>
      <c r="AL21" s="79" t="s">
        <v>2309</v>
      </c>
      <c r="AM21" s="86" t="str">
        <f>HYPERLINK("https://t.co/hYcgX6nwjv")</f>
        <v>https://t.co/hYcgX6nwjv</v>
      </c>
      <c r="AN21" s="79"/>
      <c r="AO21" s="81">
        <v>41156.215462962966</v>
      </c>
      <c r="AP21" s="86" t="str">
        <f>HYPERLINK("https://pbs.twimg.com/profile_banners/801830682/1485214021")</f>
        <v>https://pbs.twimg.com/profile_banners/801830682/1485214021</v>
      </c>
      <c r="AQ21" s="79" t="b">
        <v>0</v>
      </c>
      <c r="AR21" s="79" t="b">
        <v>0</v>
      </c>
      <c r="AS21" s="79" t="b">
        <v>1</v>
      </c>
      <c r="AT21" s="79"/>
      <c r="AU21" s="79">
        <v>10</v>
      </c>
      <c r="AV21" s="86" t="str">
        <f>HYPERLINK("https://abs.twimg.com/images/themes/theme1/bg.png")</f>
        <v>https://abs.twimg.com/images/themes/theme1/bg.png</v>
      </c>
      <c r="AW21" s="79" t="b">
        <v>0</v>
      </c>
      <c r="AX21" s="79" t="s">
        <v>2381</v>
      </c>
      <c r="AY21" s="86" t="str">
        <f>HYPERLINK("https://twitter.com/ub_marketing")</f>
        <v>https://twitter.com/ub_marketing</v>
      </c>
      <c r="AZ21" s="79" t="s">
        <v>66</v>
      </c>
      <c r="BA21" s="50"/>
      <c r="BB21" s="50"/>
      <c r="BC21" s="50"/>
      <c r="BD21" s="50"/>
      <c r="BE21" s="50" t="s">
        <v>664</v>
      </c>
      <c r="BF21" s="50" t="s">
        <v>664</v>
      </c>
      <c r="BG21" s="108" t="s">
        <v>2834</v>
      </c>
      <c r="BH21" s="108" t="s">
        <v>2834</v>
      </c>
      <c r="BI21" s="108" t="s">
        <v>2999</v>
      </c>
      <c r="BJ21" s="108" t="s">
        <v>2999</v>
      </c>
      <c r="BK21" s="2"/>
      <c r="BL21" s="3"/>
      <c r="BM21" s="3"/>
      <c r="BN21" s="3"/>
      <c r="BO21" s="3"/>
    </row>
    <row r="22" spans="1:67" x14ac:dyDescent="0.25">
      <c r="A22" s="65" t="s">
        <v>228</v>
      </c>
      <c r="B22" s="66"/>
      <c r="C22" s="66"/>
      <c r="D22" s="67"/>
      <c r="E22" s="69"/>
      <c r="F22" s="103" t="str">
        <f>HYPERLINK("https://pbs.twimg.com/profile_images/945856091220475909/JO7aG1Ln_normal.jpg")</f>
        <v>https://pbs.twimg.com/profile_images/945856091220475909/JO7aG1Ln_normal.jpg</v>
      </c>
      <c r="G22" s="66"/>
      <c r="H22" s="70"/>
      <c r="I22" s="71"/>
      <c r="J22" s="71"/>
      <c r="K22" s="70" t="s">
        <v>2400</v>
      </c>
      <c r="L22" s="74"/>
      <c r="M22" s="75">
        <v>4675.935546875</v>
      </c>
      <c r="N22" s="75">
        <v>2512.392578125</v>
      </c>
      <c r="O22" s="76"/>
      <c r="P22" s="77"/>
      <c r="Q22" s="77"/>
      <c r="R22" s="89"/>
      <c r="S22" s="50">
        <v>0</v>
      </c>
      <c r="T22" s="50">
        <v>4</v>
      </c>
      <c r="U22" s="51">
        <v>1.2</v>
      </c>
      <c r="V22" s="51">
        <v>0.273702</v>
      </c>
      <c r="W22" s="51">
        <v>1.6597000000000001E-2</v>
      </c>
      <c r="X22" s="51">
        <v>4.8060000000000004E-3</v>
      </c>
      <c r="Y22" s="51">
        <v>0.25</v>
      </c>
      <c r="Z22" s="51">
        <v>0</v>
      </c>
      <c r="AA22" s="72">
        <v>22</v>
      </c>
      <c r="AB22" s="72"/>
      <c r="AC22" s="73"/>
      <c r="AD22" s="79" t="s">
        <v>1747</v>
      </c>
      <c r="AE22" s="84" t="s">
        <v>1942</v>
      </c>
      <c r="AF22" s="79">
        <v>1865</v>
      </c>
      <c r="AG22" s="79">
        <v>683</v>
      </c>
      <c r="AH22" s="79">
        <v>1958</v>
      </c>
      <c r="AI22" s="79">
        <v>9758</v>
      </c>
      <c r="AJ22" s="79"/>
      <c r="AK22" s="79" t="s">
        <v>2133</v>
      </c>
      <c r="AL22" s="79" t="s">
        <v>1694</v>
      </c>
      <c r="AM22" s="86" t="str">
        <f>HYPERLINK("https://t.co/UyF2QHDvTU")</f>
        <v>https://t.co/UyF2QHDvTU</v>
      </c>
      <c r="AN22" s="79"/>
      <c r="AO22" s="81">
        <v>42885.091840277775</v>
      </c>
      <c r="AP22" s="86" t="str">
        <f>HYPERLINK("https://pbs.twimg.com/profile_banners/869375872834433024/1547049438")</f>
        <v>https://pbs.twimg.com/profile_banners/869375872834433024/1547049438</v>
      </c>
      <c r="AQ22" s="79" t="b">
        <v>1</v>
      </c>
      <c r="AR22" s="79" t="b">
        <v>0</v>
      </c>
      <c r="AS22" s="79" t="b">
        <v>1</v>
      </c>
      <c r="AT22" s="79"/>
      <c r="AU22" s="79">
        <v>3</v>
      </c>
      <c r="AV22" s="79"/>
      <c r="AW22" s="79" t="b">
        <v>0</v>
      </c>
      <c r="AX22" s="79" t="s">
        <v>2381</v>
      </c>
      <c r="AY22" s="86" t="str">
        <f>HYPERLINK("https://twitter.com/cbramen")</f>
        <v>https://twitter.com/cbramen</v>
      </c>
      <c r="AZ22" s="79" t="s">
        <v>66</v>
      </c>
      <c r="BA22" s="50" t="s">
        <v>2587</v>
      </c>
      <c r="BB22" s="50" t="s">
        <v>2587</v>
      </c>
      <c r="BC22" s="50" t="s">
        <v>637</v>
      </c>
      <c r="BD22" s="50" t="s">
        <v>637</v>
      </c>
      <c r="BE22" s="50" t="s">
        <v>357</v>
      </c>
      <c r="BF22" s="50" t="s">
        <v>357</v>
      </c>
      <c r="BG22" s="108" t="s">
        <v>2835</v>
      </c>
      <c r="BH22" s="108" t="s">
        <v>2835</v>
      </c>
      <c r="BI22" s="108" t="s">
        <v>3000</v>
      </c>
      <c r="BJ22" s="108" t="s">
        <v>3000</v>
      </c>
      <c r="BK22" s="2"/>
      <c r="BL22" s="3"/>
      <c r="BM22" s="3"/>
      <c r="BN22" s="3"/>
      <c r="BO22" s="3"/>
    </row>
    <row r="23" spans="1:67" x14ac:dyDescent="0.25">
      <c r="A23" s="65" t="s">
        <v>383</v>
      </c>
      <c r="B23" s="66"/>
      <c r="C23" s="66"/>
      <c r="D23" s="67"/>
      <c r="E23" s="69"/>
      <c r="F23" s="103" t="str">
        <f>HYPERLINK("https://pbs.twimg.com/profile_images/448804603589455872/DPbDgGfF_normal.png")</f>
        <v>https://pbs.twimg.com/profile_images/448804603589455872/DPbDgGfF_normal.png</v>
      </c>
      <c r="G23" s="66"/>
      <c r="H23" s="70"/>
      <c r="I23" s="71"/>
      <c r="J23" s="71"/>
      <c r="K23" s="70" t="s">
        <v>2401</v>
      </c>
      <c r="L23" s="74"/>
      <c r="M23" s="75">
        <v>4920.8076171875</v>
      </c>
      <c r="N23" s="75">
        <v>4056.27587890625</v>
      </c>
      <c r="O23" s="76"/>
      <c r="P23" s="77"/>
      <c r="Q23" s="77"/>
      <c r="R23" s="89"/>
      <c r="S23" s="50">
        <v>5</v>
      </c>
      <c r="T23" s="50">
        <v>0</v>
      </c>
      <c r="U23" s="51">
        <v>3</v>
      </c>
      <c r="V23" s="51">
        <v>0.274171</v>
      </c>
      <c r="W23" s="51">
        <v>1.4651000000000001E-2</v>
      </c>
      <c r="X23" s="51">
        <v>5.0930000000000003E-3</v>
      </c>
      <c r="Y23" s="51">
        <v>0.2</v>
      </c>
      <c r="Z23" s="51">
        <v>0</v>
      </c>
      <c r="AA23" s="72">
        <v>23</v>
      </c>
      <c r="AB23" s="72"/>
      <c r="AC23" s="73"/>
      <c r="AD23" s="79" t="s">
        <v>1748</v>
      </c>
      <c r="AE23" s="84" t="s">
        <v>1943</v>
      </c>
      <c r="AF23" s="79">
        <v>1148</v>
      </c>
      <c r="AG23" s="79">
        <v>34879</v>
      </c>
      <c r="AH23" s="79">
        <v>10860</v>
      </c>
      <c r="AI23" s="79">
        <v>13821</v>
      </c>
      <c r="AJ23" s="79"/>
      <c r="AK23" s="79" t="s">
        <v>2134</v>
      </c>
      <c r="AL23" s="79" t="s">
        <v>2310</v>
      </c>
      <c r="AM23" s="86" t="str">
        <f>HYPERLINK("https://t.co/Kp6U91x9Ah")</f>
        <v>https://t.co/Kp6U91x9Ah</v>
      </c>
      <c r="AN23" s="79"/>
      <c r="AO23" s="81">
        <v>39945.78628472222</v>
      </c>
      <c r="AP23" s="86" t="str">
        <f>HYPERLINK("https://pbs.twimg.com/profile_banners/39566272/1642510515")</f>
        <v>https://pbs.twimg.com/profile_banners/39566272/1642510515</v>
      </c>
      <c r="AQ23" s="79" t="b">
        <v>0</v>
      </c>
      <c r="AR23" s="79" t="b">
        <v>0</v>
      </c>
      <c r="AS23" s="79" t="b">
        <v>1</v>
      </c>
      <c r="AT23" s="79"/>
      <c r="AU23" s="79">
        <v>290</v>
      </c>
      <c r="AV23" s="86" t="str">
        <f>HYPERLINK("https://abs.twimg.com/images/themes/theme1/bg.png")</f>
        <v>https://abs.twimg.com/images/themes/theme1/bg.png</v>
      </c>
      <c r="AW23" s="79" t="b">
        <v>1</v>
      </c>
      <c r="AX23" s="79" t="s">
        <v>2381</v>
      </c>
      <c r="AY23" s="86" t="str">
        <f>HYPERLINK("https://twitter.com/uofl")</f>
        <v>https://twitter.com/uofl</v>
      </c>
      <c r="AZ23" s="79" t="s">
        <v>65</v>
      </c>
      <c r="BA23" s="50"/>
      <c r="BB23" s="50"/>
      <c r="BC23" s="50"/>
      <c r="BD23" s="50"/>
      <c r="BE23" s="50"/>
      <c r="BF23" s="50"/>
      <c r="BG23" s="50"/>
      <c r="BH23" s="50"/>
      <c r="BI23" s="50"/>
      <c r="BJ23" s="50"/>
      <c r="BK23" s="2"/>
      <c r="BL23" s="3"/>
      <c r="BM23" s="3"/>
      <c r="BN23" s="3"/>
      <c r="BO23" s="3"/>
    </row>
    <row r="24" spans="1:67" x14ac:dyDescent="0.25">
      <c r="A24" s="65" t="s">
        <v>375</v>
      </c>
      <c r="B24" s="66"/>
      <c r="C24" s="66"/>
      <c r="D24" s="67"/>
      <c r="E24" s="69"/>
      <c r="F24" s="103" t="str">
        <f>HYPERLINK("https://pbs.twimg.com/profile_images/1395369860994146307/PCJTTNik_normal.jpg")</f>
        <v>https://pbs.twimg.com/profile_images/1395369860994146307/PCJTTNik_normal.jpg</v>
      </c>
      <c r="G24" s="66"/>
      <c r="H24" s="70"/>
      <c r="I24" s="71"/>
      <c r="J24" s="71"/>
      <c r="K24" s="70" t="s">
        <v>2402</v>
      </c>
      <c r="L24" s="74"/>
      <c r="M24" s="75">
        <v>4679.94970703125</v>
      </c>
      <c r="N24" s="75">
        <v>5237.97412109375</v>
      </c>
      <c r="O24" s="76"/>
      <c r="P24" s="77"/>
      <c r="Q24" s="77"/>
      <c r="R24" s="89"/>
      <c r="S24" s="50">
        <v>5</v>
      </c>
      <c r="T24" s="50">
        <v>1</v>
      </c>
      <c r="U24" s="51">
        <v>527.66959699999995</v>
      </c>
      <c r="V24" s="51">
        <v>0.36410399999999998</v>
      </c>
      <c r="W24" s="51">
        <v>6.0630000000000003E-2</v>
      </c>
      <c r="X24" s="51">
        <v>5.1549999999999999E-3</v>
      </c>
      <c r="Y24" s="51">
        <v>0.16666666666666666</v>
      </c>
      <c r="Z24" s="51">
        <v>0</v>
      </c>
      <c r="AA24" s="72">
        <v>24</v>
      </c>
      <c r="AB24" s="72"/>
      <c r="AC24" s="73"/>
      <c r="AD24" s="79" t="s">
        <v>1749</v>
      </c>
      <c r="AE24" s="84" t="s">
        <v>1944</v>
      </c>
      <c r="AF24" s="79">
        <v>806</v>
      </c>
      <c r="AG24" s="79">
        <v>1496</v>
      </c>
      <c r="AH24" s="79">
        <v>6107</v>
      </c>
      <c r="AI24" s="79">
        <v>23609</v>
      </c>
      <c r="AJ24" s="79"/>
      <c r="AK24" s="79" t="s">
        <v>2135</v>
      </c>
      <c r="AL24" s="79" t="s">
        <v>2311</v>
      </c>
      <c r="AM24" s="79"/>
      <c r="AN24" s="79"/>
      <c r="AO24" s="81">
        <v>41886.821574074071</v>
      </c>
      <c r="AP24" s="86" t="str">
        <f>HYPERLINK("https://pbs.twimg.com/profile_banners/2790500587/1409922690")</f>
        <v>https://pbs.twimg.com/profile_banners/2790500587/1409922690</v>
      </c>
      <c r="AQ24" s="79" t="b">
        <v>0</v>
      </c>
      <c r="AR24" s="79" t="b">
        <v>0</v>
      </c>
      <c r="AS24" s="79" t="b">
        <v>1</v>
      </c>
      <c r="AT24" s="79"/>
      <c r="AU24" s="79">
        <v>30</v>
      </c>
      <c r="AV24" s="86" t="str">
        <f>HYPERLINK("https://abs.twimg.com/images/themes/theme1/bg.png")</f>
        <v>https://abs.twimg.com/images/themes/theme1/bg.png</v>
      </c>
      <c r="AW24" s="79" t="b">
        <v>0</v>
      </c>
      <c r="AX24" s="79" t="s">
        <v>2381</v>
      </c>
      <c r="AY24" s="86" t="str">
        <f>HYPERLINK("https://twitter.com/vwidgeon")</f>
        <v>https://twitter.com/vwidgeon</v>
      </c>
      <c r="AZ24" s="79" t="s">
        <v>66</v>
      </c>
      <c r="BA24" s="50"/>
      <c r="BB24" s="50"/>
      <c r="BC24" s="50"/>
      <c r="BD24" s="50"/>
      <c r="BE24" s="50" t="s">
        <v>668</v>
      </c>
      <c r="BF24" s="50" t="s">
        <v>668</v>
      </c>
      <c r="BG24" s="108" t="s">
        <v>2836</v>
      </c>
      <c r="BH24" s="108" t="s">
        <v>2836</v>
      </c>
      <c r="BI24" s="108" t="s">
        <v>3001</v>
      </c>
      <c r="BJ24" s="108" t="s">
        <v>3001</v>
      </c>
      <c r="BK24" s="2"/>
      <c r="BL24" s="3"/>
      <c r="BM24" s="3"/>
      <c r="BN24" s="3"/>
      <c r="BO24" s="3"/>
    </row>
    <row r="25" spans="1:67" x14ac:dyDescent="0.25">
      <c r="A25" s="65" t="s">
        <v>384</v>
      </c>
      <c r="B25" s="66"/>
      <c r="C25" s="66"/>
      <c r="D25" s="67"/>
      <c r="E25" s="69"/>
      <c r="F25" s="103" t="str">
        <f>HYPERLINK("https://pbs.twimg.com/profile_images/780865270105645057/pLgRh6Kp_normal.jpg")</f>
        <v>https://pbs.twimg.com/profile_images/780865270105645057/pLgRh6Kp_normal.jpg</v>
      </c>
      <c r="G25" s="66"/>
      <c r="H25" s="70"/>
      <c r="I25" s="71"/>
      <c r="J25" s="71"/>
      <c r="K25" s="70" t="s">
        <v>2403</v>
      </c>
      <c r="L25" s="74"/>
      <c r="M25" s="75">
        <v>4710.88623046875</v>
      </c>
      <c r="N25" s="75">
        <v>4403.74951171875</v>
      </c>
      <c r="O25" s="76"/>
      <c r="P25" s="77"/>
      <c r="Q25" s="77"/>
      <c r="R25" s="89"/>
      <c r="S25" s="50">
        <v>5</v>
      </c>
      <c r="T25" s="50">
        <v>0</v>
      </c>
      <c r="U25" s="51">
        <v>3</v>
      </c>
      <c r="V25" s="51">
        <v>0.274171</v>
      </c>
      <c r="W25" s="51">
        <v>1.4651000000000001E-2</v>
      </c>
      <c r="X25" s="51">
        <v>5.0930000000000003E-3</v>
      </c>
      <c r="Y25" s="51">
        <v>0.2</v>
      </c>
      <c r="Z25" s="51">
        <v>0</v>
      </c>
      <c r="AA25" s="72">
        <v>25</v>
      </c>
      <c r="AB25" s="72"/>
      <c r="AC25" s="73"/>
      <c r="AD25" s="79" t="s">
        <v>1750</v>
      </c>
      <c r="AE25" s="84" t="s">
        <v>1945</v>
      </c>
      <c r="AF25" s="79">
        <v>550</v>
      </c>
      <c r="AG25" s="79">
        <v>685</v>
      </c>
      <c r="AH25" s="79">
        <v>1799</v>
      </c>
      <c r="AI25" s="79">
        <v>517</v>
      </c>
      <c r="AJ25" s="79"/>
      <c r="AK25" s="79" t="s">
        <v>2136</v>
      </c>
      <c r="AL25" s="79" t="s">
        <v>2312</v>
      </c>
      <c r="AM25" s="86" t="str">
        <f>HYPERLINK("https://t.co/wI5D2y7m9k")</f>
        <v>https://t.co/wI5D2y7m9k</v>
      </c>
      <c r="AN25" s="79"/>
      <c r="AO25" s="81">
        <v>41731.584722222222</v>
      </c>
      <c r="AP25" s="86" t="str">
        <f>HYPERLINK("https://pbs.twimg.com/profile_banners/2423865745/1475007852")</f>
        <v>https://pbs.twimg.com/profile_banners/2423865745/1475007852</v>
      </c>
      <c r="AQ25" s="79" t="b">
        <v>1</v>
      </c>
      <c r="AR25" s="79" t="b">
        <v>0</v>
      </c>
      <c r="AS25" s="79" t="b">
        <v>0</v>
      </c>
      <c r="AT25" s="79"/>
      <c r="AU25" s="79">
        <v>19</v>
      </c>
      <c r="AV25" s="86" t="str">
        <f>HYPERLINK("https://abs.twimg.com/images/themes/theme1/bg.png")</f>
        <v>https://abs.twimg.com/images/themes/theme1/bg.png</v>
      </c>
      <c r="AW25" s="79" t="b">
        <v>0</v>
      </c>
      <c r="AX25" s="79" t="s">
        <v>2381</v>
      </c>
      <c r="AY25" s="86" t="str">
        <f>HYPERLINK("https://twitter.com/ubgenderin")</f>
        <v>https://twitter.com/ubgenderin</v>
      </c>
      <c r="AZ25" s="79" t="s">
        <v>65</v>
      </c>
      <c r="BA25" s="50"/>
      <c r="BB25" s="50"/>
      <c r="BC25" s="50"/>
      <c r="BD25" s="50"/>
      <c r="BE25" s="50"/>
      <c r="BF25" s="50"/>
      <c r="BG25" s="50"/>
      <c r="BH25" s="50"/>
      <c r="BI25" s="50"/>
      <c r="BJ25" s="50"/>
      <c r="BK25" s="2"/>
      <c r="BL25" s="3"/>
      <c r="BM25" s="3"/>
      <c r="BN25" s="3"/>
      <c r="BO25" s="3"/>
    </row>
    <row r="26" spans="1:67" x14ac:dyDescent="0.25">
      <c r="A26" s="65" t="s">
        <v>374</v>
      </c>
      <c r="B26" s="66"/>
      <c r="C26" s="66"/>
      <c r="D26" s="67"/>
      <c r="E26" s="69"/>
      <c r="F26" s="103" t="str">
        <f>HYPERLINK("https://pbs.twimg.com/profile_images/984812918112845824/XFCAPcfy_normal.jpg")</f>
        <v>https://pbs.twimg.com/profile_images/984812918112845824/XFCAPcfy_normal.jpg</v>
      </c>
      <c r="G26" s="66"/>
      <c r="H26" s="70"/>
      <c r="I26" s="71"/>
      <c r="J26" s="71"/>
      <c r="K26" s="70" t="s">
        <v>2404</v>
      </c>
      <c r="L26" s="74"/>
      <c r="M26" s="75">
        <v>3759.7607421875</v>
      </c>
      <c r="N26" s="75">
        <v>4442.36328125</v>
      </c>
      <c r="O26" s="76"/>
      <c r="P26" s="77"/>
      <c r="Q26" s="77"/>
      <c r="R26" s="89"/>
      <c r="S26" s="50">
        <v>14</v>
      </c>
      <c r="T26" s="50">
        <v>12</v>
      </c>
      <c r="U26" s="51">
        <v>5802.3641299999999</v>
      </c>
      <c r="V26" s="51">
        <v>0.38890999999999998</v>
      </c>
      <c r="W26" s="51">
        <v>0.11085</v>
      </c>
      <c r="X26" s="51">
        <v>9.1219999999999999E-3</v>
      </c>
      <c r="Y26" s="51">
        <v>5.9288537549407112E-2</v>
      </c>
      <c r="Z26" s="51">
        <v>4.3478260869565216E-2</v>
      </c>
      <c r="AA26" s="72">
        <v>26</v>
      </c>
      <c r="AB26" s="72"/>
      <c r="AC26" s="73"/>
      <c r="AD26" s="79" t="s">
        <v>1751</v>
      </c>
      <c r="AE26" s="84" t="s">
        <v>1946</v>
      </c>
      <c r="AF26" s="79">
        <v>255</v>
      </c>
      <c r="AG26" s="79">
        <v>557</v>
      </c>
      <c r="AH26" s="79">
        <v>3631</v>
      </c>
      <c r="AI26" s="79">
        <v>1006</v>
      </c>
      <c r="AJ26" s="79"/>
      <c r="AK26" s="79" t="s">
        <v>2137</v>
      </c>
      <c r="AL26" s="79" t="s">
        <v>1694</v>
      </c>
      <c r="AM26" s="86" t="str">
        <f>HYPERLINK("https://t.co/SwrROwQAWz")</f>
        <v>https://t.co/SwrROwQAWz</v>
      </c>
      <c r="AN26" s="79"/>
      <c r="AO26" s="81">
        <v>40089.474236111113</v>
      </c>
      <c r="AP26" s="86" t="str">
        <f>HYPERLINK("https://pbs.twimg.com/profile_banners/79438076/1555319616")</f>
        <v>https://pbs.twimg.com/profile_banners/79438076/1555319616</v>
      </c>
      <c r="AQ26" s="79" t="b">
        <v>0</v>
      </c>
      <c r="AR26" s="79" t="b">
        <v>0</v>
      </c>
      <c r="AS26" s="79" t="b">
        <v>0</v>
      </c>
      <c r="AT26" s="79"/>
      <c r="AU26" s="79">
        <v>14</v>
      </c>
      <c r="AV26" s="86" t="str">
        <f>HYPERLINK("https://abs.twimg.com/images/themes/theme1/bg.png")</f>
        <v>https://abs.twimg.com/images/themes/theme1/bg.png</v>
      </c>
      <c r="AW26" s="79" t="b">
        <v>0</v>
      </c>
      <c r="AX26" s="79" t="s">
        <v>2381</v>
      </c>
      <c r="AY26" s="86" t="str">
        <f>HYPERLINK("https://twitter.com/ub_history")</f>
        <v>https://twitter.com/ub_history</v>
      </c>
      <c r="AZ26" s="79" t="s">
        <v>66</v>
      </c>
      <c r="BA26" s="50" t="s">
        <v>2642</v>
      </c>
      <c r="BB26" s="50" t="s">
        <v>2642</v>
      </c>
      <c r="BC26" s="50" t="s">
        <v>2714</v>
      </c>
      <c r="BD26" s="50" t="s">
        <v>2714</v>
      </c>
      <c r="BE26" s="50" t="s">
        <v>2746</v>
      </c>
      <c r="BF26" s="50" t="s">
        <v>678</v>
      </c>
      <c r="BG26" s="108" t="s">
        <v>2837</v>
      </c>
      <c r="BH26" s="108" t="s">
        <v>2945</v>
      </c>
      <c r="BI26" s="108" t="s">
        <v>3002</v>
      </c>
      <c r="BJ26" s="108" t="s">
        <v>3095</v>
      </c>
      <c r="BK26" s="2"/>
      <c r="BL26" s="3"/>
      <c r="BM26" s="3"/>
      <c r="BN26" s="3"/>
      <c r="BO26" s="3"/>
    </row>
    <row r="27" spans="1:67" x14ac:dyDescent="0.25">
      <c r="A27" s="65" t="s">
        <v>229</v>
      </c>
      <c r="B27" s="66"/>
      <c r="C27" s="66"/>
      <c r="D27" s="67"/>
      <c r="E27" s="69"/>
      <c r="F27" s="103" t="str">
        <f>HYPERLINK("https://pbs.twimg.com/profile_images/1491499670601936897/W-_2sLCt_normal.jpg")</f>
        <v>https://pbs.twimg.com/profile_images/1491499670601936897/W-_2sLCt_normal.jpg</v>
      </c>
      <c r="G27" s="66"/>
      <c r="H27" s="70"/>
      <c r="I27" s="71"/>
      <c r="J27" s="71"/>
      <c r="K27" s="70" t="s">
        <v>2405</v>
      </c>
      <c r="L27" s="74"/>
      <c r="M27" s="75">
        <v>3582.479736328125</v>
      </c>
      <c r="N27" s="75">
        <v>4797.4677734375</v>
      </c>
      <c r="O27" s="76"/>
      <c r="P27" s="77"/>
      <c r="Q27" s="77"/>
      <c r="R27" s="89"/>
      <c r="S27" s="50">
        <v>0</v>
      </c>
      <c r="T27" s="50">
        <v>3</v>
      </c>
      <c r="U27" s="51">
        <v>5.4623799999999996</v>
      </c>
      <c r="V27" s="51">
        <v>0.29876999999999998</v>
      </c>
      <c r="W27" s="51">
        <v>4.7593000000000003E-2</v>
      </c>
      <c r="X27" s="51">
        <v>4.5399999999999998E-3</v>
      </c>
      <c r="Y27" s="51">
        <v>0.33333333333333331</v>
      </c>
      <c r="Z27" s="51">
        <v>0</v>
      </c>
      <c r="AA27" s="72">
        <v>27</v>
      </c>
      <c r="AB27" s="72"/>
      <c r="AC27" s="73"/>
      <c r="AD27" s="79" t="s">
        <v>1752</v>
      </c>
      <c r="AE27" s="84" t="s">
        <v>1947</v>
      </c>
      <c r="AF27" s="79">
        <v>455</v>
      </c>
      <c r="AG27" s="79">
        <v>505</v>
      </c>
      <c r="AH27" s="79">
        <v>7706</v>
      </c>
      <c r="AI27" s="79">
        <v>17666</v>
      </c>
      <c r="AJ27" s="79"/>
      <c r="AK27" s="79" t="s">
        <v>2138</v>
      </c>
      <c r="AL27" s="79">
        <v>716</v>
      </c>
      <c r="AM27" s="79"/>
      <c r="AN27" s="79"/>
      <c r="AO27" s="81">
        <v>41595.039375</v>
      </c>
      <c r="AP27" s="86" t="str">
        <f>HYPERLINK("https://pbs.twimg.com/profile_banners/2198661452/1641695217")</f>
        <v>https://pbs.twimg.com/profile_banners/2198661452/1641695217</v>
      </c>
      <c r="AQ27" s="79" t="b">
        <v>1</v>
      </c>
      <c r="AR27" s="79" t="b">
        <v>0</v>
      </c>
      <c r="AS27" s="79" t="b">
        <v>1</v>
      </c>
      <c r="AT27" s="79"/>
      <c r="AU27" s="79">
        <v>1</v>
      </c>
      <c r="AV27" s="86" t="str">
        <f>HYPERLINK("https://abs.twimg.com/images/themes/theme1/bg.png")</f>
        <v>https://abs.twimg.com/images/themes/theme1/bg.png</v>
      </c>
      <c r="AW27" s="79" t="b">
        <v>0</v>
      </c>
      <c r="AX27" s="79" t="s">
        <v>2381</v>
      </c>
      <c r="AY27" s="86" t="str">
        <f>HYPERLINK("https://twitter.com/acannonzelasko")</f>
        <v>https://twitter.com/acannonzelasko</v>
      </c>
      <c r="AZ27" s="79" t="s">
        <v>66</v>
      </c>
      <c r="BA27" s="50" t="s">
        <v>2643</v>
      </c>
      <c r="BB27" s="50" t="s">
        <v>2643</v>
      </c>
      <c r="BC27" s="50" t="s">
        <v>2715</v>
      </c>
      <c r="BD27" s="50" t="s">
        <v>2715</v>
      </c>
      <c r="BE27" s="50" t="s">
        <v>665</v>
      </c>
      <c r="BF27" s="50" t="s">
        <v>695</v>
      </c>
      <c r="BG27" s="108" t="s">
        <v>2838</v>
      </c>
      <c r="BH27" s="108" t="s">
        <v>2946</v>
      </c>
      <c r="BI27" s="108" t="s">
        <v>3003</v>
      </c>
      <c r="BJ27" s="108" t="s">
        <v>3003</v>
      </c>
      <c r="BK27" s="2"/>
      <c r="BL27" s="3"/>
      <c r="BM27" s="3"/>
      <c r="BN27" s="3"/>
      <c r="BO27" s="3"/>
    </row>
    <row r="28" spans="1:67" x14ac:dyDescent="0.25">
      <c r="A28" s="65" t="s">
        <v>385</v>
      </c>
      <c r="B28" s="66"/>
      <c r="C28" s="66"/>
      <c r="D28" s="67"/>
      <c r="E28" s="69"/>
      <c r="F28" s="103" t="str">
        <f>HYPERLINK("https://pbs.twimg.com/profile_images/1233112203718545409/C-gUDeNW_normal.jpg")</f>
        <v>https://pbs.twimg.com/profile_images/1233112203718545409/C-gUDeNW_normal.jpg</v>
      </c>
      <c r="G28" s="66"/>
      <c r="H28" s="70"/>
      <c r="I28" s="71"/>
      <c r="J28" s="71"/>
      <c r="K28" s="70" t="s">
        <v>2406</v>
      </c>
      <c r="L28" s="74"/>
      <c r="M28" s="75">
        <v>5277.15869140625</v>
      </c>
      <c r="N28" s="75">
        <v>6293.16015625</v>
      </c>
      <c r="O28" s="76"/>
      <c r="P28" s="77"/>
      <c r="Q28" s="77"/>
      <c r="R28" s="89"/>
      <c r="S28" s="50">
        <v>33</v>
      </c>
      <c r="T28" s="50">
        <v>0</v>
      </c>
      <c r="U28" s="51">
        <v>2579.3538779999999</v>
      </c>
      <c r="V28" s="51">
        <v>0.40985100000000002</v>
      </c>
      <c r="W28" s="51">
        <v>0.30189500000000002</v>
      </c>
      <c r="X28" s="51">
        <v>1.0158E-2</v>
      </c>
      <c r="Y28" s="51">
        <v>5.6818181818181816E-2</v>
      </c>
      <c r="Z28" s="51">
        <v>0</v>
      </c>
      <c r="AA28" s="72">
        <v>28</v>
      </c>
      <c r="AB28" s="72"/>
      <c r="AC28" s="73"/>
      <c r="AD28" s="79" t="s">
        <v>1753</v>
      </c>
      <c r="AE28" s="84" t="s">
        <v>1948</v>
      </c>
      <c r="AF28" s="79">
        <v>186</v>
      </c>
      <c r="AG28" s="79">
        <v>7103</v>
      </c>
      <c r="AH28" s="79">
        <v>7507</v>
      </c>
      <c r="AI28" s="79">
        <v>4490</v>
      </c>
      <c r="AJ28" s="79"/>
      <c r="AK28" s="79" t="s">
        <v>2139</v>
      </c>
      <c r="AL28" s="79"/>
      <c r="AM28" s="86" t="str">
        <f>HYPERLINK("https://t.co/NrYpYDpav4")</f>
        <v>https://t.co/NrYpYDpav4</v>
      </c>
      <c r="AN28" s="79"/>
      <c r="AO28" s="81">
        <v>41138.862372685187</v>
      </c>
      <c r="AP28" s="86" t="str">
        <f>HYPERLINK("https://pbs.twimg.com/profile_banners/764413795/1647129382")</f>
        <v>https://pbs.twimg.com/profile_banners/764413795/1647129382</v>
      </c>
      <c r="AQ28" s="79" t="b">
        <v>1</v>
      </c>
      <c r="AR28" s="79" t="b">
        <v>0</v>
      </c>
      <c r="AS28" s="79" t="b">
        <v>1</v>
      </c>
      <c r="AT28" s="79"/>
      <c r="AU28" s="79">
        <v>72</v>
      </c>
      <c r="AV28" s="86" t="str">
        <f>HYPERLINK("https://abs.twimg.com/images/themes/theme1/bg.png")</f>
        <v>https://abs.twimg.com/images/themes/theme1/bg.png</v>
      </c>
      <c r="AW28" s="79" t="b">
        <v>1</v>
      </c>
      <c r="AX28" s="79" t="s">
        <v>2381</v>
      </c>
      <c r="AY28" s="86" t="str">
        <f>HYPERLINK("https://twitter.com/ubwomenshoops")</f>
        <v>https://twitter.com/ubwomenshoops</v>
      </c>
      <c r="AZ28" s="79" t="s">
        <v>65</v>
      </c>
      <c r="BA28" s="50"/>
      <c r="BB28" s="50"/>
      <c r="BC28" s="50"/>
      <c r="BD28" s="50"/>
      <c r="BE28" s="50"/>
      <c r="BF28" s="50"/>
      <c r="BG28" s="50"/>
      <c r="BH28" s="50"/>
      <c r="BI28" s="50"/>
      <c r="BJ28" s="50"/>
      <c r="BK28" s="2"/>
      <c r="BL28" s="3"/>
      <c r="BM28" s="3"/>
      <c r="BN28" s="3"/>
      <c r="BO28" s="3"/>
    </row>
    <row r="29" spans="1:67" x14ac:dyDescent="0.25">
      <c r="A29" s="65" t="s">
        <v>386</v>
      </c>
      <c r="B29" s="66"/>
      <c r="C29" s="66"/>
      <c r="D29" s="67"/>
      <c r="E29" s="69"/>
      <c r="F29" s="103" t="str">
        <f>HYPERLINK("https://pbs.twimg.com/profile_images/1099714417284079616/XFUMpLM8_normal.png")</f>
        <v>https://pbs.twimg.com/profile_images/1099714417284079616/XFUMpLM8_normal.png</v>
      </c>
      <c r="G29" s="66"/>
      <c r="H29" s="70"/>
      <c r="I29" s="71"/>
      <c r="J29" s="71"/>
      <c r="K29" s="70" t="s">
        <v>2407</v>
      </c>
      <c r="L29" s="74"/>
      <c r="M29" s="75">
        <v>4376.37841796875</v>
      </c>
      <c r="N29" s="75">
        <v>6086.03125</v>
      </c>
      <c r="O29" s="76"/>
      <c r="P29" s="77"/>
      <c r="Q29" s="77"/>
      <c r="R29" s="89"/>
      <c r="S29" s="50">
        <v>7</v>
      </c>
      <c r="T29" s="50">
        <v>0</v>
      </c>
      <c r="U29" s="51">
        <v>17.318681000000002</v>
      </c>
      <c r="V29" s="51">
        <v>0.28696899999999997</v>
      </c>
      <c r="W29" s="51">
        <v>6.0819999999999999E-2</v>
      </c>
      <c r="X29" s="51">
        <v>5.352E-3</v>
      </c>
      <c r="Y29" s="51">
        <v>0.19047619047619047</v>
      </c>
      <c r="Z29" s="51">
        <v>0</v>
      </c>
      <c r="AA29" s="72">
        <v>29</v>
      </c>
      <c r="AB29" s="72"/>
      <c r="AC29" s="73"/>
      <c r="AD29" s="79" t="s">
        <v>1754</v>
      </c>
      <c r="AE29" s="84" t="s">
        <v>1949</v>
      </c>
      <c r="AF29" s="79">
        <v>206</v>
      </c>
      <c r="AG29" s="79">
        <v>17472</v>
      </c>
      <c r="AH29" s="79">
        <v>6763</v>
      </c>
      <c r="AI29" s="79">
        <v>692</v>
      </c>
      <c r="AJ29" s="79"/>
      <c r="AK29" s="79" t="s">
        <v>2140</v>
      </c>
      <c r="AL29" s="79"/>
      <c r="AM29" s="86" t="str">
        <f>HYPERLINK("https://t.co/DL3QTm8UIB")</f>
        <v>https://t.co/DL3QTm8UIB</v>
      </c>
      <c r="AN29" s="79"/>
      <c r="AO29" s="81">
        <v>41138.85597222222</v>
      </c>
      <c r="AP29" s="86" t="str">
        <f>HYPERLINK("https://pbs.twimg.com/profile_banners/764395134/1641046623")</f>
        <v>https://pbs.twimg.com/profile_banners/764395134/1641046623</v>
      </c>
      <c r="AQ29" s="79" t="b">
        <v>0</v>
      </c>
      <c r="AR29" s="79" t="b">
        <v>0</v>
      </c>
      <c r="AS29" s="79" t="b">
        <v>1</v>
      </c>
      <c r="AT29" s="79"/>
      <c r="AU29" s="79">
        <v>190</v>
      </c>
      <c r="AV29" s="86" t="str">
        <f>HYPERLINK("https://abs.twimg.com/images/themes/theme15/bg.png")</f>
        <v>https://abs.twimg.com/images/themes/theme15/bg.png</v>
      </c>
      <c r="AW29" s="79" t="b">
        <v>1</v>
      </c>
      <c r="AX29" s="79" t="s">
        <v>2381</v>
      </c>
      <c r="AY29" s="86" t="str">
        <f>HYPERLINK("https://twitter.com/ubmenshoops")</f>
        <v>https://twitter.com/ubmenshoops</v>
      </c>
      <c r="AZ29" s="79" t="s">
        <v>65</v>
      </c>
      <c r="BA29" s="50"/>
      <c r="BB29" s="50"/>
      <c r="BC29" s="50"/>
      <c r="BD29" s="50"/>
      <c r="BE29" s="50"/>
      <c r="BF29" s="50"/>
      <c r="BG29" s="50"/>
      <c r="BH29" s="50"/>
      <c r="BI29" s="50"/>
      <c r="BJ29" s="50"/>
      <c r="BK29" s="2"/>
      <c r="BL29" s="3"/>
      <c r="BM29" s="3"/>
      <c r="BN29" s="3"/>
      <c r="BO29" s="3"/>
    </row>
    <row r="30" spans="1:67" x14ac:dyDescent="0.25">
      <c r="A30" s="65" t="s">
        <v>230</v>
      </c>
      <c r="B30" s="66"/>
      <c r="C30" s="66"/>
      <c r="D30" s="67"/>
      <c r="E30" s="69"/>
      <c r="F30" s="103" t="str">
        <f>HYPERLINK("https://pbs.twimg.com/profile_images/1326685920796569600/7Th_-lsF_normal.jpg")</f>
        <v>https://pbs.twimg.com/profile_images/1326685920796569600/7Th_-lsF_normal.jpg</v>
      </c>
      <c r="G30" s="66"/>
      <c r="H30" s="70"/>
      <c r="I30" s="71"/>
      <c r="J30" s="71"/>
      <c r="K30" s="70" t="s">
        <v>2408</v>
      </c>
      <c r="L30" s="74"/>
      <c r="M30" s="75">
        <v>4706.93212890625</v>
      </c>
      <c r="N30" s="75">
        <v>8437.0009765625</v>
      </c>
      <c r="O30" s="76"/>
      <c r="P30" s="77"/>
      <c r="Q30" s="77"/>
      <c r="R30" s="89"/>
      <c r="S30" s="50">
        <v>0</v>
      </c>
      <c r="T30" s="50">
        <v>3</v>
      </c>
      <c r="U30" s="51">
        <v>5.4623799999999996</v>
      </c>
      <c r="V30" s="51">
        <v>0.29876999999999998</v>
      </c>
      <c r="W30" s="51">
        <v>4.7593000000000003E-2</v>
      </c>
      <c r="X30" s="51">
        <v>4.5399999999999998E-3</v>
      </c>
      <c r="Y30" s="51">
        <v>0.33333333333333331</v>
      </c>
      <c r="Z30" s="51">
        <v>0</v>
      </c>
      <c r="AA30" s="72">
        <v>30</v>
      </c>
      <c r="AB30" s="72"/>
      <c r="AC30" s="73"/>
      <c r="AD30" s="79" t="s">
        <v>1755</v>
      </c>
      <c r="AE30" s="84" t="s">
        <v>1950</v>
      </c>
      <c r="AF30" s="79">
        <v>2079</v>
      </c>
      <c r="AG30" s="79">
        <v>2203</v>
      </c>
      <c r="AH30" s="79">
        <v>18238</v>
      </c>
      <c r="AI30" s="79">
        <v>3539</v>
      </c>
      <c r="AJ30" s="79"/>
      <c r="AK30" s="79" t="s">
        <v>2141</v>
      </c>
      <c r="AL30" s="79" t="s">
        <v>1694</v>
      </c>
      <c r="AM30" s="79"/>
      <c r="AN30" s="79"/>
      <c r="AO30" s="81">
        <v>40841.590405092589</v>
      </c>
      <c r="AP30" s="86" t="str">
        <f>HYPERLINK("https://pbs.twimg.com/profile_banners/398045016/1565308122")</f>
        <v>https://pbs.twimg.com/profile_banners/398045016/1565308122</v>
      </c>
      <c r="AQ30" s="79" t="b">
        <v>0</v>
      </c>
      <c r="AR30" s="79" t="b">
        <v>0</v>
      </c>
      <c r="AS30" s="79" t="b">
        <v>1</v>
      </c>
      <c r="AT30" s="79"/>
      <c r="AU30" s="79">
        <v>78</v>
      </c>
      <c r="AV30" s="86" t="str">
        <f>HYPERLINK("https://abs.twimg.com/images/themes/theme15/bg.png")</f>
        <v>https://abs.twimg.com/images/themes/theme15/bg.png</v>
      </c>
      <c r="AW30" s="79" t="b">
        <v>0</v>
      </c>
      <c r="AX30" s="79" t="s">
        <v>2381</v>
      </c>
      <c r="AY30" s="86" t="str">
        <f>HYPERLINK("https://twitter.com/lovinonbuffalo")</f>
        <v>https://twitter.com/lovinonbuffalo</v>
      </c>
      <c r="AZ30" s="79" t="s">
        <v>66</v>
      </c>
      <c r="BA30" s="50" t="s">
        <v>2644</v>
      </c>
      <c r="BB30" s="50" t="s">
        <v>2644</v>
      </c>
      <c r="BC30" s="50" t="s">
        <v>2716</v>
      </c>
      <c r="BD30" s="50" t="s">
        <v>2716</v>
      </c>
      <c r="BE30" s="50" t="s">
        <v>665</v>
      </c>
      <c r="BF30" s="50" t="s">
        <v>695</v>
      </c>
      <c r="BG30" s="108" t="s">
        <v>2839</v>
      </c>
      <c r="BH30" s="108" t="s">
        <v>2839</v>
      </c>
      <c r="BI30" s="108" t="s">
        <v>3003</v>
      </c>
      <c r="BJ30" s="108" t="s">
        <v>3003</v>
      </c>
      <c r="BK30" s="2"/>
      <c r="BL30" s="3"/>
      <c r="BM30" s="3"/>
      <c r="BN30" s="3"/>
      <c r="BO30" s="3"/>
    </row>
    <row r="31" spans="1:67" x14ac:dyDescent="0.25">
      <c r="A31" s="65" t="s">
        <v>231</v>
      </c>
      <c r="B31" s="66"/>
      <c r="C31" s="66"/>
      <c r="D31" s="67"/>
      <c r="E31" s="69"/>
      <c r="F31" s="103" t="str">
        <f>HYPERLINK("https://pbs.twimg.com/profile_images/1499143249080033282/8EdmN1ML_normal.jpg")</f>
        <v>https://pbs.twimg.com/profile_images/1499143249080033282/8EdmN1ML_normal.jpg</v>
      </c>
      <c r="G31" s="66"/>
      <c r="H31" s="70"/>
      <c r="I31" s="71"/>
      <c r="J31" s="71"/>
      <c r="K31" s="70" t="s">
        <v>2409</v>
      </c>
      <c r="L31" s="74"/>
      <c r="M31" s="75">
        <v>9219.5634765625</v>
      </c>
      <c r="N31" s="75">
        <v>8227.888671875</v>
      </c>
      <c r="O31" s="76"/>
      <c r="P31" s="77"/>
      <c r="Q31" s="77"/>
      <c r="R31" s="89"/>
      <c r="S31" s="50">
        <v>0</v>
      </c>
      <c r="T31" s="50">
        <v>1</v>
      </c>
      <c r="U31" s="51">
        <v>0</v>
      </c>
      <c r="V31" s="51">
        <v>0.34300799999999998</v>
      </c>
      <c r="W31" s="51">
        <v>4.5978999999999999E-2</v>
      </c>
      <c r="X31" s="51">
        <v>4.3769999999999998E-3</v>
      </c>
      <c r="Y31" s="51">
        <v>0</v>
      </c>
      <c r="Z31" s="51">
        <v>0</v>
      </c>
      <c r="AA31" s="72">
        <v>31</v>
      </c>
      <c r="AB31" s="72"/>
      <c r="AC31" s="73"/>
      <c r="AD31" s="79" t="s">
        <v>1756</v>
      </c>
      <c r="AE31" s="84" t="s">
        <v>1951</v>
      </c>
      <c r="AF31" s="79">
        <v>323</v>
      </c>
      <c r="AG31" s="79">
        <v>659</v>
      </c>
      <c r="AH31" s="79">
        <v>1874</v>
      </c>
      <c r="AI31" s="79">
        <v>1950</v>
      </c>
      <c r="AJ31" s="79"/>
      <c r="AK31" s="79" t="s">
        <v>2142</v>
      </c>
      <c r="AL31" s="79" t="s">
        <v>1694</v>
      </c>
      <c r="AM31" s="86" t="str">
        <f>HYPERLINK("https://t.co/lSymTBe1kh")</f>
        <v>https://t.co/lSymTBe1kh</v>
      </c>
      <c r="AN31" s="79"/>
      <c r="AO31" s="81">
        <v>40886.886724537035</v>
      </c>
      <c r="AP31" s="86" t="str">
        <f>HYPERLINK("https://pbs.twimg.com/profile_banners/432850155/1582290605")</f>
        <v>https://pbs.twimg.com/profile_banners/432850155/1582290605</v>
      </c>
      <c r="AQ31" s="79" t="b">
        <v>0</v>
      </c>
      <c r="AR31" s="79" t="b">
        <v>0</v>
      </c>
      <c r="AS31" s="79" t="b">
        <v>0</v>
      </c>
      <c r="AT31" s="79"/>
      <c r="AU31" s="79">
        <v>22</v>
      </c>
      <c r="AV31" s="86" t="str">
        <f>HYPERLINK("https://abs.twimg.com/images/themes/theme5/bg.gif")</f>
        <v>https://abs.twimg.com/images/themes/theme5/bg.gif</v>
      </c>
      <c r="AW31" s="79" t="b">
        <v>0</v>
      </c>
      <c r="AX31" s="79" t="s">
        <v>2381</v>
      </c>
      <c r="AY31" s="86" t="str">
        <f>HYPERLINK("https://twitter.com/rymcpherson")</f>
        <v>https://twitter.com/rymcpherson</v>
      </c>
      <c r="AZ31" s="79" t="s">
        <v>66</v>
      </c>
      <c r="BA31" s="50"/>
      <c r="BB31" s="50"/>
      <c r="BC31" s="50"/>
      <c r="BD31" s="50"/>
      <c r="BE31" s="50" t="s">
        <v>357</v>
      </c>
      <c r="BF31" s="50" t="s">
        <v>357</v>
      </c>
      <c r="BG31" s="108" t="s">
        <v>2840</v>
      </c>
      <c r="BH31" s="108" t="s">
        <v>2840</v>
      </c>
      <c r="BI31" s="108" t="s">
        <v>3004</v>
      </c>
      <c r="BJ31" s="108" t="s">
        <v>3004</v>
      </c>
      <c r="BK31" s="2"/>
      <c r="BL31" s="3"/>
      <c r="BM31" s="3"/>
      <c r="BN31" s="3"/>
      <c r="BO31" s="3"/>
    </row>
    <row r="32" spans="1:67" x14ac:dyDescent="0.25">
      <c r="A32" s="65" t="s">
        <v>357</v>
      </c>
      <c r="B32" s="66"/>
      <c r="C32" s="66"/>
      <c r="D32" s="67"/>
      <c r="E32" s="69"/>
      <c r="F32" s="103" t="str">
        <f>HYPERLINK("https://pbs.twimg.com/profile_images/991327943317213185/Hgte82Vq_normal.jpg")</f>
        <v>https://pbs.twimg.com/profile_images/991327943317213185/Hgte82Vq_normal.jpg</v>
      </c>
      <c r="G32" s="66"/>
      <c r="H32" s="70"/>
      <c r="I32" s="71"/>
      <c r="J32" s="71"/>
      <c r="K32" s="70" t="s">
        <v>2410</v>
      </c>
      <c r="L32" s="74"/>
      <c r="M32" s="75">
        <v>5096.96435546875</v>
      </c>
      <c r="N32" s="75">
        <v>5482.72998046875</v>
      </c>
      <c r="O32" s="76"/>
      <c r="P32" s="77"/>
      <c r="Q32" s="77"/>
      <c r="R32" s="89"/>
      <c r="S32" s="50">
        <v>70</v>
      </c>
      <c r="T32" s="50">
        <v>22</v>
      </c>
      <c r="U32" s="51">
        <v>23379.617891000002</v>
      </c>
      <c r="V32" s="51">
        <v>0.55117899999999997</v>
      </c>
      <c r="W32" s="51">
        <v>0.55624200000000001</v>
      </c>
      <c r="X32" s="51">
        <v>3.4171E-2</v>
      </c>
      <c r="Y32" s="51">
        <v>1.3117283950617283E-2</v>
      </c>
      <c r="Z32" s="51">
        <v>0.1111111111111111</v>
      </c>
      <c r="AA32" s="72">
        <v>32</v>
      </c>
      <c r="AB32" s="72"/>
      <c r="AC32" s="73"/>
      <c r="AD32" s="79" t="s">
        <v>1757</v>
      </c>
      <c r="AE32" s="84" t="s">
        <v>1952</v>
      </c>
      <c r="AF32" s="79">
        <v>203</v>
      </c>
      <c r="AG32" s="79">
        <v>15764</v>
      </c>
      <c r="AH32" s="79">
        <v>15857</v>
      </c>
      <c r="AI32" s="79">
        <v>39522</v>
      </c>
      <c r="AJ32" s="79"/>
      <c r="AK32" s="79" t="s">
        <v>2143</v>
      </c>
      <c r="AL32" s="79" t="s">
        <v>1694</v>
      </c>
      <c r="AM32" s="86" t="str">
        <f>HYPERLINK("https://t.co/2iAG5sBaPF")</f>
        <v>https://t.co/2iAG5sBaPF</v>
      </c>
      <c r="AN32" s="79"/>
      <c r="AO32" s="81">
        <v>41673.894236111111</v>
      </c>
      <c r="AP32" s="86" t="str">
        <f>HYPERLINK("https://pbs.twimg.com/profile_banners/2326061460/1639409685")</f>
        <v>https://pbs.twimg.com/profile_banners/2326061460/1639409685</v>
      </c>
      <c r="AQ32" s="79" t="b">
        <v>0</v>
      </c>
      <c r="AR32" s="79" t="b">
        <v>0</v>
      </c>
      <c r="AS32" s="79" t="b">
        <v>1</v>
      </c>
      <c r="AT32" s="79"/>
      <c r="AU32" s="79">
        <v>149</v>
      </c>
      <c r="AV32" s="86" t="str">
        <f>HYPERLINK("https://abs.twimg.com/images/themes/theme1/bg.png")</f>
        <v>https://abs.twimg.com/images/themes/theme1/bg.png</v>
      </c>
      <c r="AW32" s="79" t="b">
        <v>1</v>
      </c>
      <c r="AX32" s="79" t="s">
        <v>2381</v>
      </c>
      <c r="AY32" s="86" t="str">
        <f>HYPERLINK("https://twitter.com/ubuffalo")</f>
        <v>https://twitter.com/ubuffalo</v>
      </c>
      <c r="AZ32" s="79" t="s">
        <v>66</v>
      </c>
      <c r="BA32" s="50" t="s">
        <v>2645</v>
      </c>
      <c r="BB32" s="50" t="s">
        <v>2645</v>
      </c>
      <c r="BC32" s="50" t="s">
        <v>2717</v>
      </c>
      <c r="BD32" s="50" t="s">
        <v>2733</v>
      </c>
      <c r="BE32" s="50" t="s">
        <v>2747</v>
      </c>
      <c r="BF32" s="50" t="s">
        <v>2786</v>
      </c>
      <c r="BG32" s="108" t="s">
        <v>2841</v>
      </c>
      <c r="BH32" s="108" t="s">
        <v>2947</v>
      </c>
      <c r="BI32" s="108" t="s">
        <v>3005</v>
      </c>
      <c r="BJ32" s="108" t="s">
        <v>3096</v>
      </c>
      <c r="BK32" s="2"/>
      <c r="BL32" s="3"/>
      <c r="BM32" s="3"/>
      <c r="BN32" s="3"/>
      <c r="BO32" s="3"/>
    </row>
    <row r="33" spans="1:67" x14ac:dyDescent="0.25">
      <c r="A33" s="65" t="s">
        <v>232</v>
      </c>
      <c r="B33" s="66"/>
      <c r="C33" s="66"/>
      <c r="D33" s="67"/>
      <c r="E33" s="69"/>
      <c r="F33" s="103" t="str">
        <f>HYPERLINK("https://pbs.twimg.com/profile_images/1468231446359912463/OZa0TiIF_normal.jpg")</f>
        <v>https://pbs.twimg.com/profile_images/1468231446359912463/OZa0TiIF_normal.jpg</v>
      </c>
      <c r="G33" s="66"/>
      <c r="H33" s="70"/>
      <c r="I33" s="71"/>
      <c r="J33" s="71"/>
      <c r="K33" s="70" t="s">
        <v>2411</v>
      </c>
      <c r="L33" s="74"/>
      <c r="M33" s="75">
        <v>4683.61328125</v>
      </c>
      <c r="N33" s="75">
        <v>7110.4794921875</v>
      </c>
      <c r="O33" s="76"/>
      <c r="P33" s="77"/>
      <c r="Q33" s="77"/>
      <c r="R33" s="89"/>
      <c r="S33" s="50">
        <v>0</v>
      </c>
      <c r="T33" s="50">
        <v>4</v>
      </c>
      <c r="U33" s="51">
        <v>1.2</v>
      </c>
      <c r="V33" s="51">
        <v>0.273702</v>
      </c>
      <c r="W33" s="51">
        <v>1.6597000000000001E-2</v>
      </c>
      <c r="X33" s="51">
        <v>4.8060000000000004E-3</v>
      </c>
      <c r="Y33" s="51">
        <v>0.25</v>
      </c>
      <c r="Z33" s="51">
        <v>0</v>
      </c>
      <c r="AA33" s="72">
        <v>33</v>
      </c>
      <c r="AB33" s="72"/>
      <c r="AC33" s="73"/>
      <c r="AD33" s="79" t="s">
        <v>1758</v>
      </c>
      <c r="AE33" s="84" t="s">
        <v>1953</v>
      </c>
      <c r="AF33" s="79">
        <v>22550</v>
      </c>
      <c r="AG33" s="79">
        <v>32235</v>
      </c>
      <c r="AH33" s="79">
        <v>119454</v>
      </c>
      <c r="AI33" s="79">
        <v>166834</v>
      </c>
      <c r="AJ33" s="79"/>
      <c r="AK33" s="79" t="s">
        <v>2144</v>
      </c>
      <c r="AL33" s="79" t="s">
        <v>2313</v>
      </c>
      <c r="AM33" s="86" t="str">
        <f>HYPERLINK("https://t.co/MBhpYnediS")</f>
        <v>https://t.co/MBhpYnediS</v>
      </c>
      <c r="AN33" s="79"/>
      <c r="AO33" s="81">
        <v>40984.733877314815</v>
      </c>
      <c r="AP33" s="86" t="str">
        <f>HYPERLINK("https://pbs.twimg.com/profile_banners/526621470/1647202186")</f>
        <v>https://pbs.twimg.com/profile_banners/526621470/1647202186</v>
      </c>
      <c r="AQ33" s="79" t="b">
        <v>0</v>
      </c>
      <c r="AR33" s="79" t="b">
        <v>0</v>
      </c>
      <c r="AS33" s="79" t="b">
        <v>1</v>
      </c>
      <c r="AT33" s="79"/>
      <c r="AU33" s="79">
        <v>860</v>
      </c>
      <c r="AV33" s="86" t="str">
        <f>HYPERLINK("https://abs.twimg.com/images/themes/theme1/bg.png")</f>
        <v>https://abs.twimg.com/images/themes/theme1/bg.png</v>
      </c>
      <c r="AW33" s="79" t="b">
        <v>0</v>
      </c>
      <c r="AX33" s="79" t="s">
        <v>2381</v>
      </c>
      <c r="AY33" s="86" t="str">
        <f>HYPERLINK("https://twitter.com/walterdgreason")</f>
        <v>https://twitter.com/walterdgreason</v>
      </c>
      <c r="AZ33" s="79" t="s">
        <v>66</v>
      </c>
      <c r="BA33" s="50" t="s">
        <v>2587</v>
      </c>
      <c r="BB33" s="50" t="s">
        <v>2587</v>
      </c>
      <c r="BC33" s="50" t="s">
        <v>637</v>
      </c>
      <c r="BD33" s="50" t="s">
        <v>637</v>
      </c>
      <c r="BE33" s="50" t="s">
        <v>357</v>
      </c>
      <c r="BF33" s="50" t="s">
        <v>357</v>
      </c>
      <c r="BG33" s="108" t="s">
        <v>2835</v>
      </c>
      <c r="BH33" s="108" t="s">
        <v>2835</v>
      </c>
      <c r="BI33" s="108" t="s">
        <v>3000</v>
      </c>
      <c r="BJ33" s="108" t="s">
        <v>3000</v>
      </c>
      <c r="BK33" s="2"/>
      <c r="BL33" s="3"/>
      <c r="BM33" s="3"/>
      <c r="BN33" s="3"/>
      <c r="BO33" s="3"/>
    </row>
    <row r="34" spans="1:67" x14ac:dyDescent="0.25">
      <c r="A34" s="65" t="s">
        <v>233</v>
      </c>
      <c r="B34" s="66"/>
      <c r="C34" s="66"/>
      <c r="D34" s="67"/>
      <c r="E34" s="69"/>
      <c r="F34" s="103" t="str">
        <f>HYPERLINK("https://pbs.twimg.com/profile_images/1450983999023812608/TZMxutdX_normal.jpg")</f>
        <v>https://pbs.twimg.com/profile_images/1450983999023812608/TZMxutdX_normal.jpg</v>
      </c>
      <c r="G34" s="66"/>
      <c r="H34" s="70"/>
      <c r="I34" s="71"/>
      <c r="J34" s="71"/>
      <c r="K34" s="70" t="s">
        <v>2412</v>
      </c>
      <c r="L34" s="74"/>
      <c r="M34" s="75">
        <v>2866.10888671875</v>
      </c>
      <c r="N34" s="75">
        <v>6811.5390625</v>
      </c>
      <c r="O34" s="76"/>
      <c r="P34" s="77"/>
      <c r="Q34" s="77"/>
      <c r="R34" s="89"/>
      <c r="S34" s="50">
        <v>0</v>
      </c>
      <c r="T34" s="50">
        <v>3</v>
      </c>
      <c r="U34" s="51">
        <v>5.4623799999999996</v>
      </c>
      <c r="V34" s="51">
        <v>0.29876999999999998</v>
      </c>
      <c r="W34" s="51">
        <v>4.7593000000000003E-2</v>
      </c>
      <c r="X34" s="51">
        <v>4.5399999999999998E-3</v>
      </c>
      <c r="Y34" s="51">
        <v>0.33333333333333331</v>
      </c>
      <c r="Z34" s="51">
        <v>0</v>
      </c>
      <c r="AA34" s="72">
        <v>34</v>
      </c>
      <c r="AB34" s="72"/>
      <c r="AC34" s="73"/>
      <c r="AD34" s="79" t="s">
        <v>1759</v>
      </c>
      <c r="AE34" s="84" t="s">
        <v>1954</v>
      </c>
      <c r="AF34" s="79">
        <v>198</v>
      </c>
      <c r="AG34" s="79">
        <v>383</v>
      </c>
      <c r="AH34" s="79">
        <v>632</v>
      </c>
      <c r="AI34" s="79">
        <v>5047</v>
      </c>
      <c r="AJ34" s="79"/>
      <c r="AK34" s="79" t="s">
        <v>2145</v>
      </c>
      <c r="AL34" s="79" t="s">
        <v>2314</v>
      </c>
      <c r="AM34" s="79"/>
      <c r="AN34" s="79"/>
      <c r="AO34" s="81">
        <v>43263.680567129632</v>
      </c>
      <c r="AP34" s="86" t="str">
        <f>HYPERLINK("https://pbs.twimg.com/profile_banners/1006571833150320640/1604950155")</f>
        <v>https://pbs.twimg.com/profile_banners/1006571833150320640/1604950155</v>
      </c>
      <c r="AQ34" s="79" t="b">
        <v>1</v>
      </c>
      <c r="AR34" s="79" t="b">
        <v>0</v>
      </c>
      <c r="AS34" s="79" t="b">
        <v>0</v>
      </c>
      <c r="AT34" s="79"/>
      <c r="AU34" s="79">
        <v>2</v>
      </c>
      <c r="AV34" s="79"/>
      <c r="AW34" s="79" t="b">
        <v>0</v>
      </c>
      <c r="AX34" s="79" t="s">
        <v>2381</v>
      </c>
      <c r="AY34" s="86" t="str">
        <f>HYPERLINK("https://twitter.com/dyaishafair")</f>
        <v>https://twitter.com/dyaishafair</v>
      </c>
      <c r="AZ34" s="79" t="s">
        <v>66</v>
      </c>
      <c r="BA34" s="50" t="s">
        <v>2585</v>
      </c>
      <c r="BB34" s="50" t="s">
        <v>2585</v>
      </c>
      <c r="BC34" s="50" t="s">
        <v>638</v>
      </c>
      <c r="BD34" s="50" t="s">
        <v>638</v>
      </c>
      <c r="BE34" s="50" t="s">
        <v>665</v>
      </c>
      <c r="BF34" s="50" t="s">
        <v>665</v>
      </c>
      <c r="BG34" s="108" t="s">
        <v>2842</v>
      </c>
      <c r="BH34" s="108" t="s">
        <v>2842</v>
      </c>
      <c r="BI34" s="108" t="s">
        <v>3003</v>
      </c>
      <c r="BJ34" s="108" t="s">
        <v>3003</v>
      </c>
      <c r="BK34" s="2"/>
      <c r="BL34" s="3"/>
      <c r="BM34" s="3"/>
      <c r="BN34" s="3"/>
      <c r="BO34" s="3"/>
    </row>
    <row r="35" spans="1:67" x14ac:dyDescent="0.25">
      <c r="A35" s="65" t="s">
        <v>234</v>
      </c>
      <c r="B35" s="66"/>
      <c r="C35" s="66"/>
      <c r="D35" s="67"/>
      <c r="E35" s="69"/>
      <c r="F35" s="103" t="str">
        <f>HYPERLINK("https://pbs.twimg.com/profile_images/1496909543422447629/YYPkidys_normal.jpg")</f>
        <v>https://pbs.twimg.com/profile_images/1496909543422447629/YYPkidys_normal.jpg</v>
      </c>
      <c r="G35" s="66"/>
      <c r="H35" s="70"/>
      <c r="I35" s="71"/>
      <c r="J35" s="71"/>
      <c r="K35" s="70" t="s">
        <v>2413</v>
      </c>
      <c r="L35" s="74"/>
      <c r="M35" s="75">
        <v>2851.33349609375</v>
      </c>
      <c r="N35" s="75">
        <v>3846.207763671875</v>
      </c>
      <c r="O35" s="76"/>
      <c r="P35" s="77"/>
      <c r="Q35" s="77"/>
      <c r="R35" s="89"/>
      <c r="S35" s="50">
        <v>0</v>
      </c>
      <c r="T35" s="50">
        <v>4</v>
      </c>
      <c r="U35" s="51">
        <v>1.2</v>
      </c>
      <c r="V35" s="51">
        <v>0.273702</v>
      </c>
      <c r="W35" s="51">
        <v>1.6597000000000001E-2</v>
      </c>
      <c r="X35" s="51">
        <v>4.8060000000000004E-3</v>
      </c>
      <c r="Y35" s="51">
        <v>0.25</v>
      </c>
      <c r="Z35" s="51">
        <v>0</v>
      </c>
      <c r="AA35" s="72">
        <v>35</v>
      </c>
      <c r="AB35" s="72"/>
      <c r="AC35" s="73"/>
      <c r="AD35" s="79" t="s">
        <v>1760</v>
      </c>
      <c r="AE35" s="84" t="s">
        <v>1955</v>
      </c>
      <c r="AF35" s="79">
        <v>1688</v>
      </c>
      <c r="AG35" s="79">
        <v>3761</v>
      </c>
      <c r="AH35" s="79">
        <v>11953</v>
      </c>
      <c r="AI35" s="79">
        <v>51589</v>
      </c>
      <c r="AJ35" s="79"/>
      <c r="AK35" s="79" t="s">
        <v>2146</v>
      </c>
      <c r="AL35" s="79" t="s">
        <v>1694</v>
      </c>
      <c r="AM35" s="86" t="str">
        <f>HYPERLINK("https://t.co/xKMx6kbKk3")</f>
        <v>https://t.co/xKMx6kbKk3</v>
      </c>
      <c r="AN35" s="79"/>
      <c r="AO35" s="81">
        <v>41120.038900462961</v>
      </c>
      <c r="AP35" s="86" t="str">
        <f>HYPERLINK("https://pbs.twimg.com/profile_banners/724953552/1560282791")</f>
        <v>https://pbs.twimg.com/profile_banners/724953552/1560282791</v>
      </c>
      <c r="AQ35" s="79" t="b">
        <v>0</v>
      </c>
      <c r="AR35" s="79" t="b">
        <v>0</v>
      </c>
      <c r="AS35" s="79" t="b">
        <v>1</v>
      </c>
      <c r="AT35" s="79"/>
      <c r="AU35" s="79">
        <v>80</v>
      </c>
      <c r="AV35" s="86" t="str">
        <f>HYPERLINK("https://abs.twimg.com/images/themes/theme1/bg.png")</f>
        <v>https://abs.twimg.com/images/themes/theme1/bg.png</v>
      </c>
      <c r="AW35" s="79" t="b">
        <v>0</v>
      </c>
      <c r="AX35" s="79" t="s">
        <v>2381</v>
      </c>
      <c r="AY35" s="86" t="str">
        <f>HYPERLINK("https://twitter.com/sarahbelle721")</f>
        <v>https://twitter.com/sarahbelle721</v>
      </c>
      <c r="AZ35" s="79" t="s">
        <v>66</v>
      </c>
      <c r="BA35" s="50" t="s">
        <v>2587</v>
      </c>
      <c r="BB35" s="50" t="s">
        <v>2587</v>
      </c>
      <c r="BC35" s="50" t="s">
        <v>637</v>
      </c>
      <c r="BD35" s="50" t="s">
        <v>637</v>
      </c>
      <c r="BE35" s="50" t="s">
        <v>357</v>
      </c>
      <c r="BF35" s="50" t="s">
        <v>357</v>
      </c>
      <c r="BG35" s="108" t="s">
        <v>2843</v>
      </c>
      <c r="BH35" s="108" t="s">
        <v>2843</v>
      </c>
      <c r="BI35" s="108" t="s">
        <v>3006</v>
      </c>
      <c r="BJ35" s="108" t="s">
        <v>3006</v>
      </c>
      <c r="BK35" s="2"/>
      <c r="BL35" s="3"/>
      <c r="BM35" s="3"/>
      <c r="BN35" s="3"/>
      <c r="BO35" s="3"/>
    </row>
    <row r="36" spans="1:67" x14ac:dyDescent="0.25">
      <c r="A36" s="65" t="s">
        <v>235</v>
      </c>
      <c r="B36" s="66"/>
      <c r="C36" s="66"/>
      <c r="D36" s="67"/>
      <c r="E36" s="69"/>
      <c r="F36" s="103" t="str">
        <f>HYPERLINK("https://pbs.twimg.com/profile_images/1349024046734856193/16EV1t0C_normal.jpg")</f>
        <v>https://pbs.twimg.com/profile_images/1349024046734856193/16EV1t0C_normal.jpg</v>
      </c>
      <c r="G36" s="66"/>
      <c r="H36" s="70"/>
      <c r="I36" s="71"/>
      <c r="J36" s="71"/>
      <c r="K36" s="70" t="s">
        <v>2414</v>
      </c>
      <c r="L36" s="74"/>
      <c r="M36" s="75">
        <v>4145.65576171875</v>
      </c>
      <c r="N36" s="75">
        <v>8377.0322265625</v>
      </c>
      <c r="O36" s="76"/>
      <c r="P36" s="77"/>
      <c r="Q36" s="77"/>
      <c r="R36" s="89"/>
      <c r="S36" s="50">
        <v>1</v>
      </c>
      <c r="T36" s="50">
        <v>1</v>
      </c>
      <c r="U36" s="51">
        <v>0</v>
      </c>
      <c r="V36" s="51">
        <v>0</v>
      </c>
      <c r="W36" s="51">
        <v>0</v>
      </c>
      <c r="X36" s="51">
        <v>5.0759999999999998E-3</v>
      </c>
      <c r="Y36" s="51">
        <v>0</v>
      </c>
      <c r="Z36" s="51">
        <v>0</v>
      </c>
      <c r="AA36" s="72">
        <v>36</v>
      </c>
      <c r="AB36" s="72"/>
      <c r="AC36" s="73"/>
      <c r="AD36" s="79" t="s">
        <v>1761</v>
      </c>
      <c r="AE36" s="84" t="s">
        <v>1956</v>
      </c>
      <c r="AF36" s="79">
        <v>3222</v>
      </c>
      <c r="AG36" s="79">
        <v>2103</v>
      </c>
      <c r="AH36" s="79">
        <v>9859</v>
      </c>
      <c r="AI36" s="79">
        <v>5036</v>
      </c>
      <c r="AJ36" s="79"/>
      <c r="AK36" s="79" t="s">
        <v>2147</v>
      </c>
      <c r="AL36" s="79" t="s">
        <v>1694</v>
      </c>
      <c r="AM36" s="86" t="str">
        <f>HYPERLINK("https://t.co/SwE8sQYEI0")</f>
        <v>https://t.co/SwE8sQYEI0</v>
      </c>
      <c r="AN36" s="79"/>
      <c r="AO36" s="81">
        <v>39749.761608796296</v>
      </c>
      <c r="AP36" s="86" t="str">
        <f>HYPERLINK("https://pbs.twimg.com/profile_banners/17025377/1570712316")</f>
        <v>https://pbs.twimg.com/profile_banners/17025377/1570712316</v>
      </c>
      <c r="AQ36" s="79" t="b">
        <v>0</v>
      </c>
      <c r="AR36" s="79" t="b">
        <v>0</v>
      </c>
      <c r="AS36" s="79" t="b">
        <v>1</v>
      </c>
      <c r="AT36" s="79"/>
      <c r="AU36" s="79">
        <v>92</v>
      </c>
      <c r="AV36" s="86" t="str">
        <f>HYPERLINK("https://abs.twimg.com/images/themes/theme6/bg.gif")</f>
        <v>https://abs.twimg.com/images/themes/theme6/bg.gif</v>
      </c>
      <c r="AW36" s="79" t="b">
        <v>0</v>
      </c>
      <c r="AX36" s="79" t="s">
        <v>2381</v>
      </c>
      <c r="AY36" s="86" t="str">
        <f>HYPERLINK("https://twitter.com/ubmbaandms")</f>
        <v>https://twitter.com/ubmbaandms</v>
      </c>
      <c r="AZ36" s="79" t="s">
        <v>66</v>
      </c>
      <c r="BA36" s="50" t="s">
        <v>2646</v>
      </c>
      <c r="BB36" s="50" t="s">
        <v>2646</v>
      </c>
      <c r="BC36" s="50" t="s">
        <v>632</v>
      </c>
      <c r="BD36" s="50" t="s">
        <v>632</v>
      </c>
      <c r="BE36" s="50" t="s">
        <v>666</v>
      </c>
      <c r="BF36" s="50" t="s">
        <v>666</v>
      </c>
      <c r="BG36" s="108" t="s">
        <v>2844</v>
      </c>
      <c r="BH36" s="108" t="s">
        <v>2844</v>
      </c>
      <c r="BI36" s="108" t="s">
        <v>3007</v>
      </c>
      <c r="BJ36" s="108" t="s">
        <v>3007</v>
      </c>
      <c r="BK36" s="2"/>
      <c r="BL36" s="3"/>
      <c r="BM36" s="3"/>
      <c r="BN36" s="3"/>
      <c r="BO36" s="3"/>
    </row>
    <row r="37" spans="1:67" x14ac:dyDescent="0.25">
      <c r="A37" s="65" t="s">
        <v>236</v>
      </c>
      <c r="B37" s="66"/>
      <c r="C37" s="66"/>
      <c r="D37" s="67"/>
      <c r="E37" s="69"/>
      <c r="F37" s="103" t="str">
        <f>HYPERLINK("https://pbs.twimg.com/profile_images/1349452790469419012/rGfnpb6X_normal.jpg")</f>
        <v>https://pbs.twimg.com/profile_images/1349452790469419012/rGfnpb6X_normal.jpg</v>
      </c>
      <c r="G37" s="66"/>
      <c r="H37" s="70"/>
      <c r="I37" s="71"/>
      <c r="J37" s="71"/>
      <c r="K37" s="70" t="s">
        <v>2415</v>
      </c>
      <c r="L37" s="74"/>
      <c r="M37" s="75">
        <v>9402.9482421875</v>
      </c>
      <c r="N37" s="75">
        <v>1791.7034912109375</v>
      </c>
      <c r="O37" s="76"/>
      <c r="P37" s="77"/>
      <c r="Q37" s="77"/>
      <c r="R37" s="89"/>
      <c r="S37" s="50">
        <v>1</v>
      </c>
      <c r="T37" s="50">
        <v>1</v>
      </c>
      <c r="U37" s="51">
        <v>0</v>
      </c>
      <c r="V37" s="51">
        <v>0</v>
      </c>
      <c r="W37" s="51">
        <v>0</v>
      </c>
      <c r="X37" s="51">
        <v>5.0759999999999998E-3</v>
      </c>
      <c r="Y37" s="51">
        <v>0</v>
      </c>
      <c r="Z37" s="51">
        <v>0</v>
      </c>
      <c r="AA37" s="72">
        <v>37</v>
      </c>
      <c r="AB37" s="72"/>
      <c r="AC37" s="73"/>
      <c r="AD37" s="79" t="s">
        <v>1762</v>
      </c>
      <c r="AE37" s="84" t="s">
        <v>1957</v>
      </c>
      <c r="AF37" s="79">
        <v>283</v>
      </c>
      <c r="AG37" s="79">
        <v>301</v>
      </c>
      <c r="AH37" s="79">
        <v>845</v>
      </c>
      <c r="AI37" s="79">
        <v>91</v>
      </c>
      <c r="AJ37" s="79"/>
      <c r="AK37" s="79" t="s">
        <v>2148</v>
      </c>
      <c r="AL37" s="79" t="s">
        <v>1694</v>
      </c>
      <c r="AM37" s="86" t="str">
        <f>HYPERLINK("http://t.co/1uKlcaTmWK")</f>
        <v>http://t.co/1uKlcaTmWK</v>
      </c>
      <c r="AN37" s="79"/>
      <c r="AO37" s="81">
        <v>41978.554016203707</v>
      </c>
      <c r="AP37" s="86" t="str">
        <f>HYPERLINK("https://pbs.twimg.com/profile_banners/2906339807/1527189843")</f>
        <v>https://pbs.twimg.com/profile_banners/2906339807/1527189843</v>
      </c>
      <c r="AQ37" s="79" t="b">
        <v>0</v>
      </c>
      <c r="AR37" s="79" t="b">
        <v>0</v>
      </c>
      <c r="AS37" s="79" t="b">
        <v>1</v>
      </c>
      <c r="AT37" s="79"/>
      <c r="AU37" s="79">
        <v>6</v>
      </c>
      <c r="AV37" s="86" t="str">
        <f>HYPERLINK("https://abs.twimg.com/images/themes/theme1/bg.png")</f>
        <v>https://abs.twimg.com/images/themes/theme1/bg.png</v>
      </c>
      <c r="AW37" s="79" t="b">
        <v>0</v>
      </c>
      <c r="AX37" s="79" t="s">
        <v>2381</v>
      </c>
      <c r="AY37" s="86" t="str">
        <f>HYPERLINK("https://twitter.com/ubpmba")</f>
        <v>https://twitter.com/ubpmba</v>
      </c>
      <c r="AZ37" s="79" t="s">
        <v>66</v>
      </c>
      <c r="BA37" s="50" t="s">
        <v>2647</v>
      </c>
      <c r="BB37" s="50" t="s">
        <v>2647</v>
      </c>
      <c r="BC37" s="50" t="s">
        <v>632</v>
      </c>
      <c r="BD37" s="50" t="s">
        <v>632</v>
      </c>
      <c r="BE37" s="50" t="s">
        <v>2748</v>
      </c>
      <c r="BF37" s="50" t="s">
        <v>2787</v>
      </c>
      <c r="BG37" s="108" t="s">
        <v>2845</v>
      </c>
      <c r="BH37" s="108" t="s">
        <v>2948</v>
      </c>
      <c r="BI37" s="108" t="s">
        <v>3007</v>
      </c>
      <c r="BJ37" s="108" t="s">
        <v>3007</v>
      </c>
      <c r="BK37" s="2"/>
      <c r="BL37" s="3"/>
      <c r="BM37" s="3"/>
      <c r="BN37" s="3"/>
      <c r="BO37" s="3"/>
    </row>
    <row r="38" spans="1:67" x14ac:dyDescent="0.25">
      <c r="A38" s="65" t="s">
        <v>237</v>
      </c>
      <c r="B38" s="66"/>
      <c r="C38" s="66"/>
      <c r="D38" s="67"/>
      <c r="E38" s="69"/>
      <c r="F38" s="103" t="str">
        <f>HYPERLINK("https://pbs.twimg.com/profile_images/1450141115974393861/eynj95JN_normal.jpg")</f>
        <v>https://pbs.twimg.com/profile_images/1450141115974393861/eynj95JN_normal.jpg</v>
      </c>
      <c r="G38" s="66"/>
      <c r="H38" s="70"/>
      <c r="I38" s="71"/>
      <c r="J38" s="71"/>
      <c r="K38" s="70" t="s">
        <v>2416</v>
      </c>
      <c r="L38" s="74"/>
      <c r="M38" s="75">
        <v>8770.0966796875</v>
      </c>
      <c r="N38" s="75">
        <v>7085.40234375</v>
      </c>
      <c r="O38" s="76"/>
      <c r="P38" s="77"/>
      <c r="Q38" s="77"/>
      <c r="R38" s="89"/>
      <c r="S38" s="50">
        <v>0</v>
      </c>
      <c r="T38" s="50">
        <v>1</v>
      </c>
      <c r="U38" s="51">
        <v>0</v>
      </c>
      <c r="V38" s="51">
        <v>0.34300799999999998</v>
      </c>
      <c r="W38" s="51">
        <v>4.5978999999999999E-2</v>
      </c>
      <c r="X38" s="51">
        <v>4.3769999999999998E-3</v>
      </c>
      <c r="Y38" s="51">
        <v>0</v>
      </c>
      <c r="Z38" s="51">
        <v>0</v>
      </c>
      <c r="AA38" s="72">
        <v>38</v>
      </c>
      <c r="AB38" s="72"/>
      <c r="AC38" s="73"/>
      <c r="AD38" s="79" t="s">
        <v>1763</v>
      </c>
      <c r="AE38" s="84" t="s">
        <v>1958</v>
      </c>
      <c r="AF38" s="79">
        <v>1444</v>
      </c>
      <c r="AG38" s="79">
        <v>289</v>
      </c>
      <c r="AH38" s="79">
        <v>6083</v>
      </c>
      <c r="AI38" s="79">
        <v>40051</v>
      </c>
      <c r="AJ38" s="79"/>
      <c r="AK38" s="79" t="s">
        <v>2149</v>
      </c>
      <c r="AL38" s="79" t="s">
        <v>2315</v>
      </c>
      <c r="AM38" s="79"/>
      <c r="AN38" s="79"/>
      <c r="AO38" s="81">
        <v>43510.211273148147</v>
      </c>
      <c r="AP38" s="86" t="str">
        <f>HYPERLINK("https://pbs.twimg.com/profile_banners/1095911572529135618/1550693642")</f>
        <v>https://pbs.twimg.com/profile_banners/1095911572529135618/1550693642</v>
      </c>
      <c r="AQ38" s="79" t="b">
        <v>0</v>
      </c>
      <c r="AR38" s="79" t="b">
        <v>0</v>
      </c>
      <c r="AS38" s="79" t="b">
        <v>1</v>
      </c>
      <c r="AT38" s="79"/>
      <c r="AU38" s="79">
        <v>2</v>
      </c>
      <c r="AV38" s="86" t="str">
        <f>HYPERLINK("https://abs.twimg.com/images/themes/theme1/bg.png")</f>
        <v>https://abs.twimg.com/images/themes/theme1/bg.png</v>
      </c>
      <c r="AW38" s="79" t="b">
        <v>0</v>
      </c>
      <c r="AX38" s="79" t="s">
        <v>2381</v>
      </c>
      <c r="AY38" s="86" t="str">
        <f>HYPERLINK("https://twitter.com/coach_bato")</f>
        <v>https://twitter.com/coach_bato</v>
      </c>
      <c r="AZ38" s="79" t="s">
        <v>66</v>
      </c>
      <c r="BA38" s="50"/>
      <c r="BB38" s="50"/>
      <c r="BC38" s="50"/>
      <c r="BD38" s="50"/>
      <c r="BE38" s="50" t="s">
        <v>668</v>
      </c>
      <c r="BF38" s="50" t="s">
        <v>668</v>
      </c>
      <c r="BG38" s="108" t="s">
        <v>2836</v>
      </c>
      <c r="BH38" s="108" t="s">
        <v>2836</v>
      </c>
      <c r="BI38" s="108" t="s">
        <v>3001</v>
      </c>
      <c r="BJ38" s="108" t="s">
        <v>3001</v>
      </c>
      <c r="BK38" s="2"/>
      <c r="BL38" s="3"/>
      <c r="BM38" s="3"/>
      <c r="BN38" s="3"/>
      <c r="BO38" s="3"/>
    </row>
    <row r="39" spans="1:67" x14ac:dyDescent="0.25">
      <c r="A39" s="65" t="s">
        <v>238</v>
      </c>
      <c r="B39" s="66"/>
      <c r="C39" s="66"/>
      <c r="D39" s="67"/>
      <c r="E39" s="69"/>
      <c r="F39" s="103" t="str">
        <f>HYPERLINK("https://pbs.twimg.com/profile_images/446071259479027712/R1NeMgMW_normal.jpeg")</f>
        <v>https://pbs.twimg.com/profile_images/446071259479027712/R1NeMgMW_normal.jpeg</v>
      </c>
      <c r="G39" s="66"/>
      <c r="H39" s="70"/>
      <c r="I39" s="71"/>
      <c r="J39" s="71"/>
      <c r="K39" s="70" t="s">
        <v>2417</v>
      </c>
      <c r="L39" s="74"/>
      <c r="M39" s="75">
        <v>626.40496826171875</v>
      </c>
      <c r="N39" s="75">
        <v>7512.69921875</v>
      </c>
      <c r="O39" s="76"/>
      <c r="P39" s="77"/>
      <c r="Q39" s="77"/>
      <c r="R39" s="89"/>
      <c r="S39" s="50">
        <v>0</v>
      </c>
      <c r="T39" s="50">
        <v>1</v>
      </c>
      <c r="U39" s="51">
        <v>0</v>
      </c>
      <c r="V39" s="51">
        <v>0.26729399999999998</v>
      </c>
      <c r="W39" s="51">
        <v>6.2690000000000003E-3</v>
      </c>
      <c r="X39" s="51">
        <v>4.4200000000000003E-3</v>
      </c>
      <c r="Y39" s="51">
        <v>0</v>
      </c>
      <c r="Z39" s="51">
        <v>0</v>
      </c>
      <c r="AA39" s="72">
        <v>39</v>
      </c>
      <c r="AB39" s="72"/>
      <c r="AC39" s="73"/>
      <c r="AD39" s="79" t="s">
        <v>1764</v>
      </c>
      <c r="AE39" s="84" t="s">
        <v>1959</v>
      </c>
      <c r="AF39" s="79">
        <v>501</v>
      </c>
      <c r="AG39" s="79">
        <v>4431</v>
      </c>
      <c r="AH39" s="79">
        <v>7669</v>
      </c>
      <c r="AI39" s="79">
        <v>305</v>
      </c>
      <c r="AJ39" s="79"/>
      <c r="AK39" s="79" t="s">
        <v>2150</v>
      </c>
      <c r="AL39" s="79" t="s">
        <v>2316</v>
      </c>
      <c r="AM39" s="86" t="str">
        <f>HYPERLINK("https://t.co/5MGM8ltFi9")</f>
        <v>https://t.co/5MGM8ltFi9</v>
      </c>
      <c r="AN39" s="79"/>
      <c r="AO39" s="81">
        <v>39777.867418981485</v>
      </c>
      <c r="AP39" s="86" t="str">
        <f>HYPERLINK("https://pbs.twimg.com/profile_banners/17631005/1574275334")</f>
        <v>https://pbs.twimg.com/profile_banners/17631005/1574275334</v>
      </c>
      <c r="AQ39" s="79" t="b">
        <v>0</v>
      </c>
      <c r="AR39" s="79" t="b">
        <v>0</v>
      </c>
      <c r="AS39" s="79" t="b">
        <v>1</v>
      </c>
      <c r="AT39" s="79"/>
      <c r="AU39" s="79">
        <v>74</v>
      </c>
      <c r="AV39" s="86" t="str">
        <f>HYPERLINK("https://abs.twimg.com/images/themes/theme1/bg.png")</f>
        <v>https://abs.twimg.com/images/themes/theme1/bg.png</v>
      </c>
      <c r="AW39" s="79" t="b">
        <v>0</v>
      </c>
      <c r="AX39" s="79" t="s">
        <v>2381</v>
      </c>
      <c r="AY39" s="86" t="str">
        <f>HYPERLINK("https://twitter.com/aspet")</f>
        <v>https://twitter.com/aspet</v>
      </c>
      <c r="AZ39" s="79" t="s">
        <v>66</v>
      </c>
      <c r="BA39" s="50"/>
      <c r="BB39" s="50"/>
      <c r="BC39" s="50"/>
      <c r="BD39" s="50"/>
      <c r="BE39" s="50" t="s">
        <v>669</v>
      </c>
      <c r="BF39" s="50" t="s">
        <v>669</v>
      </c>
      <c r="BG39" s="108" t="s">
        <v>2846</v>
      </c>
      <c r="BH39" s="108" t="s">
        <v>2846</v>
      </c>
      <c r="BI39" s="108" t="s">
        <v>3008</v>
      </c>
      <c r="BJ39" s="108" t="s">
        <v>3008</v>
      </c>
      <c r="BK39" s="2"/>
      <c r="BL39" s="3"/>
      <c r="BM39" s="3"/>
      <c r="BN39" s="3"/>
      <c r="BO39" s="3"/>
    </row>
    <row r="40" spans="1:67" x14ac:dyDescent="0.25">
      <c r="A40" s="65" t="s">
        <v>307</v>
      </c>
      <c r="B40" s="66"/>
      <c r="C40" s="66"/>
      <c r="D40" s="67"/>
      <c r="E40" s="69"/>
      <c r="F40" s="103" t="str">
        <f>HYPERLINK("https://pbs.twimg.com/profile_images/1248235117631307776/UpNAGSpJ_normal.jpg")</f>
        <v>https://pbs.twimg.com/profile_images/1248235117631307776/UpNAGSpJ_normal.jpg</v>
      </c>
      <c r="G40" s="66"/>
      <c r="H40" s="70"/>
      <c r="I40" s="71"/>
      <c r="J40" s="71"/>
      <c r="K40" s="70" t="s">
        <v>2418</v>
      </c>
      <c r="L40" s="74"/>
      <c r="M40" s="75">
        <v>4089.3662109375</v>
      </c>
      <c r="N40" s="75">
        <v>5647.0068359375</v>
      </c>
      <c r="O40" s="76"/>
      <c r="P40" s="77"/>
      <c r="Q40" s="77"/>
      <c r="R40" s="89"/>
      <c r="S40" s="50">
        <v>8</v>
      </c>
      <c r="T40" s="50">
        <v>4</v>
      </c>
      <c r="U40" s="51">
        <v>2736.0857139999998</v>
      </c>
      <c r="V40" s="51">
        <v>0.378772</v>
      </c>
      <c r="W40" s="51">
        <v>7.5838000000000003E-2</v>
      </c>
      <c r="X40" s="51">
        <v>7.0000000000000001E-3</v>
      </c>
      <c r="Y40" s="51">
        <v>5.5555555555555552E-2</v>
      </c>
      <c r="Z40" s="51">
        <v>0.1111111111111111</v>
      </c>
      <c r="AA40" s="72">
        <v>40</v>
      </c>
      <c r="AB40" s="72"/>
      <c r="AC40" s="73"/>
      <c r="AD40" s="79" t="s">
        <v>1765</v>
      </c>
      <c r="AE40" s="84" t="s">
        <v>1960</v>
      </c>
      <c r="AF40" s="79">
        <v>168</v>
      </c>
      <c r="AG40" s="79">
        <v>837</v>
      </c>
      <c r="AH40" s="79">
        <v>451</v>
      </c>
      <c r="AI40" s="79">
        <v>148</v>
      </c>
      <c r="AJ40" s="79"/>
      <c r="AK40" s="79" t="s">
        <v>2151</v>
      </c>
      <c r="AL40" s="79" t="s">
        <v>2317</v>
      </c>
      <c r="AM40" s="86" t="str">
        <f>HYPERLINK("https://t.co/xjxvIhHfaS")</f>
        <v>https://t.co/xjxvIhHfaS</v>
      </c>
      <c r="AN40" s="79"/>
      <c r="AO40" s="81">
        <v>43762.580682870372</v>
      </c>
      <c r="AP40" s="86" t="str">
        <f>HYPERLINK("https://pbs.twimg.com/profile_banners/1187367147422568450/1586439130")</f>
        <v>https://pbs.twimg.com/profile_banners/1187367147422568450/1586439130</v>
      </c>
      <c r="AQ40" s="79" t="b">
        <v>1</v>
      </c>
      <c r="AR40" s="79" t="b">
        <v>0</v>
      </c>
      <c r="AS40" s="79" t="b">
        <v>0</v>
      </c>
      <c r="AT40" s="79"/>
      <c r="AU40" s="79">
        <v>2</v>
      </c>
      <c r="AV40" s="79"/>
      <c r="AW40" s="79" t="b">
        <v>0</v>
      </c>
      <c r="AX40" s="79" t="s">
        <v>2381</v>
      </c>
      <c r="AY40" s="86" t="str">
        <f>HYPERLINK("https://twitter.com/jacobs_med_ub")</f>
        <v>https://twitter.com/jacobs_med_ub</v>
      </c>
      <c r="AZ40" s="79" t="s">
        <v>66</v>
      </c>
      <c r="BA40" s="50" t="s">
        <v>2648</v>
      </c>
      <c r="BB40" s="50" t="s">
        <v>2648</v>
      </c>
      <c r="BC40" s="50" t="s">
        <v>2718</v>
      </c>
      <c r="BD40" s="50" t="s">
        <v>2734</v>
      </c>
      <c r="BE40" s="50" t="s">
        <v>2749</v>
      </c>
      <c r="BF40" s="50" t="s">
        <v>2788</v>
      </c>
      <c r="BG40" s="108" t="s">
        <v>2847</v>
      </c>
      <c r="BH40" s="108" t="s">
        <v>2949</v>
      </c>
      <c r="BI40" s="108" t="s">
        <v>3009</v>
      </c>
      <c r="BJ40" s="108" t="s">
        <v>3009</v>
      </c>
      <c r="BK40" s="2"/>
      <c r="BL40" s="3"/>
      <c r="BM40" s="3"/>
      <c r="BN40" s="3"/>
      <c r="BO40" s="3"/>
    </row>
    <row r="41" spans="1:67" x14ac:dyDescent="0.25">
      <c r="A41" s="65" t="s">
        <v>239</v>
      </c>
      <c r="B41" s="66"/>
      <c r="C41" s="66"/>
      <c r="D41" s="67"/>
      <c r="E41" s="69"/>
      <c r="F41" s="103" t="str">
        <f>HYPERLINK("https://pbs.twimg.com/profile_images/1286850735230066688/kF0nDM0K_normal.jpg")</f>
        <v>https://pbs.twimg.com/profile_images/1286850735230066688/kF0nDM0K_normal.jpg</v>
      </c>
      <c r="G41" s="66"/>
      <c r="H41" s="70"/>
      <c r="I41" s="71"/>
      <c r="J41" s="71"/>
      <c r="K41" s="70" t="s">
        <v>2419</v>
      </c>
      <c r="L41" s="74"/>
      <c r="M41" s="75">
        <v>4283.04541015625</v>
      </c>
      <c r="N41" s="75">
        <v>1064.21435546875</v>
      </c>
      <c r="O41" s="76"/>
      <c r="P41" s="77"/>
      <c r="Q41" s="77"/>
      <c r="R41" s="89"/>
      <c r="S41" s="50">
        <v>0</v>
      </c>
      <c r="T41" s="50">
        <v>1</v>
      </c>
      <c r="U41" s="51">
        <v>0</v>
      </c>
      <c r="V41" s="51">
        <v>0.26376500000000003</v>
      </c>
      <c r="W41" s="51">
        <v>6.7239999999999999E-3</v>
      </c>
      <c r="X41" s="51">
        <v>4.4409999999999996E-3</v>
      </c>
      <c r="Y41" s="51">
        <v>0</v>
      </c>
      <c r="Z41" s="51">
        <v>0</v>
      </c>
      <c r="AA41" s="72">
        <v>41</v>
      </c>
      <c r="AB41" s="72"/>
      <c r="AC41" s="73"/>
      <c r="AD41" s="79" t="s">
        <v>1766</v>
      </c>
      <c r="AE41" s="84" t="s">
        <v>1961</v>
      </c>
      <c r="AF41" s="79">
        <v>930</v>
      </c>
      <c r="AG41" s="79">
        <v>445</v>
      </c>
      <c r="AH41" s="79">
        <v>2567</v>
      </c>
      <c r="AI41" s="79">
        <v>8181</v>
      </c>
      <c r="AJ41" s="79"/>
      <c r="AK41" s="79" t="s">
        <v>2152</v>
      </c>
      <c r="AL41" s="79" t="s">
        <v>1694</v>
      </c>
      <c r="AM41" s="86" t="str">
        <f>HYPERLINK("http://t.co/xd4pG8TxRO")</f>
        <v>http://t.co/xd4pG8TxRO</v>
      </c>
      <c r="AN41" s="79"/>
      <c r="AO41" s="81">
        <v>40166.858842592592</v>
      </c>
      <c r="AP41" s="86" t="str">
        <f>HYPERLINK("https://pbs.twimg.com/profile_banners/97977423/1348244867")</f>
        <v>https://pbs.twimg.com/profile_banners/97977423/1348244867</v>
      </c>
      <c r="AQ41" s="79" t="b">
        <v>0</v>
      </c>
      <c r="AR41" s="79" t="b">
        <v>0</v>
      </c>
      <c r="AS41" s="79" t="b">
        <v>1</v>
      </c>
      <c r="AT41" s="79"/>
      <c r="AU41" s="79">
        <v>12</v>
      </c>
      <c r="AV41" s="86" t="str">
        <f>HYPERLINK("https://abs.twimg.com/images/themes/theme15/bg.png")</f>
        <v>https://abs.twimg.com/images/themes/theme15/bg.png</v>
      </c>
      <c r="AW41" s="79" t="b">
        <v>0</v>
      </c>
      <c r="AX41" s="79" t="s">
        <v>2381</v>
      </c>
      <c r="AY41" s="86" t="str">
        <f>HYPERLINK("https://twitter.com/matthew_biddle")</f>
        <v>https://twitter.com/matthew_biddle</v>
      </c>
      <c r="AZ41" s="79" t="s">
        <v>66</v>
      </c>
      <c r="BA41" s="50"/>
      <c r="BB41" s="50"/>
      <c r="BC41" s="50"/>
      <c r="BD41" s="50"/>
      <c r="BE41" s="50" t="s">
        <v>2750</v>
      </c>
      <c r="BF41" s="50" t="s">
        <v>2750</v>
      </c>
      <c r="BG41" s="108" t="s">
        <v>2848</v>
      </c>
      <c r="BH41" s="108" t="s">
        <v>2848</v>
      </c>
      <c r="BI41" s="108" t="s">
        <v>3010</v>
      </c>
      <c r="BJ41" s="108" t="s">
        <v>3010</v>
      </c>
      <c r="BK41" s="2"/>
      <c r="BL41" s="3"/>
      <c r="BM41" s="3"/>
      <c r="BN41" s="3"/>
      <c r="BO41" s="3"/>
    </row>
    <row r="42" spans="1:67" x14ac:dyDescent="0.25">
      <c r="A42" s="65" t="s">
        <v>284</v>
      </c>
      <c r="B42" s="66"/>
      <c r="C42" s="66"/>
      <c r="D42" s="67"/>
      <c r="E42" s="69"/>
      <c r="F42" s="103" t="str">
        <f>HYPERLINK("https://pbs.twimg.com/profile_images/1349057594313363458/2umQAp4m_normal.jpg")</f>
        <v>https://pbs.twimg.com/profile_images/1349057594313363458/2umQAp4m_normal.jpg</v>
      </c>
      <c r="G42" s="66"/>
      <c r="H42" s="70"/>
      <c r="I42" s="71"/>
      <c r="J42" s="71"/>
      <c r="K42" s="70" t="s">
        <v>2420</v>
      </c>
      <c r="L42" s="74"/>
      <c r="M42" s="75">
        <v>5371.6875</v>
      </c>
      <c r="N42" s="75">
        <v>4328.4208984375</v>
      </c>
      <c r="O42" s="76"/>
      <c r="P42" s="77"/>
      <c r="Q42" s="77"/>
      <c r="R42" s="89"/>
      <c r="S42" s="50">
        <v>5</v>
      </c>
      <c r="T42" s="50">
        <v>6</v>
      </c>
      <c r="U42" s="51">
        <v>1633.9619049999999</v>
      </c>
      <c r="V42" s="51">
        <v>0.37172500000000003</v>
      </c>
      <c r="W42" s="51">
        <v>8.1339999999999996E-2</v>
      </c>
      <c r="X42" s="51">
        <v>7.5760000000000003E-3</v>
      </c>
      <c r="Y42" s="51">
        <v>7.1428571428571425E-2</v>
      </c>
      <c r="Z42" s="51">
        <v>0.125</v>
      </c>
      <c r="AA42" s="72">
        <v>42</v>
      </c>
      <c r="AB42" s="72"/>
      <c r="AC42" s="73"/>
      <c r="AD42" s="79" t="s">
        <v>1767</v>
      </c>
      <c r="AE42" s="84" t="s">
        <v>1962</v>
      </c>
      <c r="AF42" s="79">
        <v>469</v>
      </c>
      <c r="AG42" s="79">
        <v>1764</v>
      </c>
      <c r="AH42" s="79">
        <v>3394</v>
      </c>
      <c r="AI42" s="79">
        <v>2895</v>
      </c>
      <c r="AJ42" s="79"/>
      <c r="AK42" s="79" t="s">
        <v>2153</v>
      </c>
      <c r="AL42" s="79" t="s">
        <v>1694</v>
      </c>
      <c r="AM42" s="86" t="str">
        <f>HYPERLINK("https://t.co/UvJAeAq2PS")</f>
        <v>https://t.co/UvJAeAq2PS</v>
      </c>
      <c r="AN42" s="79"/>
      <c r="AO42" s="81">
        <v>41082.662141203706</v>
      </c>
      <c r="AP42" s="86" t="str">
        <f>HYPERLINK("https://pbs.twimg.com/profile_banners/615288467/1640177114")</f>
        <v>https://pbs.twimg.com/profile_banners/615288467/1640177114</v>
      </c>
      <c r="AQ42" s="79" t="b">
        <v>0</v>
      </c>
      <c r="AR42" s="79" t="b">
        <v>0</v>
      </c>
      <c r="AS42" s="79" t="b">
        <v>1</v>
      </c>
      <c r="AT42" s="79"/>
      <c r="AU42" s="79">
        <v>42</v>
      </c>
      <c r="AV42" s="86" t="str">
        <f>HYPERLINK("https://abs.twimg.com/images/themes/theme2/bg.gif")</f>
        <v>https://abs.twimg.com/images/themes/theme2/bg.gif</v>
      </c>
      <c r="AW42" s="79" t="b">
        <v>0</v>
      </c>
      <c r="AX42" s="79" t="s">
        <v>2381</v>
      </c>
      <c r="AY42" s="86" t="str">
        <f>HYPERLINK("https://twitter.com/ubschoolofmgt")</f>
        <v>https://twitter.com/ubschoolofmgt</v>
      </c>
      <c r="AZ42" s="79" t="s">
        <v>66</v>
      </c>
      <c r="BA42" s="50" t="s">
        <v>2649</v>
      </c>
      <c r="BB42" s="50" t="s">
        <v>2649</v>
      </c>
      <c r="BC42" s="50" t="s">
        <v>2719</v>
      </c>
      <c r="BD42" s="50" t="s">
        <v>2735</v>
      </c>
      <c r="BE42" s="50" t="s">
        <v>2751</v>
      </c>
      <c r="BF42" s="50" t="s">
        <v>2789</v>
      </c>
      <c r="BG42" s="108" t="s">
        <v>2849</v>
      </c>
      <c r="BH42" s="108" t="s">
        <v>2950</v>
      </c>
      <c r="BI42" s="108" t="s">
        <v>3011</v>
      </c>
      <c r="BJ42" s="108" t="s">
        <v>3097</v>
      </c>
      <c r="BK42" s="2"/>
      <c r="BL42" s="3"/>
      <c r="BM42" s="3"/>
      <c r="BN42" s="3"/>
      <c r="BO42" s="3"/>
    </row>
    <row r="43" spans="1:67" x14ac:dyDescent="0.25">
      <c r="A43" s="65" t="s">
        <v>240</v>
      </c>
      <c r="B43" s="66"/>
      <c r="C43" s="66"/>
      <c r="D43" s="67"/>
      <c r="E43" s="69"/>
      <c r="F43" s="103" t="str">
        <f>HYPERLINK("https://pbs.twimg.com/profile_images/451001027311837184/tfWpoMvh_normal.jpeg")</f>
        <v>https://pbs.twimg.com/profile_images/451001027311837184/tfWpoMvh_normal.jpeg</v>
      </c>
      <c r="G43" s="66"/>
      <c r="H43" s="70"/>
      <c r="I43" s="71"/>
      <c r="J43" s="71"/>
      <c r="K43" s="70" t="s">
        <v>2421</v>
      </c>
      <c r="L43" s="74"/>
      <c r="M43" s="75">
        <v>3131.424072265625</v>
      </c>
      <c r="N43" s="75">
        <v>7824.72509765625</v>
      </c>
      <c r="O43" s="76"/>
      <c r="P43" s="77"/>
      <c r="Q43" s="77"/>
      <c r="R43" s="89"/>
      <c r="S43" s="50">
        <v>0</v>
      </c>
      <c r="T43" s="50">
        <v>1</v>
      </c>
      <c r="U43" s="51">
        <v>0</v>
      </c>
      <c r="V43" s="51">
        <v>0.27230300000000002</v>
      </c>
      <c r="W43" s="51">
        <v>1.0083E-2</v>
      </c>
      <c r="X43" s="51">
        <v>4.4019999999999997E-3</v>
      </c>
      <c r="Y43" s="51">
        <v>0</v>
      </c>
      <c r="Z43" s="51">
        <v>0</v>
      </c>
      <c r="AA43" s="72">
        <v>43</v>
      </c>
      <c r="AB43" s="72"/>
      <c r="AC43" s="73"/>
      <c r="AD43" s="79" t="s">
        <v>1768</v>
      </c>
      <c r="AE43" s="84" t="s">
        <v>1963</v>
      </c>
      <c r="AF43" s="79">
        <v>1693</v>
      </c>
      <c r="AG43" s="79">
        <v>314</v>
      </c>
      <c r="AH43" s="79">
        <v>9819</v>
      </c>
      <c r="AI43" s="79">
        <v>15145</v>
      </c>
      <c r="AJ43" s="79"/>
      <c r="AK43" s="79"/>
      <c r="AL43" s="79"/>
      <c r="AM43" s="79"/>
      <c r="AN43" s="79"/>
      <c r="AO43" s="81">
        <v>41429.140717592592</v>
      </c>
      <c r="AP43" s="86" t="str">
        <f>HYPERLINK("https://pbs.twimg.com/profile_banners/1481220270/1645741934")</f>
        <v>https://pbs.twimg.com/profile_banners/1481220270/1645741934</v>
      </c>
      <c r="AQ43" s="79" t="b">
        <v>1</v>
      </c>
      <c r="AR43" s="79" t="b">
        <v>0</v>
      </c>
      <c r="AS43" s="79" t="b">
        <v>0</v>
      </c>
      <c r="AT43" s="79"/>
      <c r="AU43" s="79">
        <v>9</v>
      </c>
      <c r="AV43" s="86" t="str">
        <f>HYPERLINK("https://abs.twimg.com/images/themes/theme1/bg.png")</f>
        <v>https://abs.twimg.com/images/themes/theme1/bg.png</v>
      </c>
      <c r="AW43" s="79" t="b">
        <v>0</v>
      </c>
      <c r="AX43" s="79" t="s">
        <v>2381</v>
      </c>
      <c r="AY43" s="86" t="str">
        <f>HYPERLINK("https://twitter.com/lynnbernas1")</f>
        <v>https://twitter.com/lynnbernas1</v>
      </c>
      <c r="AZ43" s="79" t="s">
        <v>66</v>
      </c>
      <c r="BA43" s="50" t="s">
        <v>2650</v>
      </c>
      <c r="BB43" s="50" t="s">
        <v>2650</v>
      </c>
      <c r="BC43" s="50" t="s">
        <v>632</v>
      </c>
      <c r="BD43" s="50" t="s">
        <v>632</v>
      </c>
      <c r="BE43" s="50" t="s">
        <v>357</v>
      </c>
      <c r="BF43" s="50" t="s">
        <v>357</v>
      </c>
      <c r="BG43" s="108" t="s">
        <v>2850</v>
      </c>
      <c r="BH43" s="108" t="s">
        <v>2850</v>
      </c>
      <c r="BI43" s="108" t="s">
        <v>3012</v>
      </c>
      <c r="BJ43" s="108" t="s">
        <v>3012</v>
      </c>
      <c r="BK43" s="2"/>
      <c r="BL43" s="3"/>
      <c r="BM43" s="3"/>
      <c r="BN43" s="3"/>
      <c r="BO43" s="3"/>
    </row>
    <row r="44" spans="1:67" x14ac:dyDescent="0.25">
      <c r="A44" s="65" t="s">
        <v>377</v>
      </c>
      <c r="B44" s="66"/>
      <c r="C44" s="66"/>
      <c r="D44" s="67"/>
      <c r="E44" s="69"/>
      <c r="F44" s="103" t="str">
        <f>HYPERLINK("https://pbs.twimg.com/profile_images/1226935171875770368/-iqXH9Ad_normal.jpg")</f>
        <v>https://pbs.twimg.com/profile_images/1226935171875770368/-iqXH9Ad_normal.jpg</v>
      </c>
      <c r="G44" s="66"/>
      <c r="H44" s="70"/>
      <c r="I44" s="71"/>
      <c r="J44" s="71"/>
      <c r="K44" s="70" t="s">
        <v>2422</v>
      </c>
      <c r="L44" s="74"/>
      <c r="M44" s="75">
        <v>5104.271484375</v>
      </c>
      <c r="N44" s="75">
        <v>4578.814453125</v>
      </c>
      <c r="O44" s="76"/>
      <c r="P44" s="77"/>
      <c r="Q44" s="77"/>
      <c r="R44" s="89"/>
      <c r="S44" s="50">
        <v>8</v>
      </c>
      <c r="T44" s="50">
        <v>7</v>
      </c>
      <c r="U44" s="51">
        <v>1304.210112</v>
      </c>
      <c r="V44" s="51">
        <v>0.38890999999999998</v>
      </c>
      <c r="W44" s="51">
        <v>0.12198299999999999</v>
      </c>
      <c r="X44" s="51">
        <v>6.999E-3</v>
      </c>
      <c r="Y44" s="51">
        <v>9.0909090909090912E-2</v>
      </c>
      <c r="Z44" s="51">
        <v>0.18181818181818182</v>
      </c>
      <c r="AA44" s="72">
        <v>44</v>
      </c>
      <c r="AB44" s="72"/>
      <c r="AC44" s="73"/>
      <c r="AD44" s="79" t="s">
        <v>1769</v>
      </c>
      <c r="AE44" s="84" t="s">
        <v>1641</v>
      </c>
      <c r="AF44" s="79">
        <v>184</v>
      </c>
      <c r="AG44" s="79">
        <v>3656</v>
      </c>
      <c r="AH44" s="79">
        <v>5691</v>
      </c>
      <c r="AI44" s="79">
        <v>5028</v>
      </c>
      <c r="AJ44" s="79"/>
      <c r="AK44" s="79" t="s">
        <v>2154</v>
      </c>
      <c r="AL44" s="79" t="s">
        <v>1694</v>
      </c>
      <c r="AM44" s="86" t="str">
        <f>HYPERLINK("https://t.co/79KhQqivOR")</f>
        <v>https://t.co/79KhQqivOR</v>
      </c>
      <c r="AN44" s="79"/>
      <c r="AO44" s="81">
        <v>40241.896377314813</v>
      </c>
      <c r="AP44" s="86" t="str">
        <f>HYPERLINK("https://pbs.twimg.com/profile_banners/119885955/1638293203")</f>
        <v>https://pbs.twimg.com/profile_banners/119885955/1638293203</v>
      </c>
      <c r="AQ44" s="79" t="b">
        <v>0</v>
      </c>
      <c r="AR44" s="79" t="b">
        <v>0</v>
      </c>
      <c r="AS44" s="79" t="b">
        <v>1</v>
      </c>
      <c r="AT44" s="79"/>
      <c r="AU44" s="79">
        <v>47</v>
      </c>
      <c r="AV44" s="86" t="str">
        <f>HYPERLINK("https://abs.twimg.com/images/themes/theme1/bg.png")</f>
        <v>https://abs.twimg.com/images/themes/theme1/bg.png</v>
      </c>
      <c r="AW44" s="79" t="b">
        <v>0</v>
      </c>
      <c r="AX44" s="79" t="s">
        <v>2381</v>
      </c>
      <c r="AY44" s="86" t="str">
        <f>HYPERLINK("https://twitter.com/ubstudentexp")</f>
        <v>https://twitter.com/ubstudentexp</v>
      </c>
      <c r="AZ44" s="79" t="s">
        <v>66</v>
      </c>
      <c r="BA44" s="50" t="s">
        <v>2651</v>
      </c>
      <c r="BB44" s="50" t="s">
        <v>2651</v>
      </c>
      <c r="BC44" s="50" t="s">
        <v>2720</v>
      </c>
      <c r="BD44" s="50" t="s">
        <v>2736</v>
      </c>
      <c r="BE44" s="50" t="s">
        <v>2752</v>
      </c>
      <c r="BF44" s="50" t="s">
        <v>2790</v>
      </c>
      <c r="BG44" s="108" t="s">
        <v>2851</v>
      </c>
      <c r="BH44" s="108" t="s">
        <v>2951</v>
      </c>
      <c r="BI44" s="108" t="s">
        <v>3013</v>
      </c>
      <c r="BJ44" s="108" t="s">
        <v>3098</v>
      </c>
      <c r="BK44" s="2"/>
      <c r="BL44" s="3"/>
      <c r="BM44" s="3"/>
      <c r="BN44" s="3"/>
      <c r="BO44" s="3"/>
    </row>
    <row r="45" spans="1:67" x14ac:dyDescent="0.25">
      <c r="A45" s="65" t="s">
        <v>241</v>
      </c>
      <c r="B45" s="66"/>
      <c r="C45" s="66"/>
      <c r="D45" s="67"/>
      <c r="E45" s="69"/>
      <c r="F45" s="103" t="str">
        <f>HYPERLINK("https://pbs.twimg.com/profile_images/665247996767027200/TQ-CMIhQ_normal.png")</f>
        <v>https://pbs.twimg.com/profile_images/665247996767027200/TQ-CMIhQ_normal.png</v>
      </c>
      <c r="G45" s="66"/>
      <c r="H45" s="70"/>
      <c r="I45" s="71"/>
      <c r="J45" s="71"/>
      <c r="K45" s="70" t="s">
        <v>2423</v>
      </c>
      <c r="L45" s="74"/>
      <c r="M45" s="75">
        <v>2614.2548828125</v>
      </c>
      <c r="N45" s="75">
        <v>7575.37646484375</v>
      </c>
      <c r="O45" s="76"/>
      <c r="P45" s="77"/>
      <c r="Q45" s="77"/>
      <c r="R45" s="89"/>
      <c r="S45" s="50">
        <v>0</v>
      </c>
      <c r="T45" s="50">
        <v>1</v>
      </c>
      <c r="U45" s="51">
        <v>0</v>
      </c>
      <c r="V45" s="51">
        <v>0.26420100000000002</v>
      </c>
      <c r="W45" s="51">
        <v>1.0638999999999999E-2</v>
      </c>
      <c r="X45" s="51">
        <v>4.4270000000000004E-3</v>
      </c>
      <c r="Y45" s="51">
        <v>0</v>
      </c>
      <c r="Z45" s="51">
        <v>0</v>
      </c>
      <c r="AA45" s="72">
        <v>45</v>
      </c>
      <c r="AB45" s="72"/>
      <c r="AC45" s="73"/>
      <c r="AD45" s="79" t="s">
        <v>1770</v>
      </c>
      <c r="AE45" s="84" t="s">
        <v>1964</v>
      </c>
      <c r="AF45" s="79">
        <v>562</v>
      </c>
      <c r="AG45" s="79">
        <v>1611</v>
      </c>
      <c r="AH45" s="79">
        <v>10973</v>
      </c>
      <c r="AI45" s="79">
        <v>11045</v>
      </c>
      <c r="AJ45" s="79"/>
      <c r="AK45" s="79" t="s">
        <v>2155</v>
      </c>
      <c r="AL45" s="79" t="s">
        <v>2318</v>
      </c>
      <c r="AM45" s="86" t="str">
        <f>HYPERLINK("http://t.co/5fAXT4kBlA")</f>
        <v>http://t.co/5fAXT4kBlA</v>
      </c>
      <c r="AN45" s="79"/>
      <c r="AO45" s="81">
        <v>40961.653321759259</v>
      </c>
      <c r="AP45" s="86" t="str">
        <f>HYPERLINK("https://pbs.twimg.com/profile_banners/499880785/1418787742")</f>
        <v>https://pbs.twimg.com/profile_banners/499880785/1418787742</v>
      </c>
      <c r="AQ45" s="79" t="b">
        <v>0</v>
      </c>
      <c r="AR45" s="79" t="b">
        <v>0</v>
      </c>
      <c r="AS45" s="79" t="b">
        <v>1</v>
      </c>
      <c r="AT45" s="79"/>
      <c r="AU45" s="79">
        <v>12</v>
      </c>
      <c r="AV45" s="86" t="str">
        <f>HYPERLINK("https://abs.twimg.com/images/themes/theme1/bg.png")</f>
        <v>https://abs.twimg.com/images/themes/theme1/bg.png</v>
      </c>
      <c r="AW45" s="79" t="b">
        <v>0</v>
      </c>
      <c r="AX45" s="79" t="s">
        <v>2381</v>
      </c>
      <c r="AY45" s="86" t="str">
        <f>HYPERLINK("https://twitter.com/wnywrestling")</f>
        <v>https://twitter.com/wnywrestling</v>
      </c>
      <c r="AZ45" s="79" t="s">
        <v>66</v>
      </c>
      <c r="BA45" s="50"/>
      <c r="BB45" s="50"/>
      <c r="BC45" s="50"/>
      <c r="BD45" s="50"/>
      <c r="BE45" s="50" t="s">
        <v>671</v>
      </c>
      <c r="BF45" s="50" t="s">
        <v>671</v>
      </c>
      <c r="BG45" s="108" t="s">
        <v>2852</v>
      </c>
      <c r="BH45" s="108" t="s">
        <v>2852</v>
      </c>
      <c r="BI45" s="108" t="s">
        <v>3014</v>
      </c>
      <c r="BJ45" s="108" t="s">
        <v>3014</v>
      </c>
      <c r="BK45" s="2"/>
      <c r="BL45" s="3"/>
      <c r="BM45" s="3"/>
      <c r="BN45" s="3"/>
      <c r="BO45" s="3"/>
    </row>
    <row r="46" spans="1:67" x14ac:dyDescent="0.25">
      <c r="A46" s="65" t="s">
        <v>360</v>
      </c>
      <c r="B46" s="66"/>
      <c r="C46" s="66"/>
      <c r="D46" s="67"/>
      <c r="E46" s="69"/>
      <c r="F46" s="103" t="str">
        <f>HYPERLINK("https://pbs.twimg.com/profile_images/1242570296944726021/QQwEA37G_normal.jpg")</f>
        <v>https://pbs.twimg.com/profile_images/1242570296944726021/QQwEA37G_normal.jpg</v>
      </c>
      <c r="G46" s="66"/>
      <c r="H46" s="70"/>
      <c r="I46" s="71"/>
      <c r="J46" s="71"/>
      <c r="K46" s="70" t="s">
        <v>2424</v>
      </c>
      <c r="L46" s="74"/>
      <c r="M46" s="75">
        <v>6171.84619140625</v>
      </c>
      <c r="N46" s="75">
        <v>7178.29150390625</v>
      </c>
      <c r="O46" s="76"/>
      <c r="P46" s="77"/>
      <c r="Q46" s="77"/>
      <c r="R46" s="89"/>
      <c r="S46" s="50">
        <v>8</v>
      </c>
      <c r="T46" s="50">
        <v>2</v>
      </c>
      <c r="U46" s="51">
        <v>1065.808454</v>
      </c>
      <c r="V46" s="51">
        <v>0.37259199999999998</v>
      </c>
      <c r="W46" s="51">
        <v>0.12870599999999999</v>
      </c>
      <c r="X46" s="51">
        <v>6.7330000000000003E-3</v>
      </c>
      <c r="Y46" s="51">
        <v>0.16071428571428573</v>
      </c>
      <c r="Z46" s="51">
        <v>0</v>
      </c>
      <c r="AA46" s="72">
        <v>46</v>
      </c>
      <c r="AB46" s="72"/>
      <c r="AC46" s="73"/>
      <c r="AD46" s="79" t="s">
        <v>1771</v>
      </c>
      <c r="AE46" s="84" t="s">
        <v>1965</v>
      </c>
      <c r="AF46" s="79">
        <v>423</v>
      </c>
      <c r="AG46" s="79">
        <v>725</v>
      </c>
      <c r="AH46" s="79">
        <v>1379</v>
      </c>
      <c r="AI46" s="79">
        <v>1997</v>
      </c>
      <c r="AJ46" s="79"/>
      <c r="AK46" s="79" t="s">
        <v>2156</v>
      </c>
      <c r="AL46" s="79" t="s">
        <v>2319</v>
      </c>
      <c r="AM46" s="86" t="str">
        <f>HYPERLINK("https://t.co/zArdLifppr")</f>
        <v>https://t.co/zArdLifppr</v>
      </c>
      <c r="AN46" s="79"/>
      <c r="AO46" s="81">
        <v>39653.7890162037</v>
      </c>
      <c r="AP46" s="86" t="str">
        <f>HYPERLINK("https://pbs.twimg.com/profile_banners/15586827/1605202660")</f>
        <v>https://pbs.twimg.com/profile_banners/15586827/1605202660</v>
      </c>
      <c r="AQ46" s="79" t="b">
        <v>0</v>
      </c>
      <c r="AR46" s="79" t="b">
        <v>0</v>
      </c>
      <c r="AS46" s="79" t="b">
        <v>1</v>
      </c>
      <c r="AT46" s="79"/>
      <c r="AU46" s="79">
        <v>13</v>
      </c>
      <c r="AV46" s="86" t="str">
        <f>HYPERLINK("https://abs.twimg.com/images/themes/theme15/bg.png")</f>
        <v>https://abs.twimg.com/images/themes/theme15/bg.png</v>
      </c>
      <c r="AW46" s="79" t="b">
        <v>0</v>
      </c>
      <c r="AX46" s="79" t="s">
        <v>2381</v>
      </c>
      <c r="AY46" s="86" t="str">
        <f>HYPERLINK("https://twitter.com/shollander2")</f>
        <v>https://twitter.com/shollander2</v>
      </c>
      <c r="AZ46" s="79" t="s">
        <v>66</v>
      </c>
      <c r="BA46" s="50" t="s">
        <v>2652</v>
      </c>
      <c r="BB46" s="50" t="s">
        <v>2652</v>
      </c>
      <c r="BC46" s="50" t="s">
        <v>632</v>
      </c>
      <c r="BD46" s="50" t="s">
        <v>632</v>
      </c>
      <c r="BE46" s="50" t="s">
        <v>2753</v>
      </c>
      <c r="BF46" s="50" t="s">
        <v>2791</v>
      </c>
      <c r="BG46" s="108" t="s">
        <v>2853</v>
      </c>
      <c r="BH46" s="108" t="s">
        <v>2952</v>
      </c>
      <c r="BI46" s="108" t="s">
        <v>3015</v>
      </c>
      <c r="BJ46" s="108" t="s">
        <v>3015</v>
      </c>
      <c r="BK46" s="2"/>
      <c r="BL46" s="3"/>
      <c r="BM46" s="3"/>
      <c r="BN46" s="3"/>
      <c r="BO46" s="3"/>
    </row>
    <row r="47" spans="1:67" x14ac:dyDescent="0.25">
      <c r="A47" s="65" t="s">
        <v>242</v>
      </c>
      <c r="B47" s="66"/>
      <c r="C47" s="66"/>
      <c r="D47" s="67"/>
      <c r="E47" s="69"/>
      <c r="F47" s="103" t="str">
        <f>HYPERLINK("https://pbs.twimg.com/profile_images/1036948989604777984/NkYFslny_normal.jpg")</f>
        <v>https://pbs.twimg.com/profile_images/1036948989604777984/NkYFslny_normal.jpg</v>
      </c>
      <c r="G47" s="66"/>
      <c r="H47" s="70"/>
      <c r="I47" s="71"/>
      <c r="J47" s="71"/>
      <c r="K47" s="70" t="s">
        <v>2425</v>
      </c>
      <c r="L47" s="74"/>
      <c r="M47" s="75">
        <v>6844.84912109375</v>
      </c>
      <c r="N47" s="75">
        <v>1210.74365234375</v>
      </c>
      <c r="O47" s="76"/>
      <c r="P47" s="77"/>
      <c r="Q47" s="77"/>
      <c r="R47" s="89"/>
      <c r="S47" s="50">
        <v>0</v>
      </c>
      <c r="T47" s="50">
        <v>1</v>
      </c>
      <c r="U47" s="51">
        <v>0</v>
      </c>
      <c r="V47" s="51">
        <v>0.34300799999999998</v>
      </c>
      <c r="W47" s="51">
        <v>4.5978999999999999E-2</v>
      </c>
      <c r="X47" s="51">
        <v>4.3769999999999998E-3</v>
      </c>
      <c r="Y47" s="51">
        <v>0</v>
      </c>
      <c r="Z47" s="51">
        <v>0</v>
      </c>
      <c r="AA47" s="72">
        <v>47</v>
      </c>
      <c r="AB47" s="72"/>
      <c r="AC47" s="73"/>
      <c r="AD47" s="79" t="s">
        <v>1772</v>
      </c>
      <c r="AE47" s="84" t="s">
        <v>1966</v>
      </c>
      <c r="AF47" s="79">
        <v>1110</v>
      </c>
      <c r="AG47" s="79">
        <v>759</v>
      </c>
      <c r="AH47" s="79">
        <v>6342</v>
      </c>
      <c r="AI47" s="79">
        <v>6649</v>
      </c>
      <c r="AJ47" s="79"/>
      <c r="AK47" s="79" t="s">
        <v>2157</v>
      </c>
      <c r="AL47" s="79" t="s">
        <v>1694</v>
      </c>
      <c r="AM47" s="86" t="str">
        <f>HYPERLINK("https://t.co/0JeVLIvdLx")</f>
        <v>https://t.co/0JeVLIvdLx</v>
      </c>
      <c r="AN47" s="79"/>
      <c r="AO47" s="81">
        <v>41727.061145833337</v>
      </c>
      <c r="AP47" s="86" t="str">
        <f>HYPERLINK("https://pbs.twimg.com/profile_banners/2443363235/1550896497")</f>
        <v>https://pbs.twimg.com/profile_banners/2443363235/1550896497</v>
      </c>
      <c r="AQ47" s="79" t="b">
        <v>0</v>
      </c>
      <c r="AR47" s="79" t="b">
        <v>0</v>
      </c>
      <c r="AS47" s="79" t="b">
        <v>1</v>
      </c>
      <c r="AT47" s="79"/>
      <c r="AU47" s="79">
        <v>7</v>
      </c>
      <c r="AV47" s="86" t="str">
        <f>HYPERLINK("https://abs.twimg.com/images/themes/theme1/bg.png")</f>
        <v>https://abs.twimg.com/images/themes/theme1/bg.png</v>
      </c>
      <c r="AW47" s="79" t="b">
        <v>0</v>
      </c>
      <c r="AX47" s="79" t="s">
        <v>2381</v>
      </c>
      <c r="AY47" s="86" t="str">
        <f>HYPERLINK("https://twitter.com/advisormellymel")</f>
        <v>https://twitter.com/advisormellymel</v>
      </c>
      <c r="AZ47" s="79" t="s">
        <v>66</v>
      </c>
      <c r="BA47" s="50"/>
      <c r="BB47" s="50"/>
      <c r="BC47" s="50"/>
      <c r="BD47" s="50"/>
      <c r="BE47" s="50" t="s">
        <v>668</v>
      </c>
      <c r="BF47" s="50" t="s">
        <v>668</v>
      </c>
      <c r="BG47" s="108" t="s">
        <v>2836</v>
      </c>
      <c r="BH47" s="108" t="s">
        <v>2836</v>
      </c>
      <c r="BI47" s="108" t="s">
        <v>3001</v>
      </c>
      <c r="BJ47" s="108" t="s">
        <v>3001</v>
      </c>
      <c r="BK47" s="2"/>
      <c r="BL47" s="3"/>
      <c r="BM47" s="3"/>
      <c r="BN47" s="3"/>
      <c r="BO47" s="3"/>
    </row>
    <row r="48" spans="1:67" x14ac:dyDescent="0.25">
      <c r="A48" s="65" t="s">
        <v>243</v>
      </c>
      <c r="B48" s="66"/>
      <c r="C48" s="66"/>
      <c r="D48" s="67"/>
      <c r="E48" s="69"/>
      <c r="F48" s="103" t="str">
        <f>HYPERLINK("https://pbs.twimg.com/profile_images/819449225159315456/oqxbwCL4_normal.jpg")</f>
        <v>https://pbs.twimg.com/profile_images/819449225159315456/oqxbwCL4_normal.jpg</v>
      </c>
      <c r="G48" s="66"/>
      <c r="H48" s="70"/>
      <c r="I48" s="71"/>
      <c r="J48" s="71"/>
      <c r="K48" s="70" t="s">
        <v>2426</v>
      </c>
      <c r="L48" s="74"/>
      <c r="M48" s="75">
        <v>8834.9482421875</v>
      </c>
      <c r="N48" s="75">
        <v>2722.244873046875</v>
      </c>
      <c r="O48" s="76"/>
      <c r="P48" s="77"/>
      <c r="Q48" s="77"/>
      <c r="R48" s="89"/>
      <c r="S48" s="50">
        <v>0</v>
      </c>
      <c r="T48" s="50">
        <v>1</v>
      </c>
      <c r="U48" s="51">
        <v>0</v>
      </c>
      <c r="V48" s="51">
        <v>0.25211600000000001</v>
      </c>
      <c r="W48" s="51">
        <v>4.5840000000000004E-3</v>
      </c>
      <c r="X48" s="51">
        <v>4.463E-3</v>
      </c>
      <c r="Y48" s="51">
        <v>0</v>
      </c>
      <c r="Z48" s="51">
        <v>0</v>
      </c>
      <c r="AA48" s="72">
        <v>48</v>
      </c>
      <c r="AB48" s="72"/>
      <c r="AC48" s="73"/>
      <c r="AD48" s="79" t="s">
        <v>1773</v>
      </c>
      <c r="AE48" s="84" t="s">
        <v>1967</v>
      </c>
      <c r="AF48" s="79">
        <v>3148</v>
      </c>
      <c r="AG48" s="79">
        <v>2437</v>
      </c>
      <c r="AH48" s="79">
        <v>4966</v>
      </c>
      <c r="AI48" s="79">
        <v>23994</v>
      </c>
      <c r="AJ48" s="79"/>
      <c r="AK48" s="79" t="s">
        <v>2158</v>
      </c>
      <c r="AL48" s="79" t="s">
        <v>1694</v>
      </c>
      <c r="AM48" s="79"/>
      <c r="AN48" s="79"/>
      <c r="AO48" s="81">
        <v>40699.895972222221</v>
      </c>
      <c r="AP48" s="86" t="str">
        <f>HYPERLINK("https://pbs.twimg.com/profile_banners/311679916/1626895342")</f>
        <v>https://pbs.twimg.com/profile_banners/311679916/1626895342</v>
      </c>
      <c r="AQ48" s="79" t="b">
        <v>0</v>
      </c>
      <c r="AR48" s="79" t="b">
        <v>0</v>
      </c>
      <c r="AS48" s="79" t="b">
        <v>1</v>
      </c>
      <c r="AT48" s="79"/>
      <c r="AU48" s="79">
        <v>36</v>
      </c>
      <c r="AV48" s="86" t="str">
        <f>HYPERLINK("https://abs.twimg.com/images/themes/theme5/bg.gif")</f>
        <v>https://abs.twimg.com/images/themes/theme5/bg.gif</v>
      </c>
      <c r="AW48" s="79" t="b">
        <v>0</v>
      </c>
      <c r="AX48" s="79" t="s">
        <v>2381</v>
      </c>
      <c r="AY48" s="86" t="str">
        <f>HYPERLINK("https://twitter.com/tiapalermo")</f>
        <v>https://twitter.com/tiapalermo</v>
      </c>
      <c r="AZ48" s="79" t="s">
        <v>66</v>
      </c>
      <c r="BA48" s="50" t="s">
        <v>626</v>
      </c>
      <c r="BB48" s="50" t="s">
        <v>626</v>
      </c>
      <c r="BC48" s="50" t="s">
        <v>640</v>
      </c>
      <c r="BD48" s="50" t="s">
        <v>640</v>
      </c>
      <c r="BE48" s="50" t="s">
        <v>672</v>
      </c>
      <c r="BF48" s="50" t="s">
        <v>672</v>
      </c>
      <c r="BG48" s="108" t="s">
        <v>2854</v>
      </c>
      <c r="BH48" s="108" t="s">
        <v>2854</v>
      </c>
      <c r="BI48" s="108" t="s">
        <v>3016</v>
      </c>
      <c r="BJ48" s="108" t="s">
        <v>3016</v>
      </c>
      <c r="BK48" s="2"/>
      <c r="BL48" s="3"/>
      <c r="BM48" s="3"/>
      <c r="BN48" s="3"/>
      <c r="BO48" s="3"/>
    </row>
    <row r="49" spans="1:67" x14ac:dyDescent="0.25">
      <c r="A49" s="65" t="s">
        <v>270</v>
      </c>
      <c r="B49" s="66"/>
      <c r="C49" s="66"/>
      <c r="D49" s="67"/>
      <c r="E49" s="69"/>
      <c r="F49" s="103" t="str">
        <f>HYPERLINK("https://pbs.twimg.com/profile_images/1480965293358911493/b1XdT8Gd_normal.jpg")</f>
        <v>https://pbs.twimg.com/profile_images/1480965293358911493/b1XdT8Gd_normal.jpg</v>
      </c>
      <c r="G49" s="66"/>
      <c r="H49" s="70"/>
      <c r="I49" s="71"/>
      <c r="J49" s="71"/>
      <c r="K49" s="70" t="s">
        <v>2427</v>
      </c>
      <c r="L49" s="74"/>
      <c r="M49" s="75">
        <v>5444.66455078125</v>
      </c>
      <c r="N49" s="75">
        <v>6926.7646484375</v>
      </c>
      <c r="O49" s="76"/>
      <c r="P49" s="77"/>
      <c r="Q49" s="77"/>
      <c r="R49" s="89"/>
      <c r="S49" s="50">
        <v>3</v>
      </c>
      <c r="T49" s="50">
        <v>4</v>
      </c>
      <c r="U49" s="51">
        <v>1024.41039</v>
      </c>
      <c r="V49" s="51">
        <v>0.34899999999999998</v>
      </c>
      <c r="W49" s="51">
        <v>5.5458E-2</v>
      </c>
      <c r="X49" s="51">
        <v>5.947E-3</v>
      </c>
      <c r="Y49" s="51">
        <v>0.1</v>
      </c>
      <c r="Z49" s="51">
        <v>0</v>
      </c>
      <c r="AA49" s="72">
        <v>49</v>
      </c>
      <c r="AB49" s="72"/>
      <c r="AC49" s="73"/>
      <c r="AD49" s="79" t="s">
        <v>1774</v>
      </c>
      <c r="AE49" s="84" t="s">
        <v>1968</v>
      </c>
      <c r="AF49" s="79">
        <v>187</v>
      </c>
      <c r="AG49" s="79">
        <v>21</v>
      </c>
      <c r="AH49" s="79">
        <v>13</v>
      </c>
      <c r="AI49" s="79">
        <v>8</v>
      </c>
      <c r="AJ49" s="79"/>
      <c r="AK49" s="79" t="s">
        <v>2159</v>
      </c>
      <c r="AL49" s="79" t="s">
        <v>1694</v>
      </c>
      <c r="AM49" s="86" t="str">
        <f>HYPERLINK("https://t.co/WZaupUkJAY")</f>
        <v>https://t.co/WZaupUkJAY</v>
      </c>
      <c r="AN49" s="79"/>
      <c r="AO49" s="81">
        <v>44539.729490740741</v>
      </c>
      <c r="AP49" s="86" t="str">
        <f>HYPERLINK("https://pbs.twimg.com/profile_banners/1468996227261939723/1641925179")</f>
        <v>https://pbs.twimg.com/profile_banners/1468996227261939723/1641925179</v>
      </c>
      <c r="AQ49" s="79" t="b">
        <v>1</v>
      </c>
      <c r="AR49" s="79" t="b">
        <v>0</v>
      </c>
      <c r="AS49" s="79" t="b">
        <v>1</v>
      </c>
      <c r="AT49" s="79"/>
      <c r="AU49" s="79">
        <v>0</v>
      </c>
      <c r="AV49" s="79"/>
      <c r="AW49" s="79" t="b">
        <v>0</v>
      </c>
      <c r="AX49" s="79" t="s">
        <v>2381</v>
      </c>
      <c r="AY49" s="86" t="str">
        <f>HYPERLINK("https://twitter.com/ubhealthcast")</f>
        <v>https://twitter.com/ubhealthcast</v>
      </c>
      <c r="AZ49" s="79" t="s">
        <v>66</v>
      </c>
      <c r="BA49" s="50" t="s">
        <v>626</v>
      </c>
      <c r="BB49" s="50" t="s">
        <v>2709</v>
      </c>
      <c r="BC49" s="50" t="s">
        <v>640</v>
      </c>
      <c r="BD49" s="50" t="s">
        <v>640</v>
      </c>
      <c r="BE49" s="50" t="s">
        <v>2754</v>
      </c>
      <c r="BF49" s="50" t="s">
        <v>2792</v>
      </c>
      <c r="BG49" s="108" t="s">
        <v>2855</v>
      </c>
      <c r="BH49" s="108" t="s">
        <v>2953</v>
      </c>
      <c r="BI49" s="108" t="s">
        <v>3017</v>
      </c>
      <c r="BJ49" s="108" t="s">
        <v>3099</v>
      </c>
      <c r="BK49" s="2"/>
      <c r="BL49" s="3"/>
      <c r="BM49" s="3"/>
      <c r="BN49" s="3"/>
      <c r="BO49" s="3"/>
    </row>
    <row r="50" spans="1:67" x14ac:dyDescent="0.25">
      <c r="A50" s="65" t="s">
        <v>244</v>
      </c>
      <c r="B50" s="66"/>
      <c r="C50" s="66"/>
      <c r="D50" s="67"/>
      <c r="E50" s="69"/>
      <c r="F50" s="103" t="str">
        <f>HYPERLINK("https://pbs.twimg.com/profile_images/1364700315270991872/8aDoiiBy_normal.jpg")</f>
        <v>https://pbs.twimg.com/profile_images/1364700315270991872/8aDoiiBy_normal.jpg</v>
      </c>
      <c r="G50" s="66"/>
      <c r="H50" s="70"/>
      <c r="I50" s="71"/>
      <c r="J50" s="71"/>
      <c r="K50" s="70" t="s">
        <v>2428</v>
      </c>
      <c r="L50" s="74"/>
      <c r="M50" s="75">
        <v>6684.412109375</v>
      </c>
      <c r="N50" s="75">
        <v>8138.79296875</v>
      </c>
      <c r="O50" s="76"/>
      <c r="P50" s="77"/>
      <c r="Q50" s="77"/>
      <c r="R50" s="89"/>
      <c r="S50" s="50">
        <v>0</v>
      </c>
      <c r="T50" s="50">
        <v>3</v>
      </c>
      <c r="U50" s="51">
        <v>12.968254</v>
      </c>
      <c r="V50" s="51">
        <v>0.26160699999999998</v>
      </c>
      <c r="W50" s="51">
        <v>8.4049999999999993E-3</v>
      </c>
      <c r="X50" s="51">
        <v>4.9670000000000001E-3</v>
      </c>
      <c r="Y50" s="51">
        <v>0.33333333333333331</v>
      </c>
      <c r="Z50" s="51">
        <v>0</v>
      </c>
      <c r="AA50" s="72">
        <v>50</v>
      </c>
      <c r="AB50" s="72"/>
      <c r="AC50" s="73"/>
      <c r="AD50" s="79" t="s">
        <v>1775</v>
      </c>
      <c r="AE50" s="84" t="s">
        <v>1969</v>
      </c>
      <c r="AF50" s="79">
        <v>1082</v>
      </c>
      <c r="AG50" s="79">
        <v>1162</v>
      </c>
      <c r="AH50" s="79">
        <v>3391</v>
      </c>
      <c r="AI50" s="79">
        <v>1353</v>
      </c>
      <c r="AJ50" s="79"/>
      <c r="AK50" s="79" t="s">
        <v>2160</v>
      </c>
      <c r="AL50" s="79" t="s">
        <v>1694</v>
      </c>
      <c r="AM50" s="86" t="str">
        <f>HYPERLINK("https://t.co/dRlvQehXMw")</f>
        <v>https://t.co/dRlvQehXMw</v>
      </c>
      <c r="AN50" s="79"/>
      <c r="AO50" s="81">
        <v>39843.789537037039</v>
      </c>
      <c r="AP50" s="86" t="str">
        <f>HYPERLINK("https://pbs.twimg.com/profile_banners/19781776/1644242618")</f>
        <v>https://pbs.twimg.com/profile_banners/19781776/1644242618</v>
      </c>
      <c r="AQ50" s="79" t="b">
        <v>0</v>
      </c>
      <c r="AR50" s="79" t="b">
        <v>0</v>
      </c>
      <c r="AS50" s="79" t="b">
        <v>1</v>
      </c>
      <c r="AT50" s="79"/>
      <c r="AU50" s="79">
        <v>48</v>
      </c>
      <c r="AV50" s="86" t="str">
        <f>HYPERLINK("https://abs.twimg.com/images/themes/theme1/bg.png")</f>
        <v>https://abs.twimg.com/images/themes/theme1/bg.png</v>
      </c>
      <c r="AW50" s="79" t="b">
        <v>0</v>
      </c>
      <c r="AX50" s="79" t="s">
        <v>2381</v>
      </c>
      <c r="AY50" s="86" t="str">
        <f>HYPERLINK("https://twitter.com/ubsphhp")</f>
        <v>https://twitter.com/ubsphhp</v>
      </c>
      <c r="AZ50" s="79" t="s">
        <v>66</v>
      </c>
      <c r="BA50" s="50" t="s">
        <v>626</v>
      </c>
      <c r="BB50" s="50" t="s">
        <v>2709</v>
      </c>
      <c r="BC50" s="50" t="s">
        <v>640</v>
      </c>
      <c r="BD50" s="50" t="s">
        <v>640</v>
      </c>
      <c r="BE50" s="50" t="s">
        <v>2755</v>
      </c>
      <c r="BF50" s="50" t="s">
        <v>2793</v>
      </c>
      <c r="BG50" s="108" t="s">
        <v>2856</v>
      </c>
      <c r="BH50" s="108" t="s">
        <v>2954</v>
      </c>
      <c r="BI50" s="108" t="s">
        <v>3018</v>
      </c>
      <c r="BJ50" s="108" t="s">
        <v>3099</v>
      </c>
      <c r="BK50" s="2"/>
      <c r="BL50" s="3"/>
      <c r="BM50" s="3"/>
      <c r="BN50" s="3"/>
      <c r="BO50" s="3"/>
    </row>
    <row r="51" spans="1:67" x14ac:dyDescent="0.25">
      <c r="A51" s="65" t="s">
        <v>354</v>
      </c>
      <c r="B51" s="66"/>
      <c r="C51" s="66"/>
      <c r="D51" s="67"/>
      <c r="E51" s="69"/>
      <c r="F51" s="103" t="str">
        <f>HYPERLINK("https://pbs.twimg.com/profile_images/1379891805118984197/cjvPWyvE_normal.jpg")</f>
        <v>https://pbs.twimg.com/profile_images/1379891805118984197/cjvPWyvE_normal.jpg</v>
      </c>
      <c r="G51" s="66"/>
      <c r="H51" s="70"/>
      <c r="I51" s="71"/>
      <c r="J51" s="71"/>
      <c r="K51" s="70" t="s">
        <v>2429</v>
      </c>
      <c r="L51" s="74"/>
      <c r="M51" s="75">
        <v>7956.49169921875</v>
      </c>
      <c r="N51" s="75">
        <v>6584.8154296875</v>
      </c>
      <c r="O51" s="76"/>
      <c r="P51" s="77"/>
      <c r="Q51" s="77"/>
      <c r="R51" s="89"/>
      <c r="S51" s="50">
        <v>5</v>
      </c>
      <c r="T51" s="50">
        <v>1</v>
      </c>
      <c r="U51" s="51">
        <v>134.31746000000001</v>
      </c>
      <c r="V51" s="51">
        <v>0.28594199999999997</v>
      </c>
      <c r="W51" s="51">
        <v>4.0940999999999998E-2</v>
      </c>
      <c r="X51" s="51">
        <v>4.993E-3</v>
      </c>
      <c r="Y51" s="51">
        <v>0.16666666666666666</v>
      </c>
      <c r="Z51" s="51">
        <v>0</v>
      </c>
      <c r="AA51" s="72">
        <v>51</v>
      </c>
      <c r="AB51" s="72"/>
      <c r="AC51" s="73"/>
      <c r="AD51" s="79" t="s">
        <v>1776</v>
      </c>
      <c r="AE51" s="84" t="s">
        <v>1970</v>
      </c>
      <c r="AF51" s="79">
        <v>574</v>
      </c>
      <c r="AG51" s="79">
        <v>4823</v>
      </c>
      <c r="AH51" s="79">
        <v>4290</v>
      </c>
      <c r="AI51" s="79">
        <v>1192</v>
      </c>
      <c r="AJ51" s="79"/>
      <c r="AK51" s="79" t="s">
        <v>2161</v>
      </c>
      <c r="AL51" s="79" t="s">
        <v>1694</v>
      </c>
      <c r="AM51" s="86" t="str">
        <f>HYPERLINK("https://t.co/IB3z2NUQib")</f>
        <v>https://t.co/IB3z2NUQib</v>
      </c>
      <c r="AN51" s="79"/>
      <c r="AO51" s="81">
        <v>39610.755497685182</v>
      </c>
      <c r="AP51" s="86" t="str">
        <f>HYPERLINK("https://pbs.twimg.com/profile_banners/15087302/1642637889")</f>
        <v>https://pbs.twimg.com/profile_banners/15087302/1642637889</v>
      </c>
      <c r="AQ51" s="79" t="b">
        <v>0</v>
      </c>
      <c r="AR51" s="79" t="b">
        <v>0</v>
      </c>
      <c r="AS51" s="79" t="b">
        <v>1</v>
      </c>
      <c r="AT51" s="79"/>
      <c r="AU51" s="79">
        <v>145</v>
      </c>
      <c r="AV51" s="86" t="str">
        <f>HYPERLINK("https://abs.twimg.com/images/themes/theme1/bg.png")</f>
        <v>https://abs.twimg.com/images/themes/theme1/bg.png</v>
      </c>
      <c r="AW51" s="79" t="b">
        <v>0</v>
      </c>
      <c r="AX51" s="79" t="s">
        <v>2381</v>
      </c>
      <c r="AY51" s="86" t="str">
        <f>HYPERLINK("https://twitter.com/ubschooloflaw")</f>
        <v>https://twitter.com/ubschooloflaw</v>
      </c>
      <c r="AZ51" s="79" t="s">
        <v>66</v>
      </c>
      <c r="BA51" s="50"/>
      <c r="BB51" s="50"/>
      <c r="BC51" s="50"/>
      <c r="BD51" s="50"/>
      <c r="BE51" s="50" t="s">
        <v>357</v>
      </c>
      <c r="BF51" s="50" t="s">
        <v>357</v>
      </c>
      <c r="BG51" s="108" t="s">
        <v>2857</v>
      </c>
      <c r="BH51" s="108" t="s">
        <v>2857</v>
      </c>
      <c r="BI51" s="108" t="s">
        <v>3019</v>
      </c>
      <c r="BJ51" s="108" t="s">
        <v>3019</v>
      </c>
      <c r="BK51" s="2"/>
      <c r="BL51" s="3"/>
      <c r="BM51" s="3"/>
      <c r="BN51" s="3"/>
      <c r="BO51" s="3"/>
    </row>
    <row r="52" spans="1:67" x14ac:dyDescent="0.25">
      <c r="A52" s="65" t="s">
        <v>387</v>
      </c>
      <c r="B52" s="66"/>
      <c r="C52" s="66"/>
      <c r="D52" s="67"/>
      <c r="E52" s="69"/>
      <c r="F52" s="103" t="str">
        <f>HYPERLINK("https://pbs.twimg.com/profile_images/1200091441491578882/xn-lO81C_normal.jpg")</f>
        <v>https://pbs.twimg.com/profile_images/1200091441491578882/xn-lO81C_normal.jpg</v>
      </c>
      <c r="G52" s="66"/>
      <c r="H52" s="70"/>
      <c r="I52" s="71"/>
      <c r="J52" s="71"/>
      <c r="K52" s="70" t="s">
        <v>2430</v>
      </c>
      <c r="L52" s="74"/>
      <c r="M52" s="75">
        <v>3828.957275390625</v>
      </c>
      <c r="N52" s="75">
        <v>9357.388671875</v>
      </c>
      <c r="O52" s="76"/>
      <c r="P52" s="77"/>
      <c r="Q52" s="77"/>
      <c r="R52" s="89"/>
      <c r="S52" s="50">
        <v>2</v>
      </c>
      <c r="T52" s="50">
        <v>0</v>
      </c>
      <c r="U52" s="51">
        <v>0</v>
      </c>
      <c r="V52" s="51">
        <v>0.25251499999999999</v>
      </c>
      <c r="W52" s="51">
        <v>5.2789999999999998E-3</v>
      </c>
      <c r="X52" s="51">
        <v>4.712E-3</v>
      </c>
      <c r="Y52" s="51">
        <v>0.5</v>
      </c>
      <c r="Z52" s="51">
        <v>0</v>
      </c>
      <c r="AA52" s="72">
        <v>52</v>
      </c>
      <c r="AB52" s="72"/>
      <c r="AC52" s="73"/>
      <c r="AD52" s="79" t="s">
        <v>1777</v>
      </c>
      <c r="AE52" s="84" t="s">
        <v>1971</v>
      </c>
      <c r="AF52" s="79">
        <v>862</v>
      </c>
      <c r="AG52" s="79">
        <v>314578</v>
      </c>
      <c r="AH52" s="79">
        <v>13569</v>
      </c>
      <c r="AI52" s="79">
        <v>2206</v>
      </c>
      <c r="AJ52" s="79"/>
      <c r="AK52" s="79" t="s">
        <v>2162</v>
      </c>
      <c r="AL52" s="79" t="s">
        <v>2320</v>
      </c>
      <c r="AM52" s="86" t="str">
        <f>HYPERLINK("https://t.co/5dke497XXc")</f>
        <v>https://t.co/5dke497XXc</v>
      </c>
      <c r="AN52" s="79"/>
      <c r="AO52" s="81">
        <v>40848.853819444441</v>
      </c>
      <c r="AP52" s="86" t="str">
        <f>HYPERLINK("https://pbs.twimg.com/profile_banners/402957663/1638371431")</f>
        <v>https://pbs.twimg.com/profile_banners/402957663/1638371431</v>
      </c>
      <c r="AQ52" s="79" t="b">
        <v>0</v>
      </c>
      <c r="AR52" s="79" t="b">
        <v>0</v>
      </c>
      <c r="AS52" s="79" t="b">
        <v>1</v>
      </c>
      <c r="AT52" s="79"/>
      <c r="AU52" s="79">
        <v>2048</v>
      </c>
      <c r="AV52" s="86" t="str">
        <f>HYPERLINK("https://abs.twimg.com/images/themes/theme1/bg.png")</f>
        <v>https://abs.twimg.com/images/themes/theme1/bg.png</v>
      </c>
      <c r="AW52" s="79" t="b">
        <v>1</v>
      </c>
      <c r="AX52" s="79" t="s">
        <v>2381</v>
      </c>
      <c r="AY52" s="86" t="str">
        <f>HYPERLINK("https://twitter.com/ppfa")</f>
        <v>https://twitter.com/ppfa</v>
      </c>
      <c r="AZ52" s="79" t="s">
        <v>65</v>
      </c>
      <c r="BA52" s="50"/>
      <c r="BB52" s="50"/>
      <c r="BC52" s="50"/>
      <c r="BD52" s="50"/>
      <c r="BE52" s="50"/>
      <c r="BF52" s="50"/>
      <c r="BG52" s="50"/>
      <c r="BH52" s="50"/>
      <c r="BI52" s="50"/>
      <c r="BJ52" s="50"/>
      <c r="BK52" s="2"/>
      <c r="BL52" s="3"/>
      <c r="BM52" s="3"/>
      <c r="BN52" s="3"/>
      <c r="BO52" s="3"/>
    </row>
    <row r="53" spans="1:67" x14ac:dyDescent="0.25">
      <c r="A53" s="65" t="s">
        <v>245</v>
      </c>
      <c r="B53" s="66"/>
      <c r="C53" s="66"/>
      <c r="D53" s="67"/>
      <c r="E53" s="69"/>
      <c r="F53" s="103" t="str">
        <f>HYPERLINK("https://pbs.twimg.com/profile_images/1499396596701691913/mipblZUa_normal.jpg")</f>
        <v>https://pbs.twimg.com/profile_images/1499396596701691913/mipblZUa_normal.jpg</v>
      </c>
      <c r="G53" s="66"/>
      <c r="H53" s="70"/>
      <c r="I53" s="71"/>
      <c r="J53" s="71"/>
      <c r="K53" s="70" t="s">
        <v>2431</v>
      </c>
      <c r="L53" s="74"/>
      <c r="M53" s="75">
        <v>530.1748046875</v>
      </c>
      <c r="N53" s="75">
        <v>5889.80126953125</v>
      </c>
      <c r="O53" s="76"/>
      <c r="P53" s="77"/>
      <c r="Q53" s="77"/>
      <c r="R53" s="89"/>
      <c r="S53" s="50">
        <v>0</v>
      </c>
      <c r="T53" s="50">
        <v>1</v>
      </c>
      <c r="U53" s="51">
        <v>0</v>
      </c>
      <c r="V53" s="51">
        <v>0.34300799999999998</v>
      </c>
      <c r="W53" s="51">
        <v>4.5978999999999999E-2</v>
      </c>
      <c r="X53" s="51">
        <v>4.3769999999999998E-3</v>
      </c>
      <c r="Y53" s="51">
        <v>0</v>
      </c>
      <c r="Z53" s="51">
        <v>0</v>
      </c>
      <c r="AA53" s="72">
        <v>53</v>
      </c>
      <c r="AB53" s="72"/>
      <c r="AC53" s="73"/>
      <c r="AD53" s="79" t="s">
        <v>1778</v>
      </c>
      <c r="AE53" s="84" t="s">
        <v>1972</v>
      </c>
      <c r="AF53" s="79">
        <v>40</v>
      </c>
      <c r="AG53" s="79">
        <v>28</v>
      </c>
      <c r="AH53" s="79">
        <v>8</v>
      </c>
      <c r="AI53" s="79">
        <v>21</v>
      </c>
      <c r="AJ53" s="79"/>
      <c r="AK53" s="79" t="s">
        <v>2163</v>
      </c>
      <c r="AL53" s="79" t="s">
        <v>1694</v>
      </c>
      <c r="AM53" s="79"/>
      <c r="AN53" s="79"/>
      <c r="AO53" s="81">
        <v>42114.579004629632</v>
      </c>
      <c r="AP53" s="86" t="str">
        <f>HYPERLINK("https://pbs.twimg.com/profile_banners/3187257364/1643995322")</f>
        <v>https://pbs.twimg.com/profile_banners/3187257364/1643995322</v>
      </c>
      <c r="AQ53" s="79" t="b">
        <v>1</v>
      </c>
      <c r="AR53" s="79" t="b">
        <v>0</v>
      </c>
      <c r="AS53" s="79" t="b">
        <v>0</v>
      </c>
      <c r="AT53" s="79"/>
      <c r="AU53" s="79">
        <v>0</v>
      </c>
      <c r="AV53" s="86" t="str">
        <f>HYPERLINK("https://abs.twimg.com/images/themes/theme1/bg.png")</f>
        <v>https://abs.twimg.com/images/themes/theme1/bg.png</v>
      </c>
      <c r="AW53" s="79" t="b">
        <v>0</v>
      </c>
      <c r="AX53" s="79" t="s">
        <v>2381</v>
      </c>
      <c r="AY53" s="86" t="str">
        <f>HYPERLINK("https://twitter.com/chamm1015")</f>
        <v>https://twitter.com/chamm1015</v>
      </c>
      <c r="AZ53" s="79" t="s">
        <v>66</v>
      </c>
      <c r="BA53" s="50"/>
      <c r="BB53" s="50"/>
      <c r="BC53" s="50"/>
      <c r="BD53" s="50"/>
      <c r="BE53" s="50" t="s">
        <v>668</v>
      </c>
      <c r="BF53" s="50" t="s">
        <v>668</v>
      </c>
      <c r="BG53" s="108" t="s">
        <v>2836</v>
      </c>
      <c r="BH53" s="108" t="s">
        <v>2836</v>
      </c>
      <c r="BI53" s="108" t="s">
        <v>3001</v>
      </c>
      <c r="BJ53" s="108" t="s">
        <v>3001</v>
      </c>
      <c r="BK53" s="2"/>
      <c r="BL53" s="3"/>
      <c r="BM53" s="3"/>
      <c r="BN53" s="3"/>
      <c r="BO53" s="3"/>
    </row>
    <row r="54" spans="1:67" x14ac:dyDescent="0.25">
      <c r="A54" s="65" t="s">
        <v>246</v>
      </c>
      <c r="B54" s="66"/>
      <c r="C54" s="66"/>
      <c r="D54" s="67"/>
      <c r="E54" s="69"/>
      <c r="F54" s="103" t="str">
        <f>HYPERLINK("https://pbs.twimg.com/profile_images/1421189371085086725/2SBxZQHQ_normal.jpg")</f>
        <v>https://pbs.twimg.com/profile_images/1421189371085086725/2SBxZQHQ_normal.jpg</v>
      </c>
      <c r="G54" s="66"/>
      <c r="H54" s="70"/>
      <c r="I54" s="71"/>
      <c r="J54" s="71"/>
      <c r="K54" s="70" t="s">
        <v>2432</v>
      </c>
      <c r="L54" s="74"/>
      <c r="M54" s="75">
        <v>3409.784423828125</v>
      </c>
      <c r="N54" s="75">
        <v>6906.626953125</v>
      </c>
      <c r="O54" s="76"/>
      <c r="P54" s="77"/>
      <c r="Q54" s="77"/>
      <c r="R54" s="89"/>
      <c r="S54" s="50">
        <v>1</v>
      </c>
      <c r="T54" s="50">
        <v>3</v>
      </c>
      <c r="U54" s="51">
        <v>104.14285700000001</v>
      </c>
      <c r="V54" s="51">
        <v>0.352852</v>
      </c>
      <c r="W54" s="51">
        <v>5.8236000000000003E-2</v>
      </c>
      <c r="X54" s="51">
        <v>4.8849999999999996E-3</v>
      </c>
      <c r="Y54" s="51">
        <v>0.5</v>
      </c>
      <c r="Z54" s="51">
        <v>0</v>
      </c>
      <c r="AA54" s="72">
        <v>54</v>
      </c>
      <c r="AB54" s="72"/>
      <c r="AC54" s="73"/>
      <c r="AD54" s="79" t="s">
        <v>1779</v>
      </c>
      <c r="AE54" s="84" t="s">
        <v>1973</v>
      </c>
      <c r="AF54" s="79">
        <v>884</v>
      </c>
      <c r="AG54" s="79">
        <v>579</v>
      </c>
      <c r="AH54" s="79">
        <v>2156</v>
      </c>
      <c r="AI54" s="79">
        <v>4522</v>
      </c>
      <c r="AJ54" s="79"/>
      <c r="AK54" s="79" t="s">
        <v>2164</v>
      </c>
      <c r="AL54" s="79" t="s">
        <v>1702</v>
      </c>
      <c r="AM54" s="79"/>
      <c r="AN54" s="79"/>
      <c r="AO54" s="81">
        <v>40007.699803240743</v>
      </c>
      <c r="AP54" s="86" t="str">
        <f>HYPERLINK("https://pbs.twimg.com/profile_banners/56423188/1610140954")</f>
        <v>https://pbs.twimg.com/profile_banners/56423188/1610140954</v>
      </c>
      <c r="AQ54" s="79" t="b">
        <v>0</v>
      </c>
      <c r="AR54" s="79" t="b">
        <v>0</v>
      </c>
      <c r="AS54" s="79" t="b">
        <v>1</v>
      </c>
      <c r="AT54" s="79"/>
      <c r="AU54" s="79">
        <v>19</v>
      </c>
      <c r="AV54" s="86" t="str">
        <f>HYPERLINK("https://abs.twimg.com/images/themes/theme4/bg.gif")</f>
        <v>https://abs.twimg.com/images/themes/theme4/bg.gif</v>
      </c>
      <c r="AW54" s="79" t="b">
        <v>0</v>
      </c>
      <c r="AX54" s="79" t="s">
        <v>2381</v>
      </c>
      <c r="AY54" s="86" t="str">
        <f>HYPERLINK("https://twitter.com/elizcolucci")</f>
        <v>https://twitter.com/elizcolucci</v>
      </c>
      <c r="AZ54" s="79" t="s">
        <v>66</v>
      </c>
      <c r="BA54" s="50" t="s">
        <v>2653</v>
      </c>
      <c r="BB54" s="50" t="s">
        <v>2653</v>
      </c>
      <c r="BC54" s="50" t="s">
        <v>2721</v>
      </c>
      <c r="BD54" s="50" t="s">
        <v>2721</v>
      </c>
      <c r="BE54" s="50" t="s">
        <v>674</v>
      </c>
      <c r="BF54" s="50" t="s">
        <v>2794</v>
      </c>
      <c r="BG54" s="108" t="s">
        <v>2858</v>
      </c>
      <c r="BH54" s="108" t="s">
        <v>2858</v>
      </c>
      <c r="BI54" s="108" t="s">
        <v>3020</v>
      </c>
      <c r="BJ54" s="108" t="s">
        <v>3020</v>
      </c>
      <c r="BK54" s="2"/>
      <c r="BL54" s="3"/>
      <c r="BM54" s="3"/>
      <c r="BN54" s="3"/>
      <c r="BO54" s="3"/>
    </row>
    <row r="55" spans="1:67" x14ac:dyDescent="0.25">
      <c r="A55" s="65" t="s">
        <v>369</v>
      </c>
      <c r="B55" s="66"/>
      <c r="C55" s="66"/>
      <c r="D55" s="67"/>
      <c r="E55" s="69"/>
      <c r="F55" s="103" t="str">
        <f>HYPERLINK("https://pbs.twimg.com/profile_images/1392496414165512193/3zKT5dYK_normal.jpg")</f>
        <v>https://pbs.twimg.com/profile_images/1392496414165512193/3zKT5dYK_normal.jpg</v>
      </c>
      <c r="G55" s="66"/>
      <c r="H55" s="70"/>
      <c r="I55" s="71"/>
      <c r="J55" s="71"/>
      <c r="K55" s="70" t="s">
        <v>2433</v>
      </c>
      <c r="L55" s="74"/>
      <c r="M55" s="75">
        <v>5298.8662109375</v>
      </c>
      <c r="N55" s="75">
        <v>4463.18408203125</v>
      </c>
      <c r="O55" s="76"/>
      <c r="P55" s="77"/>
      <c r="Q55" s="77"/>
      <c r="R55" s="89"/>
      <c r="S55" s="50">
        <v>10</v>
      </c>
      <c r="T55" s="50">
        <v>8</v>
      </c>
      <c r="U55" s="51">
        <v>2575.4725870000002</v>
      </c>
      <c r="V55" s="51">
        <v>0.36493599999999998</v>
      </c>
      <c r="W55" s="51">
        <v>7.9751000000000002E-2</v>
      </c>
      <c r="X55" s="51">
        <v>7.1739999999999998E-3</v>
      </c>
      <c r="Y55" s="51">
        <v>7.6923076923076927E-2</v>
      </c>
      <c r="Z55" s="51">
        <v>0.23076923076923078</v>
      </c>
      <c r="AA55" s="72">
        <v>55</v>
      </c>
      <c r="AB55" s="72"/>
      <c r="AC55" s="73"/>
      <c r="AD55" s="79" t="s">
        <v>1780</v>
      </c>
      <c r="AE55" s="84" t="s">
        <v>1974</v>
      </c>
      <c r="AF55" s="79">
        <v>1028</v>
      </c>
      <c r="AG55" s="79">
        <v>1183</v>
      </c>
      <c r="AH55" s="79">
        <v>3083</v>
      </c>
      <c r="AI55" s="79">
        <v>2179</v>
      </c>
      <c r="AJ55" s="79"/>
      <c r="AK55" s="79" t="s">
        <v>2165</v>
      </c>
      <c r="AL55" s="79" t="s">
        <v>2321</v>
      </c>
      <c r="AM55" s="86" t="str">
        <f>HYPERLINK("https://t.co/0i1poT8yrf")</f>
        <v>https://t.co/0i1poT8yrf</v>
      </c>
      <c r="AN55" s="79"/>
      <c r="AO55" s="81">
        <v>39968.817164351851</v>
      </c>
      <c r="AP55" s="86" t="str">
        <f>HYPERLINK("https://pbs.twimg.com/profile_banners/44698485/1620628099")</f>
        <v>https://pbs.twimg.com/profile_banners/44698485/1620628099</v>
      </c>
      <c r="AQ55" s="79" t="b">
        <v>0</v>
      </c>
      <c r="AR55" s="79" t="b">
        <v>0</v>
      </c>
      <c r="AS55" s="79" t="b">
        <v>0</v>
      </c>
      <c r="AT55" s="79"/>
      <c r="AU55" s="79">
        <v>34</v>
      </c>
      <c r="AV55" s="86" t="str">
        <f>HYPERLINK("https://abs.twimg.com/images/themes/theme1/bg.png")</f>
        <v>https://abs.twimg.com/images/themes/theme1/bg.png</v>
      </c>
      <c r="AW55" s="79" t="b">
        <v>0</v>
      </c>
      <c r="AX55" s="79" t="s">
        <v>2381</v>
      </c>
      <c r="AY55" s="86" t="str">
        <f>HYPERLINK("https://twitter.com/ubgse")</f>
        <v>https://twitter.com/ubgse</v>
      </c>
      <c r="AZ55" s="79" t="s">
        <v>66</v>
      </c>
      <c r="BA55" s="50" t="s">
        <v>2654</v>
      </c>
      <c r="BB55" s="50" t="s">
        <v>2654</v>
      </c>
      <c r="BC55" s="50" t="s">
        <v>657</v>
      </c>
      <c r="BD55" s="50" t="s">
        <v>2737</v>
      </c>
      <c r="BE55" s="50" t="s">
        <v>2756</v>
      </c>
      <c r="BF55" s="50" t="s">
        <v>2795</v>
      </c>
      <c r="BG55" s="108" t="s">
        <v>2859</v>
      </c>
      <c r="BH55" s="108" t="s">
        <v>2955</v>
      </c>
      <c r="BI55" s="108" t="s">
        <v>3021</v>
      </c>
      <c r="BJ55" s="108" t="s">
        <v>3100</v>
      </c>
      <c r="BK55" s="2"/>
      <c r="BL55" s="3"/>
      <c r="BM55" s="3"/>
      <c r="BN55" s="3"/>
      <c r="BO55" s="3"/>
    </row>
    <row r="56" spans="1:67" x14ac:dyDescent="0.25">
      <c r="A56" s="65" t="s">
        <v>366</v>
      </c>
      <c r="B56" s="66"/>
      <c r="C56" s="66"/>
      <c r="D56" s="67"/>
      <c r="E56" s="69"/>
      <c r="F56" s="103" t="str">
        <f>HYPERLINK("https://pbs.twimg.com/profile_images/930533367275249664/3Whywl0o_normal.jpg")</f>
        <v>https://pbs.twimg.com/profile_images/930533367275249664/3Whywl0o_normal.jpg</v>
      </c>
      <c r="G56" s="66"/>
      <c r="H56" s="70"/>
      <c r="I56" s="71"/>
      <c r="J56" s="71"/>
      <c r="K56" s="70" t="s">
        <v>2434</v>
      </c>
      <c r="L56" s="74"/>
      <c r="M56" s="75">
        <v>3764.265625</v>
      </c>
      <c r="N56" s="75">
        <v>7649.65966796875</v>
      </c>
      <c r="O56" s="76"/>
      <c r="P56" s="77"/>
      <c r="Q56" s="77"/>
      <c r="R56" s="89"/>
      <c r="S56" s="50">
        <v>2</v>
      </c>
      <c r="T56" s="50">
        <v>1</v>
      </c>
      <c r="U56" s="51">
        <v>98.476190000000003</v>
      </c>
      <c r="V56" s="51">
        <v>0.34597800000000001</v>
      </c>
      <c r="W56" s="51">
        <v>5.2146999999999999E-2</v>
      </c>
      <c r="X56" s="51">
        <v>4.7540000000000004E-3</v>
      </c>
      <c r="Y56" s="51">
        <v>0.33333333333333331</v>
      </c>
      <c r="Z56" s="51">
        <v>0</v>
      </c>
      <c r="AA56" s="72">
        <v>56</v>
      </c>
      <c r="AB56" s="72"/>
      <c r="AC56" s="73"/>
      <c r="AD56" s="79" t="s">
        <v>1781</v>
      </c>
      <c r="AE56" s="84" t="s">
        <v>1975</v>
      </c>
      <c r="AF56" s="79">
        <v>930</v>
      </c>
      <c r="AG56" s="79">
        <v>2496</v>
      </c>
      <c r="AH56" s="79">
        <v>4623</v>
      </c>
      <c r="AI56" s="79">
        <v>2941</v>
      </c>
      <c r="AJ56" s="79"/>
      <c r="AK56" s="79" t="s">
        <v>2166</v>
      </c>
      <c r="AL56" s="79" t="s">
        <v>2311</v>
      </c>
      <c r="AM56" s="86" t="str">
        <f>HYPERLINK("https://t.co/Ye5EL56sH2")</f>
        <v>https://t.co/Ye5EL56sH2</v>
      </c>
      <c r="AN56" s="79"/>
      <c r="AO56" s="81">
        <v>40599.575659722221</v>
      </c>
      <c r="AP56" s="86" t="str">
        <f>HYPERLINK("https://pbs.twimg.com/profile_banners/257466644/1510676375")</f>
        <v>https://pbs.twimg.com/profile_banners/257466644/1510676375</v>
      </c>
      <c r="AQ56" s="79" t="b">
        <v>0</v>
      </c>
      <c r="AR56" s="79" t="b">
        <v>0</v>
      </c>
      <c r="AS56" s="79" t="b">
        <v>0</v>
      </c>
      <c r="AT56" s="79"/>
      <c r="AU56" s="79">
        <v>73</v>
      </c>
      <c r="AV56" s="86" t="str">
        <f>HYPERLINK("https://abs.twimg.com/images/themes/theme1/bg.png")</f>
        <v>https://abs.twimg.com/images/themes/theme1/bg.png</v>
      </c>
      <c r="AW56" s="79" t="b">
        <v>0</v>
      </c>
      <c r="AX56" s="79" t="s">
        <v>2381</v>
      </c>
      <c r="AY56" s="86" t="str">
        <f>HYPERLINK("https://twitter.com/ubscience")</f>
        <v>https://twitter.com/ubscience</v>
      </c>
      <c r="AZ56" s="79" t="s">
        <v>66</v>
      </c>
      <c r="BA56" s="50" t="s">
        <v>2655</v>
      </c>
      <c r="BB56" s="50" t="s">
        <v>2655</v>
      </c>
      <c r="BC56" s="50" t="s">
        <v>632</v>
      </c>
      <c r="BD56" s="50" t="s">
        <v>632</v>
      </c>
      <c r="BE56" s="50" t="s">
        <v>2757</v>
      </c>
      <c r="BF56" s="50" t="s">
        <v>718</v>
      </c>
      <c r="BG56" s="108" t="s">
        <v>2860</v>
      </c>
      <c r="BH56" s="108" t="s">
        <v>2860</v>
      </c>
      <c r="BI56" s="108" t="s">
        <v>3022</v>
      </c>
      <c r="BJ56" s="108" t="s">
        <v>3022</v>
      </c>
      <c r="BK56" s="2"/>
      <c r="BL56" s="3"/>
      <c r="BM56" s="3"/>
      <c r="BN56" s="3"/>
      <c r="BO56" s="3"/>
    </row>
    <row r="57" spans="1:67" x14ac:dyDescent="0.25">
      <c r="A57" s="65" t="s">
        <v>247</v>
      </c>
      <c r="B57" s="66"/>
      <c r="C57" s="66"/>
      <c r="D57" s="67"/>
      <c r="E57" s="69"/>
      <c r="F57" s="103" t="str">
        <f>HYPERLINK("https://pbs.twimg.com/profile_images/1423376912362115072/Z1n3x0HI_normal.jpg")</f>
        <v>https://pbs.twimg.com/profile_images/1423376912362115072/Z1n3x0HI_normal.jpg</v>
      </c>
      <c r="G57" s="66"/>
      <c r="H57" s="70"/>
      <c r="I57" s="71"/>
      <c r="J57" s="71"/>
      <c r="K57" s="70" t="s">
        <v>2435</v>
      </c>
      <c r="L57" s="74"/>
      <c r="M57" s="75">
        <v>5882.8525390625</v>
      </c>
      <c r="N57" s="75">
        <v>5373.9541015625</v>
      </c>
      <c r="O57" s="76"/>
      <c r="P57" s="77"/>
      <c r="Q57" s="77"/>
      <c r="R57" s="89"/>
      <c r="S57" s="50">
        <v>2</v>
      </c>
      <c r="T57" s="50">
        <v>3</v>
      </c>
      <c r="U57" s="51">
        <v>8.6666670000000003</v>
      </c>
      <c r="V57" s="51">
        <v>0.26203599999999999</v>
      </c>
      <c r="W57" s="51">
        <v>1.6374E-2</v>
      </c>
      <c r="X57" s="51">
        <v>5.156E-3</v>
      </c>
      <c r="Y57" s="51">
        <v>0.25</v>
      </c>
      <c r="Z57" s="51">
        <v>0.25</v>
      </c>
      <c r="AA57" s="72">
        <v>57</v>
      </c>
      <c r="AB57" s="72"/>
      <c r="AC57" s="73"/>
      <c r="AD57" s="79" t="s">
        <v>1782</v>
      </c>
      <c r="AE57" s="84" t="s">
        <v>1976</v>
      </c>
      <c r="AF57" s="79">
        <v>673</v>
      </c>
      <c r="AG57" s="79">
        <v>1169</v>
      </c>
      <c r="AH57" s="79">
        <v>4256</v>
      </c>
      <c r="AI57" s="79">
        <v>3716</v>
      </c>
      <c r="AJ57" s="79"/>
      <c r="AK57" s="79" t="s">
        <v>2167</v>
      </c>
      <c r="AL57" s="79" t="s">
        <v>1694</v>
      </c>
      <c r="AM57" s="86" t="str">
        <f>HYPERLINK("https://t.co/QGXEk5Jak8")</f>
        <v>https://t.co/QGXEk5Jak8</v>
      </c>
      <c r="AN57" s="79"/>
      <c r="AO57" s="81">
        <v>41099.70208333333</v>
      </c>
      <c r="AP57" s="86" t="str">
        <f>HYPERLINK("https://pbs.twimg.com/profile_banners/631240049/1628194476")</f>
        <v>https://pbs.twimg.com/profile_banners/631240049/1628194476</v>
      </c>
      <c r="AQ57" s="79" t="b">
        <v>0</v>
      </c>
      <c r="AR57" s="79" t="b">
        <v>0</v>
      </c>
      <c r="AS57" s="79" t="b">
        <v>0</v>
      </c>
      <c r="AT57" s="79"/>
      <c r="AU57" s="79">
        <v>36</v>
      </c>
      <c r="AV57" s="86" t="str">
        <f>HYPERLINK("https://abs.twimg.com/images/themes/theme5/bg.gif")</f>
        <v>https://abs.twimg.com/images/themes/theme5/bg.gif</v>
      </c>
      <c r="AW57" s="79" t="b">
        <v>0</v>
      </c>
      <c r="AX57" s="79" t="s">
        <v>2381</v>
      </c>
      <c r="AY57" s="86" t="str">
        <f>HYPERLINK("https://twitter.com/ub_bullyprevctr")</f>
        <v>https://twitter.com/ub_bullyprevctr</v>
      </c>
      <c r="AZ57" s="79" t="s">
        <v>66</v>
      </c>
      <c r="BA57" s="50" t="s">
        <v>2656</v>
      </c>
      <c r="BB57" s="50" t="s">
        <v>2656</v>
      </c>
      <c r="BC57" s="50" t="s">
        <v>648</v>
      </c>
      <c r="BD57" s="50" t="s">
        <v>648</v>
      </c>
      <c r="BE57" s="50" t="s">
        <v>2758</v>
      </c>
      <c r="BF57" s="50" t="s">
        <v>2796</v>
      </c>
      <c r="BG57" s="108" t="s">
        <v>2861</v>
      </c>
      <c r="BH57" s="108" t="s">
        <v>2861</v>
      </c>
      <c r="BI57" s="108" t="s">
        <v>3023</v>
      </c>
      <c r="BJ57" s="108" t="s">
        <v>3023</v>
      </c>
      <c r="BK57" s="2"/>
      <c r="BL57" s="3"/>
      <c r="BM57" s="3"/>
      <c r="BN57" s="3"/>
      <c r="BO57" s="3"/>
    </row>
    <row r="58" spans="1:67" x14ac:dyDescent="0.25">
      <c r="A58" s="65" t="s">
        <v>248</v>
      </c>
      <c r="B58" s="66"/>
      <c r="C58" s="66"/>
      <c r="D58" s="67"/>
      <c r="E58" s="69"/>
      <c r="F58" s="103" t="str">
        <f>HYPERLINK("https://pbs.twimg.com/profile_images/1392495105802743810/s-MWW3d3_normal.jpg")</f>
        <v>https://pbs.twimg.com/profile_images/1392495105802743810/s-MWW3d3_normal.jpg</v>
      </c>
      <c r="G58" s="66"/>
      <c r="H58" s="70"/>
      <c r="I58" s="71"/>
      <c r="J58" s="71"/>
      <c r="K58" s="70" t="s">
        <v>2436</v>
      </c>
      <c r="L58" s="74"/>
      <c r="M58" s="75">
        <v>6175.8115234375</v>
      </c>
      <c r="N58" s="75">
        <v>7802.90234375</v>
      </c>
      <c r="O58" s="76"/>
      <c r="P58" s="77"/>
      <c r="Q58" s="77"/>
      <c r="R58" s="89"/>
      <c r="S58" s="50">
        <v>0</v>
      </c>
      <c r="T58" s="50">
        <v>1</v>
      </c>
      <c r="U58" s="51">
        <v>0</v>
      </c>
      <c r="V58" s="51">
        <v>0.20921699999999999</v>
      </c>
      <c r="W58" s="51">
        <v>7.6099999999999996E-4</v>
      </c>
      <c r="X58" s="51">
        <v>4.5189999999999996E-3</v>
      </c>
      <c r="Y58" s="51">
        <v>0</v>
      </c>
      <c r="Z58" s="51">
        <v>0</v>
      </c>
      <c r="AA58" s="72">
        <v>58</v>
      </c>
      <c r="AB58" s="72"/>
      <c r="AC58" s="73"/>
      <c r="AD58" s="79" t="s">
        <v>1783</v>
      </c>
      <c r="AE58" s="84" t="s">
        <v>1977</v>
      </c>
      <c r="AF58" s="79">
        <v>562</v>
      </c>
      <c r="AG58" s="79">
        <v>545</v>
      </c>
      <c r="AH58" s="79">
        <v>1324</v>
      </c>
      <c r="AI58" s="79">
        <v>141</v>
      </c>
      <c r="AJ58" s="79"/>
      <c r="AK58" s="79" t="s">
        <v>2168</v>
      </c>
      <c r="AL58" s="79" t="s">
        <v>1694</v>
      </c>
      <c r="AM58" s="86" t="str">
        <f>HYPERLINK("https://t.co/iWWj15nbK8")</f>
        <v>https://t.co/iWWj15nbK8</v>
      </c>
      <c r="AN58" s="79"/>
      <c r="AO58" s="81">
        <v>40840.552337962959</v>
      </c>
      <c r="AP58" s="86" t="str">
        <f>HYPERLINK("https://pbs.twimg.com/profile_banners/397263665/1522436586")</f>
        <v>https://pbs.twimg.com/profile_banners/397263665/1522436586</v>
      </c>
      <c r="AQ58" s="79" t="b">
        <v>0</v>
      </c>
      <c r="AR58" s="79" t="b">
        <v>0</v>
      </c>
      <c r="AS58" s="79" t="b">
        <v>0</v>
      </c>
      <c r="AT58" s="79"/>
      <c r="AU58" s="79">
        <v>27</v>
      </c>
      <c r="AV58" s="86" t="str">
        <f>HYPERLINK("https://abs.twimg.com/images/themes/theme1/bg.png")</f>
        <v>https://abs.twimg.com/images/themes/theme1/bg.png</v>
      </c>
      <c r="AW58" s="79" t="b">
        <v>0</v>
      </c>
      <c r="AX58" s="79" t="s">
        <v>2381</v>
      </c>
      <c r="AY58" s="86" t="str">
        <f>HYPERLINK("https://twitter.com/ubglobaled")</f>
        <v>https://twitter.com/ubglobaled</v>
      </c>
      <c r="AZ58" s="79" t="s">
        <v>66</v>
      </c>
      <c r="BA58" s="50" t="s">
        <v>2657</v>
      </c>
      <c r="BB58" s="50" t="s">
        <v>2657</v>
      </c>
      <c r="BC58" s="50" t="s">
        <v>632</v>
      </c>
      <c r="BD58" s="50" t="s">
        <v>632</v>
      </c>
      <c r="BE58" s="50" t="s">
        <v>675</v>
      </c>
      <c r="BF58" s="50" t="s">
        <v>675</v>
      </c>
      <c r="BG58" s="108" t="s">
        <v>2862</v>
      </c>
      <c r="BH58" s="108" t="s">
        <v>2862</v>
      </c>
      <c r="BI58" s="108" t="s">
        <v>3024</v>
      </c>
      <c r="BJ58" s="108" t="s">
        <v>3024</v>
      </c>
      <c r="BK58" s="2"/>
      <c r="BL58" s="3"/>
      <c r="BM58" s="3"/>
      <c r="BN58" s="3"/>
      <c r="BO58" s="3"/>
    </row>
    <row r="59" spans="1:67" x14ac:dyDescent="0.25">
      <c r="A59" s="65" t="s">
        <v>371</v>
      </c>
      <c r="B59" s="66"/>
      <c r="C59" s="66"/>
      <c r="D59" s="67"/>
      <c r="E59" s="69"/>
      <c r="F59" s="103" t="str">
        <f>HYPERLINK("https://pbs.twimg.com/profile_images/1448400761847746562/38go3m-H_normal.jpg")</f>
        <v>https://pbs.twimg.com/profile_images/1448400761847746562/38go3m-H_normal.jpg</v>
      </c>
      <c r="G59" s="66"/>
      <c r="H59" s="70"/>
      <c r="I59" s="71"/>
      <c r="J59" s="71"/>
      <c r="K59" s="70" t="s">
        <v>2437</v>
      </c>
      <c r="L59" s="74"/>
      <c r="M59" s="75">
        <v>3423.720947265625</v>
      </c>
      <c r="N59" s="75">
        <v>3998.52880859375</v>
      </c>
      <c r="O59" s="76"/>
      <c r="P59" s="77"/>
      <c r="Q59" s="77"/>
      <c r="R59" s="89"/>
      <c r="S59" s="50">
        <v>3</v>
      </c>
      <c r="T59" s="50">
        <v>2</v>
      </c>
      <c r="U59" s="51">
        <v>352</v>
      </c>
      <c r="V59" s="51">
        <v>0.27184000000000003</v>
      </c>
      <c r="W59" s="51">
        <v>9.1999999999999998E-3</v>
      </c>
      <c r="X59" s="51">
        <v>5.4349999999999997E-3</v>
      </c>
      <c r="Y59" s="51">
        <v>0.25</v>
      </c>
      <c r="Z59" s="51">
        <v>0.25</v>
      </c>
      <c r="AA59" s="72">
        <v>59</v>
      </c>
      <c r="AB59" s="72"/>
      <c r="AC59" s="73"/>
      <c r="AD59" s="79" t="s">
        <v>1784</v>
      </c>
      <c r="AE59" s="84" t="s">
        <v>1978</v>
      </c>
      <c r="AF59" s="79">
        <v>3466</v>
      </c>
      <c r="AG59" s="79">
        <v>3502</v>
      </c>
      <c r="AH59" s="79">
        <v>13636</v>
      </c>
      <c r="AI59" s="79">
        <v>7558</v>
      </c>
      <c r="AJ59" s="79"/>
      <c r="AK59" s="79" t="s">
        <v>2169</v>
      </c>
      <c r="AL59" s="79" t="s">
        <v>2322</v>
      </c>
      <c r="AM59" s="86" t="str">
        <f>HYPERLINK("https://t.co/s34twAAIDp")</f>
        <v>https://t.co/s34twAAIDp</v>
      </c>
      <c r="AN59" s="79"/>
      <c r="AO59" s="81">
        <v>41343.195104166669</v>
      </c>
      <c r="AP59" s="86" t="str">
        <f>HYPERLINK("https://pbs.twimg.com/profile_banners/1256105887/1563670005")</f>
        <v>https://pbs.twimg.com/profile_banners/1256105887/1563670005</v>
      </c>
      <c r="AQ59" s="79" t="b">
        <v>0</v>
      </c>
      <c r="AR59" s="79" t="b">
        <v>0</v>
      </c>
      <c r="AS59" s="79" t="b">
        <v>1</v>
      </c>
      <c r="AT59" s="79"/>
      <c r="AU59" s="79">
        <v>57</v>
      </c>
      <c r="AV59" s="86" t="str">
        <f>HYPERLINK("https://abs.twimg.com/images/themes/theme1/bg.png")</f>
        <v>https://abs.twimg.com/images/themes/theme1/bg.png</v>
      </c>
      <c r="AW59" s="79" t="b">
        <v>0</v>
      </c>
      <c r="AX59" s="79" t="s">
        <v>2381</v>
      </c>
      <c r="AY59" s="86" t="str">
        <f>HYPERLINK("https://twitter.com/ramongoings")</f>
        <v>https://twitter.com/ramongoings</v>
      </c>
      <c r="AZ59" s="79" t="s">
        <v>66</v>
      </c>
      <c r="BA59" s="50" t="s">
        <v>2658</v>
      </c>
      <c r="BB59" s="50" t="s">
        <v>2658</v>
      </c>
      <c r="BC59" s="50" t="s">
        <v>632</v>
      </c>
      <c r="BD59" s="50" t="s">
        <v>632</v>
      </c>
      <c r="BE59" s="50" t="s">
        <v>675</v>
      </c>
      <c r="BF59" s="50" t="s">
        <v>675</v>
      </c>
      <c r="BG59" s="108" t="s">
        <v>2863</v>
      </c>
      <c r="BH59" s="108" t="s">
        <v>2863</v>
      </c>
      <c r="BI59" s="108" t="s">
        <v>3025</v>
      </c>
      <c r="BJ59" s="108" t="s">
        <v>3025</v>
      </c>
      <c r="BK59" s="2"/>
      <c r="BL59" s="3"/>
      <c r="BM59" s="3"/>
      <c r="BN59" s="3"/>
      <c r="BO59" s="3"/>
    </row>
    <row r="60" spans="1:67" x14ac:dyDescent="0.25">
      <c r="A60" s="65" t="s">
        <v>249</v>
      </c>
      <c r="B60" s="66"/>
      <c r="C60" s="66"/>
      <c r="D60" s="67"/>
      <c r="E60" s="69"/>
      <c r="F60" s="103" t="str">
        <f>HYPERLINK("https://pbs.twimg.com/profile_images/1406447242844725250/tCn6rO89_normal.jpg")</f>
        <v>https://pbs.twimg.com/profile_images/1406447242844725250/tCn6rO89_normal.jpg</v>
      </c>
      <c r="G60" s="66"/>
      <c r="H60" s="70"/>
      <c r="I60" s="71"/>
      <c r="J60" s="71"/>
      <c r="K60" s="70" t="s">
        <v>2438</v>
      </c>
      <c r="L60" s="74"/>
      <c r="M60" s="75">
        <v>9833.0478515625</v>
      </c>
      <c r="N60" s="75">
        <v>5808.77783203125</v>
      </c>
      <c r="O60" s="76"/>
      <c r="P60" s="77"/>
      <c r="Q60" s="77"/>
      <c r="R60" s="89"/>
      <c r="S60" s="50">
        <v>0</v>
      </c>
      <c r="T60" s="50">
        <v>1</v>
      </c>
      <c r="U60" s="51">
        <v>0</v>
      </c>
      <c r="V60" s="51">
        <v>0.34300799999999998</v>
      </c>
      <c r="W60" s="51">
        <v>4.5978999999999999E-2</v>
      </c>
      <c r="X60" s="51">
        <v>4.3769999999999998E-3</v>
      </c>
      <c r="Y60" s="51">
        <v>0</v>
      </c>
      <c r="Z60" s="51">
        <v>0</v>
      </c>
      <c r="AA60" s="72">
        <v>60</v>
      </c>
      <c r="AB60" s="72"/>
      <c r="AC60" s="73"/>
      <c r="AD60" s="79" t="s">
        <v>1785</v>
      </c>
      <c r="AE60" s="84" t="s">
        <v>1979</v>
      </c>
      <c r="AF60" s="79">
        <v>397</v>
      </c>
      <c r="AG60" s="79">
        <v>140</v>
      </c>
      <c r="AH60" s="79">
        <v>2315</v>
      </c>
      <c r="AI60" s="79">
        <v>4724</v>
      </c>
      <c r="AJ60" s="79"/>
      <c r="AK60" s="79" t="s">
        <v>2170</v>
      </c>
      <c r="AL60" s="79" t="s">
        <v>2323</v>
      </c>
      <c r="AM60" s="79"/>
      <c r="AN60" s="79"/>
      <c r="AO60" s="81">
        <v>40979.002847222226</v>
      </c>
      <c r="AP60" s="86" t="str">
        <f>HYPERLINK("https://pbs.twimg.com/profile_banners/520847027/1628609070")</f>
        <v>https://pbs.twimg.com/profile_banners/520847027/1628609070</v>
      </c>
      <c r="AQ60" s="79" t="b">
        <v>0</v>
      </c>
      <c r="AR60" s="79" t="b">
        <v>0</v>
      </c>
      <c r="AS60" s="79" t="b">
        <v>1</v>
      </c>
      <c r="AT60" s="79"/>
      <c r="AU60" s="79">
        <v>1</v>
      </c>
      <c r="AV60" s="86" t="str">
        <f>HYPERLINK("https://abs.twimg.com/images/themes/theme12/bg.gif")</f>
        <v>https://abs.twimg.com/images/themes/theme12/bg.gif</v>
      </c>
      <c r="AW60" s="79" t="b">
        <v>0</v>
      </c>
      <c r="AX60" s="79" t="s">
        <v>2381</v>
      </c>
      <c r="AY60" s="86" t="str">
        <f>HYPERLINK("https://twitter.com/miranda_fae")</f>
        <v>https://twitter.com/miranda_fae</v>
      </c>
      <c r="AZ60" s="79" t="s">
        <v>66</v>
      </c>
      <c r="BA60" s="50"/>
      <c r="BB60" s="50"/>
      <c r="BC60" s="50"/>
      <c r="BD60" s="50"/>
      <c r="BE60" s="50" t="s">
        <v>668</v>
      </c>
      <c r="BF60" s="50" t="s">
        <v>668</v>
      </c>
      <c r="BG60" s="108" t="s">
        <v>2836</v>
      </c>
      <c r="BH60" s="108" t="s">
        <v>2836</v>
      </c>
      <c r="BI60" s="108" t="s">
        <v>3001</v>
      </c>
      <c r="BJ60" s="108" t="s">
        <v>3001</v>
      </c>
      <c r="BK60" s="2"/>
      <c r="BL60" s="3"/>
      <c r="BM60" s="3"/>
      <c r="BN60" s="3"/>
      <c r="BO60" s="3"/>
    </row>
    <row r="61" spans="1:67" x14ac:dyDescent="0.25">
      <c r="A61" s="65" t="s">
        <v>250</v>
      </c>
      <c r="B61" s="66"/>
      <c r="C61" s="66"/>
      <c r="D61" s="67"/>
      <c r="E61" s="69"/>
      <c r="F61" s="103" t="str">
        <f>HYPERLINK("https://pbs.twimg.com/profile_images/1153686398320414720/iTCkattl_normal.jpg")</f>
        <v>https://pbs.twimg.com/profile_images/1153686398320414720/iTCkattl_normal.jpg</v>
      </c>
      <c r="G61" s="66"/>
      <c r="H61" s="70"/>
      <c r="I61" s="71"/>
      <c r="J61" s="71"/>
      <c r="K61" s="70" t="s">
        <v>2439</v>
      </c>
      <c r="L61" s="74"/>
      <c r="M61" s="75">
        <v>8517.9716796875</v>
      </c>
      <c r="N61" s="75">
        <v>3441.112060546875</v>
      </c>
      <c r="O61" s="76"/>
      <c r="P61" s="77"/>
      <c r="Q61" s="77"/>
      <c r="R61" s="89"/>
      <c r="S61" s="50">
        <v>0</v>
      </c>
      <c r="T61" s="50">
        <v>2</v>
      </c>
      <c r="U61" s="51">
        <v>0</v>
      </c>
      <c r="V61" s="51">
        <v>0.26117899999999999</v>
      </c>
      <c r="W61" s="51">
        <v>7.9459999999999999E-3</v>
      </c>
      <c r="X61" s="51">
        <v>4.5849999999999997E-3</v>
      </c>
      <c r="Y61" s="51">
        <v>1</v>
      </c>
      <c r="Z61" s="51">
        <v>0</v>
      </c>
      <c r="AA61" s="72">
        <v>61</v>
      </c>
      <c r="AB61" s="72"/>
      <c r="AC61" s="73"/>
      <c r="AD61" s="79" t="s">
        <v>1786</v>
      </c>
      <c r="AE61" s="84" t="s">
        <v>1980</v>
      </c>
      <c r="AF61" s="79">
        <v>127</v>
      </c>
      <c r="AG61" s="79">
        <v>141</v>
      </c>
      <c r="AH61" s="79">
        <v>74</v>
      </c>
      <c r="AI61" s="79">
        <v>218</v>
      </c>
      <c r="AJ61" s="79"/>
      <c r="AK61" s="79" t="s">
        <v>2171</v>
      </c>
      <c r="AL61" s="79" t="s">
        <v>1694</v>
      </c>
      <c r="AM61" s="86" t="str">
        <f>HYPERLINK("https://t.co/J1YC7ojrbe")</f>
        <v>https://t.co/J1YC7ojrbe</v>
      </c>
      <c r="AN61" s="79"/>
      <c r="AO61" s="81">
        <v>42527.956412037034</v>
      </c>
      <c r="AP61" s="79"/>
      <c r="AQ61" s="79" t="b">
        <v>1</v>
      </c>
      <c r="AR61" s="79" t="b">
        <v>0</v>
      </c>
      <c r="AS61" s="79" t="b">
        <v>0</v>
      </c>
      <c r="AT61" s="79"/>
      <c r="AU61" s="79">
        <v>2</v>
      </c>
      <c r="AV61" s="79"/>
      <c r="AW61" s="79" t="b">
        <v>0</v>
      </c>
      <c r="AX61" s="79" t="s">
        <v>2381</v>
      </c>
      <c r="AY61" s="86" t="str">
        <f>HYPERLINK("https://twitter.com/stephsfredrick")</f>
        <v>https://twitter.com/stephsfredrick</v>
      </c>
      <c r="AZ61" s="79" t="s">
        <v>66</v>
      </c>
      <c r="BA61" s="50" t="s">
        <v>2659</v>
      </c>
      <c r="BB61" s="50" t="s">
        <v>2659</v>
      </c>
      <c r="BC61" s="50" t="s">
        <v>632</v>
      </c>
      <c r="BD61" s="50" t="s">
        <v>632</v>
      </c>
      <c r="BE61" s="50" t="s">
        <v>676</v>
      </c>
      <c r="BF61" s="50" t="s">
        <v>676</v>
      </c>
      <c r="BG61" s="108" t="s">
        <v>2861</v>
      </c>
      <c r="BH61" s="108" t="s">
        <v>2861</v>
      </c>
      <c r="BI61" s="108" t="s">
        <v>3023</v>
      </c>
      <c r="BJ61" s="108" t="s">
        <v>3023</v>
      </c>
      <c r="BK61" s="2"/>
      <c r="BL61" s="3"/>
      <c r="BM61" s="3"/>
      <c r="BN61" s="3"/>
      <c r="BO61" s="3"/>
    </row>
    <row r="62" spans="1:67" x14ac:dyDescent="0.25">
      <c r="A62" s="65" t="s">
        <v>251</v>
      </c>
      <c r="B62" s="66"/>
      <c r="C62" s="66"/>
      <c r="D62" s="67"/>
      <c r="E62" s="69"/>
      <c r="F62" s="103" t="str">
        <f>HYPERLINK("https://pbs.twimg.com/profile_images/1339586287024578560/1hOjE34u_normal.jpg")</f>
        <v>https://pbs.twimg.com/profile_images/1339586287024578560/1hOjE34u_normal.jpg</v>
      </c>
      <c r="G62" s="66"/>
      <c r="H62" s="70"/>
      <c r="I62" s="71"/>
      <c r="J62" s="71"/>
      <c r="K62" s="70" t="s">
        <v>2440</v>
      </c>
      <c r="L62" s="74"/>
      <c r="M62" s="75">
        <v>9010.79296875</v>
      </c>
      <c r="N62" s="75">
        <v>3093.895263671875</v>
      </c>
      <c r="O62" s="76"/>
      <c r="P62" s="77"/>
      <c r="Q62" s="77"/>
      <c r="R62" s="89"/>
      <c r="S62" s="50">
        <v>1</v>
      </c>
      <c r="T62" s="50">
        <v>1</v>
      </c>
      <c r="U62" s="51">
        <v>0</v>
      </c>
      <c r="V62" s="51">
        <v>0</v>
      </c>
      <c r="W62" s="51">
        <v>0</v>
      </c>
      <c r="X62" s="51">
        <v>5.0759999999999998E-3</v>
      </c>
      <c r="Y62" s="51">
        <v>0</v>
      </c>
      <c r="Z62" s="51">
        <v>0</v>
      </c>
      <c r="AA62" s="72">
        <v>62</v>
      </c>
      <c r="AB62" s="72"/>
      <c r="AC62" s="73"/>
      <c r="AD62" s="79" t="s">
        <v>1787</v>
      </c>
      <c r="AE62" s="84" t="s">
        <v>1981</v>
      </c>
      <c r="AF62" s="79">
        <v>202</v>
      </c>
      <c r="AG62" s="79">
        <v>468</v>
      </c>
      <c r="AH62" s="79">
        <v>1224</v>
      </c>
      <c r="AI62" s="79">
        <v>255</v>
      </c>
      <c r="AJ62" s="79"/>
      <c r="AK62" s="79" t="s">
        <v>2172</v>
      </c>
      <c r="AL62" s="79" t="s">
        <v>1694</v>
      </c>
      <c r="AM62" s="86" t="str">
        <f>HYPERLINK("https://t.co/jRLxj4p4kS")</f>
        <v>https://t.co/jRLxj4p4kS</v>
      </c>
      <c r="AN62" s="79"/>
      <c r="AO62" s="81">
        <v>42450.899571759262</v>
      </c>
      <c r="AP62" s="86" t="str">
        <f>HYPERLINK("https://pbs.twimg.com/profile_banners/712029865067806720/1569025098")</f>
        <v>https://pbs.twimg.com/profile_banners/712029865067806720/1569025098</v>
      </c>
      <c r="AQ62" s="79" t="b">
        <v>0</v>
      </c>
      <c r="AR62" s="79" t="b">
        <v>0</v>
      </c>
      <c r="AS62" s="79" t="b">
        <v>0</v>
      </c>
      <c r="AT62" s="79"/>
      <c r="AU62" s="79">
        <v>3</v>
      </c>
      <c r="AV62" s="86" t="str">
        <f>HYPERLINK("https://abs.twimg.com/images/themes/theme1/bg.png")</f>
        <v>https://abs.twimg.com/images/themes/theme1/bg.png</v>
      </c>
      <c r="AW62" s="79" t="b">
        <v>0</v>
      </c>
      <c r="AX62" s="79" t="s">
        <v>2381</v>
      </c>
      <c r="AY62" s="86" t="str">
        <f>HYPERLINK("https://twitter.com/wiseatub")</f>
        <v>https://twitter.com/wiseatub</v>
      </c>
      <c r="AZ62" s="79" t="s">
        <v>66</v>
      </c>
      <c r="BA62" s="50"/>
      <c r="BB62" s="50"/>
      <c r="BC62" s="50"/>
      <c r="BD62" s="50"/>
      <c r="BE62" s="50" t="s">
        <v>677</v>
      </c>
      <c r="BF62" s="50" t="s">
        <v>677</v>
      </c>
      <c r="BG62" s="108" t="s">
        <v>2864</v>
      </c>
      <c r="BH62" s="108" t="s">
        <v>2864</v>
      </c>
      <c r="BI62" s="108" t="s">
        <v>3026</v>
      </c>
      <c r="BJ62" s="108" t="s">
        <v>3026</v>
      </c>
      <c r="BK62" s="2"/>
      <c r="BL62" s="3"/>
      <c r="BM62" s="3"/>
      <c r="BN62" s="3"/>
      <c r="BO62" s="3"/>
    </row>
    <row r="63" spans="1:67" x14ac:dyDescent="0.25">
      <c r="A63" s="65" t="s">
        <v>252</v>
      </c>
      <c r="B63" s="66"/>
      <c r="C63" s="66"/>
      <c r="D63" s="67"/>
      <c r="E63" s="69"/>
      <c r="F63" s="103" t="str">
        <f>HYPERLINK("https://pbs.twimg.com/profile_images/1227965589253218304/Um3Gwb0N_normal.jpg")</f>
        <v>https://pbs.twimg.com/profile_images/1227965589253218304/Um3Gwb0N_normal.jpg</v>
      </c>
      <c r="G63" s="66"/>
      <c r="H63" s="70"/>
      <c r="I63" s="71"/>
      <c r="J63" s="71"/>
      <c r="K63" s="70" t="s">
        <v>2441</v>
      </c>
      <c r="L63" s="74"/>
      <c r="M63" s="75">
        <v>7837.5732421875</v>
      </c>
      <c r="N63" s="75">
        <v>5026.478515625</v>
      </c>
      <c r="O63" s="76"/>
      <c r="P63" s="77"/>
      <c r="Q63" s="77"/>
      <c r="R63" s="89"/>
      <c r="S63" s="50">
        <v>0</v>
      </c>
      <c r="T63" s="50">
        <v>3</v>
      </c>
      <c r="U63" s="51">
        <v>0</v>
      </c>
      <c r="V63" s="51">
        <v>0.34748200000000001</v>
      </c>
      <c r="W63" s="51">
        <v>6.1615000000000003E-2</v>
      </c>
      <c r="X63" s="51">
        <v>4.6309999999999997E-3</v>
      </c>
      <c r="Y63" s="51">
        <v>0.66666666666666663</v>
      </c>
      <c r="Z63" s="51">
        <v>0</v>
      </c>
      <c r="AA63" s="72">
        <v>63</v>
      </c>
      <c r="AB63" s="72"/>
      <c r="AC63" s="73"/>
      <c r="AD63" s="79" t="s">
        <v>1788</v>
      </c>
      <c r="AE63" s="84" t="s">
        <v>1982</v>
      </c>
      <c r="AF63" s="79">
        <v>888</v>
      </c>
      <c r="AG63" s="79">
        <v>1700</v>
      </c>
      <c r="AH63" s="79">
        <v>5150</v>
      </c>
      <c r="AI63" s="79">
        <v>3094</v>
      </c>
      <c r="AJ63" s="79"/>
      <c r="AK63" s="79" t="s">
        <v>2173</v>
      </c>
      <c r="AL63" s="79" t="s">
        <v>2301</v>
      </c>
      <c r="AM63" s="86" t="str">
        <f>HYPERLINK("https://t.co/J13oEoLf5h")</f>
        <v>https://t.co/J13oEoLf5h</v>
      </c>
      <c r="AN63" s="79"/>
      <c r="AO63" s="81">
        <v>40126.670497685183</v>
      </c>
      <c r="AP63" s="86" t="str">
        <f>HYPERLINK("https://pbs.twimg.com/profile_banners/88695378/1581023149")</f>
        <v>https://pbs.twimg.com/profile_banners/88695378/1581023149</v>
      </c>
      <c r="AQ63" s="79" t="b">
        <v>0</v>
      </c>
      <c r="AR63" s="79" t="b">
        <v>0</v>
      </c>
      <c r="AS63" s="79" t="b">
        <v>0</v>
      </c>
      <c r="AT63" s="79"/>
      <c r="AU63" s="79">
        <v>43</v>
      </c>
      <c r="AV63" s="86" t="str">
        <f>HYPERLINK("https://abs.twimg.com/images/themes/theme15/bg.png")</f>
        <v>https://abs.twimg.com/images/themes/theme15/bg.png</v>
      </c>
      <c r="AW63" s="79" t="b">
        <v>0</v>
      </c>
      <c r="AX63" s="79" t="s">
        <v>2381</v>
      </c>
      <c r="AY63" s="86" t="str">
        <f>HYPERLINK("https://twitter.com/ubhonors")</f>
        <v>https://twitter.com/ubhonors</v>
      </c>
      <c r="AZ63" s="79" t="s">
        <v>66</v>
      </c>
      <c r="BA63" s="50" t="s">
        <v>2660</v>
      </c>
      <c r="BB63" s="50" t="s">
        <v>2660</v>
      </c>
      <c r="BC63" s="50" t="s">
        <v>632</v>
      </c>
      <c r="BD63" s="50" t="s">
        <v>632</v>
      </c>
      <c r="BE63" s="50" t="s">
        <v>2746</v>
      </c>
      <c r="BF63" s="50" t="s">
        <v>678</v>
      </c>
      <c r="BG63" s="108" t="s">
        <v>2865</v>
      </c>
      <c r="BH63" s="108" t="s">
        <v>2956</v>
      </c>
      <c r="BI63" s="108" t="s">
        <v>3027</v>
      </c>
      <c r="BJ63" s="108" t="s">
        <v>3027</v>
      </c>
      <c r="BK63" s="2"/>
      <c r="BL63" s="3"/>
      <c r="BM63" s="3"/>
      <c r="BN63" s="3"/>
      <c r="BO63" s="3"/>
    </row>
    <row r="64" spans="1:67" x14ac:dyDescent="0.25">
      <c r="A64" s="65" t="s">
        <v>280</v>
      </c>
      <c r="B64" s="66"/>
      <c r="C64" s="66"/>
      <c r="D64" s="67"/>
      <c r="E64" s="69"/>
      <c r="F64" s="103" t="str">
        <f>HYPERLINK("https://pbs.twimg.com/profile_images/1229781686084390916/FgbALggb_normal.jpg")</f>
        <v>https://pbs.twimg.com/profile_images/1229781686084390916/FgbALggb_normal.jpg</v>
      </c>
      <c r="G64" s="66"/>
      <c r="H64" s="70"/>
      <c r="I64" s="71"/>
      <c r="J64" s="71"/>
      <c r="K64" s="70" t="s">
        <v>2442</v>
      </c>
      <c r="L64" s="74"/>
      <c r="M64" s="75">
        <v>6630.62060546875</v>
      </c>
      <c r="N64" s="75">
        <v>4970.79931640625</v>
      </c>
      <c r="O64" s="76"/>
      <c r="P64" s="77"/>
      <c r="Q64" s="77"/>
      <c r="R64" s="89"/>
      <c r="S64" s="50">
        <v>4</v>
      </c>
      <c r="T64" s="50">
        <v>2</v>
      </c>
      <c r="U64" s="51">
        <v>352</v>
      </c>
      <c r="V64" s="51">
        <v>0.34823900000000002</v>
      </c>
      <c r="W64" s="51">
        <v>6.7167000000000004E-2</v>
      </c>
      <c r="X64" s="51">
        <v>5.5339999999999999E-3</v>
      </c>
      <c r="Y64" s="51">
        <v>0.33333333333333331</v>
      </c>
      <c r="Z64" s="51">
        <v>0</v>
      </c>
      <c r="AA64" s="72">
        <v>64</v>
      </c>
      <c r="AB64" s="72"/>
      <c r="AC64" s="73"/>
      <c r="AD64" s="79" t="s">
        <v>1789</v>
      </c>
      <c r="AE64" s="84" t="s">
        <v>1983</v>
      </c>
      <c r="AF64" s="79">
        <v>57</v>
      </c>
      <c r="AG64" s="79">
        <v>1009</v>
      </c>
      <c r="AH64" s="79">
        <v>1480</v>
      </c>
      <c r="AI64" s="79">
        <v>74</v>
      </c>
      <c r="AJ64" s="79"/>
      <c r="AK64" s="79" t="s">
        <v>2174</v>
      </c>
      <c r="AL64" s="79" t="s">
        <v>1694</v>
      </c>
      <c r="AM64" s="86" t="str">
        <f>HYPERLINK("https://t.co/hTrH6pQs9j")</f>
        <v>https://t.co/hTrH6pQs9j</v>
      </c>
      <c r="AN64" s="79"/>
      <c r="AO64" s="81">
        <v>41495.82603009259</v>
      </c>
      <c r="AP64" s="86" t="str">
        <f>HYPERLINK("https://pbs.twimg.com/profile_banners/1658465328/1535744628")</f>
        <v>https://pbs.twimg.com/profile_banners/1658465328/1535744628</v>
      </c>
      <c r="AQ64" s="79" t="b">
        <v>0</v>
      </c>
      <c r="AR64" s="79" t="b">
        <v>0</v>
      </c>
      <c r="AS64" s="79" t="b">
        <v>0</v>
      </c>
      <c r="AT64" s="79"/>
      <c r="AU64" s="79">
        <v>17</v>
      </c>
      <c r="AV64" s="86" t="str">
        <f>HYPERLINK("https://abs.twimg.com/images/themes/theme1/bg.png")</f>
        <v>https://abs.twimg.com/images/themes/theme1/bg.png</v>
      </c>
      <c r="AW64" s="79" t="b">
        <v>0</v>
      </c>
      <c r="AX64" s="79" t="s">
        <v>2381</v>
      </c>
      <c r="AY64" s="86" t="str">
        <f>HYPERLINK("https://twitter.com/ubparking")</f>
        <v>https://twitter.com/ubparking</v>
      </c>
      <c r="AZ64" s="79" t="s">
        <v>66</v>
      </c>
      <c r="BA64" s="50" t="s">
        <v>2661</v>
      </c>
      <c r="BB64" s="50" t="s">
        <v>2661</v>
      </c>
      <c r="BC64" s="50" t="s">
        <v>632</v>
      </c>
      <c r="BD64" s="50" t="s">
        <v>632</v>
      </c>
      <c r="BE64" s="50" t="s">
        <v>357</v>
      </c>
      <c r="BF64" s="50" t="s">
        <v>357</v>
      </c>
      <c r="BG64" s="108" t="s">
        <v>2866</v>
      </c>
      <c r="BH64" s="108" t="s">
        <v>2957</v>
      </c>
      <c r="BI64" s="108" t="s">
        <v>3028</v>
      </c>
      <c r="BJ64" s="108" t="s">
        <v>3101</v>
      </c>
      <c r="BK64" s="2"/>
      <c r="BL64" s="3"/>
      <c r="BM64" s="3"/>
      <c r="BN64" s="3"/>
      <c r="BO64" s="3"/>
    </row>
    <row r="65" spans="1:67" x14ac:dyDescent="0.25">
      <c r="A65" s="65" t="s">
        <v>253</v>
      </c>
      <c r="B65" s="66"/>
      <c r="C65" s="66"/>
      <c r="D65" s="67"/>
      <c r="E65" s="69"/>
      <c r="F65" s="103" t="str">
        <f>HYPERLINK("https://pbs.twimg.com/profile_images/1422643877832544257/HrNypkXi_normal.jpg")</f>
        <v>https://pbs.twimg.com/profile_images/1422643877832544257/HrNypkXi_normal.jpg</v>
      </c>
      <c r="G65" s="66"/>
      <c r="H65" s="70"/>
      <c r="I65" s="71"/>
      <c r="J65" s="71"/>
      <c r="K65" s="70" t="s">
        <v>2443</v>
      </c>
      <c r="L65" s="74"/>
      <c r="M65" s="75">
        <v>511.3797607421875</v>
      </c>
      <c r="N65" s="75">
        <v>8674.490234375</v>
      </c>
      <c r="O65" s="76"/>
      <c r="P65" s="77"/>
      <c r="Q65" s="77"/>
      <c r="R65" s="89"/>
      <c r="S65" s="50">
        <v>1</v>
      </c>
      <c r="T65" s="50">
        <v>1</v>
      </c>
      <c r="U65" s="51">
        <v>0</v>
      </c>
      <c r="V65" s="51">
        <v>0</v>
      </c>
      <c r="W65" s="51">
        <v>0</v>
      </c>
      <c r="X65" s="51">
        <v>5.0759999999999998E-3</v>
      </c>
      <c r="Y65" s="51">
        <v>0</v>
      </c>
      <c r="Z65" s="51">
        <v>0</v>
      </c>
      <c r="AA65" s="72">
        <v>65</v>
      </c>
      <c r="AB65" s="72"/>
      <c r="AC65" s="73"/>
      <c r="AD65" s="79" t="s">
        <v>1790</v>
      </c>
      <c r="AE65" s="84" t="s">
        <v>1984</v>
      </c>
      <c r="AF65" s="79">
        <v>0</v>
      </c>
      <c r="AG65" s="79">
        <v>3952</v>
      </c>
      <c r="AH65" s="79">
        <v>3</v>
      </c>
      <c r="AI65" s="79">
        <v>3</v>
      </c>
      <c r="AJ65" s="79"/>
      <c r="AK65" s="79" t="s">
        <v>2175</v>
      </c>
      <c r="AL65" s="79" t="s">
        <v>2324</v>
      </c>
      <c r="AM65" s="86" t="str">
        <f>HYPERLINK("http://t.co/B3FlHW9XZW")</f>
        <v>http://t.co/B3FlHW9XZW</v>
      </c>
      <c r="AN65" s="79"/>
      <c r="AO65" s="81">
        <v>40354.736481481479</v>
      </c>
      <c r="AP65" s="86" t="str">
        <f>HYPERLINK("https://pbs.twimg.com/profile_banners/159544207/1628019707")</f>
        <v>https://pbs.twimg.com/profile_banners/159544207/1628019707</v>
      </c>
      <c r="AQ65" s="79" t="b">
        <v>0</v>
      </c>
      <c r="AR65" s="79" t="b">
        <v>0</v>
      </c>
      <c r="AS65" s="79" t="b">
        <v>1</v>
      </c>
      <c r="AT65" s="79"/>
      <c r="AU65" s="79">
        <v>35</v>
      </c>
      <c r="AV65" s="86" t="str">
        <f>HYPERLINK("https://abs.twimg.com/images/themes/theme1/bg.png")</f>
        <v>https://abs.twimg.com/images/themes/theme1/bg.png</v>
      </c>
      <c r="AW65" s="79" t="b">
        <v>0</v>
      </c>
      <c r="AX65" s="79" t="s">
        <v>2381</v>
      </c>
      <c r="AY65" s="86" t="str">
        <f>HYPERLINK("https://twitter.com/ub_alert")</f>
        <v>https://twitter.com/ub_alert</v>
      </c>
      <c r="AZ65" s="79" t="s">
        <v>66</v>
      </c>
      <c r="BA65" s="50" t="s">
        <v>2662</v>
      </c>
      <c r="BB65" s="50" t="s">
        <v>2662</v>
      </c>
      <c r="BC65" s="50" t="s">
        <v>632</v>
      </c>
      <c r="BD65" s="50" t="s">
        <v>632</v>
      </c>
      <c r="BE65" s="50" t="s">
        <v>679</v>
      </c>
      <c r="BF65" s="50" t="s">
        <v>679</v>
      </c>
      <c r="BG65" s="108" t="s">
        <v>2867</v>
      </c>
      <c r="BH65" s="108" t="s">
        <v>2867</v>
      </c>
      <c r="BI65" s="108" t="s">
        <v>3029</v>
      </c>
      <c r="BJ65" s="108" t="s">
        <v>3029</v>
      </c>
      <c r="BK65" s="2"/>
      <c r="BL65" s="3"/>
      <c r="BM65" s="3"/>
      <c r="BN65" s="3"/>
      <c r="BO65" s="3"/>
    </row>
    <row r="66" spans="1:67" x14ac:dyDescent="0.25">
      <c r="A66" s="65" t="s">
        <v>254</v>
      </c>
      <c r="B66" s="66"/>
      <c r="C66" s="66"/>
      <c r="D66" s="67"/>
      <c r="E66" s="69"/>
      <c r="F66" s="103" t="str">
        <f>HYPERLINK("https://pbs.twimg.com/profile_images/1369724314849796101/lOJSWPTZ_normal.jpg")</f>
        <v>https://pbs.twimg.com/profile_images/1369724314849796101/lOJSWPTZ_normal.jpg</v>
      </c>
      <c r="G66" s="66"/>
      <c r="H66" s="70"/>
      <c r="I66" s="71"/>
      <c r="J66" s="71"/>
      <c r="K66" s="70" t="s">
        <v>2444</v>
      </c>
      <c r="L66" s="74"/>
      <c r="M66" s="75">
        <v>1468.164306640625</v>
      </c>
      <c r="N66" s="75">
        <v>8933.865234375</v>
      </c>
      <c r="O66" s="76"/>
      <c r="P66" s="77"/>
      <c r="Q66" s="77"/>
      <c r="R66" s="89"/>
      <c r="S66" s="50">
        <v>1</v>
      </c>
      <c r="T66" s="50">
        <v>1</v>
      </c>
      <c r="U66" s="51">
        <v>0</v>
      </c>
      <c r="V66" s="51">
        <v>0</v>
      </c>
      <c r="W66" s="51">
        <v>0</v>
      </c>
      <c r="X66" s="51">
        <v>5.0759999999999998E-3</v>
      </c>
      <c r="Y66" s="51">
        <v>0</v>
      </c>
      <c r="Z66" s="51">
        <v>0</v>
      </c>
      <c r="AA66" s="72">
        <v>66</v>
      </c>
      <c r="AB66" s="72"/>
      <c r="AC66" s="73"/>
      <c r="AD66" s="79" t="s">
        <v>1791</v>
      </c>
      <c r="AE66" s="84" t="s">
        <v>1985</v>
      </c>
      <c r="AF66" s="79">
        <v>1574</v>
      </c>
      <c r="AG66" s="79">
        <v>7417</v>
      </c>
      <c r="AH66" s="79">
        <v>34186</v>
      </c>
      <c r="AI66" s="79">
        <v>13966</v>
      </c>
      <c r="AJ66" s="79"/>
      <c r="AK66" s="79" t="s">
        <v>2176</v>
      </c>
      <c r="AL66" s="79" t="s">
        <v>2325</v>
      </c>
      <c r="AM66" s="86" t="str">
        <f>HYPERLINK("https://t.co/bFw4fWqy3G")</f>
        <v>https://t.co/bFw4fWqy3G</v>
      </c>
      <c r="AN66" s="79"/>
      <c r="AO66" s="81">
        <v>40029.822881944441</v>
      </c>
      <c r="AP66" s="86" t="str">
        <f>HYPERLINK("https://pbs.twimg.com/profile_banners/62908533/1640193312")</f>
        <v>https://pbs.twimg.com/profile_banners/62908533/1640193312</v>
      </c>
      <c r="AQ66" s="79" t="b">
        <v>0</v>
      </c>
      <c r="AR66" s="79" t="b">
        <v>0</v>
      </c>
      <c r="AS66" s="79" t="b">
        <v>1</v>
      </c>
      <c r="AT66" s="79"/>
      <c r="AU66" s="79">
        <v>283</v>
      </c>
      <c r="AV66" s="86" t="str">
        <f>HYPERLINK("https://abs.twimg.com/images/themes/theme15/bg.png")</f>
        <v>https://abs.twimg.com/images/themes/theme15/bg.png</v>
      </c>
      <c r="AW66" s="79" t="b">
        <v>0</v>
      </c>
      <c r="AX66" s="79" t="s">
        <v>2381</v>
      </c>
      <c r="AY66" s="86" t="str">
        <f>HYPERLINK("https://twitter.com/ubssw")</f>
        <v>https://twitter.com/ubssw</v>
      </c>
      <c r="AZ66" s="79" t="s">
        <v>66</v>
      </c>
      <c r="BA66" s="50" t="s">
        <v>2663</v>
      </c>
      <c r="BB66" s="50" t="s">
        <v>2663</v>
      </c>
      <c r="BC66" s="50" t="s">
        <v>632</v>
      </c>
      <c r="BD66" s="50" t="s">
        <v>632</v>
      </c>
      <c r="BE66" s="50" t="s">
        <v>680</v>
      </c>
      <c r="BF66" s="50" t="s">
        <v>680</v>
      </c>
      <c r="BG66" s="108" t="s">
        <v>2868</v>
      </c>
      <c r="BH66" s="108" t="s">
        <v>2868</v>
      </c>
      <c r="BI66" s="108" t="s">
        <v>3030</v>
      </c>
      <c r="BJ66" s="108" t="s">
        <v>3030</v>
      </c>
      <c r="BK66" s="2"/>
      <c r="BL66" s="3"/>
      <c r="BM66" s="3"/>
      <c r="BN66" s="3"/>
      <c r="BO66" s="3"/>
    </row>
    <row r="67" spans="1:67" x14ac:dyDescent="0.25">
      <c r="A67" s="65" t="s">
        <v>255</v>
      </c>
      <c r="B67" s="66"/>
      <c r="C67" s="66"/>
      <c r="D67" s="67"/>
      <c r="E67" s="69"/>
      <c r="F67" s="103" t="str">
        <f>HYPERLINK("https://pbs.twimg.com/profile_images/1268718163761430530/VHeR_Tk9_normal.jpg")</f>
        <v>https://pbs.twimg.com/profile_images/1268718163761430530/VHeR_Tk9_normal.jpg</v>
      </c>
      <c r="G67" s="66"/>
      <c r="H67" s="70"/>
      <c r="I67" s="71"/>
      <c r="J67" s="71"/>
      <c r="K67" s="70" t="s">
        <v>2445</v>
      </c>
      <c r="L67" s="74"/>
      <c r="M67" s="75">
        <v>1824.1890869140625</v>
      </c>
      <c r="N67" s="75">
        <v>7893.28271484375</v>
      </c>
      <c r="O67" s="76"/>
      <c r="P67" s="77"/>
      <c r="Q67" s="77"/>
      <c r="R67" s="89"/>
      <c r="S67" s="50">
        <v>0</v>
      </c>
      <c r="T67" s="50">
        <v>1</v>
      </c>
      <c r="U67" s="51">
        <v>0</v>
      </c>
      <c r="V67" s="51">
        <v>0.26075300000000001</v>
      </c>
      <c r="W67" s="51">
        <v>7.2659999999999999E-3</v>
      </c>
      <c r="X67" s="51">
        <v>4.4200000000000003E-3</v>
      </c>
      <c r="Y67" s="51">
        <v>0</v>
      </c>
      <c r="Z67" s="51">
        <v>0</v>
      </c>
      <c r="AA67" s="72">
        <v>67</v>
      </c>
      <c r="AB67" s="72"/>
      <c r="AC67" s="73"/>
      <c r="AD67" s="79" t="s">
        <v>1792</v>
      </c>
      <c r="AE67" s="84" t="s">
        <v>1986</v>
      </c>
      <c r="AF67" s="79">
        <v>1116</v>
      </c>
      <c r="AG67" s="79">
        <v>788</v>
      </c>
      <c r="AH67" s="79">
        <v>3769</v>
      </c>
      <c r="AI67" s="79">
        <v>22011</v>
      </c>
      <c r="AJ67" s="79"/>
      <c r="AK67" s="79" t="s">
        <v>2177</v>
      </c>
      <c r="AL67" s="79" t="s">
        <v>1694</v>
      </c>
      <c r="AM67" s="86" t="str">
        <f>HYPERLINK("https://t.co/u4aVU2F1Ld")</f>
        <v>https://t.co/u4aVU2F1Ld</v>
      </c>
      <c r="AN67" s="79"/>
      <c r="AO67" s="81">
        <v>39973.779560185183</v>
      </c>
      <c r="AP67" s="86" t="str">
        <f>HYPERLINK("https://pbs.twimg.com/profile_banners/45907293/1591320957")</f>
        <v>https://pbs.twimg.com/profile_banners/45907293/1591320957</v>
      </c>
      <c r="AQ67" s="79" t="b">
        <v>0</v>
      </c>
      <c r="AR67" s="79" t="b">
        <v>0</v>
      </c>
      <c r="AS67" s="79" t="b">
        <v>1</v>
      </c>
      <c r="AT67" s="79"/>
      <c r="AU67" s="79">
        <v>2</v>
      </c>
      <c r="AV67" s="86" t="str">
        <f>HYPERLINK("https://abs.twimg.com/images/themes/theme5/bg.gif")</f>
        <v>https://abs.twimg.com/images/themes/theme5/bg.gif</v>
      </c>
      <c r="AW67" s="79" t="b">
        <v>0</v>
      </c>
      <c r="AX67" s="79" t="s">
        <v>2381</v>
      </c>
      <c r="AY67" s="86" t="str">
        <f>HYPERLINK("https://twitter.com/lindsayhahn_")</f>
        <v>https://twitter.com/lindsayhahn_</v>
      </c>
      <c r="AZ67" s="79" t="s">
        <v>66</v>
      </c>
      <c r="BA67" s="50"/>
      <c r="BB67" s="50"/>
      <c r="BC67" s="50"/>
      <c r="BD67" s="50"/>
      <c r="BE67" s="50" t="s">
        <v>357</v>
      </c>
      <c r="BF67" s="50" t="s">
        <v>357</v>
      </c>
      <c r="BG67" s="108" t="s">
        <v>2869</v>
      </c>
      <c r="BH67" s="108" t="s">
        <v>2869</v>
      </c>
      <c r="BI67" s="108" t="s">
        <v>3031</v>
      </c>
      <c r="BJ67" s="108" t="s">
        <v>3031</v>
      </c>
      <c r="BK67" s="2"/>
      <c r="BL67" s="3"/>
      <c r="BM67" s="3"/>
      <c r="BN67" s="3"/>
      <c r="BO67" s="3"/>
    </row>
    <row r="68" spans="1:67" x14ac:dyDescent="0.25">
      <c r="A68" s="65" t="s">
        <v>368</v>
      </c>
      <c r="B68" s="66"/>
      <c r="C68" s="66"/>
      <c r="D68" s="67"/>
      <c r="E68" s="69"/>
      <c r="F68" s="103" t="str">
        <f>HYPERLINK("https://pbs.twimg.com/profile_images/1372538832919351306/-p_R0Osc_normal.jpg")</f>
        <v>https://pbs.twimg.com/profile_images/1372538832919351306/-p_R0Osc_normal.jpg</v>
      </c>
      <c r="G68" s="66"/>
      <c r="H68" s="70"/>
      <c r="I68" s="71"/>
      <c r="J68" s="71"/>
      <c r="K68" s="70" t="s">
        <v>2446</v>
      </c>
      <c r="L68" s="74"/>
      <c r="M68" s="75">
        <v>4164.8447265625</v>
      </c>
      <c r="N68" s="75">
        <v>4547.24658203125</v>
      </c>
      <c r="O68" s="76"/>
      <c r="P68" s="77"/>
      <c r="Q68" s="77"/>
      <c r="R68" s="89"/>
      <c r="S68" s="50">
        <v>9</v>
      </c>
      <c r="T68" s="50">
        <v>3</v>
      </c>
      <c r="U68" s="51">
        <v>1189.754762</v>
      </c>
      <c r="V68" s="51">
        <v>0.36577100000000001</v>
      </c>
      <c r="W68" s="51">
        <v>8.7896000000000002E-2</v>
      </c>
      <c r="X68" s="51">
        <v>7.0239999999999999E-3</v>
      </c>
      <c r="Y68" s="51">
        <v>0.1111111111111111</v>
      </c>
      <c r="Z68" s="51">
        <v>0.1111111111111111</v>
      </c>
      <c r="AA68" s="72">
        <v>68</v>
      </c>
      <c r="AB68" s="72"/>
      <c r="AC68" s="73"/>
      <c r="AD68" s="79" t="s">
        <v>1793</v>
      </c>
      <c r="AE68" s="84" t="s">
        <v>1987</v>
      </c>
      <c r="AF68" s="79">
        <v>272</v>
      </c>
      <c r="AG68" s="79">
        <v>994</v>
      </c>
      <c r="AH68" s="79">
        <v>1936</v>
      </c>
      <c r="AI68" s="79">
        <v>2738</v>
      </c>
      <c r="AJ68" s="79"/>
      <c r="AK68" s="79" t="s">
        <v>2178</v>
      </c>
      <c r="AL68" s="79" t="s">
        <v>1694</v>
      </c>
      <c r="AM68" s="86" t="str">
        <f>HYPERLINK("http://t.co/r19SJd76HZ")</f>
        <v>http://t.co/r19SJd76HZ</v>
      </c>
      <c r="AN68" s="79"/>
      <c r="AO68" s="81">
        <v>41803.68478009259</v>
      </c>
      <c r="AP68" s="86" t="str">
        <f>HYPERLINK("https://pbs.twimg.com/profile_banners/2565555960/1541426332")</f>
        <v>https://pbs.twimg.com/profile_banners/2565555960/1541426332</v>
      </c>
      <c r="AQ68" s="79" t="b">
        <v>0</v>
      </c>
      <c r="AR68" s="79" t="b">
        <v>0</v>
      </c>
      <c r="AS68" s="79" t="b">
        <v>0</v>
      </c>
      <c r="AT68" s="79"/>
      <c r="AU68" s="79">
        <v>16</v>
      </c>
      <c r="AV68" s="86" t="str">
        <f>HYPERLINK("https://abs.twimg.com/images/themes/theme1/bg.png")</f>
        <v>https://abs.twimg.com/images/themes/theme1/bg.png</v>
      </c>
      <c r="AW68" s="79" t="b">
        <v>0</v>
      </c>
      <c r="AX68" s="79" t="s">
        <v>2381</v>
      </c>
      <c r="AY68" s="86" t="str">
        <f>HYPERLINK("https://twitter.com/ubinfotech")</f>
        <v>https://twitter.com/ubinfotech</v>
      </c>
      <c r="AZ68" s="79" t="s">
        <v>66</v>
      </c>
      <c r="BA68" s="50" t="s">
        <v>2664</v>
      </c>
      <c r="BB68" s="50" t="s">
        <v>2664</v>
      </c>
      <c r="BC68" s="50" t="s">
        <v>632</v>
      </c>
      <c r="BD68" s="50" t="s">
        <v>632</v>
      </c>
      <c r="BE68" s="50" t="s">
        <v>2759</v>
      </c>
      <c r="BF68" s="50" t="s">
        <v>2797</v>
      </c>
      <c r="BG68" s="108" t="s">
        <v>2870</v>
      </c>
      <c r="BH68" s="108" t="s">
        <v>2958</v>
      </c>
      <c r="BI68" s="108" t="s">
        <v>3032</v>
      </c>
      <c r="BJ68" s="108" t="s">
        <v>3102</v>
      </c>
      <c r="BK68" s="2"/>
      <c r="BL68" s="3"/>
      <c r="BM68" s="3"/>
      <c r="BN68" s="3"/>
      <c r="BO68" s="3"/>
    </row>
    <row r="69" spans="1:67" x14ac:dyDescent="0.25">
      <c r="A69" s="65" t="s">
        <v>256</v>
      </c>
      <c r="B69" s="66"/>
      <c r="C69" s="66"/>
      <c r="D69" s="67"/>
      <c r="E69" s="69"/>
      <c r="F69" s="103" t="str">
        <f>HYPERLINK("https://pbs.twimg.com/profile_images/1461943217742569480/lPV5usGs_normal.jpg")</f>
        <v>https://pbs.twimg.com/profile_images/1461943217742569480/lPV5usGs_normal.jpg</v>
      </c>
      <c r="G69" s="66"/>
      <c r="H69" s="70"/>
      <c r="I69" s="71"/>
      <c r="J69" s="71"/>
      <c r="K69" s="70" t="s">
        <v>2447</v>
      </c>
      <c r="L69" s="74"/>
      <c r="M69" s="75">
        <v>5263.94482421875</v>
      </c>
      <c r="N69" s="75">
        <v>888.13079833984375</v>
      </c>
      <c r="O69" s="76"/>
      <c r="P69" s="77"/>
      <c r="Q69" s="77"/>
      <c r="R69" s="89"/>
      <c r="S69" s="50">
        <v>0</v>
      </c>
      <c r="T69" s="50">
        <v>1</v>
      </c>
      <c r="U69" s="51">
        <v>0</v>
      </c>
      <c r="V69" s="51">
        <v>0.25533800000000001</v>
      </c>
      <c r="W69" s="51">
        <v>7.1710000000000003E-3</v>
      </c>
      <c r="X69" s="51">
        <v>4.4260000000000002E-3</v>
      </c>
      <c r="Y69" s="51">
        <v>0</v>
      </c>
      <c r="Z69" s="51">
        <v>0</v>
      </c>
      <c r="AA69" s="72">
        <v>69</v>
      </c>
      <c r="AB69" s="72"/>
      <c r="AC69" s="73"/>
      <c r="AD69" s="79" t="s">
        <v>1794</v>
      </c>
      <c r="AE69" s="84" t="s">
        <v>1988</v>
      </c>
      <c r="AF69" s="79">
        <v>571</v>
      </c>
      <c r="AG69" s="79">
        <v>451</v>
      </c>
      <c r="AH69" s="79">
        <v>13029</v>
      </c>
      <c r="AI69" s="79">
        <v>49762</v>
      </c>
      <c r="AJ69" s="79"/>
      <c r="AK69" s="79" t="s">
        <v>2179</v>
      </c>
      <c r="AL69" s="79" t="s">
        <v>2326</v>
      </c>
      <c r="AM69" s="79"/>
      <c r="AN69" s="79"/>
      <c r="AO69" s="81">
        <v>41947.1252662037</v>
      </c>
      <c r="AP69" s="86" t="str">
        <f>HYPERLINK("https://pbs.twimg.com/profile_banners/2859875452/1585097764")</f>
        <v>https://pbs.twimg.com/profile_banners/2859875452/1585097764</v>
      </c>
      <c r="AQ69" s="79" t="b">
        <v>1</v>
      </c>
      <c r="AR69" s="79" t="b">
        <v>0</v>
      </c>
      <c r="AS69" s="79" t="b">
        <v>1</v>
      </c>
      <c r="AT69" s="79"/>
      <c r="AU69" s="79">
        <v>4</v>
      </c>
      <c r="AV69" s="86" t="str">
        <f>HYPERLINK("https://abs.twimg.com/images/themes/theme1/bg.png")</f>
        <v>https://abs.twimg.com/images/themes/theme1/bg.png</v>
      </c>
      <c r="AW69" s="79" t="b">
        <v>0</v>
      </c>
      <c r="AX69" s="79" t="s">
        <v>2381</v>
      </c>
      <c r="AY69" s="86" t="str">
        <f>HYPERLINK("https://twitter.com/kaitlyn_prater6")</f>
        <v>https://twitter.com/kaitlyn_prater6</v>
      </c>
      <c r="AZ69" s="79" t="s">
        <v>66</v>
      </c>
      <c r="BA69" s="50"/>
      <c r="BB69" s="50"/>
      <c r="BC69" s="50"/>
      <c r="BD69" s="50"/>
      <c r="BE69" s="50" t="s">
        <v>681</v>
      </c>
      <c r="BF69" s="50" t="s">
        <v>681</v>
      </c>
      <c r="BG69" s="108" t="s">
        <v>2871</v>
      </c>
      <c r="BH69" s="108" t="s">
        <v>2871</v>
      </c>
      <c r="BI69" s="108" t="s">
        <v>3033</v>
      </c>
      <c r="BJ69" s="108" t="s">
        <v>3033</v>
      </c>
      <c r="BK69" s="2"/>
      <c r="BL69" s="3"/>
      <c r="BM69" s="3"/>
      <c r="BN69" s="3"/>
      <c r="BO69" s="3"/>
    </row>
    <row r="70" spans="1:67" x14ac:dyDescent="0.25">
      <c r="A70" s="65" t="s">
        <v>362</v>
      </c>
      <c r="B70" s="66"/>
      <c r="C70" s="66"/>
      <c r="D70" s="67"/>
      <c r="E70" s="69"/>
      <c r="F70" s="103" t="str">
        <f>HYPERLINK("https://pbs.twimg.com/profile_images/1490393158039097346/OFre6J6G_normal.jpg")</f>
        <v>https://pbs.twimg.com/profile_images/1490393158039097346/OFre6J6G_normal.jpg</v>
      </c>
      <c r="G70" s="66"/>
      <c r="H70" s="70"/>
      <c r="I70" s="71"/>
      <c r="J70" s="71"/>
      <c r="K70" s="70" t="s">
        <v>2448</v>
      </c>
      <c r="L70" s="74"/>
      <c r="M70" s="75">
        <v>6384.17578125</v>
      </c>
      <c r="N70" s="75">
        <v>4550.15576171875</v>
      </c>
      <c r="O70" s="76"/>
      <c r="P70" s="77"/>
      <c r="Q70" s="77"/>
      <c r="R70" s="89"/>
      <c r="S70" s="50">
        <v>10</v>
      </c>
      <c r="T70" s="50">
        <v>1</v>
      </c>
      <c r="U70" s="51">
        <v>1097.3792100000001</v>
      </c>
      <c r="V70" s="51">
        <v>0.35520400000000002</v>
      </c>
      <c r="W70" s="51">
        <v>8.6751999999999996E-2</v>
      </c>
      <c r="X70" s="51">
        <v>7.443E-3</v>
      </c>
      <c r="Y70" s="51">
        <v>5.5555555555555552E-2</v>
      </c>
      <c r="Z70" s="51">
        <v>0</v>
      </c>
      <c r="AA70" s="72">
        <v>70</v>
      </c>
      <c r="AB70" s="72"/>
      <c r="AC70" s="73"/>
      <c r="AD70" s="79" t="s">
        <v>1795</v>
      </c>
      <c r="AE70" s="84" t="s">
        <v>1639</v>
      </c>
      <c r="AF70" s="79">
        <v>71</v>
      </c>
      <c r="AG70" s="79">
        <v>484</v>
      </c>
      <c r="AH70" s="79">
        <v>582</v>
      </c>
      <c r="AI70" s="79">
        <v>1962</v>
      </c>
      <c r="AJ70" s="79"/>
      <c r="AK70" s="79" t="s">
        <v>2180</v>
      </c>
      <c r="AL70" s="79" t="s">
        <v>1694</v>
      </c>
      <c r="AM70" s="86" t="str">
        <f>HYPERLINK("https://t.co/6wtrCSENWA")</f>
        <v>https://t.co/6wtrCSENWA</v>
      </c>
      <c r="AN70" s="79"/>
      <c r="AO70" s="81">
        <v>41019.660694444443</v>
      </c>
      <c r="AP70" s="86" t="str">
        <f>HYPERLINK("https://pbs.twimg.com/profile_banners/558822195/1602052498")</f>
        <v>https://pbs.twimg.com/profile_banners/558822195/1602052498</v>
      </c>
      <c r="AQ70" s="79" t="b">
        <v>1</v>
      </c>
      <c r="AR70" s="79" t="b">
        <v>0</v>
      </c>
      <c r="AS70" s="79" t="b">
        <v>1</v>
      </c>
      <c r="AT70" s="79"/>
      <c r="AU70" s="79">
        <v>3</v>
      </c>
      <c r="AV70" s="86" t="str">
        <f>HYPERLINK("https://abs.twimg.com/images/themes/theme1/bg.png")</f>
        <v>https://abs.twimg.com/images/themes/theme1/bg.png</v>
      </c>
      <c r="AW70" s="79" t="b">
        <v>0</v>
      </c>
      <c r="AX70" s="79" t="s">
        <v>2381</v>
      </c>
      <c r="AY70" s="86" t="str">
        <f>HYPERLINK("https://twitter.com/ubmarchingband")</f>
        <v>https://twitter.com/ubmarchingband</v>
      </c>
      <c r="AZ70" s="79" t="s">
        <v>66</v>
      </c>
      <c r="BA70" s="50"/>
      <c r="BB70" s="50"/>
      <c r="BC70" s="50"/>
      <c r="BD70" s="50"/>
      <c r="BE70" s="50" t="s">
        <v>2760</v>
      </c>
      <c r="BF70" s="50" t="s">
        <v>2798</v>
      </c>
      <c r="BG70" s="108" t="s">
        <v>2872</v>
      </c>
      <c r="BH70" s="108" t="s">
        <v>2959</v>
      </c>
      <c r="BI70" s="108" t="s">
        <v>3034</v>
      </c>
      <c r="BJ70" s="108" t="s">
        <v>3034</v>
      </c>
      <c r="BK70" s="2"/>
      <c r="BL70" s="3"/>
      <c r="BM70" s="3"/>
      <c r="BN70" s="3"/>
      <c r="BO70" s="3"/>
    </row>
    <row r="71" spans="1:67" x14ac:dyDescent="0.25">
      <c r="A71" s="65" t="s">
        <v>257</v>
      </c>
      <c r="B71" s="66"/>
      <c r="C71" s="66"/>
      <c r="D71" s="67"/>
      <c r="E71" s="69"/>
      <c r="F71" s="103" t="str">
        <f>HYPERLINK("https://pbs.twimg.com/profile_images/809609722164822016/wA_ueMQa_normal.jpg")</f>
        <v>https://pbs.twimg.com/profile_images/809609722164822016/wA_ueMQa_normal.jpg</v>
      </c>
      <c r="G71" s="66"/>
      <c r="H71" s="70"/>
      <c r="I71" s="71"/>
      <c r="J71" s="71"/>
      <c r="K71" s="70" t="s">
        <v>2449</v>
      </c>
      <c r="L71" s="74"/>
      <c r="M71" s="75">
        <v>8759.76953125</v>
      </c>
      <c r="N71" s="75">
        <v>2874.653076171875</v>
      </c>
      <c r="O71" s="76"/>
      <c r="P71" s="77"/>
      <c r="Q71" s="77"/>
      <c r="R71" s="89"/>
      <c r="S71" s="50">
        <v>0</v>
      </c>
      <c r="T71" s="50">
        <v>1</v>
      </c>
      <c r="U71" s="51">
        <v>0</v>
      </c>
      <c r="V71" s="51">
        <v>0.28042400000000001</v>
      </c>
      <c r="W71" s="51">
        <v>1.7610000000000001E-2</v>
      </c>
      <c r="X71" s="51">
        <v>4.3790000000000001E-3</v>
      </c>
      <c r="Y71" s="51">
        <v>0</v>
      </c>
      <c r="Z71" s="51">
        <v>0</v>
      </c>
      <c r="AA71" s="72">
        <v>71</v>
      </c>
      <c r="AB71" s="72"/>
      <c r="AC71" s="73"/>
      <c r="AD71" s="79" t="s">
        <v>1796</v>
      </c>
      <c r="AE71" s="84" t="s">
        <v>1989</v>
      </c>
      <c r="AF71" s="79">
        <v>4984</v>
      </c>
      <c r="AG71" s="79">
        <v>386</v>
      </c>
      <c r="AH71" s="79">
        <v>6443</v>
      </c>
      <c r="AI71" s="79">
        <v>25168</v>
      </c>
      <c r="AJ71" s="79"/>
      <c r="AK71" s="79" t="s">
        <v>2181</v>
      </c>
      <c r="AL71" s="79" t="s">
        <v>1703</v>
      </c>
      <c r="AM71" s="79"/>
      <c r="AN71" s="79"/>
      <c r="AO71" s="81">
        <v>39887.671249999999</v>
      </c>
      <c r="AP71" s="86" t="str">
        <f>HYPERLINK("https://pbs.twimg.com/profile_banners/24542304/1586015369")</f>
        <v>https://pbs.twimg.com/profile_banners/24542304/1586015369</v>
      </c>
      <c r="AQ71" s="79" t="b">
        <v>1</v>
      </c>
      <c r="AR71" s="79" t="b">
        <v>0</v>
      </c>
      <c r="AS71" s="79" t="b">
        <v>1</v>
      </c>
      <c r="AT71" s="79"/>
      <c r="AU71" s="79">
        <v>4</v>
      </c>
      <c r="AV71" s="86" t="str">
        <f>HYPERLINK("https://abs.twimg.com/images/themes/theme1/bg.png")</f>
        <v>https://abs.twimg.com/images/themes/theme1/bg.png</v>
      </c>
      <c r="AW71" s="79" t="b">
        <v>0</v>
      </c>
      <c r="AX71" s="79" t="s">
        <v>2381</v>
      </c>
      <c r="AY71" s="86" t="str">
        <f>HYPERLINK("https://twitter.com/wfan99")</f>
        <v>https://twitter.com/wfan99</v>
      </c>
      <c r="AZ71" s="79" t="s">
        <v>66</v>
      </c>
      <c r="BA71" s="50" t="s">
        <v>2665</v>
      </c>
      <c r="BB71" s="50" t="s">
        <v>2665</v>
      </c>
      <c r="BC71" s="50" t="s">
        <v>632</v>
      </c>
      <c r="BD71" s="50" t="s">
        <v>632</v>
      </c>
      <c r="BE71" s="50" t="s">
        <v>357</v>
      </c>
      <c r="BF71" s="50" t="s">
        <v>357</v>
      </c>
      <c r="BG71" s="108" t="s">
        <v>2873</v>
      </c>
      <c r="BH71" s="108" t="s">
        <v>2873</v>
      </c>
      <c r="BI71" s="108" t="s">
        <v>3035</v>
      </c>
      <c r="BJ71" s="108" t="s">
        <v>3035</v>
      </c>
      <c r="BK71" s="2"/>
      <c r="BL71" s="3"/>
      <c r="BM71" s="3"/>
      <c r="BN71" s="3"/>
      <c r="BO71" s="3"/>
    </row>
    <row r="72" spans="1:67" x14ac:dyDescent="0.25">
      <c r="A72" s="65" t="s">
        <v>258</v>
      </c>
      <c r="B72" s="66"/>
      <c r="C72" s="66"/>
      <c r="D72" s="67"/>
      <c r="E72" s="69"/>
      <c r="F72" s="103" t="str">
        <f>HYPERLINK("https://pbs.twimg.com/profile_images/1229964343573458944/vsGRf588_normal.jpg")</f>
        <v>https://pbs.twimg.com/profile_images/1229964343573458944/vsGRf588_normal.jpg</v>
      </c>
      <c r="G72" s="66"/>
      <c r="H72" s="70"/>
      <c r="I72" s="71"/>
      <c r="J72" s="71"/>
      <c r="K72" s="70" t="s">
        <v>2450</v>
      </c>
      <c r="L72" s="74"/>
      <c r="M72" s="75">
        <v>8118.9423828125</v>
      </c>
      <c r="N72" s="75">
        <v>8312.3017578125</v>
      </c>
      <c r="O72" s="76"/>
      <c r="P72" s="77"/>
      <c r="Q72" s="77"/>
      <c r="R72" s="89"/>
      <c r="S72" s="50">
        <v>0</v>
      </c>
      <c r="T72" s="50">
        <v>2</v>
      </c>
      <c r="U72" s="51">
        <v>0</v>
      </c>
      <c r="V72" s="51">
        <v>0.26507799999999998</v>
      </c>
      <c r="W72" s="51">
        <v>7.816E-3</v>
      </c>
      <c r="X72" s="51">
        <v>4.5570000000000003E-3</v>
      </c>
      <c r="Y72" s="51">
        <v>0.5</v>
      </c>
      <c r="Z72" s="51">
        <v>0</v>
      </c>
      <c r="AA72" s="72">
        <v>72</v>
      </c>
      <c r="AB72" s="72"/>
      <c r="AC72" s="73"/>
      <c r="AD72" s="79" t="s">
        <v>1797</v>
      </c>
      <c r="AE72" s="84" t="s">
        <v>1990</v>
      </c>
      <c r="AF72" s="79">
        <v>230</v>
      </c>
      <c r="AG72" s="79">
        <v>74</v>
      </c>
      <c r="AH72" s="79">
        <v>954</v>
      </c>
      <c r="AI72" s="79">
        <v>849</v>
      </c>
      <c r="AJ72" s="79"/>
      <c r="AK72" s="79" t="s">
        <v>2182</v>
      </c>
      <c r="AL72" s="79"/>
      <c r="AM72" s="79"/>
      <c r="AN72" s="79"/>
      <c r="AO72" s="81">
        <v>43880.12358796296</v>
      </c>
      <c r="AP72" s="86" t="str">
        <f>HYPERLINK("https://pbs.twimg.com/profile_banners/1229963272121724928/1582511683")</f>
        <v>https://pbs.twimg.com/profile_banners/1229963272121724928/1582511683</v>
      </c>
      <c r="AQ72" s="79" t="b">
        <v>1</v>
      </c>
      <c r="AR72" s="79" t="b">
        <v>0</v>
      </c>
      <c r="AS72" s="79" t="b">
        <v>0</v>
      </c>
      <c r="AT72" s="79"/>
      <c r="AU72" s="79">
        <v>2</v>
      </c>
      <c r="AV72" s="79"/>
      <c r="AW72" s="79" t="b">
        <v>0</v>
      </c>
      <c r="AX72" s="79" t="s">
        <v>2381</v>
      </c>
      <c r="AY72" s="86" t="str">
        <f>HYPERLINK("https://twitter.com/gorlewskijulie")</f>
        <v>https://twitter.com/gorlewskijulie</v>
      </c>
      <c r="AZ72" s="79" t="s">
        <v>66</v>
      </c>
      <c r="BA72" s="50" t="s">
        <v>2666</v>
      </c>
      <c r="BB72" s="50" t="s">
        <v>2666</v>
      </c>
      <c r="BC72" s="50" t="s">
        <v>641</v>
      </c>
      <c r="BD72" s="50" t="s">
        <v>641</v>
      </c>
      <c r="BE72" s="50" t="s">
        <v>675</v>
      </c>
      <c r="BF72" s="50" t="s">
        <v>675</v>
      </c>
      <c r="BG72" s="108" t="s">
        <v>2874</v>
      </c>
      <c r="BH72" s="108" t="s">
        <v>2874</v>
      </c>
      <c r="BI72" s="108" t="s">
        <v>3036</v>
      </c>
      <c r="BJ72" s="108" t="s">
        <v>3036</v>
      </c>
      <c r="BK72" s="2"/>
      <c r="BL72" s="3"/>
      <c r="BM72" s="3"/>
      <c r="BN72" s="3"/>
      <c r="BO72" s="3"/>
    </row>
    <row r="73" spans="1:67" x14ac:dyDescent="0.25">
      <c r="A73" s="65" t="s">
        <v>388</v>
      </c>
      <c r="B73" s="66"/>
      <c r="C73" s="66"/>
      <c r="D73" s="67"/>
      <c r="E73" s="69"/>
      <c r="F73" s="103" t="str">
        <f>HYPERLINK("https://pbs.twimg.com/profile_images/870279826720129025/l5CL66f-_normal.jpg")</f>
        <v>https://pbs.twimg.com/profile_images/870279826720129025/l5CL66f-_normal.jpg</v>
      </c>
      <c r="G73" s="66"/>
      <c r="H73" s="70"/>
      <c r="I73" s="71"/>
      <c r="J73" s="71"/>
      <c r="K73" s="70" t="s">
        <v>2451</v>
      </c>
      <c r="L73" s="74"/>
      <c r="M73" s="75">
        <v>6189.525390625</v>
      </c>
      <c r="N73" s="75">
        <v>6461.822265625</v>
      </c>
      <c r="O73" s="76"/>
      <c r="P73" s="77"/>
      <c r="Q73" s="77"/>
      <c r="R73" s="89"/>
      <c r="S73" s="50">
        <v>5</v>
      </c>
      <c r="T73" s="50">
        <v>0</v>
      </c>
      <c r="U73" s="51">
        <v>162.32142899999999</v>
      </c>
      <c r="V73" s="51">
        <v>0.28042400000000001</v>
      </c>
      <c r="W73" s="51">
        <v>1.4799E-2</v>
      </c>
      <c r="X73" s="51">
        <v>5.522E-3</v>
      </c>
      <c r="Y73" s="51">
        <v>0.15</v>
      </c>
      <c r="Z73" s="51">
        <v>0</v>
      </c>
      <c r="AA73" s="72">
        <v>73</v>
      </c>
      <c r="AB73" s="72"/>
      <c r="AC73" s="73"/>
      <c r="AD73" s="79" t="s">
        <v>1798</v>
      </c>
      <c r="AE73" s="84" t="s">
        <v>1991</v>
      </c>
      <c r="AF73" s="79">
        <v>821</v>
      </c>
      <c r="AG73" s="79">
        <v>172897</v>
      </c>
      <c r="AH73" s="79">
        <v>262994</v>
      </c>
      <c r="AI73" s="79">
        <v>1262</v>
      </c>
      <c r="AJ73" s="79"/>
      <c r="AK73" s="79" t="s">
        <v>2183</v>
      </c>
      <c r="AL73" s="79" t="s">
        <v>1694</v>
      </c>
      <c r="AM73" s="86" t="str">
        <f>HYPERLINK("https://t.co/bYIBHkcS0x")</f>
        <v>https://t.co/bYIBHkcS0x</v>
      </c>
      <c r="AN73" s="79"/>
      <c r="AO73" s="81">
        <v>39965.08525462963</v>
      </c>
      <c r="AP73" s="86" t="str">
        <f>HYPERLINK("https://pbs.twimg.com/profile_banners/43805270/1616612618")</f>
        <v>https://pbs.twimg.com/profile_banners/43805270/1616612618</v>
      </c>
      <c r="AQ73" s="79" t="b">
        <v>0</v>
      </c>
      <c r="AR73" s="79" t="b">
        <v>0</v>
      </c>
      <c r="AS73" s="79" t="b">
        <v>1</v>
      </c>
      <c r="AT73" s="79"/>
      <c r="AU73" s="79">
        <v>1485</v>
      </c>
      <c r="AV73" s="86" t="str">
        <f>HYPERLINK("https://abs.twimg.com/images/themes/theme6/bg.gif")</f>
        <v>https://abs.twimg.com/images/themes/theme6/bg.gif</v>
      </c>
      <c r="AW73" s="79" t="b">
        <v>1</v>
      </c>
      <c r="AX73" s="79" t="s">
        <v>2381</v>
      </c>
      <c r="AY73" s="86" t="str">
        <f>HYPERLINK("https://twitter.com/thebuffalonews")</f>
        <v>https://twitter.com/thebuffalonews</v>
      </c>
      <c r="AZ73" s="79" t="s">
        <v>65</v>
      </c>
      <c r="BA73" s="50"/>
      <c r="BB73" s="50"/>
      <c r="BC73" s="50"/>
      <c r="BD73" s="50"/>
      <c r="BE73" s="50"/>
      <c r="BF73" s="50"/>
      <c r="BG73" s="50"/>
      <c r="BH73" s="50"/>
      <c r="BI73" s="50"/>
      <c r="BJ73" s="50"/>
      <c r="BK73" s="2"/>
      <c r="BL73" s="3"/>
      <c r="BM73" s="3"/>
      <c r="BN73" s="3"/>
      <c r="BO73" s="3"/>
    </row>
    <row r="74" spans="1:67" x14ac:dyDescent="0.25">
      <c r="A74" s="65" t="s">
        <v>259</v>
      </c>
      <c r="B74" s="66"/>
      <c r="C74" s="66"/>
      <c r="D74" s="67"/>
      <c r="E74" s="69"/>
      <c r="F74" s="103" t="str">
        <f>HYPERLINK("https://pbs.twimg.com/profile_images/1401737228083208195/o2DjOgRg_normal.jpg")</f>
        <v>https://pbs.twimg.com/profile_images/1401737228083208195/o2DjOgRg_normal.jpg</v>
      </c>
      <c r="G74" s="66"/>
      <c r="H74" s="70"/>
      <c r="I74" s="71"/>
      <c r="J74" s="71"/>
      <c r="K74" s="70" t="s">
        <v>2452</v>
      </c>
      <c r="L74" s="74"/>
      <c r="M74" s="75">
        <v>7501.0107421875</v>
      </c>
      <c r="N74" s="75">
        <v>8476.49609375</v>
      </c>
      <c r="O74" s="76"/>
      <c r="P74" s="77"/>
      <c r="Q74" s="77"/>
      <c r="R74" s="89"/>
      <c r="S74" s="50">
        <v>0</v>
      </c>
      <c r="T74" s="50">
        <v>1</v>
      </c>
      <c r="U74" s="51">
        <v>0</v>
      </c>
      <c r="V74" s="51">
        <v>0.25533800000000001</v>
      </c>
      <c r="W74" s="51">
        <v>7.1710000000000003E-3</v>
      </c>
      <c r="X74" s="51">
        <v>4.4260000000000002E-3</v>
      </c>
      <c r="Y74" s="51">
        <v>0</v>
      </c>
      <c r="Z74" s="51">
        <v>0</v>
      </c>
      <c r="AA74" s="72">
        <v>74</v>
      </c>
      <c r="AB74" s="72"/>
      <c r="AC74" s="73"/>
      <c r="AD74" s="79" t="s">
        <v>1799</v>
      </c>
      <c r="AE74" s="84" t="s">
        <v>1992</v>
      </c>
      <c r="AF74" s="79">
        <v>278</v>
      </c>
      <c r="AG74" s="79">
        <v>341</v>
      </c>
      <c r="AH74" s="79">
        <v>8134</v>
      </c>
      <c r="AI74" s="79">
        <v>9246</v>
      </c>
      <c r="AJ74" s="79"/>
      <c r="AK74" s="79" t="s">
        <v>2179</v>
      </c>
      <c r="AL74" s="79"/>
      <c r="AM74" s="79"/>
      <c r="AN74" s="79"/>
      <c r="AO74" s="81">
        <v>41506.04314814815</v>
      </c>
      <c r="AP74" s="86" t="str">
        <f>HYPERLINK("https://pbs.twimg.com/profile_banners/1684573370/1538321040")</f>
        <v>https://pbs.twimg.com/profile_banners/1684573370/1538321040</v>
      </c>
      <c r="AQ74" s="79" t="b">
        <v>1</v>
      </c>
      <c r="AR74" s="79" t="b">
        <v>0</v>
      </c>
      <c r="AS74" s="79" t="b">
        <v>1</v>
      </c>
      <c r="AT74" s="79"/>
      <c r="AU74" s="79">
        <v>2</v>
      </c>
      <c r="AV74" s="86" t="str">
        <f>HYPERLINK("https://abs.twimg.com/images/themes/theme1/bg.png")</f>
        <v>https://abs.twimg.com/images/themes/theme1/bg.png</v>
      </c>
      <c r="AW74" s="79" t="b">
        <v>0</v>
      </c>
      <c r="AX74" s="79" t="s">
        <v>2381</v>
      </c>
      <c r="AY74" s="86" t="str">
        <f>HYPERLINK("https://twitter.com/jenna_armband_")</f>
        <v>https://twitter.com/jenna_armband_</v>
      </c>
      <c r="AZ74" s="79" t="s">
        <v>66</v>
      </c>
      <c r="BA74" s="50"/>
      <c r="BB74" s="50"/>
      <c r="BC74" s="50"/>
      <c r="BD74" s="50"/>
      <c r="BE74" s="50" t="s">
        <v>681</v>
      </c>
      <c r="BF74" s="50" t="s">
        <v>681</v>
      </c>
      <c r="BG74" s="108" t="s">
        <v>2871</v>
      </c>
      <c r="BH74" s="108" t="s">
        <v>2871</v>
      </c>
      <c r="BI74" s="108" t="s">
        <v>3033</v>
      </c>
      <c r="BJ74" s="108" t="s">
        <v>3033</v>
      </c>
      <c r="BK74" s="2"/>
      <c r="BL74" s="3"/>
      <c r="BM74" s="3"/>
      <c r="BN74" s="3"/>
      <c r="BO74" s="3"/>
    </row>
    <row r="75" spans="1:67" x14ac:dyDescent="0.25">
      <c r="A75" s="65" t="s">
        <v>260</v>
      </c>
      <c r="B75" s="66"/>
      <c r="C75" s="66"/>
      <c r="D75" s="67"/>
      <c r="E75" s="69"/>
      <c r="F75" s="103" t="str">
        <f>HYPERLINK("https://pbs.twimg.com/profile_images/1444027432969908228/DlD8paW3_normal.jpg")</f>
        <v>https://pbs.twimg.com/profile_images/1444027432969908228/DlD8paW3_normal.jpg</v>
      </c>
      <c r="G75" s="66"/>
      <c r="H75" s="70"/>
      <c r="I75" s="71"/>
      <c r="J75" s="71"/>
      <c r="K75" s="70" t="s">
        <v>2453</v>
      </c>
      <c r="L75" s="74"/>
      <c r="M75" s="75">
        <v>1577.7890625</v>
      </c>
      <c r="N75" s="75">
        <v>3037.618896484375</v>
      </c>
      <c r="O75" s="76"/>
      <c r="P75" s="77"/>
      <c r="Q75" s="77"/>
      <c r="R75" s="89"/>
      <c r="S75" s="50">
        <v>0</v>
      </c>
      <c r="T75" s="50">
        <v>2</v>
      </c>
      <c r="U75" s="51">
        <v>0</v>
      </c>
      <c r="V75" s="51">
        <v>0.34597800000000001</v>
      </c>
      <c r="W75" s="51">
        <v>5.3245000000000001E-2</v>
      </c>
      <c r="X75" s="51">
        <v>4.483E-3</v>
      </c>
      <c r="Y75" s="51">
        <v>1</v>
      </c>
      <c r="Z75" s="51">
        <v>0</v>
      </c>
      <c r="AA75" s="72">
        <v>75</v>
      </c>
      <c r="AB75" s="72"/>
      <c r="AC75" s="73"/>
      <c r="AD75" s="79" t="s">
        <v>1800</v>
      </c>
      <c r="AE75" s="84" t="s">
        <v>1993</v>
      </c>
      <c r="AF75" s="79">
        <v>157</v>
      </c>
      <c r="AG75" s="79">
        <v>564</v>
      </c>
      <c r="AH75" s="79">
        <v>272</v>
      </c>
      <c r="AI75" s="79">
        <v>159</v>
      </c>
      <c r="AJ75" s="79"/>
      <c r="AK75" s="79" t="s">
        <v>2184</v>
      </c>
      <c r="AL75" s="79" t="s">
        <v>1694</v>
      </c>
      <c r="AM75" s="86" t="str">
        <f>HYPERLINK("https://t.co/0jGGCiaSZW")</f>
        <v>https://t.co/0jGGCiaSZW</v>
      </c>
      <c r="AN75" s="79"/>
      <c r="AO75" s="81">
        <v>43736.014351851853</v>
      </c>
      <c r="AP75" s="86" t="str">
        <f>HYPERLINK("https://pbs.twimg.com/profile_banners/1177739827518885888/1633537120")</f>
        <v>https://pbs.twimg.com/profile_banners/1177739827518885888/1633537120</v>
      </c>
      <c r="AQ75" s="79" t="b">
        <v>1</v>
      </c>
      <c r="AR75" s="79" t="b">
        <v>0</v>
      </c>
      <c r="AS75" s="79" t="b">
        <v>1</v>
      </c>
      <c r="AT75" s="79"/>
      <c r="AU75" s="79">
        <v>4</v>
      </c>
      <c r="AV75" s="79"/>
      <c r="AW75" s="79" t="b">
        <v>0</v>
      </c>
      <c r="AX75" s="79" t="s">
        <v>2381</v>
      </c>
      <c r="AY75" s="86" t="str">
        <f>HYPERLINK("https://twitter.com/ubuffaloesports")</f>
        <v>https://twitter.com/ubuffaloesports</v>
      </c>
      <c r="AZ75" s="79" t="s">
        <v>66</v>
      </c>
      <c r="BA75" s="50"/>
      <c r="BB75" s="50"/>
      <c r="BC75" s="50"/>
      <c r="BD75" s="50"/>
      <c r="BE75" s="50" t="s">
        <v>357</v>
      </c>
      <c r="BF75" s="50" t="s">
        <v>357</v>
      </c>
      <c r="BG75" s="108" t="s">
        <v>2875</v>
      </c>
      <c r="BH75" s="108" t="s">
        <v>2875</v>
      </c>
      <c r="BI75" s="108" t="s">
        <v>3037</v>
      </c>
      <c r="BJ75" s="108" t="s">
        <v>3037</v>
      </c>
      <c r="BK75" s="2"/>
      <c r="BL75" s="3"/>
      <c r="BM75" s="3"/>
      <c r="BN75" s="3"/>
      <c r="BO75" s="3"/>
    </row>
    <row r="76" spans="1:67" x14ac:dyDescent="0.25">
      <c r="A76" s="65" t="s">
        <v>261</v>
      </c>
      <c r="B76" s="66"/>
      <c r="C76" s="66"/>
      <c r="D76" s="67"/>
      <c r="E76" s="69"/>
      <c r="F76" s="103" t="str">
        <f>HYPERLINK("https://pbs.twimg.com/profile_images/1208093022421958657/pcy7z_RE_normal.jpg")</f>
        <v>https://pbs.twimg.com/profile_images/1208093022421958657/pcy7z_RE_normal.jpg</v>
      </c>
      <c r="G76" s="66"/>
      <c r="H76" s="70"/>
      <c r="I76" s="71"/>
      <c r="J76" s="71"/>
      <c r="K76" s="70" t="s">
        <v>2454</v>
      </c>
      <c r="L76" s="74"/>
      <c r="M76" s="75">
        <v>4002.283447265625</v>
      </c>
      <c r="N76" s="75">
        <v>7117.1318359375</v>
      </c>
      <c r="O76" s="76"/>
      <c r="P76" s="77"/>
      <c r="Q76" s="77"/>
      <c r="R76" s="89"/>
      <c r="S76" s="50">
        <v>0</v>
      </c>
      <c r="T76" s="50">
        <v>3</v>
      </c>
      <c r="U76" s="51">
        <v>0</v>
      </c>
      <c r="V76" s="51">
        <v>0.27323399999999998</v>
      </c>
      <c r="W76" s="51">
        <v>1.354E-2</v>
      </c>
      <c r="X76" s="51">
        <v>4.6690000000000004E-3</v>
      </c>
      <c r="Y76" s="51">
        <v>0.66666666666666663</v>
      </c>
      <c r="Z76" s="51">
        <v>0</v>
      </c>
      <c r="AA76" s="72">
        <v>76</v>
      </c>
      <c r="AB76" s="72"/>
      <c r="AC76" s="73"/>
      <c r="AD76" s="79" t="s">
        <v>1801</v>
      </c>
      <c r="AE76" s="84" t="s">
        <v>1994</v>
      </c>
      <c r="AF76" s="79">
        <v>960</v>
      </c>
      <c r="AG76" s="79">
        <v>825</v>
      </c>
      <c r="AH76" s="79">
        <v>29374</v>
      </c>
      <c r="AI76" s="79">
        <v>2672</v>
      </c>
      <c r="AJ76" s="79"/>
      <c r="AK76" s="79" t="s">
        <v>2185</v>
      </c>
      <c r="AL76" s="79" t="s">
        <v>1694</v>
      </c>
      <c r="AM76" s="79"/>
      <c r="AN76" s="79"/>
      <c r="AO76" s="81">
        <v>43076.171793981484</v>
      </c>
      <c r="AP76" s="86" t="str">
        <f>HYPERLINK("https://pbs.twimg.com/profile_banners/938620930338775040/1576866777")</f>
        <v>https://pbs.twimg.com/profile_banners/938620930338775040/1576866777</v>
      </c>
      <c r="AQ76" s="79" t="b">
        <v>1</v>
      </c>
      <c r="AR76" s="79" t="b">
        <v>0</v>
      </c>
      <c r="AS76" s="79" t="b">
        <v>0</v>
      </c>
      <c r="AT76" s="79"/>
      <c r="AU76" s="79">
        <v>5</v>
      </c>
      <c r="AV76" s="79"/>
      <c r="AW76" s="79" t="b">
        <v>0</v>
      </c>
      <c r="AX76" s="79" t="s">
        <v>2381</v>
      </c>
      <c r="AY76" s="86" t="str">
        <f>HYPERLINK("https://twitter.com/actionsspeak716")</f>
        <v>https://twitter.com/actionsspeak716</v>
      </c>
      <c r="AZ76" s="79" t="s">
        <v>66</v>
      </c>
      <c r="BA76" s="50" t="s">
        <v>2583</v>
      </c>
      <c r="BB76" s="50" t="s">
        <v>2583</v>
      </c>
      <c r="BC76" s="50" t="s">
        <v>642</v>
      </c>
      <c r="BD76" s="50" t="s">
        <v>642</v>
      </c>
      <c r="BE76" s="50" t="s">
        <v>357</v>
      </c>
      <c r="BF76" s="50" t="s">
        <v>357</v>
      </c>
      <c r="BG76" s="108" t="s">
        <v>2876</v>
      </c>
      <c r="BH76" s="108" t="s">
        <v>2876</v>
      </c>
      <c r="BI76" s="108" t="s">
        <v>3038</v>
      </c>
      <c r="BJ76" s="108" t="s">
        <v>3038</v>
      </c>
      <c r="BK76" s="2"/>
      <c r="BL76" s="3"/>
      <c r="BM76" s="3"/>
      <c r="BN76" s="3"/>
      <c r="BO76" s="3"/>
    </row>
    <row r="77" spans="1:67" x14ac:dyDescent="0.25">
      <c r="A77" s="65" t="s">
        <v>389</v>
      </c>
      <c r="B77" s="66"/>
      <c r="C77" s="66"/>
      <c r="D77" s="67"/>
      <c r="E77" s="69"/>
      <c r="F77" s="103" t="str">
        <f>HYPERLINK("https://pbs.twimg.com/profile_images/1494393381019164682/VxYD7p9b_normal.jpg")</f>
        <v>https://pbs.twimg.com/profile_images/1494393381019164682/VxYD7p9b_normal.jpg</v>
      </c>
      <c r="G77" s="66"/>
      <c r="H77" s="70"/>
      <c r="I77" s="71"/>
      <c r="J77" s="71"/>
      <c r="K77" s="70" t="s">
        <v>2455</v>
      </c>
      <c r="L77" s="74"/>
      <c r="M77" s="75">
        <v>2540.16650390625</v>
      </c>
      <c r="N77" s="75">
        <v>4934.50341796875</v>
      </c>
      <c r="O77" s="76"/>
      <c r="P77" s="77"/>
      <c r="Q77" s="77"/>
      <c r="R77" s="89"/>
      <c r="S77" s="50">
        <v>5</v>
      </c>
      <c r="T77" s="50">
        <v>0</v>
      </c>
      <c r="U77" s="51">
        <v>25.414808000000001</v>
      </c>
      <c r="V77" s="51">
        <v>0.29062199999999999</v>
      </c>
      <c r="W77" s="51">
        <v>2.6476E-2</v>
      </c>
      <c r="X77" s="51">
        <v>4.9569999999999996E-3</v>
      </c>
      <c r="Y77" s="51">
        <v>0.4</v>
      </c>
      <c r="Z77" s="51">
        <v>0</v>
      </c>
      <c r="AA77" s="72">
        <v>77</v>
      </c>
      <c r="AB77" s="72"/>
      <c r="AC77" s="73"/>
      <c r="AD77" s="79" t="s">
        <v>1802</v>
      </c>
      <c r="AE77" s="84" t="s">
        <v>1995</v>
      </c>
      <c r="AF77" s="79">
        <v>1120</v>
      </c>
      <c r="AG77" s="79">
        <v>5764</v>
      </c>
      <c r="AH77" s="79">
        <v>8702</v>
      </c>
      <c r="AI77" s="79">
        <v>48490</v>
      </c>
      <c r="AJ77" s="79"/>
      <c r="AK77" s="79" t="s">
        <v>2186</v>
      </c>
      <c r="AL77" s="79" t="s">
        <v>1694</v>
      </c>
      <c r="AM77" s="86" t="str">
        <f>HYPERLINK("https://t.co/ZncAfUXrM9")</f>
        <v>https://t.co/ZncAfUXrM9</v>
      </c>
      <c r="AN77" s="79"/>
      <c r="AO77" s="81">
        <v>41379.82775462963</v>
      </c>
      <c r="AP77" s="86" t="str">
        <f>HYPERLINK("https://pbs.twimg.com/profile_banners/1355208187/1645126123")</f>
        <v>https://pbs.twimg.com/profile_banners/1355208187/1645126123</v>
      </c>
      <c r="AQ77" s="79" t="b">
        <v>1</v>
      </c>
      <c r="AR77" s="79" t="b">
        <v>0</v>
      </c>
      <c r="AS77" s="79" t="b">
        <v>1</v>
      </c>
      <c r="AT77" s="79"/>
      <c r="AU77" s="79">
        <v>105</v>
      </c>
      <c r="AV77" s="86" t="str">
        <f>HYPERLINK("https://abs.twimg.com/images/themes/theme1/bg.png")</f>
        <v>https://abs.twimg.com/images/themes/theme1/bg.png</v>
      </c>
      <c r="AW77" s="79" t="b">
        <v>0</v>
      </c>
      <c r="AX77" s="79" t="s">
        <v>2381</v>
      </c>
      <c r="AY77" s="86" t="str">
        <f>HYPERLINK("https://twitter.com/caroleemberton")</f>
        <v>https://twitter.com/caroleemberton</v>
      </c>
      <c r="AZ77" s="79" t="s">
        <v>65</v>
      </c>
      <c r="BA77" s="50"/>
      <c r="BB77" s="50"/>
      <c r="BC77" s="50"/>
      <c r="BD77" s="50"/>
      <c r="BE77" s="50"/>
      <c r="BF77" s="50"/>
      <c r="BG77" s="50"/>
      <c r="BH77" s="50"/>
      <c r="BI77" s="50"/>
      <c r="BJ77" s="50"/>
      <c r="BK77" s="2"/>
      <c r="BL77" s="3"/>
      <c r="BM77" s="3"/>
      <c r="BN77" s="3"/>
      <c r="BO77" s="3"/>
    </row>
    <row r="78" spans="1:67" x14ac:dyDescent="0.25">
      <c r="A78" s="65" t="s">
        <v>376</v>
      </c>
      <c r="B78" s="66"/>
      <c r="C78" s="66"/>
      <c r="D78" s="67"/>
      <c r="E78" s="69"/>
      <c r="F78" s="103" t="str">
        <f>HYPERLINK("https://pbs.twimg.com/profile_images/1007353224972693504/8O3_AnHx_normal.jpg")</f>
        <v>https://pbs.twimg.com/profile_images/1007353224972693504/8O3_AnHx_normal.jpg</v>
      </c>
      <c r="G78" s="66"/>
      <c r="H78" s="70"/>
      <c r="I78" s="71"/>
      <c r="J78" s="71"/>
      <c r="K78" s="70" t="s">
        <v>2456</v>
      </c>
      <c r="L78" s="74"/>
      <c r="M78" s="75">
        <v>2711.602294921875</v>
      </c>
      <c r="N78" s="75">
        <v>5192.35009765625</v>
      </c>
      <c r="O78" s="76"/>
      <c r="P78" s="77"/>
      <c r="Q78" s="77"/>
      <c r="R78" s="89"/>
      <c r="S78" s="50">
        <v>4</v>
      </c>
      <c r="T78" s="50">
        <v>2</v>
      </c>
      <c r="U78" s="51">
        <v>25.414808000000001</v>
      </c>
      <c r="V78" s="51">
        <v>0.29062199999999999</v>
      </c>
      <c r="W78" s="51">
        <v>2.6476E-2</v>
      </c>
      <c r="X78" s="51">
        <v>4.9569999999999996E-3</v>
      </c>
      <c r="Y78" s="51">
        <v>0.35</v>
      </c>
      <c r="Z78" s="51">
        <v>0.2</v>
      </c>
      <c r="AA78" s="72">
        <v>78</v>
      </c>
      <c r="AB78" s="72"/>
      <c r="AC78" s="73"/>
      <c r="AD78" s="79" t="s">
        <v>1803</v>
      </c>
      <c r="AE78" s="84" t="s">
        <v>1996</v>
      </c>
      <c r="AF78" s="79">
        <v>2733</v>
      </c>
      <c r="AG78" s="79">
        <v>12571</v>
      </c>
      <c r="AH78" s="79">
        <v>7098</v>
      </c>
      <c r="AI78" s="79">
        <v>2762</v>
      </c>
      <c r="AJ78" s="79"/>
      <c r="AK78" s="79" t="s">
        <v>2187</v>
      </c>
      <c r="AL78" s="79" t="s">
        <v>1694</v>
      </c>
      <c r="AM78" s="86" t="str">
        <f>HYPERLINK("https://t.co/7TwDVantP4")</f>
        <v>https://t.co/7TwDVantP4</v>
      </c>
      <c r="AN78" s="79"/>
      <c r="AO78" s="81">
        <v>39993.669583333336</v>
      </c>
      <c r="AP78" s="86" t="str">
        <f>HYPERLINK("https://pbs.twimg.com/profile_banners/52098165/1635165095")</f>
        <v>https://pbs.twimg.com/profile_banners/52098165/1635165095</v>
      </c>
      <c r="AQ78" s="79" t="b">
        <v>0</v>
      </c>
      <c r="AR78" s="79" t="b">
        <v>0</v>
      </c>
      <c r="AS78" s="79" t="b">
        <v>1</v>
      </c>
      <c r="AT78" s="79"/>
      <c r="AU78" s="79">
        <v>211</v>
      </c>
      <c r="AV78" s="86" t="str">
        <f>HYPERLINK("https://abs.twimg.com/images/themes/theme1/bg.png")</f>
        <v>https://abs.twimg.com/images/themes/theme1/bg.png</v>
      </c>
      <c r="AW78" s="79" t="b">
        <v>0</v>
      </c>
      <c r="AX78" s="79" t="s">
        <v>2381</v>
      </c>
      <c r="AY78" s="86" t="str">
        <f>HYPERLINK("https://twitter.com/buffalohistory")</f>
        <v>https://twitter.com/buffalohistory</v>
      </c>
      <c r="AZ78" s="79" t="s">
        <v>66</v>
      </c>
      <c r="BA78" s="50" t="s">
        <v>2583</v>
      </c>
      <c r="BB78" s="50" t="s">
        <v>2583</v>
      </c>
      <c r="BC78" s="50" t="s">
        <v>642</v>
      </c>
      <c r="BD78" s="50" t="s">
        <v>642</v>
      </c>
      <c r="BE78" s="50" t="s">
        <v>357</v>
      </c>
      <c r="BF78" s="50" t="s">
        <v>357</v>
      </c>
      <c r="BG78" s="108" t="s">
        <v>2877</v>
      </c>
      <c r="BH78" s="108" t="s">
        <v>2876</v>
      </c>
      <c r="BI78" s="108" t="s">
        <v>3039</v>
      </c>
      <c r="BJ78" s="108" t="s">
        <v>3038</v>
      </c>
      <c r="BK78" s="2"/>
      <c r="BL78" s="3"/>
      <c r="BM78" s="3"/>
      <c r="BN78" s="3"/>
      <c r="BO78" s="3"/>
    </row>
    <row r="79" spans="1:67" x14ac:dyDescent="0.25">
      <c r="A79" s="65" t="s">
        <v>262</v>
      </c>
      <c r="B79" s="66"/>
      <c r="C79" s="66"/>
      <c r="D79" s="67"/>
      <c r="E79" s="69"/>
      <c r="F79" s="103" t="str">
        <f>HYPERLINK("https://pbs.twimg.com/profile_images/804778481649352704/bJ3TuQgm_normal.jpg")</f>
        <v>https://pbs.twimg.com/profile_images/804778481649352704/bJ3TuQgm_normal.jpg</v>
      </c>
      <c r="G79" s="66"/>
      <c r="H79" s="70"/>
      <c r="I79" s="71"/>
      <c r="J79" s="71"/>
      <c r="K79" s="70" t="s">
        <v>2457</v>
      </c>
      <c r="L79" s="74"/>
      <c r="M79" s="75">
        <v>7304.0732421875</v>
      </c>
      <c r="N79" s="75">
        <v>3035.218017578125</v>
      </c>
      <c r="O79" s="76"/>
      <c r="P79" s="77"/>
      <c r="Q79" s="77"/>
      <c r="R79" s="89"/>
      <c r="S79" s="50">
        <v>0</v>
      </c>
      <c r="T79" s="50">
        <v>2</v>
      </c>
      <c r="U79" s="51">
        <v>0</v>
      </c>
      <c r="V79" s="51">
        <v>0.26507799999999998</v>
      </c>
      <c r="W79" s="51">
        <v>7.816E-3</v>
      </c>
      <c r="X79" s="51">
        <v>4.5570000000000003E-3</v>
      </c>
      <c r="Y79" s="51">
        <v>0.5</v>
      </c>
      <c r="Z79" s="51">
        <v>0</v>
      </c>
      <c r="AA79" s="72">
        <v>79</v>
      </c>
      <c r="AB79" s="72"/>
      <c r="AC79" s="73"/>
      <c r="AD79" s="79" t="s">
        <v>1804</v>
      </c>
      <c r="AE79" s="84" t="s">
        <v>1997</v>
      </c>
      <c r="AF79" s="79">
        <v>192</v>
      </c>
      <c r="AG79" s="79">
        <v>183</v>
      </c>
      <c r="AH79" s="79">
        <v>195</v>
      </c>
      <c r="AI79" s="79">
        <v>1690</v>
      </c>
      <c r="AJ79" s="79"/>
      <c r="AK79" s="79" t="s">
        <v>2188</v>
      </c>
      <c r="AL79" s="79"/>
      <c r="AM79" s="79"/>
      <c r="AN79" s="79"/>
      <c r="AO79" s="81">
        <v>42690.739328703705</v>
      </c>
      <c r="AP79" s="86" t="str">
        <f>HYPERLINK("https://pbs.twimg.com/profile_banners/798944883339890690/1480709871")</f>
        <v>https://pbs.twimg.com/profile_banners/798944883339890690/1480709871</v>
      </c>
      <c r="AQ79" s="79" t="b">
        <v>1</v>
      </c>
      <c r="AR79" s="79" t="b">
        <v>0</v>
      </c>
      <c r="AS79" s="79" t="b">
        <v>0</v>
      </c>
      <c r="AT79" s="79"/>
      <c r="AU79" s="79">
        <v>4</v>
      </c>
      <c r="AV79" s="79"/>
      <c r="AW79" s="79" t="b">
        <v>0</v>
      </c>
      <c r="AX79" s="79" t="s">
        <v>2381</v>
      </c>
      <c r="AY79" s="86" t="str">
        <f>HYPERLINK("https://twitter.com/erinkearney78")</f>
        <v>https://twitter.com/erinkearney78</v>
      </c>
      <c r="AZ79" s="79" t="s">
        <v>66</v>
      </c>
      <c r="BA79" s="50" t="s">
        <v>2666</v>
      </c>
      <c r="BB79" s="50" t="s">
        <v>2666</v>
      </c>
      <c r="BC79" s="50" t="s">
        <v>641</v>
      </c>
      <c r="BD79" s="50" t="s">
        <v>641</v>
      </c>
      <c r="BE79" s="50" t="s">
        <v>675</v>
      </c>
      <c r="BF79" s="50" t="s">
        <v>675</v>
      </c>
      <c r="BG79" s="108" t="s">
        <v>2874</v>
      </c>
      <c r="BH79" s="108" t="s">
        <v>2874</v>
      </c>
      <c r="BI79" s="108" t="s">
        <v>3036</v>
      </c>
      <c r="BJ79" s="108" t="s">
        <v>3036</v>
      </c>
      <c r="BK79" s="2"/>
      <c r="BL79" s="3"/>
      <c r="BM79" s="3"/>
      <c r="BN79" s="3"/>
      <c r="BO79" s="3"/>
    </row>
    <row r="80" spans="1:67" x14ac:dyDescent="0.25">
      <c r="A80" s="65" t="s">
        <v>263</v>
      </c>
      <c r="B80" s="66"/>
      <c r="C80" s="66"/>
      <c r="D80" s="67"/>
      <c r="E80" s="69"/>
      <c r="F80" s="103" t="str">
        <f>HYPERLINK("https://pbs.twimg.com/profile_images/1471631171356348420/a8Xi_Eqy_normal.jpg")</f>
        <v>https://pbs.twimg.com/profile_images/1471631171356348420/a8Xi_Eqy_normal.jpg</v>
      </c>
      <c r="G80" s="66"/>
      <c r="H80" s="70"/>
      <c r="I80" s="71"/>
      <c r="J80" s="71"/>
      <c r="K80" s="70" t="s">
        <v>2458</v>
      </c>
      <c r="L80" s="74"/>
      <c r="M80" s="75">
        <v>3352.234375</v>
      </c>
      <c r="N80" s="75">
        <v>5687.63916015625</v>
      </c>
      <c r="O80" s="76"/>
      <c r="P80" s="77"/>
      <c r="Q80" s="77"/>
      <c r="R80" s="89"/>
      <c r="S80" s="50">
        <v>3</v>
      </c>
      <c r="T80" s="50">
        <v>3</v>
      </c>
      <c r="U80" s="51">
        <v>357.5</v>
      </c>
      <c r="V80" s="51">
        <v>0.27137800000000001</v>
      </c>
      <c r="W80" s="51">
        <v>9.5320000000000005E-3</v>
      </c>
      <c r="X80" s="51">
        <v>5.6699999999999997E-3</v>
      </c>
      <c r="Y80" s="51">
        <v>0.16666666666666666</v>
      </c>
      <c r="Z80" s="51">
        <v>0</v>
      </c>
      <c r="AA80" s="72">
        <v>80</v>
      </c>
      <c r="AB80" s="72"/>
      <c r="AC80" s="73"/>
      <c r="AD80" s="79" t="s">
        <v>1805</v>
      </c>
      <c r="AE80" s="84" t="s">
        <v>1998</v>
      </c>
      <c r="AF80" s="79">
        <v>787</v>
      </c>
      <c r="AG80" s="79">
        <v>1570</v>
      </c>
      <c r="AH80" s="79">
        <v>613</v>
      </c>
      <c r="AI80" s="79">
        <v>2723</v>
      </c>
      <c r="AJ80" s="79"/>
      <c r="AK80" s="79" t="s">
        <v>2189</v>
      </c>
      <c r="AL80" s="79" t="s">
        <v>1694</v>
      </c>
      <c r="AM80" s="79"/>
      <c r="AN80" s="79"/>
      <c r="AO80" s="81">
        <v>41672.691620370373</v>
      </c>
      <c r="AP80" s="86" t="str">
        <f>HYPERLINK("https://pbs.twimg.com/profile_banners/2324022408/1639446943")</f>
        <v>https://pbs.twimg.com/profile_banners/2324022408/1639446943</v>
      </c>
      <c r="AQ80" s="79" t="b">
        <v>0</v>
      </c>
      <c r="AR80" s="79" t="b">
        <v>0</v>
      </c>
      <c r="AS80" s="79" t="b">
        <v>0</v>
      </c>
      <c r="AT80" s="79"/>
      <c r="AU80" s="79">
        <v>27</v>
      </c>
      <c r="AV80" s="86" t="str">
        <f>HYPERLINK("https://abs.twimg.com/images/themes/theme1/bg.png")</f>
        <v>https://abs.twimg.com/images/themes/theme1/bg.png</v>
      </c>
      <c r="AW80" s="79" t="b">
        <v>0</v>
      </c>
      <c r="AX80" s="79" t="s">
        <v>2381</v>
      </c>
      <c r="AY80" s="86" t="str">
        <f>HYPERLINK("https://twitter.com/drabrashear")</f>
        <v>https://twitter.com/drabrashear</v>
      </c>
      <c r="AZ80" s="79" t="s">
        <v>66</v>
      </c>
      <c r="BA80" s="50" t="s">
        <v>2667</v>
      </c>
      <c r="BB80" s="50" t="s">
        <v>2667</v>
      </c>
      <c r="BC80" s="50" t="s">
        <v>2721</v>
      </c>
      <c r="BD80" s="50" t="s">
        <v>648</v>
      </c>
      <c r="BE80" s="50" t="s">
        <v>2761</v>
      </c>
      <c r="BF80" s="50" t="s">
        <v>2799</v>
      </c>
      <c r="BG80" s="108" t="s">
        <v>2878</v>
      </c>
      <c r="BH80" s="108" t="s">
        <v>2960</v>
      </c>
      <c r="BI80" s="108" t="s">
        <v>3040</v>
      </c>
      <c r="BJ80" s="108" t="s">
        <v>3040</v>
      </c>
      <c r="BK80" s="2"/>
      <c r="BL80" s="3"/>
      <c r="BM80" s="3"/>
      <c r="BN80" s="3"/>
      <c r="BO80" s="3"/>
    </row>
    <row r="81" spans="1:67" x14ac:dyDescent="0.25">
      <c r="A81" s="65" t="s">
        <v>390</v>
      </c>
      <c r="B81" s="66"/>
      <c r="C81" s="66"/>
      <c r="D81" s="67"/>
      <c r="E81" s="69"/>
      <c r="F81" s="103" t="str">
        <f>HYPERLINK("https://pbs.twimg.com/profile_images/1058002809323433984/X7gwDwag_normal.jpg")</f>
        <v>https://pbs.twimg.com/profile_images/1058002809323433984/X7gwDwag_normal.jpg</v>
      </c>
      <c r="G81" s="66"/>
      <c r="H81" s="70"/>
      <c r="I81" s="71"/>
      <c r="J81" s="71"/>
      <c r="K81" s="70" t="s">
        <v>2459</v>
      </c>
      <c r="L81" s="74"/>
      <c r="M81" s="75">
        <v>7310.15478515625</v>
      </c>
      <c r="N81" s="75">
        <v>7214.88232421875</v>
      </c>
      <c r="O81" s="76"/>
      <c r="P81" s="77"/>
      <c r="Q81" s="77"/>
      <c r="R81" s="89"/>
      <c r="S81" s="50">
        <v>1</v>
      </c>
      <c r="T81" s="50">
        <v>0</v>
      </c>
      <c r="U81" s="51">
        <v>0</v>
      </c>
      <c r="V81" s="51">
        <v>0.20894399999999999</v>
      </c>
      <c r="W81" s="51">
        <v>7.8799999999999996E-4</v>
      </c>
      <c r="X81" s="51">
        <v>4.4850000000000003E-3</v>
      </c>
      <c r="Y81" s="51">
        <v>0</v>
      </c>
      <c r="Z81" s="51">
        <v>0</v>
      </c>
      <c r="AA81" s="72">
        <v>81</v>
      </c>
      <c r="AB81" s="72"/>
      <c r="AC81" s="73"/>
      <c r="AD81" s="79" t="s">
        <v>1806</v>
      </c>
      <c r="AE81" s="84" t="s">
        <v>1999</v>
      </c>
      <c r="AF81" s="79">
        <v>1087</v>
      </c>
      <c r="AG81" s="79">
        <v>20609</v>
      </c>
      <c r="AH81" s="79">
        <v>65759</v>
      </c>
      <c r="AI81" s="79">
        <v>3366</v>
      </c>
      <c r="AJ81" s="79"/>
      <c r="AK81" s="79" t="s">
        <v>2190</v>
      </c>
      <c r="AL81" s="79" t="s">
        <v>1694</v>
      </c>
      <c r="AM81" s="86" t="str">
        <f>HYPERLINK("https://t.co/ylRq1R8mu7")</f>
        <v>https://t.co/ylRq1R8mu7</v>
      </c>
      <c r="AN81" s="79"/>
      <c r="AO81" s="81">
        <v>39892.767256944448</v>
      </c>
      <c r="AP81" s="86" t="str">
        <f>HYPERLINK("https://pbs.twimg.com/profile_banners/25549003/1591975228")</f>
        <v>https://pbs.twimg.com/profile_banners/25549003/1591975228</v>
      </c>
      <c r="AQ81" s="79" t="b">
        <v>0</v>
      </c>
      <c r="AR81" s="79" t="b">
        <v>0</v>
      </c>
      <c r="AS81" s="79" t="b">
        <v>1</v>
      </c>
      <c r="AT81" s="79"/>
      <c r="AU81" s="79">
        <v>426</v>
      </c>
      <c r="AV81" s="86" t="str">
        <f>HYPERLINK("https://abs.twimg.com/images/themes/theme15/bg.png")</f>
        <v>https://abs.twimg.com/images/themes/theme15/bg.png</v>
      </c>
      <c r="AW81" s="79" t="b">
        <v>0</v>
      </c>
      <c r="AX81" s="79" t="s">
        <v>2381</v>
      </c>
      <c r="AY81" s="86" t="str">
        <f>HYPERLINK("https://twitter.com/bflobizfirst")</f>
        <v>https://twitter.com/bflobizfirst</v>
      </c>
      <c r="AZ81" s="79" t="s">
        <v>65</v>
      </c>
      <c r="BA81" s="50"/>
      <c r="BB81" s="50"/>
      <c r="BC81" s="50"/>
      <c r="BD81" s="50"/>
      <c r="BE81" s="50"/>
      <c r="BF81" s="50"/>
      <c r="BG81" s="50"/>
      <c r="BH81" s="50"/>
      <c r="BI81" s="50"/>
      <c r="BJ81" s="50"/>
      <c r="BK81" s="2"/>
      <c r="BL81" s="3"/>
      <c r="BM81" s="3"/>
      <c r="BN81" s="3"/>
      <c r="BO81" s="3"/>
    </row>
    <row r="82" spans="1:67" x14ac:dyDescent="0.25">
      <c r="A82" s="65" t="s">
        <v>264</v>
      </c>
      <c r="B82" s="66"/>
      <c r="C82" s="66"/>
      <c r="D82" s="67"/>
      <c r="E82" s="69"/>
      <c r="F82" s="103" t="str">
        <f>HYPERLINK("https://pbs.twimg.com/profile_images/915941653738909696/XA1EcidC_normal.jpg")</f>
        <v>https://pbs.twimg.com/profile_images/915941653738909696/XA1EcidC_normal.jpg</v>
      </c>
      <c r="G82" s="66"/>
      <c r="H82" s="70"/>
      <c r="I82" s="71"/>
      <c r="J82" s="71"/>
      <c r="K82" s="70" t="s">
        <v>2460</v>
      </c>
      <c r="L82" s="74"/>
      <c r="M82" s="75">
        <v>2028.9310302734375</v>
      </c>
      <c r="N82" s="75">
        <v>3211.281005859375</v>
      </c>
      <c r="O82" s="76"/>
      <c r="P82" s="77"/>
      <c r="Q82" s="77"/>
      <c r="R82" s="89"/>
      <c r="S82" s="50">
        <v>0</v>
      </c>
      <c r="T82" s="50">
        <v>1</v>
      </c>
      <c r="U82" s="51">
        <v>0</v>
      </c>
      <c r="V82" s="51">
        <v>5.1019999999999998E-3</v>
      </c>
      <c r="W82" s="51">
        <v>0</v>
      </c>
      <c r="X82" s="51">
        <v>5.0759999999999998E-3</v>
      </c>
      <c r="Y82" s="51">
        <v>0</v>
      </c>
      <c r="Z82" s="51">
        <v>0</v>
      </c>
      <c r="AA82" s="72">
        <v>82</v>
      </c>
      <c r="AB82" s="72"/>
      <c r="AC82" s="73"/>
      <c r="AD82" s="79" t="s">
        <v>1807</v>
      </c>
      <c r="AE82" s="84" t="s">
        <v>2000</v>
      </c>
      <c r="AF82" s="79">
        <v>335</v>
      </c>
      <c r="AG82" s="79">
        <v>314</v>
      </c>
      <c r="AH82" s="79">
        <v>379</v>
      </c>
      <c r="AI82" s="79">
        <v>79</v>
      </c>
      <c r="AJ82" s="79"/>
      <c r="AK82" s="79" t="s">
        <v>2191</v>
      </c>
      <c r="AL82" s="79"/>
      <c r="AM82" s="86" t="str">
        <f>HYPERLINK("https://t.co/GJuWKdzGn8")</f>
        <v>https://t.co/GJuWKdzGn8</v>
      </c>
      <c r="AN82" s="79"/>
      <c r="AO82" s="81">
        <v>41554.122893518521</v>
      </c>
      <c r="AP82" s="86" t="str">
        <f>HYPERLINK("https://pbs.twimg.com/profile_banners/1942759790/1507212632")</f>
        <v>https://pbs.twimg.com/profile_banners/1942759790/1507212632</v>
      </c>
      <c r="AQ82" s="79" t="b">
        <v>1</v>
      </c>
      <c r="AR82" s="79" t="b">
        <v>0</v>
      </c>
      <c r="AS82" s="79" t="b">
        <v>1</v>
      </c>
      <c r="AT82" s="79"/>
      <c r="AU82" s="79">
        <v>3</v>
      </c>
      <c r="AV82" s="86" t="str">
        <f>HYPERLINK("https://abs.twimg.com/images/themes/theme1/bg.png")</f>
        <v>https://abs.twimg.com/images/themes/theme1/bg.png</v>
      </c>
      <c r="AW82" s="79" t="b">
        <v>0</v>
      </c>
      <c r="AX82" s="79" t="s">
        <v>2381</v>
      </c>
      <c r="AY82" s="86" t="str">
        <f>HYPERLINK("https://twitter.com/ubsociology")</f>
        <v>https://twitter.com/ubsociology</v>
      </c>
      <c r="AZ82" s="79" t="s">
        <v>66</v>
      </c>
      <c r="BA82" s="50" t="s">
        <v>2668</v>
      </c>
      <c r="BB82" s="50" t="s">
        <v>2668</v>
      </c>
      <c r="BC82" s="50" t="s">
        <v>643</v>
      </c>
      <c r="BD82" s="50" t="s">
        <v>643</v>
      </c>
      <c r="BE82" s="50" t="s">
        <v>357</v>
      </c>
      <c r="BF82" s="50" t="s">
        <v>357</v>
      </c>
      <c r="BG82" s="108" t="s">
        <v>2879</v>
      </c>
      <c r="BH82" s="108" t="s">
        <v>2879</v>
      </c>
      <c r="BI82" s="108" t="s">
        <v>3041</v>
      </c>
      <c r="BJ82" s="108" t="s">
        <v>3041</v>
      </c>
      <c r="BK82" s="2"/>
      <c r="BL82" s="3"/>
      <c r="BM82" s="3"/>
      <c r="BN82" s="3"/>
      <c r="BO82" s="3"/>
    </row>
    <row r="83" spans="1:67" x14ac:dyDescent="0.25">
      <c r="A83" s="65" t="s">
        <v>391</v>
      </c>
      <c r="B83" s="66"/>
      <c r="C83" s="66"/>
      <c r="D83" s="67"/>
      <c r="E83" s="69"/>
      <c r="F83" s="103" t="str">
        <f>HYPERLINK("https://pbs.twimg.com/profile_images/1419704144026296333/ms3D5ipo_normal.jpg")</f>
        <v>https://pbs.twimg.com/profile_images/1419704144026296333/ms3D5ipo_normal.jpg</v>
      </c>
      <c r="G83" s="66"/>
      <c r="H83" s="70"/>
      <c r="I83" s="71"/>
      <c r="J83" s="71"/>
      <c r="K83" s="70" t="s">
        <v>2461</v>
      </c>
      <c r="L83" s="74"/>
      <c r="M83" s="75">
        <v>1692.2918701171875</v>
      </c>
      <c r="N83" s="75">
        <v>780.09246826171875</v>
      </c>
      <c r="O83" s="76"/>
      <c r="P83" s="77"/>
      <c r="Q83" s="77"/>
      <c r="R83" s="89"/>
      <c r="S83" s="50">
        <v>1</v>
      </c>
      <c r="T83" s="50">
        <v>0</v>
      </c>
      <c r="U83" s="51">
        <v>0</v>
      </c>
      <c r="V83" s="51">
        <v>5.1019999999999998E-3</v>
      </c>
      <c r="W83" s="51">
        <v>0</v>
      </c>
      <c r="X83" s="51">
        <v>5.0759999999999998E-3</v>
      </c>
      <c r="Y83" s="51">
        <v>0</v>
      </c>
      <c r="Z83" s="51">
        <v>0</v>
      </c>
      <c r="AA83" s="72">
        <v>83</v>
      </c>
      <c r="AB83" s="72"/>
      <c r="AC83" s="73"/>
      <c r="AD83" s="79" t="s">
        <v>1808</v>
      </c>
      <c r="AE83" s="84" t="s">
        <v>2001</v>
      </c>
      <c r="AF83" s="79">
        <v>68169</v>
      </c>
      <c r="AG83" s="79">
        <v>8906478</v>
      </c>
      <c r="AH83" s="79">
        <v>227940</v>
      </c>
      <c r="AI83" s="79">
        <v>2764</v>
      </c>
      <c r="AJ83" s="79"/>
      <c r="AK83" s="79" t="s">
        <v>2192</v>
      </c>
      <c r="AL83" s="79"/>
      <c r="AM83" s="86" t="str">
        <f>HYPERLINK("https://t.co/NacrixPEkp")</f>
        <v>https://t.co/NacrixPEkp</v>
      </c>
      <c r="AN83" s="79"/>
      <c r="AO83" s="81">
        <v>39194.215451388889</v>
      </c>
      <c r="AP83" s="86" t="str">
        <f>HYPERLINK("https://pbs.twimg.com/profile_banners/5392522/1575653448")</f>
        <v>https://pbs.twimg.com/profile_banners/5392522/1575653448</v>
      </c>
      <c r="AQ83" s="79" t="b">
        <v>0</v>
      </c>
      <c r="AR83" s="79" t="b">
        <v>0</v>
      </c>
      <c r="AS83" s="79" t="b">
        <v>0</v>
      </c>
      <c r="AT83" s="79"/>
      <c r="AU83" s="79">
        <v>70260</v>
      </c>
      <c r="AV83" s="86" t="str">
        <f>HYPERLINK("https://abs.twimg.com/images/themes/theme1/bg.png")</f>
        <v>https://abs.twimg.com/images/themes/theme1/bg.png</v>
      </c>
      <c r="AW83" s="79" t="b">
        <v>1</v>
      </c>
      <c r="AX83" s="79" t="s">
        <v>2381</v>
      </c>
      <c r="AY83" s="86" t="str">
        <f>HYPERLINK("https://twitter.com/npr")</f>
        <v>https://twitter.com/npr</v>
      </c>
      <c r="AZ83" s="79" t="s">
        <v>65</v>
      </c>
      <c r="BA83" s="50"/>
      <c r="BB83" s="50"/>
      <c r="BC83" s="50"/>
      <c r="BD83" s="50"/>
      <c r="BE83" s="50"/>
      <c r="BF83" s="50"/>
      <c r="BG83" s="50"/>
      <c r="BH83" s="50"/>
      <c r="BI83" s="50"/>
      <c r="BJ83" s="50"/>
      <c r="BK83" s="2"/>
      <c r="BL83" s="3"/>
      <c r="BM83" s="3"/>
      <c r="BN83" s="3"/>
      <c r="BO83" s="3"/>
    </row>
    <row r="84" spans="1:67" x14ac:dyDescent="0.25">
      <c r="A84" s="65" t="s">
        <v>265</v>
      </c>
      <c r="B84" s="66"/>
      <c r="C84" s="66"/>
      <c r="D84" s="67"/>
      <c r="E84" s="69"/>
      <c r="F84" s="103" t="str">
        <f>HYPERLINK("https://pbs.twimg.com/profile_images/675778062353457152/T7PsAtAL_normal.png")</f>
        <v>https://pbs.twimg.com/profile_images/675778062353457152/T7PsAtAL_normal.png</v>
      </c>
      <c r="G84" s="66"/>
      <c r="H84" s="70"/>
      <c r="I84" s="71"/>
      <c r="J84" s="71"/>
      <c r="K84" s="70" t="s">
        <v>2462</v>
      </c>
      <c r="L84" s="74"/>
      <c r="M84" s="75">
        <v>7961.37841796875</v>
      </c>
      <c r="N84" s="75">
        <v>9276.00390625</v>
      </c>
      <c r="O84" s="76"/>
      <c r="P84" s="77"/>
      <c r="Q84" s="77"/>
      <c r="R84" s="89"/>
      <c r="S84" s="50">
        <v>0</v>
      </c>
      <c r="T84" s="50">
        <v>1</v>
      </c>
      <c r="U84" s="51">
        <v>0</v>
      </c>
      <c r="V84" s="51">
        <v>0.26420100000000002</v>
      </c>
      <c r="W84" s="51">
        <v>1.0638999999999999E-2</v>
      </c>
      <c r="X84" s="51">
        <v>4.4270000000000004E-3</v>
      </c>
      <c r="Y84" s="51">
        <v>0</v>
      </c>
      <c r="Z84" s="51">
        <v>0</v>
      </c>
      <c r="AA84" s="72">
        <v>84</v>
      </c>
      <c r="AB84" s="72"/>
      <c r="AC84" s="73"/>
      <c r="AD84" s="79" t="s">
        <v>1809</v>
      </c>
      <c r="AE84" s="84" t="s">
        <v>2002</v>
      </c>
      <c r="AF84" s="79">
        <v>590</v>
      </c>
      <c r="AG84" s="79">
        <v>920</v>
      </c>
      <c r="AH84" s="79">
        <v>2302</v>
      </c>
      <c r="AI84" s="79">
        <v>14235</v>
      </c>
      <c r="AJ84" s="79"/>
      <c r="AK84" s="79" t="s">
        <v>2193</v>
      </c>
      <c r="AL84" s="79"/>
      <c r="AM84" s="79"/>
      <c r="AN84" s="79"/>
      <c r="AO84" s="81">
        <v>40584.082719907405</v>
      </c>
      <c r="AP84" s="86" t="str">
        <f>HYPERLINK("https://pbs.twimg.com/profile_banners/249924357/1460668794")</f>
        <v>https://pbs.twimg.com/profile_banners/249924357/1460668794</v>
      </c>
      <c r="AQ84" s="79" t="b">
        <v>1</v>
      </c>
      <c r="AR84" s="79" t="b">
        <v>0</v>
      </c>
      <c r="AS84" s="79" t="b">
        <v>1</v>
      </c>
      <c r="AT84" s="79"/>
      <c r="AU84" s="79">
        <v>11</v>
      </c>
      <c r="AV84" s="86" t="str">
        <f>HYPERLINK("https://abs.twimg.com/images/themes/theme1/bg.png")</f>
        <v>https://abs.twimg.com/images/themes/theme1/bg.png</v>
      </c>
      <c r="AW84" s="79" t="b">
        <v>0</v>
      </c>
      <c r="AX84" s="79" t="s">
        <v>2381</v>
      </c>
      <c r="AY84" s="86" t="str">
        <f>HYPERLINK("https://twitter.com/ub_boone")</f>
        <v>https://twitter.com/ub_boone</v>
      </c>
      <c r="AZ84" s="79" t="s">
        <v>66</v>
      </c>
      <c r="BA84" s="50" t="s">
        <v>2669</v>
      </c>
      <c r="BB84" s="50" t="s">
        <v>2669</v>
      </c>
      <c r="BC84" s="50" t="s">
        <v>632</v>
      </c>
      <c r="BD84" s="50" t="s">
        <v>632</v>
      </c>
      <c r="BE84" s="50" t="s">
        <v>2762</v>
      </c>
      <c r="BF84" s="50" t="s">
        <v>2800</v>
      </c>
      <c r="BG84" s="108" t="s">
        <v>2880</v>
      </c>
      <c r="BH84" s="108" t="s">
        <v>2880</v>
      </c>
      <c r="BI84" s="108" t="s">
        <v>3042</v>
      </c>
      <c r="BJ84" s="108" t="s">
        <v>3042</v>
      </c>
      <c r="BK84" s="2"/>
      <c r="BL84" s="3"/>
      <c r="BM84" s="3"/>
      <c r="BN84" s="3"/>
      <c r="BO84" s="3"/>
    </row>
    <row r="85" spans="1:67" x14ac:dyDescent="0.25">
      <c r="A85" s="65" t="s">
        <v>266</v>
      </c>
      <c r="B85" s="66"/>
      <c r="C85" s="66"/>
      <c r="D85" s="67"/>
      <c r="E85" s="69"/>
      <c r="F85" s="103" t="str">
        <f>HYPERLINK("https://pbs.twimg.com/profile_images/968214965088899072/DnWqn9nU_normal.jpg")</f>
        <v>https://pbs.twimg.com/profile_images/968214965088899072/DnWqn9nU_normal.jpg</v>
      </c>
      <c r="G85" s="66"/>
      <c r="H85" s="70"/>
      <c r="I85" s="71"/>
      <c r="J85" s="71"/>
      <c r="K85" s="70" t="s">
        <v>2463</v>
      </c>
      <c r="L85" s="74"/>
      <c r="M85" s="75">
        <v>5172.40087890625</v>
      </c>
      <c r="N85" s="75">
        <v>1180.8438720703125</v>
      </c>
      <c r="O85" s="76"/>
      <c r="P85" s="77"/>
      <c r="Q85" s="77"/>
      <c r="R85" s="89"/>
      <c r="S85" s="50">
        <v>1</v>
      </c>
      <c r="T85" s="50">
        <v>2</v>
      </c>
      <c r="U85" s="51">
        <v>0</v>
      </c>
      <c r="V85" s="51">
        <v>0.206514</v>
      </c>
      <c r="W85" s="51">
        <v>1.1019999999999999E-3</v>
      </c>
      <c r="X85" s="51">
        <v>4.8459999999999996E-3</v>
      </c>
      <c r="Y85" s="51">
        <v>0.5</v>
      </c>
      <c r="Z85" s="51">
        <v>0.5</v>
      </c>
      <c r="AA85" s="72">
        <v>85</v>
      </c>
      <c r="AB85" s="72"/>
      <c r="AC85" s="73"/>
      <c r="AD85" s="79" t="s">
        <v>1810</v>
      </c>
      <c r="AE85" s="84" t="s">
        <v>2003</v>
      </c>
      <c r="AF85" s="79">
        <v>307</v>
      </c>
      <c r="AG85" s="79">
        <v>397</v>
      </c>
      <c r="AH85" s="79">
        <v>986</v>
      </c>
      <c r="AI85" s="79">
        <v>545</v>
      </c>
      <c r="AJ85" s="79"/>
      <c r="AK85" s="79" t="s">
        <v>2194</v>
      </c>
      <c r="AL85" s="79" t="s">
        <v>2314</v>
      </c>
      <c r="AM85" s="86" t="str">
        <f>HYPERLINK("https://t.co/58ZxqiMIWm")</f>
        <v>https://t.co/58ZxqiMIWm</v>
      </c>
      <c r="AN85" s="79"/>
      <c r="AO85" s="81">
        <v>42614.763923611114</v>
      </c>
      <c r="AP85" s="86" t="str">
        <f>HYPERLINK("https://pbs.twimg.com/profile_banners/771412316487356417/1519675564")</f>
        <v>https://pbs.twimg.com/profile_banners/771412316487356417/1519675564</v>
      </c>
      <c r="AQ85" s="79" t="b">
        <v>1</v>
      </c>
      <c r="AR85" s="79" t="b">
        <v>0</v>
      </c>
      <c r="AS85" s="79" t="b">
        <v>0</v>
      </c>
      <c r="AT85" s="79"/>
      <c r="AU85" s="79">
        <v>12</v>
      </c>
      <c r="AV85" s="79"/>
      <c r="AW85" s="79" t="b">
        <v>0</v>
      </c>
      <c r="AX85" s="79" t="s">
        <v>2381</v>
      </c>
      <c r="AY85" s="86" t="str">
        <f>HYPERLINK("https://twitter.com/urhistorydept")</f>
        <v>https://twitter.com/urhistorydept</v>
      </c>
      <c r="AZ85" s="79" t="s">
        <v>66</v>
      </c>
      <c r="BA85" s="50" t="s">
        <v>2670</v>
      </c>
      <c r="BB85" s="50" t="s">
        <v>2670</v>
      </c>
      <c r="BC85" s="50" t="s">
        <v>644</v>
      </c>
      <c r="BD85" s="50" t="s">
        <v>644</v>
      </c>
      <c r="BE85" s="50" t="s">
        <v>357</v>
      </c>
      <c r="BF85" s="50" t="s">
        <v>357</v>
      </c>
      <c r="BG85" s="108" t="s">
        <v>2881</v>
      </c>
      <c r="BH85" s="108" t="s">
        <v>2881</v>
      </c>
      <c r="BI85" s="108" t="s">
        <v>3043</v>
      </c>
      <c r="BJ85" s="108" t="s">
        <v>3043</v>
      </c>
      <c r="BK85" s="2"/>
      <c r="BL85" s="3"/>
      <c r="BM85" s="3"/>
      <c r="BN85" s="3"/>
      <c r="BO85" s="3"/>
    </row>
    <row r="86" spans="1:67" x14ac:dyDescent="0.25">
      <c r="A86" s="65" t="s">
        <v>392</v>
      </c>
      <c r="B86" s="66"/>
      <c r="C86" s="66"/>
      <c r="D86" s="67"/>
      <c r="E86" s="69"/>
      <c r="F86" s="103" t="str">
        <f>HYPERLINK("https://pbs.twimg.com/profile_images/1413304982665895938/1DnsZvLy_normal.jpg")</f>
        <v>https://pbs.twimg.com/profile_images/1413304982665895938/1DnsZvLy_normal.jpg</v>
      </c>
      <c r="G86" s="66"/>
      <c r="H86" s="70"/>
      <c r="I86" s="71"/>
      <c r="J86" s="71"/>
      <c r="K86" s="70" t="s">
        <v>2464</v>
      </c>
      <c r="L86" s="74"/>
      <c r="M86" s="75">
        <v>7575.22900390625</v>
      </c>
      <c r="N86" s="75">
        <v>3846.557861328125</v>
      </c>
      <c r="O86" s="76"/>
      <c r="P86" s="77"/>
      <c r="Q86" s="77"/>
      <c r="R86" s="89"/>
      <c r="S86" s="50">
        <v>2</v>
      </c>
      <c r="T86" s="50">
        <v>0</v>
      </c>
      <c r="U86" s="51">
        <v>0</v>
      </c>
      <c r="V86" s="51">
        <v>0.206514</v>
      </c>
      <c r="W86" s="51">
        <v>1.1019999999999999E-3</v>
      </c>
      <c r="X86" s="51">
        <v>4.8459999999999996E-3</v>
      </c>
      <c r="Y86" s="51">
        <v>1</v>
      </c>
      <c r="Z86" s="51">
        <v>0</v>
      </c>
      <c r="AA86" s="72">
        <v>86</v>
      </c>
      <c r="AB86" s="72"/>
      <c r="AC86" s="73"/>
      <c r="AD86" s="79" t="s">
        <v>1811</v>
      </c>
      <c r="AE86" s="84" t="s">
        <v>2004</v>
      </c>
      <c r="AF86" s="79">
        <v>891</v>
      </c>
      <c r="AG86" s="79">
        <v>1178</v>
      </c>
      <c r="AH86" s="79">
        <v>2250</v>
      </c>
      <c r="AI86" s="79">
        <v>83772</v>
      </c>
      <c r="AJ86" s="79"/>
      <c r="AK86" s="79" t="s">
        <v>2195</v>
      </c>
      <c r="AL86" s="79" t="s">
        <v>2327</v>
      </c>
      <c r="AM86" s="86" t="str">
        <f>HYPERLINK("https://t.co/58lV4pBC4j")</f>
        <v>https://t.co/58lV4pBC4j</v>
      </c>
      <c r="AN86" s="79"/>
      <c r="AO86" s="81">
        <v>42694.070902777778</v>
      </c>
      <c r="AP86" s="79"/>
      <c r="AQ86" s="79" t="b">
        <v>1</v>
      </c>
      <c r="AR86" s="79" t="b">
        <v>0</v>
      </c>
      <c r="AS86" s="79" t="b">
        <v>0</v>
      </c>
      <c r="AT86" s="79"/>
      <c r="AU86" s="79">
        <v>13</v>
      </c>
      <c r="AV86" s="79"/>
      <c r="AW86" s="79" t="b">
        <v>0</v>
      </c>
      <c r="AX86" s="79" t="s">
        <v>2381</v>
      </c>
      <c r="AY86" s="86" t="str">
        <f>HYPERLINK("https://twitter.com/mical_raz")</f>
        <v>https://twitter.com/mical_raz</v>
      </c>
      <c r="AZ86" s="79" t="s">
        <v>65</v>
      </c>
      <c r="BA86" s="50"/>
      <c r="BB86" s="50"/>
      <c r="BC86" s="50"/>
      <c r="BD86" s="50"/>
      <c r="BE86" s="50"/>
      <c r="BF86" s="50"/>
      <c r="BG86" s="50"/>
      <c r="BH86" s="50"/>
      <c r="BI86" s="50"/>
      <c r="BJ86" s="50"/>
      <c r="BK86" s="2"/>
      <c r="BL86" s="3"/>
      <c r="BM86" s="3"/>
      <c r="BN86" s="3"/>
      <c r="BO86" s="3"/>
    </row>
    <row r="87" spans="1:67" x14ac:dyDescent="0.25">
      <c r="A87" s="65" t="s">
        <v>267</v>
      </c>
      <c r="B87" s="66"/>
      <c r="C87" s="66"/>
      <c r="D87" s="67"/>
      <c r="E87" s="69"/>
      <c r="F87" s="103" t="str">
        <f>HYPERLINK("https://pbs.twimg.com/profile_images/1494773082208321536/hjo98llr_normal.jpg")</f>
        <v>https://pbs.twimg.com/profile_images/1494773082208321536/hjo98llr_normal.jpg</v>
      </c>
      <c r="G87" s="66"/>
      <c r="H87" s="70"/>
      <c r="I87" s="71"/>
      <c r="J87" s="71"/>
      <c r="K87" s="70" t="s">
        <v>2465</v>
      </c>
      <c r="L87" s="74"/>
      <c r="M87" s="75">
        <v>5681.6083984375</v>
      </c>
      <c r="N87" s="75">
        <v>2502.5625</v>
      </c>
      <c r="O87" s="76"/>
      <c r="P87" s="77"/>
      <c r="Q87" s="77"/>
      <c r="R87" s="89"/>
      <c r="S87" s="50">
        <v>3</v>
      </c>
      <c r="T87" s="50">
        <v>5</v>
      </c>
      <c r="U87" s="51">
        <v>1394</v>
      </c>
      <c r="V87" s="51">
        <v>0.26684799999999997</v>
      </c>
      <c r="W87" s="51">
        <v>1.2234E-2</v>
      </c>
      <c r="X87" s="51">
        <v>6.7140000000000003E-3</v>
      </c>
      <c r="Y87" s="51">
        <v>6.6666666666666666E-2</v>
      </c>
      <c r="Z87" s="51">
        <v>0.33333333333333331</v>
      </c>
      <c r="AA87" s="72">
        <v>87</v>
      </c>
      <c r="AB87" s="72"/>
      <c r="AC87" s="73"/>
      <c r="AD87" s="79" t="s">
        <v>1812</v>
      </c>
      <c r="AE87" s="84" t="s">
        <v>2005</v>
      </c>
      <c r="AF87" s="79">
        <v>125</v>
      </c>
      <c r="AG87" s="79">
        <v>246</v>
      </c>
      <c r="AH87" s="79">
        <v>425</v>
      </c>
      <c r="AI87" s="79">
        <v>72</v>
      </c>
      <c r="AJ87" s="79"/>
      <c r="AK87" s="79" t="s">
        <v>2196</v>
      </c>
      <c r="AL87" s="79" t="s">
        <v>1694</v>
      </c>
      <c r="AM87" s="86" t="str">
        <f>HYPERLINK("https://t.co/eL1qUAFtco")</f>
        <v>https://t.co/eL1qUAFtco</v>
      </c>
      <c r="AN87" s="79"/>
      <c r="AO87" s="81">
        <v>39968.68822916667</v>
      </c>
      <c r="AP87" s="86" t="str">
        <f>HYPERLINK("https://pbs.twimg.com/profile_banners/44654547/1581107707")</f>
        <v>https://pbs.twimg.com/profile_banners/44654547/1581107707</v>
      </c>
      <c r="AQ87" s="79" t="b">
        <v>0</v>
      </c>
      <c r="AR87" s="79" t="b">
        <v>0</v>
      </c>
      <c r="AS87" s="79" t="b">
        <v>0</v>
      </c>
      <c r="AT87" s="79"/>
      <c r="AU87" s="79">
        <v>7</v>
      </c>
      <c r="AV87" s="86" t="str">
        <f>HYPERLINK("https://abs.twimg.com/images/themes/theme8/bg.gif")</f>
        <v>https://abs.twimg.com/images/themes/theme8/bg.gif</v>
      </c>
      <c r="AW87" s="79" t="b">
        <v>0</v>
      </c>
      <c r="AX87" s="79" t="s">
        <v>2381</v>
      </c>
      <c r="AY87" s="86" t="str">
        <f>HYPERLINK("https://twitter.com/baldycenter")</f>
        <v>https://twitter.com/baldycenter</v>
      </c>
      <c r="AZ87" s="79" t="s">
        <v>66</v>
      </c>
      <c r="BA87" s="50" t="s">
        <v>2671</v>
      </c>
      <c r="BB87" s="50" t="s">
        <v>2671</v>
      </c>
      <c r="BC87" s="50" t="s">
        <v>2722</v>
      </c>
      <c r="BD87" s="50" t="s">
        <v>2722</v>
      </c>
      <c r="BE87" s="50" t="s">
        <v>357</v>
      </c>
      <c r="BF87" s="50" t="s">
        <v>357</v>
      </c>
      <c r="BG87" s="108" t="s">
        <v>2882</v>
      </c>
      <c r="BH87" s="108" t="s">
        <v>2961</v>
      </c>
      <c r="BI87" s="108" t="s">
        <v>3044</v>
      </c>
      <c r="BJ87" s="108" t="s">
        <v>3046</v>
      </c>
      <c r="BK87" s="2"/>
      <c r="BL87" s="3"/>
      <c r="BM87" s="3"/>
      <c r="BN87" s="3"/>
      <c r="BO87" s="3"/>
    </row>
    <row r="88" spans="1:67" x14ac:dyDescent="0.25">
      <c r="A88" s="65" t="s">
        <v>393</v>
      </c>
      <c r="B88" s="66"/>
      <c r="C88" s="66"/>
      <c r="D88" s="67"/>
      <c r="E88" s="69"/>
      <c r="F88" s="103" t="str">
        <f>HYPERLINK("https://pbs.twimg.com/profile_images/1429965778267353088/lXbiBpF3_normal.jpg")</f>
        <v>https://pbs.twimg.com/profile_images/1429965778267353088/lXbiBpF3_normal.jpg</v>
      </c>
      <c r="G88" s="66"/>
      <c r="H88" s="70"/>
      <c r="I88" s="71"/>
      <c r="J88" s="71"/>
      <c r="K88" s="70" t="s">
        <v>2466</v>
      </c>
      <c r="L88" s="74"/>
      <c r="M88" s="75">
        <v>3638.43603515625</v>
      </c>
      <c r="N88" s="75">
        <v>6067.33203125</v>
      </c>
      <c r="O88" s="76"/>
      <c r="P88" s="77"/>
      <c r="Q88" s="77"/>
      <c r="R88" s="89"/>
      <c r="S88" s="50">
        <v>1</v>
      </c>
      <c r="T88" s="50">
        <v>0</v>
      </c>
      <c r="U88" s="51">
        <v>0</v>
      </c>
      <c r="V88" s="51">
        <v>0.20624799999999999</v>
      </c>
      <c r="W88" s="51">
        <v>1.011E-3</v>
      </c>
      <c r="X88" s="51">
        <v>4.483E-3</v>
      </c>
      <c r="Y88" s="51">
        <v>0</v>
      </c>
      <c r="Z88" s="51">
        <v>0</v>
      </c>
      <c r="AA88" s="72">
        <v>88</v>
      </c>
      <c r="AB88" s="72"/>
      <c r="AC88" s="73"/>
      <c r="AD88" s="79" t="s">
        <v>1813</v>
      </c>
      <c r="AE88" s="84" t="s">
        <v>2006</v>
      </c>
      <c r="AF88" s="79">
        <v>335</v>
      </c>
      <c r="AG88" s="79">
        <v>159793</v>
      </c>
      <c r="AH88" s="79">
        <v>16002</v>
      </c>
      <c r="AI88" s="79">
        <v>2200</v>
      </c>
      <c r="AJ88" s="79"/>
      <c r="AK88" s="79" t="s">
        <v>2197</v>
      </c>
      <c r="AL88" s="79" t="s">
        <v>2328</v>
      </c>
      <c r="AM88" s="86" t="str">
        <f>HYPERLINK("https://t.co/KNXJ98fD5a")</f>
        <v>https://t.co/KNXJ98fD5a</v>
      </c>
      <c r="AN88" s="79"/>
      <c r="AO88" s="81">
        <v>39833.903229166666</v>
      </c>
      <c r="AP88" s="86" t="str">
        <f>HYPERLINK("https://pbs.twimg.com/profile_banners/19259102/1641601704")</f>
        <v>https://pbs.twimg.com/profile_banners/19259102/1641601704</v>
      </c>
      <c r="AQ88" s="79" t="b">
        <v>0</v>
      </c>
      <c r="AR88" s="79" t="b">
        <v>0</v>
      </c>
      <c r="AS88" s="79" t="b">
        <v>1</v>
      </c>
      <c r="AT88" s="79"/>
      <c r="AU88" s="79">
        <v>2197</v>
      </c>
      <c r="AV88" s="86" t="str">
        <f>HYPERLINK("https://abs.twimg.com/images/themes/theme14/bg.gif")</f>
        <v>https://abs.twimg.com/images/themes/theme14/bg.gif</v>
      </c>
      <c r="AW88" s="79" t="b">
        <v>1</v>
      </c>
      <c r="AX88" s="79" t="s">
        <v>2381</v>
      </c>
      <c r="AY88" s="86" t="str">
        <f>HYPERLINK("https://twitter.com/harvard_law")</f>
        <v>https://twitter.com/harvard_law</v>
      </c>
      <c r="AZ88" s="79" t="s">
        <v>65</v>
      </c>
      <c r="BA88" s="50"/>
      <c r="BB88" s="50"/>
      <c r="BC88" s="50"/>
      <c r="BD88" s="50"/>
      <c r="BE88" s="50"/>
      <c r="BF88" s="50"/>
      <c r="BG88" s="50"/>
      <c r="BH88" s="50"/>
      <c r="BI88" s="50"/>
      <c r="BJ88" s="50"/>
      <c r="BK88" s="2"/>
      <c r="BL88" s="3"/>
      <c r="BM88" s="3"/>
      <c r="BN88" s="3"/>
      <c r="BO88" s="3"/>
    </row>
    <row r="89" spans="1:67" x14ac:dyDescent="0.25">
      <c r="A89" s="65" t="s">
        <v>394</v>
      </c>
      <c r="B89" s="66"/>
      <c r="C89" s="66"/>
      <c r="D89" s="67"/>
      <c r="E89" s="69"/>
      <c r="F89" s="103" t="str">
        <f>HYPERLINK("https://pbs.twimg.com/profile_images/1166735999356915714/xzp127wv_normal.jpg")</f>
        <v>https://pbs.twimg.com/profile_images/1166735999356915714/xzp127wv_normal.jpg</v>
      </c>
      <c r="G89" s="66"/>
      <c r="H89" s="70"/>
      <c r="I89" s="71"/>
      <c r="J89" s="71"/>
      <c r="K89" s="70" t="s">
        <v>2467</v>
      </c>
      <c r="L89" s="74"/>
      <c r="M89" s="75">
        <v>7666.15869140625</v>
      </c>
      <c r="N89" s="75">
        <v>1526.217529296875</v>
      </c>
      <c r="O89" s="76"/>
      <c r="P89" s="77"/>
      <c r="Q89" s="77"/>
      <c r="R89" s="89"/>
      <c r="S89" s="50">
        <v>1</v>
      </c>
      <c r="T89" s="50">
        <v>0</v>
      </c>
      <c r="U89" s="51">
        <v>0</v>
      </c>
      <c r="V89" s="51">
        <v>0.20624799999999999</v>
      </c>
      <c r="W89" s="51">
        <v>1.011E-3</v>
      </c>
      <c r="X89" s="51">
        <v>4.483E-3</v>
      </c>
      <c r="Y89" s="51">
        <v>0</v>
      </c>
      <c r="Z89" s="51">
        <v>0</v>
      </c>
      <c r="AA89" s="72">
        <v>89</v>
      </c>
      <c r="AB89" s="72"/>
      <c r="AC89" s="73"/>
      <c r="AD89" s="79" t="s">
        <v>1814</v>
      </c>
      <c r="AE89" s="84" t="s">
        <v>2007</v>
      </c>
      <c r="AF89" s="79">
        <v>593</v>
      </c>
      <c r="AG89" s="79">
        <v>1731</v>
      </c>
      <c r="AH89" s="79">
        <v>688</v>
      </c>
      <c r="AI89" s="79">
        <v>1867</v>
      </c>
      <c r="AJ89" s="79"/>
      <c r="AK89" s="79" t="s">
        <v>2198</v>
      </c>
      <c r="AL89" s="79" t="s">
        <v>2328</v>
      </c>
      <c r="AM89" s="86" t="str">
        <f>HYPERLINK("https://t.co/osvXsC6kur")</f>
        <v>https://t.co/osvXsC6kur</v>
      </c>
      <c r="AN89" s="79"/>
      <c r="AO89" s="81">
        <v>43586.005231481482</v>
      </c>
      <c r="AP89" s="86" t="str">
        <f>HYPERLINK("https://pbs.twimg.com/profile_banners/1123378380559278080/1618358861")</f>
        <v>https://pbs.twimg.com/profile_banners/1123378380559278080/1618358861</v>
      </c>
      <c r="AQ89" s="79" t="b">
        <v>1</v>
      </c>
      <c r="AR89" s="79" t="b">
        <v>0</v>
      </c>
      <c r="AS89" s="79" t="b">
        <v>0</v>
      </c>
      <c r="AT89" s="79"/>
      <c r="AU89" s="79">
        <v>15</v>
      </c>
      <c r="AV89" s="79"/>
      <c r="AW89" s="79" t="b">
        <v>0</v>
      </c>
      <c r="AX89" s="79" t="s">
        <v>2381</v>
      </c>
      <c r="AY89" s="86" t="str">
        <f>HYPERLINK("https://twitter.com/anna_lvovsky")</f>
        <v>https://twitter.com/anna_lvovsky</v>
      </c>
      <c r="AZ89" s="79" t="s">
        <v>65</v>
      </c>
      <c r="BA89" s="50"/>
      <c r="BB89" s="50"/>
      <c r="BC89" s="50"/>
      <c r="BD89" s="50"/>
      <c r="BE89" s="50"/>
      <c r="BF89" s="50"/>
      <c r="BG89" s="50"/>
      <c r="BH89" s="50"/>
      <c r="BI89" s="50"/>
      <c r="BJ89" s="50"/>
      <c r="BK89" s="2"/>
      <c r="BL89" s="3"/>
      <c r="BM89" s="3"/>
      <c r="BN89" s="3"/>
      <c r="BO89" s="3"/>
    </row>
    <row r="90" spans="1:67" x14ac:dyDescent="0.25">
      <c r="A90" s="65" t="s">
        <v>268</v>
      </c>
      <c r="B90" s="66"/>
      <c r="C90" s="66"/>
      <c r="D90" s="67"/>
      <c r="E90" s="69"/>
      <c r="F90" s="103" t="str">
        <f>HYPERLINK("https://pbs.twimg.com/profile_images/1408452001709625344/E6Ac0y_x_normal.jpg")</f>
        <v>https://pbs.twimg.com/profile_images/1408452001709625344/E6Ac0y_x_normal.jpg</v>
      </c>
      <c r="G90" s="66"/>
      <c r="H90" s="70"/>
      <c r="I90" s="71"/>
      <c r="J90" s="71"/>
      <c r="K90" s="70" t="s">
        <v>2468</v>
      </c>
      <c r="L90" s="74"/>
      <c r="M90" s="75">
        <v>3226.600830078125</v>
      </c>
      <c r="N90" s="75">
        <v>1457.0760498046875</v>
      </c>
      <c r="O90" s="76"/>
      <c r="P90" s="77"/>
      <c r="Q90" s="77"/>
      <c r="R90" s="89"/>
      <c r="S90" s="50">
        <v>0</v>
      </c>
      <c r="T90" s="50">
        <v>2</v>
      </c>
      <c r="U90" s="51">
        <v>0</v>
      </c>
      <c r="V90" s="51">
        <v>0.27276800000000001</v>
      </c>
      <c r="W90" s="51">
        <v>1.0057999999999999E-2</v>
      </c>
      <c r="X90" s="51">
        <v>4.6249999999999998E-3</v>
      </c>
      <c r="Y90" s="51">
        <v>0.5</v>
      </c>
      <c r="Z90" s="51">
        <v>0</v>
      </c>
      <c r="AA90" s="72">
        <v>90</v>
      </c>
      <c r="AB90" s="72"/>
      <c r="AC90" s="73"/>
      <c r="AD90" s="79" t="s">
        <v>1815</v>
      </c>
      <c r="AE90" s="84" t="s">
        <v>2008</v>
      </c>
      <c r="AF90" s="79">
        <v>263</v>
      </c>
      <c r="AG90" s="79">
        <v>347</v>
      </c>
      <c r="AH90" s="79">
        <v>59</v>
      </c>
      <c r="AI90" s="79">
        <v>305</v>
      </c>
      <c r="AJ90" s="79"/>
      <c r="AK90" s="79" t="s">
        <v>2199</v>
      </c>
      <c r="AL90" s="79" t="s">
        <v>1694</v>
      </c>
      <c r="AM90" s="86" t="str">
        <f>HYPERLINK("https://t.co/TqXjNHuRLV")</f>
        <v>https://t.co/TqXjNHuRLV</v>
      </c>
      <c r="AN90" s="79"/>
      <c r="AO90" s="81">
        <v>44372.657268518517</v>
      </c>
      <c r="AP90" s="86" t="str">
        <f>HYPERLINK("https://pbs.twimg.com/profile_banners/1408451501052268549/1624641904")</f>
        <v>https://pbs.twimg.com/profile_banners/1408451501052268549/1624641904</v>
      </c>
      <c r="AQ90" s="79" t="b">
        <v>1</v>
      </c>
      <c r="AR90" s="79" t="b">
        <v>0</v>
      </c>
      <c r="AS90" s="79" t="b">
        <v>0</v>
      </c>
      <c r="AT90" s="79"/>
      <c r="AU90" s="79">
        <v>2</v>
      </c>
      <c r="AV90" s="79"/>
      <c r="AW90" s="79" t="b">
        <v>0</v>
      </c>
      <c r="AX90" s="79" t="s">
        <v>2381</v>
      </c>
      <c r="AY90" s="86" t="str">
        <f>HYPERLINK("https://twitter.com/yan_liu_histmed")</f>
        <v>https://twitter.com/yan_liu_histmed</v>
      </c>
      <c r="AZ90" s="79" t="s">
        <v>66</v>
      </c>
      <c r="BA90" s="50" t="s">
        <v>2584</v>
      </c>
      <c r="BB90" s="50" t="s">
        <v>2584</v>
      </c>
      <c r="BC90" s="50" t="s">
        <v>632</v>
      </c>
      <c r="BD90" s="50" t="s">
        <v>632</v>
      </c>
      <c r="BE90" s="50" t="s">
        <v>357</v>
      </c>
      <c r="BF90" s="50" t="s">
        <v>357</v>
      </c>
      <c r="BG90" s="108" t="s">
        <v>2883</v>
      </c>
      <c r="BH90" s="108" t="s">
        <v>2883</v>
      </c>
      <c r="BI90" s="108" t="s">
        <v>3045</v>
      </c>
      <c r="BJ90" s="108" t="s">
        <v>3045</v>
      </c>
      <c r="BK90" s="2"/>
      <c r="BL90" s="3"/>
      <c r="BM90" s="3"/>
      <c r="BN90" s="3"/>
      <c r="BO90" s="3"/>
    </row>
    <row r="91" spans="1:67" x14ac:dyDescent="0.25">
      <c r="A91" s="65" t="s">
        <v>395</v>
      </c>
      <c r="B91" s="66"/>
      <c r="C91" s="66"/>
      <c r="D91" s="67"/>
      <c r="E91" s="69"/>
      <c r="F91" s="103" t="str">
        <f>HYPERLINK("https://pbs.twimg.com/profile_images/1224336407549960193/lfvBuzoW_normal.jpg")</f>
        <v>https://pbs.twimg.com/profile_images/1224336407549960193/lfvBuzoW_normal.jpg</v>
      </c>
      <c r="G91" s="66"/>
      <c r="H91" s="70"/>
      <c r="I91" s="71"/>
      <c r="J91" s="71"/>
      <c r="K91" s="70" t="s">
        <v>2469</v>
      </c>
      <c r="L91" s="74"/>
      <c r="M91" s="75">
        <v>4987.5234375</v>
      </c>
      <c r="N91" s="75">
        <v>3497.73828125</v>
      </c>
      <c r="O91" s="76"/>
      <c r="P91" s="77"/>
      <c r="Q91" s="77"/>
      <c r="R91" s="89"/>
      <c r="S91" s="50">
        <v>3</v>
      </c>
      <c r="T91" s="50">
        <v>0</v>
      </c>
      <c r="U91" s="51">
        <v>1</v>
      </c>
      <c r="V91" s="51">
        <v>0.27323399999999998</v>
      </c>
      <c r="W91" s="51">
        <v>1.0826000000000001E-2</v>
      </c>
      <c r="X91" s="51">
        <v>5.0650000000000001E-3</v>
      </c>
      <c r="Y91" s="51">
        <v>0.33333333333333331</v>
      </c>
      <c r="Z91" s="51">
        <v>0</v>
      </c>
      <c r="AA91" s="72">
        <v>91</v>
      </c>
      <c r="AB91" s="72"/>
      <c r="AC91" s="73"/>
      <c r="AD91" s="79" t="s">
        <v>1816</v>
      </c>
      <c r="AE91" s="84" t="s">
        <v>2009</v>
      </c>
      <c r="AF91" s="79">
        <v>703</v>
      </c>
      <c r="AG91" s="79">
        <v>903</v>
      </c>
      <c r="AH91" s="79">
        <v>960</v>
      </c>
      <c r="AI91" s="79">
        <v>631</v>
      </c>
      <c r="AJ91" s="79"/>
      <c r="AK91" s="79" t="s">
        <v>2200</v>
      </c>
      <c r="AL91" s="79" t="s">
        <v>2329</v>
      </c>
      <c r="AM91" s="86" t="str">
        <f>HYPERLINK("https://t.co/a680tfagZB")</f>
        <v>https://t.co/a680tfagZB</v>
      </c>
      <c r="AN91" s="79"/>
      <c r="AO91" s="81">
        <v>40257.751701388886</v>
      </c>
      <c r="AP91" s="79"/>
      <c r="AQ91" s="79" t="b">
        <v>1</v>
      </c>
      <c r="AR91" s="79" t="b">
        <v>0</v>
      </c>
      <c r="AS91" s="79" t="b">
        <v>0</v>
      </c>
      <c r="AT91" s="79"/>
      <c r="AU91" s="79">
        <v>18</v>
      </c>
      <c r="AV91" s="86" t="str">
        <f>HYPERLINK("https://abs.twimg.com/images/themes/theme1/bg.png")</f>
        <v>https://abs.twimg.com/images/themes/theme1/bg.png</v>
      </c>
      <c r="AW91" s="79" t="b">
        <v>0</v>
      </c>
      <c r="AX91" s="79" t="s">
        <v>2381</v>
      </c>
      <c r="AY91" s="86" t="str">
        <f>HYPERLINK("https://twitter.com/dhbuffalo")</f>
        <v>https://twitter.com/dhbuffalo</v>
      </c>
      <c r="AZ91" s="79" t="s">
        <v>65</v>
      </c>
      <c r="BA91" s="50"/>
      <c r="BB91" s="50"/>
      <c r="BC91" s="50"/>
      <c r="BD91" s="50"/>
      <c r="BE91" s="50"/>
      <c r="BF91" s="50"/>
      <c r="BG91" s="50"/>
      <c r="BH91" s="50"/>
      <c r="BI91" s="50"/>
      <c r="BJ91" s="50"/>
      <c r="BK91" s="2"/>
      <c r="BL91" s="3"/>
      <c r="BM91" s="3"/>
      <c r="BN91" s="3"/>
      <c r="BO91" s="3"/>
    </row>
    <row r="92" spans="1:67" x14ac:dyDescent="0.25">
      <c r="A92" s="65" t="s">
        <v>269</v>
      </c>
      <c r="B92" s="66"/>
      <c r="C92" s="66"/>
      <c r="D92" s="67"/>
      <c r="E92" s="69"/>
      <c r="F92" s="103" t="str">
        <f>HYPERLINK("https://pbs.twimg.com/profile_images/1060560416194117637/a8tEOu_1_normal.jpg")</f>
        <v>https://pbs.twimg.com/profile_images/1060560416194117637/a8tEOu_1_normal.jpg</v>
      </c>
      <c r="G92" s="66"/>
      <c r="H92" s="70"/>
      <c r="I92" s="71"/>
      <c r="J92" s="71"/>
      <c r="K92" s="70" t="s">
        <v>2470</v>
      </c>
      <c r="L92" s="74"/>
      <c r="M92" s="75">
        <v>1237.5999755859375</v>
      </c>
      <c r="N92" s="75">
        <v>4312.42236328125</v>
      </c>
      <c r="O92" s="76"/>
      <c r="P92" s="77"/>
      <c r="Q92" s="77"/>
      <c r="R92" s="89"/>
      <c r="S92" s="50">
        <v>0</v>
      </c>
      <c r="T92" s="50">
        <v>2</v>
      </c>
      <c r="U92" s="51">
        <v>0</v>
      </c>
      <c r="V92" s="51">
        <v>0.27276800000000001</v>
      </c>
      <c r="W92" s="51">
        <v>1.0057999999999999E-2</v>
      </c>
      <c r="X92" s="51">
        <v>4.6249999999999998E-3</v>
      </c>
      <c r="Y92" s="51">
        <v>0.5</v>
      </c>
      <c r="Z92" s="51">
        <v>0</v>
      </c>
      <c r="AA92" s="72">
        <v>92</v>
      </c>
      <c r="AB92" s="72"/>
      <c r="AC92" s="73"/>
      <c r="AD92" s="79" t="s">
        <v>1817</v>
      </c>
      <c r="AE92" s="84" t="s">
        <v>2010</v>
      </c>
      <c r="AF92" s="79">
        <v>1459</v>
      </c>
      <c r="AG92" s="79">
        <v>2876</v>
      </c>
      <c r="AH92" s="79">
        <v>6835</v>
      </c>
      <c r="AI92" s="79">
        <v>15848</v>
      </c>
      <c r="AJ92" s="79"/>
      <c r="AK92" s="79" t="s">
        <v>2201</v>
      </c>
      <c r="AL92" s="79" t="s">
        <v>2330</v>
      </c>
      <c r="AM92" s="86" t="str">
        <f>HYPERLINK("https://t.co/Gz7QLALlQY")</f>
        <v>https://t.co/Gz7QLALlQY</v>
      </c>
      <c r="AN92" s="79"/>
      <c r="AO92" s="81">
        <v>40591.686550925922</v>
      </c>
      <c r="AP92" s="86" t="str">
        <f>HYPERLINK("https://pbs.twimg.com/profile_banners/253618371/1643733265")</f>
        <v>https://pbs.twimg.com/profile_banners/253618371/1643733265</v>
      </c>
      <c r="AQ92" s="79" t="b">
        <v>0</v>
      </c>
      <c r="AR92" s="79" t="b">
        <v>0</v>
      </c>
      <c r="AS92" s="79" t="b">
        <v>0</v>
      </c>
      <c r="AT92" s="79"/>
      <c r="AU92" s="79">
        <v>63</v>
      </c>
      <c r="AV92" s="86" t="str">
        <f>HYPERLINK("https://abs.twimg.com/images/themes/theme1/bg.png")</f>
        <v>https://abs.twimg.com/images/themes/theme1/bg.png</v>
      </c>
      <c r="AW92" s="79" t="b">
        <v>0</v>
      </c>
      <c r="AX92" s="79" t="s">
        <v>2381</v>
      </c>
      <c r="AY92" s="86" t="str">
        <f>HYPERLINK("https://twitter.com/genezubovich")</f>
        <v>https://twitter.com/genezubovich</v>
      </c>
      <c r="AZ92" s="79" t="s">
        <v>66</v>
      </c>
      <c r="BA92" s="50" t="s">
        <v>2584</v>
      </c>
      <c r="BB92" s="50" t="s">
        <v>2584</v>
      </c>
      <c r="BC92" s="50" t="s">
        <v>632</v>
      </c>
      <c r="BD92" s="50" t="s">
        <v>632</v>
      </c>
      <c r="BE92" s="50" t="s">
        <v>357</v>
      </c>
      <c r="BF92" s="50" t="s">
        <v>357</v>
      </c>
      <c r="BG92" s="108" t="s">
        <v>2883</v>
      </c>
      <c r="BH92" s="108" t="s">
        <v>2883</v>
      </c>
      <c r="BI92" s="108" t="s">
        <v>3045</v>
      </c>
      <c r="BJ92" s="108" t="s">
        <v>3045</v>
      </c>
      <c r="BK92" s="2"/>
      <c r="BL92" s="3"/>
      <c r="BM92" s="3"/>
      <c r="BN92" s="3"/>
      <c r="BO92" s="3"/>
    </row>
    <row r="93" spans="1:67" x14ac:dyDescent="0.25">
      <c r="A93" s="65" t="s">
        <v>271</v>
      </c>
      <c r="B93" s="66"/>
      <c r="C93" s="66"/>
      <c r="D93" s="67"/>
      <c r="E93" s="69"/>
      <c r="F93" s="103" t="str">
        <f>HYPERLINK("https://pbs.twimg.com/profile_images/1476987920603140105/9N0-uzH__normal.jpg")</f>
        <v>https://pbs.twimg.com/profile_images/1476987920603140105/9N0-uzH__normal.jpg</v>
      </c>
      <c r="G93" s="66"/>
      <c r="H93" s="70"/>
      <c r="I93" s="71"/>
      <c r="J93" s="71"/>
      <c r="K93" s="70" t="s">
        <v>2471</v>
      </c>
      <c r="L93" s="74"/>
      <c r="M93" s="75">
        <v>4541.0625</v>
      </c>
      <c r="N93" s="75">
        <v>918.21002197265625</v>
      </c>
      <c r="O93" s="76"/>
      <c r="P93" s="77"/>
      <c r="Q93" s="77"/>
      <c r="R93" s="89"/>
      <c r="S93" s="50">
        <v>0</v>
      </c>
      <c r="T93" s="50">
        <v>3</v>
      </c>
      <c r="U93" s="51">
        <v>21.666667</v>
      </c>
      <c r="V93" s="51">
        <v>0.26774199999999998</v>
      </c>
      <c r="W93" s="51">
        <v>1.3332E-2</v>
      </c>
      <c r="X93" s="51">
        <v>4.8079999999999998E-3</v>
      </c>
      <c r="Y93" s="51">
        <v>0.5</v>
      </c>
      <c r="Z93" s="51">
        <v>0</v>
      </c>
      <c r="AA93" s="72">
        <v>93</v>
      </c>
      <c r="AB93" s="72"/>
      <c r="AC93" s="73"/>
      <c r="AD93" s="79" t="s">
        <v>1818</v>
      </c>
      <c r="AE93" s="84" t="s">
        <v>2011</v>
      </c>
      <c r="AF93" s="79">
        <v>335</v>
      </c>
      <c r="AG93" s="79">
        <v>1231</v>
      </c>
      <c r="AH93" s="79">
        <v>7859</v>
      </c>
      <c r="AI93" s="79">
        <v>284</v>
      </c>
      <c r="AJ93" s="79"/>
      <c r="AK93" s="79" t="s">
        <v>2202</v>
      </c>
      <c r="AL93" s="79" t="s">
        <v>2331</v>
      </c>
      <c r="AM93" s="86" t="str">
        <f>HYPERLINK("https://t.co/0bZ9P8ZVo1")</f>
        <v>https://t.co/0bZ9P8ZVo1</v>
      </c>
      <c r="AN93" s="79"/>
      <c r="AO93" s="81">
        <v>40078.859143518515</v>
      </c>
      <c r="AP93" s="86" t="str">
        <f>HYPERLINK("https://pbs.twimg.com/profile_banners/76442501/1640976322")</f>
        <v>https://pbs.twimg.com/profile_banners/76442501/1640976322</v>
      </c>
      <c r="AQ93" s="79" t="b">
        <v>0</v>
      </c>
      <c r="AR93" s="79" t="b">
        <v>0</v>
      </c>
      <c r="AS93" s="79" t="b">
        <v>1</v>
      </c>
      <c r="AT93" s="79"/>
      <c r="AU93" s="79">
        <v>57</v>
      </c>
      <c r="AV93" s="86" t="str">
        <f>HYPERLINK("https://abs.twimg.com/images/themes/theme1/bg.png")</f>
        <v>https://abs.twimg.com/images/themes/theme1/bg.png</v>
      </c>
      <c r="AW93" s="79" t="b">
        <v>0</v>
      </c>
      <c r="AX93" s="79" t="s">
        <v>2381</v>
      </c>
      <c r="AY93" s="86" t="str">
        <f>HYPERLINK("https://twitter.com/rfsuny")</f>
        <v>https://twitter.com/rfsuny</v>
      </c>
      <c r="AZ93" s="79" t="s">
        <v>66</v>
      </c>
      <c r="BA93" s="50" t="s">
        <v>2672</v>
      </c>
      <c r="BB93" s="50" t="s">
        <v>2672</v>
      </c>
      <c r="BC93" s="50" t="s">
        <v>632</v>
      </c>
      <c r="BD93" s="50" t="s">
        <v>632</v>
      </c>
      <c r="BE93" s="50" t="s">
        <v>357</v>
      </c>
      <c r="BF93" s="50" t="s">
        <v>357</v>
      </c>
      <c r="BG93" s="108" t="s">
        <v>2884</v>
      </c>
      <c r="BH93" s="108" t="s">
        <v>2884</v>
      </c>
      <c r="BI93" s="108" t="s">
        <v>3046</v>
      </c>
      <c r="BJ93" s="108" t="s">
        <v>3046</v>
      </c>
      <c r="BK93" s="2"/>
      <c r="BL93" s="3"/>
      <c r="BM93" s="3"/>
      <c r="BN93" s="3"/>
      <c r="BO93" s="3"/>
    </row>
    <row r="94" spans="1:67" x14ac:dyDescent="0.25">
      <c r="A94" s="65" t="s">
        <v>396</v>
      </c>
      <c r="B94" s="66"/>
      <c r="C94" s="66"/>
      <c r="D94" s="67"/>
      <c r="E94" s="69"/>
      <c r="F94" s="103" t="str">
        <f>HYPERLINK("https://pbs.twimg.com/profile_images/1437397303548170240/t4pO6YLr_normal.jpg")</f>
        <v>https://pbs.twimg.com/profile_images/1437397303548170240/t4pO6YLr_normal.jpg</v>
      </c>
      <c r="G94" s="66"/>
      <c r="H94" s="70"/>
      <c r="I94" s="71"/>
      <c r="J94" s="71"/>
      <c r="K94" s="70" t="s">
        <v>2472</v>
      </c>
      <c r="L94" s="74"/>
      <c r="M94" s="75">
        <v>3289.42626953125</v>
      </c>
      <c r="N94" s="75">
        <v>1816.4989013671875</v>
      </c>
      <c r="O94" s="76"/>
      <c r="P94" s="77"/>
      <c r="Q94" s="77"/>
      <c r="R94" s="89"/>
      <c r="S94" s="50">
        <v>3</v>
      </c>
      <c r="T94" s="50">
        <v>0</v>
      </c>
      <c r="U94" s="51">
        <v>63.066667000000002</v>
      </c>
      <c r="V94" s="51">
        <v>0.27558899999999997</v>
      </c>
      <c r="W94" s="51">
        <v>1.8608E-2</v>
      </c>
      <c r="X94" s="51">
        <v>4.7679999999999997E-3</v>
      </c>
      <c r="Y94" s="51">
        <v>0.16666666666666666</v>
      </c>
      <c r="Z94" s="51">
        <v>0</v>
      </c>
      <c r="AA94" s="72">
        <v>94</v>
      </c>
      <c r="AB94" s="72"/>
      <c r="AC94" s="73"/>
      <c r="AD94" s="79" t="s">
        <v>1819</v>
      </c>
      <c r="AE94" s="84" t="s">
        <v>2012</v>
      </c>
      <c r="AF94" s="79">
        <v>857</v>
      </c>
      <c r="AG94" s="79">
        <v>29832</v>
      </c>
      <c r="AH94" s="79">
        <v>29814</v>
      </c>
      <c r="AI94" s="79">
        <v>11058</v>
      </c>
      <c r="AJ94" s="79"/>
      <c r="AK94" s="79" t="s">
        <v>2203</v>
      </c>
      <c r="AL94" s="79" t="s">
        <v>1703</v>
      </c>
      <c r="AM94" s="86" t="str">
        <f>HYPERLINK("https://t.co/3ahlv8CrGj")</f>
        <v>https://t.co/3ahlv8CrGj</v>
      </c>
      <c r="AN94" s="79"/>
      <c r="AO94" s="81">
        <v>40058.803807870368</v>
      </c>
      <c r="AP94" s="86" t="str">
        <f>HYPERLINK("https://pbs.twimg.com/profile_banners/71048920/1631534826")</f>
        <v>https://pbs.twimg.com/profile_banners/71048920/1631534826</v>
      </c>
      <c r="AQ94" s="79" t="b">
        <v>0</v>
      </c>
      <c r="AR94" s="79" t="b">
        <v>0</v>
      </c>
      <c r="AS94" s="79" t="b">
        <v>1</v>
      </c>
      <c r="AT94" s="79"/>
      <c r="AU94" s="79">
        <v>562</v>
      </c>
      <c r="AV94" s="86" t="str">
        <f>HYPERLINK("https://abs.twimg.com/images/themes/theme1/bg.png")</f>
        <v>https://abs.twimg.com/images/themes/theme1/bg.png</v>
      </c>
      <c r="AW94" s="79" t="b">
        <v>1</v>
      </c>
      <c r="AX94" s="79" t="s">
        <v>2381</v>
      </c>
      <c r="AY94" s="86" t="str">
        <f>HYPERLINK("https://twitter.com/suny")</f>
        <v>https://twitter.com/suny</v>
      </c>
      <c r="AZ94" s="79" t="s">
        <v>65</v>
      </c>
      <c r="BA94" s="50"/>
      <c r="BB94" s="50"/>
      <c r="BC94" s="50"/>
      <c r="BD94" s="50"/>
      <c r="BE94" s="50"/>
      <c r="BF94" s="50"/>
      <c r="BG94" s="50"/>
      <c r="BH94" s="50"/>
      <c r="BI94" s="50"/>
      <c r="BJ94" s="50"/>
      <c r="BK94" s="2"/>
      <c r="BL94" s="3"/>
      <c r="BM94" s="3"/>
      <c r="BN94" s="3"/>
      <c r="BO94" s="3"/>
    </row>
    <row r="95" spans="1:67" x14ac:dyDescent="0.25">
      <c r="A95" s="65" t="s">
        <v>304</v>
      </c>
      <c r="B95" s="66"/>
      <c r="C95" s="66"/>
      <c r="D95" s="67"/>
      <c r="E95" s="69"/>
      <c r="F95" s="103" t="str">
        <f>HYPERLINK("https://pbs.twimg.com/profile_images/1272985762523471872/3YZZE5LD_normal.jpg")</f>
        <v>https://pbs.twimg.com/profile_images/1272985762523471872/3YZZE5LD_normal.jpg</v>
      </c>
      <c r="G95" s="66"/>
      <c r="H95" s="70"/>
      <c r="I95" s="71"/>
      <c r="J95" s="71"/>
      <c r="K95" s="70" t="s">
        <v>2473</v>
      </c>
      <c r="L95" s="74"/>
      <c r="M95" s="75">
        <v>5281.44482421875</v>
      </c>
      <c r="N95" s="75">
        <v>4800.87255859375</v>
      </c>
      <c r="O95" s="76"/>
      <c r="P95" s="77"/>
      <c r="Q95" s="77"/>
      <c r="R95" s="89"/>
      <c r="S95" s="50">
        <v>6</v>
      </c>
      <c r="T95" s="50">
        <v>8</v>
      </c>
      <c r="U95" s="51">
        <v>2520.0869170000001</v>
      </c>
      <c r="V95" s="51">
        <v>0.370004</v>
      </c>
      <c r="W95" s="51">
        <v>0.130441</v>
      </c>
      <c r="X95" s="51">
        <v>6.3689999999999997E-3</v>
      </c>
      <c r="Y95" s="51">
        <v>0.1111111111111111</v>
      </c>
      <c r="Z95" s="51">
        <v>0.2</v>
      </c>
      <c r="AA95" s="72">
        <v>95</v>
      </c>
      <c r="AB95" s="72"/>
      <c r="AC95" s="73"/>
      <c r="AD95" s="79" t="s">
        <v>1820</v>
      </c>
      <c r="AE95" s="84" t="s">
        <v>2013</v>
      </c>
      <c r="AF95" s="79">
        <v>835</v>
      </c>
      <c r="AG95" s="79">
        <v>2168</v>
      </c>
      <c r="AH95" s="79">
        <v>3286</v>
      </c>
      <c r="AI95" s="79">
        <v>2818</v>
      </c>
      <c r="AJ95" s="79"/>
      <c r="AK95" s="79" t="s">
        <v>2204</v>
      </c>
      <c r="AL95" s="79" t="s">
        <v>1694</v>
      </c>
      <c r="AM95" s="86" t="str">
        <f>HYPERLINK("https://t.co/72N5j1cph1")</f>
        <v>https://t.co/72N5j1cph1</v>
      </c>
      <c r="AN95" s="79"/>
      <c r="AO95" s="81">
        <v>41409.551192129627</v>
      </c>
      <c r="AP95" s="86" t="str">
        <f>HYPERLINK("https://pbs.twimg.com/profile_banners/1430469198/1523474672")</f>
        <v>https://pbs.twimg.com/profile_banners/1430469198/1523474672</v>
      </c>
      <c r="AQ95" s="79" t="b">
        <v>0</v>
      </c>
      <c r="AR95" s="79" t="b">
        <v>0</v>
      </c>
      <c r="AS95" s="79" t="b">
        <v>0</v>
      </c>
      <c r="AT95" s="79"/>
      <c r="AU95" s="79">
        <v>52</v>
      </c>
      <c r="AV95" s="86" t="str">
        <f>HYPERLINK("https://abs.twimg.com/images/themes/theme1/bg.png")</f>
        <v>https://abs.twimg.com/images/themes/theme1/bg.png</v>
      </c>
      <c r="AW95" s="79" t="b">
        <v>0</v>
      </c>
      <c r="AX95" s="79" t="s">
        <v>2381</v>
      </c>
      <c r="AY95" s="86" t="str">
        <f>HYPERLINK("https://twitter.com/ubengineering")</f>
        <v>https://twitter.com/ubengineering</v>
      </c>
      <c r="AZ95" s="79" t="s">
        <v>66</v>
      </c>
      <c r="BA95" s="50" t="s">
        <v>2673</v>
      </c>
      <c r="BB95" s="50" t="s">
        <v>2673</v>
      </c>
      <c r="BC95" s="50" t="s">
        <v>632</v>
      </c>
      <c r="BD95" s="50" t="s">
        <v>632</v>
      </c>
      <c r="BE95" s="50" t="s">
        <v>697</v>
      </c>
      <c r="BF95" s="50" t="s">
        <v>2801</v>
      </c>
      <c r="BG95" s="108" t="s">
        <v>2885</v>
      </c>
      <c r="BH95" s="108" t="s">
        <v>2962</v>
      </c>
      <c r="BI95" s="108" t="s">
        <v>3047</v>
      </c>
      <c r="BJ95" s="108" t="s">
        <v>3047</v>
      </c>
      <c r="BK95" s="2"/>
      <c r="BL95" s="3"/>
      <c r="BM95" s="3"/>
      <c r="BN95" s="3"/>
      <c r="BO95" s="3"/>
    </row>
    <row r="96" spans="1:67" x14ac:dyDescent="0.25">
      <c r="A96" s="65" t="s">
        <v>272</v>
      </c>
      <c r="B96" s="66"/>
      <c r="C96" s="66"/>
      <c r="D96" s="67"/>
      <c r="E96" s="69"/>
      <c r="F96" s="103" t="str">
        <f>HYPERLINK("https://pbs.twimg.com/profile_images/1488522492440420361/6UBVXEoD_normal.jpg")</f>
        <v>https://pbs.twimg.com/profile_images/1488522492440420361/6UBVXEoD_normal.jpg</v>
      </c>
      <c r="G96" s="66"/>
      <c r="H96" s="70"/>
      <c r="I96" s="71"/>
      <c r="J96" s="71"/>
      <c r="K96" s="70" t="s">
        <v>2474</v>
      </c>
      <c r="L96" s="74"/>
      <c r="M96" s="75">
        <v>3515.3515625</v>
      </c>
      <c r="N96" s="75">
        <v>660.42108154296875</v>
      </c>
      <c r="O96" s="76"/>
      <c r="P96" s="77"/>
      <c r="Q96" s="77"/>
      <c r="R96" s="89"/>
      <c r="S96" s="50">
        <v>0</v>
      </c>
      <c r="T96" s="50">
        <v>1</v>
      </c>
      <c r="U96" s="51">
        <v>0</v>
      </c>
      <c r="V96" s="51">
        <v>0.26376500000000003</v>
      </c>
      <c r="W96" s="51">
        <v>6.7239999999999999E-3</v>
      </c>
      <c r="X96" s="51">
        <v>4.4409999999999996E-3</v>
      </c>
      <c r="Y96" s="51">
        <v>0</v>
      </c>
      <c r="Z96" s="51">
        <v>0</v>
      </c>
      <c r="AA96" s="72">
        <v>96</v>
      </c>
      <c r="AB96" s="72"/>
      <c r="AC96" s="73"/>
      <c r="AD96" s="79" t="s">
        <v>1821</v>
      </c>
      <c r="AE96" s="84" t="s">
        <v>2014</v>
      </c>
      <c r="AF96" s="79">
        <v>164</v>
      </c>
      <c r="AG96" s="79">
        <v>50</v>
      </c>
      <c r="AH96" s="79">
        <v>36</v>
      </c>
      <c r="AI96" s="79">
        <v>16</v>
      </c>
      <c r="AJ96" s="79"/>
      <c r="AK96" s="79" t="s">
        <v>2205</v>
      </c>
      <c r="AL96" s="79" t="s">
        <v>1694</v>
      </c>
      <c r="AM96" s="86" t="str">
        <f>HYPERLINK("https://t.co/YiOlJQnhaL")</f>
        <v>https://t.co/YiOlJQnhaL</v>
      </c>
      <c r="AN96" s="79"/>
      <c r="AO96" s="81">
        <v>43922.076516203706</v>
      </c>
      <c r="AP96" s="86" t="str">
        <f>HYPERLINK("https://pbs.twimg.com/profile_banners/1245166484134989830/1643726393")</f>
        <v>https://pbs.twimg.com/profile_banners/1245166484134989830/1643726393</v>
      </c>
      <c r="AQ96" s="79" t="b">
        <v>1</v>
      </c>
      <c r="AR96" s="79" t="b">
        <v>0</v>
      </c>
      <c r="AS96" s="79" t="b">
        <v>0</v>
      </c>
      <c r="AT96" s="79"/>
      <c r="AU96" s="79">
        <v>1</v>
      </c>
      <c r="AV96" s="79"/>
      <c r="AW96" s="79" t="b">
        <v>0</v>
      </c>
      <c r="AX96" s="79" t="s">
        <v>2381</v>
      </c>
      <c r="AY96" s="86" t="str">
        <f>HYPERLINK("https://twitter.com/ub_cel")</f>
        <v>https://twitter.com/ub_cel</v>
      </c>
      <c r="AZ96" s="79" t="s">
        <v>66</v>
      </c>
      <c r="BA96" s="50" t="s">
        <v>2674</v>
      </c>
      <c r="BB96" s="50" t="s">
        <v>2674</v>
      </c>
      <c r="BC96" s="50" t="s">
        <v>632</v>
      </c>
      <c r="BD96" s="50" t="s">
        <v>632</v>
      </c>
      <c r="BE96" s="50" t="s">
        <v>684</v>
      </c>
      <c r="BF96" s="50" t="s">
        <v>684</v>
      </c>
      <c r="BG96" s="108" t="s">
        <v>2886</v>
      </c>
      <c r="BH96" s="108" t="s">
        <v>2886</v>
      </c>
      <c r="BI96" s="108" t="s">
        <v>3048</v>
      </c>
      <c r="BJ96" s="108" t="s">
        <v>3048</v>
      </c>
      <c r="BK96" s="2"/>
      <c r="BL96" s="3"/>
      <c r="BM96" s="3"/>
      <c r="BN96" s="3"/>
      <c r="BO96" s="3"/>
    </row>
    <row r="97" spans="1:67" x14ac:dyDescent="0.25">
      <c r="A97" s="65" t="s">
        <v>273</v>
      </c>
      <c r="B97" s="66"/>
      <c r="C97" s="66"/>
      <c r="D97" s="67"/>
      <c r="E97" s="69"/>
      <c r="F97" s="103" t="str">
        <f>HYPERLINK("https://pbs.twimg.com/profile_images/1448867507167715334/HV029ZxR_normal.jpg")</f>
        <v>https://pbs.twimg.com/profile_images/1448867507167715334/HV029ZxR_normal.jpg</v>
      </c>
      <c r="G97" s="66"/>
      <c r="H97" s="70"/>
      <c r="I97" s="71"/>
      <c r="J97" s="71"/>
      <c r="K97" s="70" t="s">
        <v>2475</v>
      </c>
      <c r="L97" s="74"/>
      <c r="M97" s="75">
        <v>8149.58251953125</v>
      </c>
      <c r="N97" s="75">
        <v>5748.353515625</v>
      </c>
      <c r="O97" s="76"/>
      <c r="P97" s="77"/>
      <c r="Q97" s="77"/>
      <c r="R97" s="89"/>
      <c r="S97" s="50">
        <v>1</v>
      </c>
      <c r="T97" s="50">
        <v>1</v>
      </c>
      <c r="U97" s="51">
        <v>0</v>
      </c>
      <c r="V97" s="51">
        <v>0</v>
      </c>
      <c r="W97" s="51">
        <v>0</v>
      </c>
      <c r="X97" s="51">
        <v>5.0759999999999998E-3</v>
      </c>
      <c r="Y97" s="51">
        <v>0</v>
      </c>
      <c r="Z97" s="51">
        <v>0</v>
      </c>
      <c r="AA97" s="72">
        <v>97</v>
      </c>
      <c r="AB97" s="72"/>
      <c r="AC97" s="73"/>
      <c r="AD97" s="79" t="s">
        <v>1822</v>
      </c>
      <c r="AE97" s="84" t="s">
        <v>2015</v>
      </c>
      <c r="AF97" s="79">
        <v>61</v>
      </c>
      <c r="AG97" s="79">
        <v>605</v>
      </c>
      <c r="AH97" s="79">
        <v>23427</v>
      </c>
      <c r="AI97" s="79">
        <v>8411</v>
      </c>
      <c r="AJ97" s="79"/>
      <c r="AK97" s="79" t="s">
        <v>2206</v>
      </c>
      <c r="AL97" s="79" t="s">
        <v>2305</v>
      </c>
      <c r="AM97" s="86" t="str">
        <f>HYPERLINK("https://t.co/0v4WU3taEz")</f>
        <v>https://t.co/0v4WU3taEz</v>
      </c>
      <c r="AN97" s="79"/>
      <c r="AO97" s="81">
        <v>44060.879594907405</v>
      </c>
      <c r="AP97" s="86" t="str">
        <f>HYPERLINK("https://pbs.twimg.com/profile_banners/1295465054171799554/1621983845")</f>
        <v>https://pbs.twimg.com/profile_banners/1295465054171799554/1621983845</v>
      </c>
      <c r="AQ97" s="79" t="b">
        <v>1</v>
      </c>
      <c r="AR97" s="79" t="b">
        <v>0</v>
      </c>
      <c r="AS97" s="79" t="b">
        <v>0</v>
      </c>
      <c r="AT97" s="79"/>
      <c r="AU97" s="79">
        <v>7</v>
      </c>
      <c r="AV97" s="79"/>
      <c r="AW97" s="79" t="b">
        <v>0</v>
      </c>
      <c r="AX97" s="79" t="s">
        <v>2381</v>
      </c>
      <c r="AY97" s="86" t="str">
        <f>HYPERLINK("https://twitter.com/pickpub")</f>
        <v>https://twitter.com/pickpub</v>
      </c>
      <c r="AZ97" s="79" t="s">
        <v>66</v>
      </c>
      <c r="BA97" s="50" t="s">
        <v>2675</v>
      </c>
      <c r="BB97" s="50" t="s">
        <v>2675</v>
      </c>
      <c r="BC97" s="50" t="s">
        <v>645</v>
      </c>
      <c r="BD97" s="50" t="s">
        <v>645</v>
      </c>
      <c r="BE97" s="50" t="s">
        <v>685</v>
      </c>
      <c r="BF97" s="50" t="s">
        <v>2802</v>
      </c>
      <c r="BG97" s="108" t="s">
        <v>2887</v>
      </c>
      <c r="BH97" s="108" t="s">
        <v>2963</v>
      </c>
      <c r="BI97" s="108" t="s">
        <v>3049</v>
      </c>
      <c r="BJ97" s="108" t="s">
        <v>3103</v>
      </c>
      <c r="BK97" s="2"/>
      <c r="BL97" s="3"/>
      <c r="BM97" s="3"/>
      <c r="BN97" s="3"/>
      <c r="BO97" s="3"/>
    </row>
    <row r="98" spans="1:67" x14ac:dyDescent="0.25">
      <c r="A98" s="65" t="s">
        <v>274</v>
      </c>
      <c r="B98" s="66"/>
      <c r="C98" s="66"/>
      <c r="D98" s="67"/>
      <c r="E98" s="69"/>
      <c r="F98" s="103" t="str">
        <f>HYPERLINK("https://pbs.twimg.com/profile_images/942757046952321025/qfAUWWSn_normal.jpg")</f>
        <v>https://pbs.twimg.com/profile_images/942757046952321025/qfAUWWSn_normal.jpg</v>
      </c>
      <c r="G98" s="66"/>
      <c r="H98" s="70"/>
      <c r="I98" s="71"/>
      <c r="J98" s="71"/>
      <c r="K98" s="70" t="s">
        <v>2476</v>
      </c>
      <c r="L98" s="74"/>
      <c r="M98" s="75">
        <v>2589.6826171875</v>
      </c>
      <c r="N98" s="75">
        <v>3768.572021484375</v>
      </c>
      <c r="O98" s="76"/>
      <c r="P98" s="77"/>
      <c r="Q98" s="77"/>
      <c r="R98" s="89"/>
      <c r="S98" s="50">
        <v>0</v>
      </c>
      <c r="T98" s="50">
        <v>3</v>
      </c>
      <c r="U98" s="51">
        <v>97.919048000000004</v>
      </c>
      <c r="V98" s="51">
        <v>0.28956900000000002</v>
      </c>
      <c r="W98" s="51">
        <v>1.7139999999999999E-2</v>
      </c>
      <c r="X98" s="51">
        <v>4.6769999999999997E-3</v>
      </c>
      <c r="Y98" s="51">
        <v>0.16666666666666666</v>
      </c>
      <c r="Z98" s="51">
        <v>0</v>
      </c>
      <c r="AA98" s="72">
        <v>98</v>
      </c>
      <c r="AB98" s="72"/>
      <c r="AC98" s="73"/>
      <c r="AD98" s="79" t="s">
        <v>1823</v>
      </c>
      <c r="AE98" s="84" t="s">
        <v>2016</v>
      </c>
      <c r="AF98" s="79">
        <v>484</v>
      </c>
      <c r="AG98" s="79">
        <v>301</v>
      </c>
      <c r="AH98" s="79">
        <v>3511</v>
      </c>
      <c r="AI98" s="79">
        <v>5686</v>
      </c>
      <c r="AJ98" s="79"/>
      <c r="AK98" s="79" t="s">
        <v>2207</v>
      </c>
      <c r="AL98" s="79" t="s">
        <v>1694</v>
      </c>
      <c r="AM98" s="86" t="str">
        <f>HYPERLINK("https://t.co/IxGcS7Z4gq")</f>
        <v>https://t.co/IxGcS7Z4gq</v>
      </c>
      <c r="AN98" s="79"/>
      <c r="AO98" s="81">
        <v>43087.575069444443</v>
      </c>
      <c r="AP98" s="86" t="str">
        <f>HYPERLINK("https://pbs.twimg.com/profile_banners/942753341414703104/1513605837")</f>
        <v>https://pbs.twimg.com/profile_banners/942753341414703104/1513605837</v>
      </c>
      <c r="AQ98" s="79" t="b">
        <v>0</v>
      </c>
      <c r="AR98" s="79" t="b">
        <v>0</v>
      </c>
      <c r="AS98" s="79" t="b">
        <v>1</v>
      </c>
      <c r="AT98" s="79"/>
      <c r="AU98" s="79">
        <v>1</v>
      </c>
      <c r="AV98" s="86" t="str">
        <f>HYPERLINK("https://abs.twimg.com/images/themes/theme1/bg.png")</f>
        <v>https://abs.twimg.com/images/themes/theme1/bg.png</v>
      </c>
      <c r="AW98" s="79" t="b">
        <v>0</v>
      </c>
      <c r="AX98" s="79" t="s">
        <v>2381</v>
      </c>
      <c r="AY98" s="86" t="str">
        <f>HYPERLINK("https://twitter.com/ubhjkri")</f>
        <v>https://twitter.com/ubhjkri</v>
      </c>
      <c r="AZ98" s="79" t="s">
        <v>66</v>
      </c>
      <c r="BA98" s="50" t="s">
        <v>2676</v>
      </c>
      <c r="BB98" s="50" t="s">
        <v>2676</v>
      </c>
      <c r="BC98" s="50" t="s">
        <v>648</v>
      </c>
      <c r="BD98" s="50" t="s">
        <v>2721</v>
      </c>
      <c r="BE98" s="50" t="s">
        <v>2763</v>
      </c>
      <c r="BF98" s="50" t="s">
        <v>687</v>
      </c>
      <c r="BG98" s="108" t="s">
        <v>2888</v>
      </c>
      <c r="BH98" s="108" t="s">
        <v>2964</v>
      </c>
      <c r="BI98" s="108" t="s">
        <v>3050</v>
      </c>
      <c r="BJ98" s="108" t="s">
        <v>3050</v>
      </c>
      <c r="BK98" s="2"/>
      <c r="BL98" s="3"/>
      <c r="BM98" s="3"/>
      <c r="BN98" s="3"/>
      <c r="BO98" s="3"/>
    </row>
    <row r="99" spans="1:67" x14ac:dyDescent="0.25">
      <c r="A99" s="65" t="s">
        <v>275</v>
      </c>
      <c r="B99" s="66"/>
      <c r="C99" s="66"/>
      <c r="D99" s="67"/>
      <c r="E99" s="69"/>
      <c r="F99" s="103" t="str">
        <f>HYPERLINK("https://pbs.twimg.com/profile_images/3239094687/c324331d65dc19792d3a81bce94251cf_normal.jpeg")</f>
        <v>https://pbs.twimg.com/profile_images/3239094687/c324331d65dc19792d3a81bce94251cf_normal.jpeg</v>
      </c>
      <c r="G99" s="66"/>
      <c r="H99" s="70"/>
      <c r="I99" s="71"/>
      <c r="J99" s="71"/>
      <c r="K99" s="70" t="s">
        <v>2477</v>
      </c>
      <c r="L99" s="74"/>
      <c r="M99" s="75">
        <v>1607.0428466796875</v>
      </c>
      <c r="N99" s="75">
        <v>6044.130859375</v>
      </c>
      <c r="O99" s="76"/>
      <c r="P99" s="77"/>
      <c r="Q99" s="77"/>
      <c r="R99" s="89"/>
      <c r="S99" s="50">
        <v>0</v>
      </c>
      <c r="T99" s="50">
        <v>1</v>
      </c>
      <c r="U99" s="51">
        <v>0</v>
      </c>
      <c r="V99" s="51">
        <v>0.26729399999999998</v>
      </c>
      <c r="W99" s="51">
        <v>6.2690000000000003E-3</v>
      </c>
      <c r="X99" s="51">
        <v>4.4200000000000003E-3</v>
      </c>
      <c r="Y99" s="51">
        <v>0</v>
      </c>
      <c r="Z99" s="51">
        <v>0</v>
      </c>
      <c r="AA99" s="72">
        <v>99</v>
      </c>
      <c r="AB99" s="72"/>
      <c r="AC99" s="73"/>
      <c r="AD99" s="79" t="s">
        <v>1824</v>
      </c>
      <c r="AE99" s="84" t="s">
        <v>2017</v>
      </c>
      <c r="AF99" s="79">
        <v>130</v>
      </c>
      <c r="AG99" s="79">
        <v>42</v>
      </c>
      <c r="AH99" s="79">
        <v>662</v>
      </c>
      <c r="AI99" s="79">
        <v>5553</v>
      </c>
      <c r="AJ99" s="79"/>
      <c r="AK99" s="79" t="s">
        <v>2208</v>
      </c>
      <c r="AL99" s="79"/>
      <c r="AM99" s="79"/>
      <c r="AN99" s="79"/>
      <c r="AO99" s="81">
        <v>41316.567499999997</v>
      </c>
      <c r="AP99" s="79"/>
      <c r="AQ99" s="79" t="b">
        <v>1</v>
      </c>
      <c r="AR99" s="79" t="b">
        <v>0</v>
      </c>
      <c r="AS99" s="79" t="b">
        <v>0</v>
      </c>
      <c r="AT99" s="79"/>
      <c r="AU99" s="79">
        <v>0</v>
      </c>
      <c r="AV99" s="86" t="str">
        <f>HYPERLINK("https://abs.twimg.com/images/themes/theme1/bg.png")</f>
        <v>https://abs.twimg.com/images/themes/theme1/bg.png</v>
      </c>
      <c r="AW99" s="79" t="b">
        <v>0</v>
      </c>
      <c r="AX99" s="79" t="s">
        <v>2381</v>
      </c>
      <c r="AY99" s="86" t="str">
        <f>HYPERLINK("https://twitter.com/amerunipt")</f>
        <v>https://twitter.com/amerunipt</v>
      </c>
      <c r="AZ99" s="79" t="s">
        <v>66</v>
      </c>
      <c r="BA99" s="50" t="s">
        <v>2677</v>
      </c>
      <c r="BB99" s="50" t="s">
        <v>2677</v>
      </c>
      <c r="BC99" s="50" t="s">
        <v>632</v>
      </c>
      <c r="BD99" s="50" t="s">
        <v>632</v>
      </c>
      <c r="BE99" s="50" t="s">
        <v>687</v>
      </c>
      <c r="BF99" s="50" t="s">
        <v>687</v>
      </c>
      <c r="BG99" s="108" t="s">
        <v>2889</v>
      </c>
      <c r="BH99" s="108" t="s">
        <v>2889</v>
      </c>
      <c r="BI99" s="108" t="s">
        <v>3051</v>
      </c>
      <c r="BJ99" s="108" t="s">
        <v>3051</v>
      </c>
      <c r="BK99" s="2"/>
      <c r="BL99" s="3"/>
      <c r="BM99" s="3"/>
      <c r="BN99" s="3"/>
      <c r="BO99" s="3"/>
    </row>
    <row r="100" spans="1:67" x14ac:dyDescent="0.25">
      <c r="A100" s="65" t="s">
        <v>276</v>
      </c>
      <c r="B100" s="66"/>
      <c r="C100" s="66"/>
      <c r="D100" s="67"/>
      <c r="E100" s="69"/>
      <c r="F100" s="103" t="str">
        <f>HYPERLINK("https://pbs.twimg.com/profile_images/1281605470541627392/lcOOT9nz_normal.jpg")</f>
        <v>https://pbs.twimg.com/profile_images/1281605470541627392/lcOOT9nz_normal.jpg</v>
      </c>
      <c r="G100" s="66"/>
      <c r="H100" s="70"/>
      <c r="I100" s="71"/>
      <c r="J100" s="71"/>
      <c r="K100" s="70" t="s">
        <v>2478</v>
      </c>
      <c r="L100" s="74"/>
      <c r="M100" s="75">
        <v>8843.93359375</v>
      </c>
      <c r="N100" s="75">
        <v>4084.126708984375</v>
      </c>
      <c r="O100" s="76"/>
      <c r="P100" s="77"/>
      <c r="Q100" s="77"/>
      <c r="R100" s="89"/>
      <c r="S100" s="50">
        <v>0</v>
      </c>
      <c r="T100" s="50">
        <v>1</v>
      </c>
      <c r="U100" s="51">
        <v>0</v>
      </c>
      <c r="V100" s="51">
        <v>0.26075300000000001</v>
      </c>
      <c r="W100" s="51">
        <v>7.2659999999999999E-3</v>
      </c>
      <c r="X100" s="51">
        <v>4.4200000000000003E-3</v>
      </c>
      <c r="Y100" s="51">
        <v>0</v>
      </c>
      <c r="Z100" s="51">
        <v>0</v>
      </c>
      <c r="AA100" s="72">
        <v>100</v>
      </c>
      <c r="AB100" s="72"/>
      <c r="AC100" s="73"/>
      <c r="AD100" s="79" t="s">
        <v>1825</v>
      </c>
      <c r="AE100" s="84" t="s">
        <v>2018</v>
      </c>
      <c r="AF100" s="79">
        <v>525</v>
      </c>
      <c r="AG100" s="79">
        <v>102</v>
      </c>
      <c r="AH100" s="79">
        <v>323</v>
      </c>
      <c r="AI100" s="79">
        <v>635</v>
      </c>
      <c r="AJ100" s="79"/>
      <c r="AK100" s="79" t="s">
        <v>2209</v>
      </c>
      <c r="AL100" s="79" t="s">
        <v>2332</v>
      </c>
      <c r="AM100" s="79"/>
      <c r="AN100" s="79"/>
      <c r="AO100" s="81">
        <v>41377.769201388888</v>
      </c>
      <c r="AP100" s="86" t="str">
        <f>HYPERLINK("https://pbs.twimg.com/profile_banners/1349914874/1450585157")</f>
        <v>https://pbs.twimg.com/profile_banners/1349914874/1450585157</v>
      </c>
      <c r="AQ100" s="79" t="b">
        <v>0</v>
      </c>
      <c r="AR100" s="79" t="b">
        <v>0</v>
      </c>
      <c r="AS100" s="79" t="b">
        <v>0</v>
      </c>
      <c r="AT100" s="79"/>
      <c r="AU100" s="79">
        <v>0</v>
      </c>
      <c r="AV100" s="86" t="str">
        <f>HYPERLINK("https://abs.twimg.com/images/themes/theme1/bg.png")</f>
        <v>https://abs.twimg.com/images/themes/theme1/bg.png</v>
      </c>
      <c r="AW100" s="79" t="b">
        <v>0</v>
      </c>
      <c r="AX100" s="79" t="s">
        <v>2381</v>
      </c>
      <c r="AY100" s="86" t="str">
        <f>HYPERLINK("https://twitter.com/ntechnocrat")</f>
        <v>https://twitter.com/ntechnocrat</v>
      </c>
      <c r="AZ100" s="79" t="s">
        <v>66</v>
      </c>
      <c r="BA100" s="50"/>
      <c r="BB100" s="50"/>
      <c r="BC100" s="50"/>
      <c r="BD100" s="50"/>
      <c r="BE100" s="50" t="s">
        <v>357</v>
      </c>
      <c r="BF100" s="50" t="s">
        <v>357</v>
      </c>
      <c r="BG100" s="108" t="s">
        <v>2869</v>
      </c>
      <c r="BH100" s="108" t="s">
        <v>2869</v>
      </c>
      <c r="BI100" s="108" t="s">
        <v>3031</v>
      </c>
      <c r="BJ100" s="108" t="s">
        <v>3031</v>
      </c>
      <c r="BK100" s="2"/>
      <c r="BL100" s="3"/>
      <c r="BM100" s="3"/>
      <c r="BN100" s="3"/>
      <c r="BO100" s="3"/>
    </row>
    <row r="101" spans="1:67" x14ac:dyDescent="0.25">
      <c r="A101" s="65" t="s">
        <v>277</v>
      </c>
      <c r="B101" s="66"/>
      <c r="C101" s="66"/>
      <c r="D101" s="67"/>
      <c r="E101" s="69"/>
      <c r="F101" s="103" t="str">
        <f>HYPERLINK("https://pbs.twimg.com/profile_images/1410285596136951808/RmKWDuDn_normal.jpg")</f>
        <v>https://pbs.twimg.com/profile_images/1410285596136951808/RmKWDuDn_normal.jpg</v>
      </c>
      <c r="G101" s="66"/>
      <c r="H101" s="70"/>
      <c r="I101" s="71"/>
      <c r="J101" s="71"/>
      <c r="K101" s="70" t="s">
        <v>2479</v>
      </c>
      <c r="L101" s="74"/>
      <c r="M101" s="75">
        <v>5101.7578125</v>
      </c>
      <c r="N101" s="75">
        <v>2005.176513671875</v>
      </c>
      <c r="O101" s="76"/>
      <c r="P101" s="77"/>
      <c r="Q101" s="77"/>
      <c r="R101" s="89"/>
      <c r="S101" s="50">
        <v>0</v>
      </c>
      <c r="T101" s="50">
        <v>2</v>
      </c>
      <c r="U101" s="51">
        <v>31.238095000000001</v>
      </c>
      <c r="V101" s="51">
        <v>0.29600300000000002</v>
      </c>
      <c r="W101" s="51">
        <v>2.3365E-2</v>
      </c>
      <c r="X101" s="51">
        <v>4.5170000000000002E-3</v>
      </c>
      <c r="Y101" s="51">
        <v>0</v>
      </c>
      <c r="Z101" s="51">
        <v>0</v>
      </c>
      <c r="AA101" s="72">
        <v>101</v>
      </c>
      <c r="AB101" s="72"/>
      <c r="AC101" s="73"/>
      <c r="AD101" s="79" t="s">
        <v>1826</v>
      </c>
      <c r="AE101" s="84" t="s">
        <v>2019</v>
      </c>
      <c r="AF101" s="79">
        <v>41</v>
      </c>
      <c r="AG101" s="79">
        <v>67</v>
      </c>
      <c r="AH101" s="79">
        <v>237</v>
      </c>
      <c r="AI101" s="79">
        <v>227</v>
      </c>
      <c r="AJ101" s="79"/>
      <c r="AK101" s="79" t="s">
        <v>2210</v>
      </c>
      <c r="AL101" s="79" t="s">
        <v>1693</v>
      </c>
      <c r="AM101" s="86" t="str">
        <f>HYPERLINK("https://t.co/Yk8WPs1wf9")</f>
        <v>https://t.co/Yk8WPs1wf9</v>
      </c>
      <c r="AN101" s="79"/>
      <c r="AO101" s="81">
        <v>43991.662476851852</v>
      </c>
      <c r="AP101" s="86" t="str">
        <f>HYPERLINK("https://pbs.twimg.com/profile_banners/1270383605848649730/1591718666")</f>
        <v>https://pbs.twimg.com/profile_banners/1270383605848649730/1591718666</v>
      </c>
      <c r="AQ101" s="79" t="b">
        <v>1</v>
      </c>
      <c r="AR101" s="79" t="b">
        <v>0</v>
      </c>
      <c r="AS101" s="79" t="b">
        <v>0</v>
      </c>
      <c r="AT101" s="79"/>
      <c r="AU101" s="79">
        <v>1</v>
      </c>
      <c r="AV101" s="79"/>
      <c r="AW101" s="79" t="b">
        <v>0</v>
      </c>
      <c r="AX101" s="79" t="s">
        <v>2381</v>
      </c>
      <c r="AY101" s="86" t="str">
        <f>HYPERLINK("https://twitter.com/ubuffaloecon")</f>
        <v>https://twitter.com/ubuffaloecon</v>
      </c>
      <c r="AZ101" s="79" t="s">
        <v>66</v>
      </c>
      <c r="BA101" s="50" t="s">
        <v>2678</v>
      </c>
      <c r="BB101" s="50" t="s">
        <v>2678</v>
      </c>
      <c r="BC101" s="50" t="s">
        <v>632</v>
      </c>
      <c r="BD101" s="50" t="s">
        <v>632</v>
      </c>
      <c r="BE101" s="50" t="s">
        <v>357</v>
      </c>
      <c r="BF101" s="50" t="s">
        <v>357</v>
      </c>
      <c r="BG101" s="108" t="s">
        <v>2890</v>
      </c>
      <c r="BH101" s="108" t="s">
        <v>2965</v>
      </c>
      <c r="BI101" s="108" t="s">
        <v>3052</v>
      </c>
      <c r="BJ101" s="108" t="s">
        <v>3104</v>
      </c>
      <c r="BK101" s="2"/>
      <c r="BL101" s="3"/>
      <c r="BM101" s="3"/>
      <c r="BN101" s="3"/>
      <c r="BO101" s="3"/>
    </row>
    <row r="102" spans="1:67" x14ac:dyDescent="0.25">
      <c r="A102" s="65" t="s">
        <v>379</v>
      </c>
      <c r="B102" s="66"/>
      <c r="C102" s="66"/>
      <c r="D102" s="67"/>
      <c r="E102" s="69"/>
      <c r="F102" s="103" t="str">
        <f>HYPERLINK("https://pbs.twimg.com/profile_images/1294362420790599680/W2zxUHtY_normal.jpg")</f>
        <v>https://pbs.twimg.com/profile_images/1294362420790599680/W2zxUHtY_normal.jpg</v>
      </c>
      <c r="G102" s="66"/>
      <c r="H102" s="70"/>
      <c r="I102" s="71"/>
      <c r="J102" s="71"/>
      <c r="K102" s="70" t="s">
        <v>2480</v>
      </c>
      <c r="L102" s="74"/>
      <c r="M102" s="75">
        <v>5424.228515625</v>
      </c>
      <c r="N102" s="75">
        <v>3395.183837890625</v>
      </c>
      <c r="O102" s="76"/>
      <c r="P102" s="77"/>
      <c r="Q102" s="77"/>
      <c r="R102" s="89"/>
      <c r="S102" s="50">
        <v>1</v>
      </c>
      <c r="T102" s="50">
        <v>5</v>
      </c>
      <c r="U102" s="51">
        <v>429.79740299999997</v>
      </c>
      <c r="V102" s="51">
        <v>0.367452</v>
      </c>
      <c r="W102" s="51">
        <v>6.9624000000000005E-2</v>
      </c>
      <c r="X102" s="51">
        <v>5.5370000000000003E-3</v>
      </c>
      <c r="Y102" s="51">
        <v>0.2</v>
      </c>
      <c r="Z102" s="51">
        <v>0</v>
      </c>
      <c r="AA102" s="72">
        <v>102</v>
      </c>
      <c r="AB102" s="72"/>
      <c r="AC102" s="73"/>
      <c r="AD102" s="79" t="s">
        <v>1827</v>
      </c>
      <c r="AE102" s="84" t="s">
        <v>2020</v>
      </c>
      <c r="AF102" s="79">
        <v>255</v>
      </c>
      <c r="AG102" s="79">
        <v>2334</v>
      </c>
      <c r="AH102" s="79">
        <v>2582</v>
      </c>
      <c r="AI102" s="79">
        <v>1824</v>
      </c>
      <c r="AJ102" s="79"/>
      <c r="AK102" s="79" t="s">
        <v>2211</v>
      </c>
      <c r="AL102" s="79" t="s">
        <v>2333</v>
      </c>
      <c r="AM102" s="86" t="str">
        <f>HYPERLINK("https://t.co/I2csZmiyDt")</f>
        <v>https://t.co/I2csZmiyDt</v>
      </c>
      <c r="AN102" s="79"/>
      <c r="AO102" s="81">
        <v>40126.810844907406</v>
      </c>
      <c r="AP102" s="86" t="str">
        <f>HYPERLINK("https://pbs.twimg.com/profile_banners/88738882/1625841427")</f>
        <v>https://pbs.twimg.com/profile_banners/88738882/1625841427</v>
      </c>
      <c r="AQ102" s="79" t="b">
        <v>0</v>
      </c>
      <c r="AR102" s="79" t="b">
        <v>0</v>
      </c>
      <c r="AS102" s="79" t="b">
        <v>1</v>
      </c>
      <c r="AT102" s="79"/>
      <c r="AU102" s="79">
        <v>45</v>
      </c>
      <c r="AV102" s="86" t="str">
        <f>HYPERLINK("https://abs.twimg.com/images/themes/theme13/bg.gif")</f>
        <v>https://abs.twimg.com/images/themes/theme13/bg.gif</v>
      </c>
      <c r="AW102" s="79" t="b">
        <v>0</v>
      </c>
      <c r="AX102" s="79" t="s">
        <v>2381</v>
      </c>
      <c r="AY102" s="86" t="str">
        <f>HYPERLINK("https://twitter.com/ubcas")</f>
        <v>https://twitter.com/ubcas</v>
      </c>
      <c r="AZ102" s="79" t="s">
        <v>66</v>
      </c>
      <c r="BA102" s="50" t="s">
        <v>2591</v>
      </c>
      <c r="BB102" s="50" t="s">
        <v>2591</v>
      </c>
      <c r="BC102" s="50" t="s">
        <v>632</v>
      </c>
      <c r="BD102" s="50" t="s">
        <v>632</v>
      </c>
      <c r="BE102" s="50" t="s">
        <v>2764</v>
      </c>
      <c r="BF102" s="50" t="s">
        <v>2803</v>
      </c>
      <c r="BG102" s="108" t="s">
        <v>2891</v>
      </c>
      <c r="BH102" s="108" t="s">
        <v>2966</v>
      </c>
      <c r="BI102" s="108" t="s">
        <v>3053</v>
      </c>
      <c r="BJ102" s="108" t="s">
        <v>3053</v>
      </c>
      <c r="BK102" s="2"/>
      <c r="BL102" s="3"/>
      <c r="BM102" s="3"/>
      <c r="BN102" s="3"/>
      <c r="BO102" s="3"/>
    </row>
    <row r="103" spans="1:67" x14ac:dyDescent="0.25">
      <c r="A103" s="65" t="s">
        <v>278</v>
      </c>
      <c r="B103" s="66"/>
      <c r="C103" s="66"/>
      <c r="D103" s="67"/>
      <c r="E103" s="69"/>
      <c r="F103" s="103" t="str">
        <f>HYPERLINK("https://pbs.twimg.com/profile_images/1149318210690396162/ab8XPElx_normal.png")</f>
        <v>https://pbs.twimg.com/profile_images/1149318210690396162/ab8XPElx_normal.png</v>
      </c>
      <c r="G103" s="66"/>
      <c r="H103" s="70"/>
      <c r="I103" s="71"/>
      <c r="J103" s="71"/>
      <c r="K103" s="70" t="s">
        <v>2481</v>
      </c>
      <c r="L103" s="74"/>
      <c r="M103" s="75">
        <v>8463.603515625</v>
      </c>
      <c r="N103" s="75">
        <v>7913.498046875</v>
      </c>
      <c r="O103" s="76"/>
      <c r="P103" s="77"/>
      <c r="Q103" s="77"/>
      <c r="R103" s="89"/>
      <c r="S103" s="50">
        <v>0</v>
      </c>
      <c r="T103" s="50">
        <v>2</v>
      </c>
      <c r="U103" s="51">
        <v>0</v>
      </c>
      <c r="V103" s="51">
        <v>0.17280200000000001</v>
      </c>
      <c r="W103" s="51">
        <v>1.4799999999999999E-4</v>
      </c>
      <c r="X103" s="51">
        <v>4.7499999999999999E-3</v>
      </c>
      <c r="Y103" s="51">
        <v>1</v>
      </c>
      <c r="Z103" s="51">
        <v>0</v>
      </c>
      <c r="AA103" s="72">
        <v>103</v>
      </c>
      <c r="AB103" s="72"/>
      <c r="AC103" s="73"/>
      <c r="AD103" s="79" t="s">
        <v>1828</v>
      </c>
      <c r="AE103" s="84" t="s">
        <v>2021</v>
      </c>
      <c r="AF103" s="79">
        <v>287</v>
      </c>
      <c r="AG103" s="79">
        <v>420</v>
      </c>
      <c r="AH103" s="79">
        <v>107</v>
      </c>
      <c r="AI103" s="79">
        <v>208</v>
      </c>
      <c r="AJ103" s="79"/>
      <c r="AK103" s="79" t="s">
        <v>2212</v>
      </c>
      <c r="AL103" s="79" t="s">
        <v>2334</v>
      </c>
      <c r="AM103" s="86" t="str">
        <f>HYPERLINK("https://t.co/9Rlp7AXKDR")</f>
        <v>https://t.co/9Rlp7AXKDR</v>
      </c>
      <c r="AN103" s="79"/>
      <c r="AO103" s="81">
        <v>41430.721099537041</v>
      </c>
      <c r="AP103" s="86" t="str">
        <f>HYPERLINK("https://pbs.twimg.com/profile_banners/1485518358/1562853930")</f>
        <v>https://pbs.twimg.com/profile_banners/1485518358/1562853930</v>
      </c>
      <c r="AQ103" s="79" t="b">
        <v>1</v>
      </c>
      <c r="AR103" s="79" t="b">
        <v>0</v>
      </c>
      <c r="AS103" s="79" t="b">
        <v>0</v>
      </c>
      <c r="AT103" s="79"/>
      <c r="AU103" s="79">
        <v>6</v>
      </c>
      <c r="AV103" s="86" t="str">
        <f>HYPERLINK("https://abs.twimg.com/images/themes/theme1/bg.png")</f>
        <v>https://abs.twimg.com/images/themes/theme1/bg.png</v>
      </c>
      <c r="AW103" s="79" t="b">
        <v>0</v>
      </c>
      <c r="AX103" s="79" t="s">
        <v>2381</v>
      </c>
      <c r="AY103" s="86" t="str">
        <f>HYPERLINK("https://twitter.com/wnhakala")</f>
        <v>https://twitter.com/wnhakala</v>
      </c>
      <c r="AZ103" s="79" t="s">
        <v>66</v>
      </c>
      <c r="BA103" s="50" t="s">
        <v>2679</v>
      </c>
      <c r="BB103" s="50" t="s">
        <v>2679</v>
      </c>
      <c r="BC103" s="50" t="s">
        <v>633</v>
      </c>
      <c r="BD103" s="50" t="s">
        <v>633</v>
      </c>
      <c r="BE103" s="50" t="s">
        <v>688</v>
      </c>
      <c r="BF103" s="50" t="s">
        <v>688</v>
      </c>
      <c r="BG103" s="108" t="s">
        <v>2892</v>
      </c>
      <c r="BH103" s="108" t="s">
        <v>2892</v>
      </c>
      <c r="BI103" s="108" t="s">
        <v>3054</v>
      </c>
      <c r="BJ103" s="108" t="s">
        <v>3054</v>
      </c>
      <c r="BK103" s="2"/>
      <c r="BL103" s="3"/>
      <c r="BM103" s="3"/>
      <c r="BN103" s="3"/>
      <c r="BO103" s="3"/>
    </row>
    <row r="104" spans="1:67" x14ac:dyDescent="0.25">
      <c r="A104" s="65" t="s">
        <v>285</v>
      </c>
      <c r="B104" s="66"/>
      <c r="C104" s="66"/>
      <c r="D104" s="67"/>
      <c r="E104" s="69"/>
      <c r="F104" s="103" t="str">
        <f>HYPERLINK("https://pbs.twimg.com/profile_images/3609239569/003061952dcf9690f762157a0740eb96_normal.png")</f>
        <v>https://pbs.twimg.com/profile_images/3609239569/003061952dcf9690f762157a0740eb96_normal.png</v>
      </c>
      <c r="G104" s="66"/>
      <c r="H104" s="70"/>
      <c r="I104" s="71"/>
      <c r="J104" s="71"/>
      <c r="K104" s="70" t="s">
        <v>2482</v>
      </c>
      <c r="L104" s="74"/>
      <c r="M104" s="75">
        <v>5518.03173828125</v>
      </c>
      <c r="N104" s="75">
        <v>8433.263671875</v>
      </c>
      <c r="O104" s="76"/>
      <c r="P104" s="77"/>
      <c r="Q104" s="77"/>
      <c r="R104" s="89"/>
      <c r="S104" s="50">
        <v>3</v>
      </c>
      <c r="T104" s="50">
        <v>1</v>
      </c>
      <c r="U104" s="51">
        <v>174</v>
      </c>
      <c r="V104" s="51">
        <v>0.212839</v>
      </c>
      <c r="W104" s="51">
        <v>8.5899999999999995E-4</v>
      </c>
      <c r="X104" s="51">
        <v>5.0920000000000002E-3</v>
      </c>
      <c r="Y104" s="51">
        <v>0.33333333333333331</v>
      </c>
      <c r="Z104" s="51">
        <v>0.33333333333333331</v>
      </c>
      <c r="AA104" s="72">
        <v>104</v>
      </c>
      <c r="AB104" s="72"/>
      <c r="AC104" s="73"/>
      <c r="AD104" s="79" t="s">
        <v>1829</v>
      </c>
      <c r="AE104" s="84" t="s">
        <v>2022</v>
      </c>
      <c r="AF104" s="79">
        <v>70</v>
      </c>
      <c r="AG104" s="79">
        <v>5160</v>
      </c>
      <c r="AH104" s="79">
        <v>3573</v>
      </c>
      <c r="AI104" s="79">
        <v>2192</v>
      </c>
      <c r="AJ104" s="79"/>
      <c r="AK104" s="79" t="s">
        <v>2213</v>
      </c>
      <c r="AL104" s="79" t="s">
        <v>1704</v>
      </c>
      <c r="AM104" s="86" t="str">
        <f>HYPERLINK("https://t.co/fmJA5Y44nN")</f>
        <v>https://t.co/fmJA5Y44nN</v>
      </c>
      <c r="AN104" s="79"/>
      <c r="AO104" s="81">
        <v>40514.822592592594</v>
      </c>
      <c r="AP104" s="86" t="str">
        <f>HYPERLINK("https://pbs.twimg.com/profile_banners/222213918/1638052398")</f>
        <v>https://pbs.twimg.com/profile_banners/222213918/1638052398</v>
      </c>
      <c r="AQ104" s="79" t="b">
        <v>0</v>
      </c>
      <c r="AR104" s="79" t="b">
        <v>0</v>
      </c>
      <c r="AS104" s="79" t="b">
        <v>0</v>
      </c>
      <c r="AT104" s="79"/>
      <c r="AU104" s="79">
        <v>98</v>
      </c>
      <c r="AV104" s="86" t="str">
        <f>HYPERLINK("https://abs.twimg.com/images/themes/theme14/bg.gif")</f>
        <v>https://abs.twimg.com/images/themes/theme14/bg.gif</v>
      </c>
      <c r="AW104" s="79" t="b">
        <v>1</v>
      </c>
      <c r="AX104" s="79" t="s">
        <v>2381</v>
      </c>
      <c r="AY104" s="86" t="str">
        <f>HYPERLINK("https://twitter.com/saadaonline")</f>
        <v>https://twitter.com/saadaonline</v>
      </c>
      <c r="AZ104" s="79" t="s">
        <v>66</v>
      </c>
      <c r="BA104" s="50" t="s">
        <v>2679</v>
      </c>
      <c r="BB104" s="50" t="s">
        <v>2679</v>
      </c>
      <c r="BC104" s="50" t="s">
        <v>633</v>
      </c>
      <c r="BD104" s="50" t="s">
        <v>633</v>
      </c>
      <c r="BE104" s="50" t="s">
        <v>688</v>
      </c>
      <c r="BF104" s="50" t="s">
        <v>688</v>
      </c>
      <c r="BG104" s="108" t="s">
        <v>2892</v>
      </c>
      <c r="BH104" s="108" t="s">
        <v>2892</v>
      </c>
      <c r="BI104" s="108" t="s">
        <v>3054</v>
      </c>
      <c r="BJ104" s="108" t="s">
        <v>3054</v>
      </c>
      <c r="BK104" s="2"/>
      <c r="BL104" s="3"/>
      <c r="BM104" s="3"/>
      <c r="BN104" s="3"/>
      <c r="BO104" s="3"/>
    </row>
    <row r="105" spans="1:67" x14ac:dyDescent="0.25">
      <c r="A105" s="65" t="s">
        <v>279</v>
      </c>
      <c r="B105" s="66"/>
      <c r="C105" s="66"/>
      <c r="D105" s="67"/>
      <c r="E105" s="69"/>
      <c r="F105" s="103" t="str">
        <f>HYPERLINK("https://pbs.twimg.com/profile_images/1427333321596489728/65q36pK__normal.jpg")</f>
        <v>https://pbs.twimg.com/profile_images/1427333321596489728/65q36pK__normal.jpg</v>
      </c>
      <c r="G105" s="66"/>
      <c r="H105" s="70"/>
      <c r="I105" s="71"/>
      <c r="J105" s="71"/>
      <c r="K105" s="70" t="s">
        <v>2483</v>
      </c>
      <c r="L105" s="74"/>
      <c r="M105" s="75">
        <v>3859.7861328125</v>
      </c>
      <c r="N105" s="75">
        <v>5528.45361328125</v>
      </c>
      <c r="O105" s="76"/>
      <c r="P105" s="77"/>
      <c r="Q105" s="77"/>
      <c r="R105" s="89"/>
      <c r="S105" s="50">
        <v>0</v>
      </c>
      <c r="T105" s="50">
        <v>3</v>
      </c>
      <c r="U105" s="51">
        <v>1384</v>
      </c>
      <c r="V105" s="51">
        <v>0.276065</v>
      </c>
      <c r="W105" s="51">
        <v>9.3120000000000008E-3</v>
      </c>
      <c r="X105" s="51">
        <v>4.8069999999999996E-3</v>
      </c>
      <c r="Y105" s="51">
        <v>0.33333333333333331</v>
      </c>
      <c r="Z105" s="51">
        <v>0</v>
      </c>
      <c r="AA105" s="72">
        <v>105</v>
      </c>
      <c r="AB105" s="72"/>
      <c r="AC105" s="73"/>
      <c r="AD105" s="79" t="s">
        <v>1830</v>
      </c>
      <c r="AE105" s="84" t="s">
        <v>2023</v>
      </c>
      <c r="AF105" s="79">
        <v>147</v>
      </c>
      <c r="AG105" s="79">
        <v>120</v>
      </c>
      <c r="AH105" s="79">
        <v>355</v>
      </c>
      <c r="AI105" s="79">
        <v>71</v>
      </c>
      <c r="AJ105" s="79"/>
      <c r="AK105" s="79" t="s">
        <v>2214</v>
      </c>
      <c r="AL105" s="79" t="s">
        <v>2335</v>
      </c>
      <c r="AM105" s="86" t="str">
        <f>HYPERLINK("https://t.co/PTcyOzjlNz")</f>
        <v>https://t.co/PTcyOzjlNz</v>
      </c>
      <c r="AN105" s="79"/>
      <c r="AO105" s="81">
        <v>42984.751550925925</v>
      </c>
      <c r="AP105" s="86" t="str">
        <f>HYPERLINK("https://pbs.twimg.com/profile_banners/905491343107031040/1504722711")</f>
        <v>https://pbs.twimg.com/profile_banners/905491343107031040/1504722711</v>
      </c>
      <c r="AQ105" s="79" t="b">
        <v>0</v>
      </c>
      <c r="AR105" s="79" t="b">
        <v>0</v>
      </c>
      <c r="AS105" s="79" t="b">
        <v>0</v>
      </c>
      <c r="AT105" s="79"/>
      <c r="AU105" s="79">
        <v>1</v>
      </c>
      <c r="AV105" s="86" t="str">
        <f>HYPERLINK("https://abs.twimg.com/images/themes/theme1/bg.png")</f>
        <v>https://abs.twimg.com/images/themes/theme1/bg.png</v>
      </c>
      <c r="AW105" s="79" t="b">
        <v>0</v>
      </c>
      <c r="AX105" s="79" t="s">
        <v>2381</v>
      </c>
      <c r="AY105" s="86" t="str">
        <f>HYPERLINK("https://twitter.com/ubasianstudies")</f>
        <v>https://twitter.com/ubasianstudies</v>
      </c>
      <c r="AZ105" s="79" t="s">
        <v>66</v>
      </c>
      <c r="BA105" s="50" t="s">
        <v>2680</v>
      </c>
      <c r="BB105" s="50" t="s">
        <v>2680</v>
      </c>
      <c r="BC105" s="50" t="s">
        <v>2723</v>
      </c>
      <c r="BD105" s="50" t="s">
        <v>2723</v>
      </c>
      <c r="BE105" s="50" t="s">
        <v>688</v>
      </c>
      <c r="BF105" s="50" t="s">
        <v>2785</v>
      </c>
      <c r="BG105" s="108" t="s">
        <v>2893</v>
      </c>
      <c r="BH105" s="108" t="s">
        <v>2893</v>
      </c>
      <c r="BI105" s="108" t="s">
        <v>3054</v>
      </c>
      <c r="BJ105" s="108" t="s">
        <v>3054</v>
      </c>
      <c r="BK105" s="2"/>
      <c r="BL105" s="3"/>
      <c r="BM105" s="3"/>
      <c r="BN105" s="3"/>
      <c r="BO105" s="3"/>
    </row>
    <row r="106" spans="1:67" x14ac:dyDescent="0.25">
      <c r="A106" s="65" t="s">
        <v>397</v>
      </c>
      <c r="B106" s="66"/>
      <c r="C106" s="66"/>
      <c r="D106" s="67"/>
      <c r="E106" s="69"/>
      <c r="F106" s="103" t="str">
        <f>HYPERLINK("https://pbs.twimg.com/profile_images/1498680118964899845/zdPnnWHl_normal.png")</f>
        <v>https://pbs.twimg.com/profile_images/1498680118964899845/zdPnnWHl_normal.png</v>
      </c>
      <c r="G106" s="66"/>
      <c r="H106" s="70"/>
      <c r="I106" s="71"/>
      <c r="J106" s="71"/>
      <c r="K106" s="70" t="s">
        <v>2484</v>
      </c>
      <c r="L106" s="74"/>
      <c r="M106" s="75">
        <v>5672.0546875</v>
      </c>
      <c r="N106" s="75">
        <v>1010.1212158203125</v>
      </c>
      <c r="O106" s="76"/>
      <c r="P106" s="77"/>
      <c r="Q106" s="77"/>
      <c r="R106" s="89"/>
      <c r="S106" s="50">
        <v>1</v>
      </c>
      <c r="T106" s="50">
        <v>0</v>
      </c>
      <c r="U106" s="51">
        <v>0</v>
      </c>
      <c r="V106" s="51">
        <v>0.25171900000000003</v>
      </c>
      <c r="W106" s="51">
        <v>5.5519999999999996E-3</v>
      </c>
      <c r="X106" s="51">
        <v>4.4809999999999997E-3</v>
      </c>
      <c r="Y106" s="51">
        <v>0</v>
      </c>
      <c r="Z106" s="51">
        <v>0</v>
      </c>
      <c r="AA106" s="72">
        <v>106</v>
      </c>
      <c r="AB106" s="72"/>
      <c r="AC106" s="73"/>
      <c r="AD106" s="79" t="s">
        <v>1831</v>
      </c>
      <c r="AE106" s="84" t="s">
        <v>2024</v>
      </c>
      <c r="AF106" s="79">
        <v>3829</v>
      </c>
      <c r="AG106" s="79">
        <v>31811</v>
      </c>
      <c r="AH106" s="79">
        <v>17000</v>
      </c>
      <c r="AI106" s="79">
        <v>5706</v>
      </c>
      <c r="AJ106" s="79"/>
      <c r="AK106" s="79" t="s">
        <v>2215</v>
      </c>
      <c r="AL106" s="79" t="s">
        <v>1691</v>
      </c>
      <c r="AM106" s="86" t="str">
        <f>HYPERLINK("https://t.co/F2WM4gGBiE")</f>
        <v>https://t.co/F2WM4gGBiE</v>
      </c>
      <c r="AN106" s="79"/>
      <c r="AO106" s="81">
        <v>39945.875625000001</v>
      </c>
      <c r="AP106" s="86" t="str">
        <f>HYPERLINK("https://pbs.twimg.com/profile_banners/39594720/1640131180")</f>
        <v>https://pbs.twimg.com/profile_banners/39594720/1640131180</v>
      </c>
      <c r="AQ106" s="79" t="b">
        <v>0</v>
      </c>
      <c r="AR106" s="79" t="b">
        <v>0</v>
      </c>
      <c r="AS106" s="79" t="b">
        <v>1</v>
      </c>
      <c r="AT106" s="79"/>
      <c r="AU106" s="79">
        <v>174</v>
      </c>
      <c r="AV106" s="86" t="str">
        <f>HYPERLINK("https://abs.twimg.com/images/themes/theme5/bg.gif")</f>
        <v>https://abs.twimg.com/images/themes/theme5/bg.gif</v>
      </c>
      <c r="AW106" s="79" t="b">
        <v>0</v>
      </c>
      <c r="AX106" s="79" t="s">
        <v>2381</v>
      </c>
      <c r="AY106" s="86" t="str">
        <f>HYPERLINK("https://twitter.com/parkmobile")</f>
        <v>https://twitter.com/parkmobile</v>
      </c>
      <c r="AZ106" s="79" t="s">
        <v>65</v>
      </c>
      <c r="BA106" s="50"/>
      <c r="BB106" s="50"/>
      <c r="BC106" s="50"/>
      <c r="BD106" s="50"/>
      <c r="BE106" s="50"/>
      <c r="BF106" s="50"/>
      <c r="BG106" s="50"/>
      <c r="BH106" s="50"/>
      <c r="BI106" s="50"/>
      <c r="BJ106" s="50"/>
      <c r="BK106" s="2"/>
      <c r="BL106" s="3"/>
      <c r="BM106" s="3"/>
      <c r="BN106" s="3"/>
      <c r="BO106" s="3"/>
    </row>
    <row r="107" spans="1:67" x14ac:dyDescent="0.25">
      <c r="A107" s="65" t="s">
        <v>281</v>
      </c>
      <c r="B107" s="66"/>
      <c r="C107" s="66"/>
      <c r="D107" s="67"/>
      <c r="E107" s="69"/>
      <c r="F107" s="103" t="str">
        <f>HYPERLINK("https://pbs.twimg.com/profile_images/718917199096909824/2RFPwAKj_normal.jpg")</f>
        <v>https://pbs.twimg.com/profile_images/718917199096909824/2RFPwAKj_normal.jpg</v>
      </c>
      <c r="G107" s="66"/>
      <c r="H107" s="70"/>
      <c r="I107" s="71"/>
      <c r="J107" s="71"/>
      <c r="K107" s="70" t="s">
        <v>2485</v>
      </c>
      <c r="L107" s="74"/>
      <c r="M107" s="75">
        <v>3670.7744140625</v>
      </c>
      <c r="N107" s="75">
        <v>6643.61767578125</v>
      </c>
      <c r="O107" s="76"/>
      <c r="P107" s="77"/>
      <c r="Q107" s="77"/>
      <c r="R107" s="89"/>
      <c r="S107" s="50">
        <v>0</v>
      </c>
      <c r="T107" s="50">
        <v>2</v>
      </c>
      <c r="U107" s="51">
        <v>0</v>
      </c>
      <c r="V107" s="51">
        <v>0.28091699999999997</v>
      </c>
      <c r="W107" s="51">
        <v>1.933E-2</v>
      </c>
      <c r="X107" s="51">
        <v>4.633E-3</v>
      </c>
      <c r="Y107" s="51">
        <v>0.5</v>
      </c>
      <c r="Z107" s="51">
        <v>0</v>
      </c>
      <c r="AA107" s="72">
        <v>107</v>
      </c>
      <c r="AB107" s="72"/>
      <c r="AC107" s="73"/>
      <c r="AD107" s="79" t="s">
        <v>1832</v>
      </c>
      <c r="AE107" s="84" t="s">
        <v>2025</v>
      </c>
      <c r="AF107" s="79">
        <v>144</v>
      </c>
      <c r="AG107" s="79">
        <v>96</v>
      </c>
      <c r="AH107" s="79">
        <v>648</v>
      </c>
      <c r="AI107" s="79">
        <v>881</v>
      </c>
      <c r="AJ107" s="79"/>
      <c r="AK107" s="79"/>
      <c r="AL107" s="79" t="s">
        <v>2336</v>
      </c>
      <c r="AM107" s="79"/>
      <c r="AN107" s="79"/>
      <c r="AO107" s="81">
        <v>41418.594155092593</v>
      </c>
      <c r="AP107" s="86" t="str">
        <f>HYPERLINK("https://pbs.twimg.com/profile_banners/1454320392/1515174515")</f>
        <v>https://pbs.twimg.com/profile_banners/1454320392/1515174515</v>
      </c>
      <c r="AQ107" s="79" t="b">
        <v>0</v>
      </c>
      <c r="AR107" s="79" t="b">
        <v>0</v>
      </c>
      <c r="AS107" s="79" t="b">
        <v>1</v>
      </c>
      <c r="AT107" s="79"/>
      <c r="AU107" s="79">
        <v>5</v>
      </c>
      <c r="AV107" s="86" t="str">
        <f>HYPERLINK("https://abs.twimg.com/images/themes/theme1/bg.png")</f>
        <v>https://abs.twimg.com/images/themes/theme1/bg.png</v>
      </c>
      <c r="AW107" s="79" t="b">
        <v>0</v>
      </c>
      <c r="AX107" s="79" t="s">
        <v>2381</v>
      </c>
      <c r="AY107" s="86" t="str">
        <f>HYPERLINK("https://twitter.com/theajwilcox")</f>
        <v>https://twitter.com/theajwilcox</v>
      </c>
      <c r="AZ107" s="79" t="s">
        <v>66</v>
      </c>
      <c r="BA107" s="50"/>
      <c r="BB107" s="50"/>
      <c r="BC107" s="50"/>
      <c r="BD107" s="50"/>
      <c r="BE107" s="50" t="s">
        <v>357</v>
      </c>
      <c r="BF107" s="50" t="s">
        <v>357</v>
      </c>
      <c r="BG107" s="108" t="s">
        <v>2894</v>
      </c>
      <c r="BH107" s="108" t="s">
        <v>2894</v>
      </c>
      <c r="BI107" s="108" t="s">
        <v>3055</v>
      </c>
      <c r="BJ107" s="108" t="s">
        <v>3055</v>
      </c>
      <c r="BK107" s="2"/>
      <c r="BL107" s="3"/>
      <c r="BM107" s="3"/>
      <c r="BN107" s="3"/>
      <c r="BO107" s="3"/>
    </row>
    <row r="108" spans="1:67" x14ac:dyDescent="0.25">
      <c r="A108" s="65" t="s">
        <v>398</v>
      </c>
      <c r="B108" s="66"/>
      <c r="C108" s="66"/>
      <c r="D108" s="67"/>
      <c r="E108" s="69"/>
      <c r="F108" s="103" t="str">
        <f>HYPERLINK("https://pbs.twimg.com/profile_images/602171530483789824/YIpGFFnj_normal.jpg")</f>
        <v>https://pbs.twimg.com/profile_images/602171530483789824/YIpGFFnj_normal.jpg</v>
      </c>
      <c r="G108" s="66"/>
      <c r="H108" s="70"/>
      <c r="I108" s="71"/>
      <c r="J108" s="71"/>
      <c r="K108" s="70" t="s">
        <v>2486</v>
      </c>
      <c r="L108" s="74"/>
      <c r="M108" s="75">
        <v>7594.34814453125</v>
      </c>
      <c r="N108" s="75">
        <v>8157.20654296875</v>
      </c>
      <c r="O108" s="76"/>
      <c r="P108" s="77"/>
      <c r="Q108" s="77"/>
      <c r="R108" s="89"/>
      <c r="S108" s="50">
        <v>3</v>
      </c>
      <c r="T108" s="50">
        <v>0</v>
      </c>
      <c r="U108" s="51">
        <v>1</v>
      </c>
      <c r="V108" s="51">
        <v>0.281412</v>
      </c>
      <c r="W108" s="51">
        <v>2.0806000000000002E-2</v>
      </c>
      <c r="X108" s="51">
        <v>5.0740000000000004E-3</v>
      </c>
      <c r="Y108" s="51">
        <v>0.33333333333333331</v>
      </c>
      <c r="Z108" s="51">
        <v>0</v>
      </c>
      <c r="AA108" s="72">
        <v>108</v>
      </c>
      <c r="AB108" s="72"/>
      <c r="AC108" s="73"/>
      <c r="AD108" s="79" t="s">
        <v>1833</v>
      </c>
      <c r="AE108" s="84" t="s">
        <v>2026</v>
      </c>
      <c r="AF108" s="79">
        <v>2905</v>
      </c>
      <c r="AG108" s="79">
        <v>12498</v>
      </c>
      <c r="AH108" s="79">
        <v>7031</v>
      </c>
      <c r="AI108" s="79">
        <v>7721</v>
      </c>
      <c r="AJ108" s="79"/>
      <c r="AK108" s="79" t="s">
        <v>2216</v>
      </c>
      <c r="AL108" s="79" t="s">
        <v>1694</v>
      </c>
      <c r="AM108" s="86" t="str">
        <f>HYPERLINK("http://t.co/8Mq9kVMCfQ")</f>
        <v>http://t.co/8Mq9kVMCfQ</v>
      </c>
      <c r="AN108" s="79"/>
      <c r="AO108" s="81">
        <v>40857.809884259259</v>
      </c>
      <c r="AP108" s="86" t="str">
        <f>HYPERLINK("https://pbs.twimg.com/profile_banners/409459383/1544796320")</f>
        <v>https://pbs.twimg.com/profile_banners/409459383/1544796320</v>
      </c>
      <c r="AQ108" s="79" t="b">
        <v>0</v>
      </c>
      <c r="AR108" s="79" t="b">
        <v>0</v>
      </c>
      <c r="AS108" s="79" t="b">
        <v>1</v>
      </c>
      <c r="AT108" s="79"/>
      <c r="AU108" s="79">
        <v>160</v>
      </c>
      <c r="AV108" s="86" t="str">
        <f>HYPERLINK("https://abs.twimg.com/images/themes/theme1/bg.png")</f>
        <v>https://abs.twimg.com/images/themes/theme1/bg.png</v>
      </c>
      <c r="AW108" s="79" t="b">
        <v>0</v>
      </c>
      <c r="AX108" s="79" t="s">
        <v>2381</v>
      </c>
      <c r="AY108" s="86" t="str">
        <f>HYPERLINK("https://twitter.com/bigditchbrewing")</f>
        <v>https://twitter.com/bigditchbrewing</v>
      </c>
      <c r="AZ108" s="79" t="s">
        <v>65</v>
      </c>
      <c r="BA108" s="50"/>
      <c r="BB108" s="50"/>
      <c r="BC108" s="50"/>
      <c r="BD108" s="50"/>
      <c r="BE108" s="50"/>
      <c r="BF108" s="50"/>
      <c r="BG108" s="50"/>
      <c r="BH108" s="50"/>
      <c r="BI108" s="50"/>
      <c r="BJ108" s="50"/>
      <c r="BK108" s="2"/>
      <c r="BL108" s="3"/>
      <c r="BM108" s="3"/>
      <c r="BN108" s="3"/>
      <c r="BO108" s="3"/>
    </row>
    <row r="109" spans="1:67" x14ac:dyDescent="0.25">
      <c r="A109" s="65" t="s">
        <v>282</v>
      </c>
      <c r="B109" s="66"/>
      <c r="C109" s="66"/>
      <c r="D109" s="67"/>
      <c r="E109" s="69"/>
      <c r="F109" s="103" t="str">
        <f>HYPERLINK("https://pbs.twimg.com/profile_images/1442483725464322052/KgSjIeNc_normal.jpg")</f>
        <v>https://pbs.twimg.com/profile_images/1442483725464322052/KgSjIeNc_normal.jpg</v>
      </c>
      <c r="G109" s="66"/>
      <c r="H109" s="70"/>
      <c r="I109" s="71"/>
      <c r="J109" s="71"/>
      <c r="K109" s="70" t="s">
        <v>2487</v>
      </c>
      <c r="L109" s="74"/>
      <c r="M109" s="75">
        <v>3047.99951171875</v>
      </c>
      <c r="N109" s="75">
        <v>9081.0751953125</v>
      </c>
      <c r="O109" s="76"/>
      <c r="P109" s="77"/>
      <c r="Q109" s="77"/>
      <c r="R109" s="89"/>
      <c r="S109" s="50">
        <v>3</v>
      </c>
      <c r="T109" s="50">
        <v>3</v>
      </c>
      <c r="U109" s="51">
        <v>362.66666700000002</v>
      </c>
      <c r="V109" s="51">
        <v>0.27000299999999999</v>
      </c>
      <c r="W109" s="51">
        <v>1.2015E-2</v>
      </c>
      <c r="X109" s="51">
        <v>5.7780000000000001E-3</v>
      </c>
      <c r="Y109" s="51">
        <v>8.3333333333333329E-2</v>
      </c>
      <c r="Z109" s="51">
        <v>0</v>
      </c>
      <c r="AA109" s="72">
        <v>109</v>
      </c>
      <c r="AB109" s="72"/>
      <c r="AC109" s="73"/>
      <c r="AD109" s="79" t="s">
        <v>1834</v>
      </c>
      <c r="AE109" s="84" t="s">
        <v>2027</v>
      </c>
      <c r="AF109" s="79">
        <v>543</v>
      </c>
      <c r="AG109" s="79">
        <v>533</v>
      </c>
      <c r="AH109" s="79">
        <v>1366</v>
      </c>
      <c r="AI109" s="79">
        <v>927</v>
      </c>
      <c r="AJ109" s="79"/>
      <c r="AK109" s="79" t="s">
        <v>2217</v>
      </c>
      <c r="AL109" s="79" t="s">
        <v>1694</v>
      </c>
      <c r="AM109" s="86" t="str">
        <f>HYPERLINK("https://t.co/FRKdouQt9G")</f>
        <v>https://t.co/FRKdouQt9G</v>
      </c>
      <c r="AN109" s="79"/>
      <c r="AO109" s="81">
        <v>42762.900231481479</v>
      </c>
      <c r="AP109" s="86" t="str">
        <f>HYPERLINK("https://pbs.twimg.com/profile_banners/825095119116333056/1485554626")</f>
        <v>https://pbs.twimg.com/profile_banners/825095119116333056/1485554626</v>
      </c>
      <c r="AQ109" s="79" t="b">
        <v>0</v>
      </c>
      <c r="AR109" s="79" t="b">
        <v>0</v>
      </c>
      <c r="AS109" s="79" t="b">
        <v>1</v>
      </c>
      <c r="AT109" s="79"/>
      <c r="AU109" s="79">
        <v>8</v>
      </c>
      <c r="AV109" s="86" t="str">
        <f>HYPERLINK("https://abs.twimg.com/images/themes/theme1/bg.png")</f>
        <v>https://abs.twimg.com/images/themes/theme1/bg.png</v>
      </c>
      <c r="AW109" s="79" t="b">
        <v>0</v>
      </c>
      <c r="AX109" s="79" t="s">
        <v>2381</v>
      </c>
      <c r="AY109" s="86" t="str">
        <f>HYPERLINK("https://twitter.com/ubuffaloctsi")</f>
        <v>https://twitter.com/ubuffaloctsi</v>
      </c>
      <c r="AZ109" s="79" t="s">
        <v>66</v>
      </c>
      <c r="BA109" s="50" t="s">
        <v>2681</v>
      </c>
      <c r="BB109" s="50" t="s">
        <v>2681</v>
      </c>
      <c r="BC109" s="50" t="s">
        <v>2724</v>
      </c>
      <c r="BD109" s="50" t="s">
        <v>2724</v>
      </c>
      <c r="BE109" s="50" t="s">
        <v>689</v>
      </c>
      <c r="BF109" s="50" t="s">
        <v>2804</v>
      </c>
      <c r="BG109" s="108" t="s">
        <v>2895</v>
      </c>
      <c r="BH109" s="108" t="s">
        <v>2967</v>
      </c>
      <c r="BI109" s="108" t="s">
        <v>3056</v>
      </c>
      <c r="BJ109" s="108" t="s">
        <v>3105</v>
      </c>
      <c r="BK109" s="2"/>
      <c r="BL109" s="3"/>
      <c r="BM109" s="3"/>
      <c r="BN109" s="3"/>
      <c r="BO109" s="3"/>
    </row>
    <row r="110" spans="1:67" x14ac:dyDescent="0.25">
      <c r="A110" s="65" t="s">
        <v>399</v>
      </c>
      <c r="B110" s="66"/>
      <c r="C110" s="66"/>
      <c r="D110" s="67"/>
      <c r="E110" s="69"/>
      <c r="F110" s="103" t="str">
        <f>HYPERLINK("https://pbs.twimg.com/profile_images/1423241373168324612/d7Lbyrxu_normal.jpg")</f>
        <v>https://pbs.twimg.com/profile_images/1423241373168324612/d7Lbyrxu_normal.jpg</v>
      </c>
      <c r="G110" s="66"/>
      <c r="H110" s="70"/>
      <c r="I110" s="71"/>
      <c r="J110" s="71"/>
      <c r="K110" s="70" t="s">
        <v>2488</v>
      </c>
      <c r="L110" s="74"/>
      <c r="M110" s="75">
        <v>1107.300537109375</v>
      </c>
      <c r="N110" s="75">
        <v>7586.9052734375</v>
      </c>
      <c r="O110" s="76"/>
      <c r="P110" s="77"/>
      <c r="Q110" s="77"/>
      <c r="R110" s="89"/>
      <c r="S110" s="50">
        <v>1</v>
      </c>
      <c r="T110" s="50">
        <v>0</v>
      </c>
      <c r="U110" s="51">
        <v>0</v>
      </c>
      <c r="V110" s="51">
        <v>0.20812700000000001</v>
      </c>
      <c r="W110" s="51">
        <v>9.9299999999999996E-4</v>
      </c>
      <c r="X110" s="51">
        <v>4.4879999999999998E-3</v>
      </c>
      <c r="Y110" s="51">
        <v>0</v>
      </c>
      <c r="Z110" s="51">
        <v>0</v>
      </c>
      <c r="AA110" s="72">
        <v>110</v>
      </c>
      <c r="AB110" s="72"/>
      <c r="AC110" s="73"/>
      <c r="AD110" s="79" t="s">
        <v>1835</v>
      </c>
      <c r="AE110" s="84" t="s">
        <v>2028</v>
      </c>
      <c r="AF110" s="79">
        <v>724</v>
      </c>
      <c r="AG110" s="79">
        <v>2264</v>
      </c>
      <c r="AH110" s="79">
        <v>6877</v>
      </c>
      <c r="AI110" s="79">
        <v>2032</v>
      </c>
      <c r="AJ110" s="79"/>
      <c r="AK110" s="79" t="s">
        <v>2218</v>
      </c>
      <c r="AL110" s="79" t="s">
        <v>2337</v>
      </c>
      <c r="AM110" s="86" t="str">
        <f>HYPERLINK("https://t.co/MopRgkQN9f")</f>
        <v>https://t.co/MopRgkQN9f</v>
      </c>
      <c r="AN110" s="79"/>
      <c r="AO110" s="81">
        <v>41625.611944444441</v>
      </c>
      <c r="AP110" s="86" t="str">
        <f>HYPERLINK("https://pbs.twimg.com/profile_banners/2250511795/1631884716")</f>
        <v>https://pbs.twimg.com/profile_banners/2250511795/1631884716</v>
      </c>
      <c r="AQ110" s="79" t="b">
        <v>0</v>
      </c>
      <c r="AR110" s="79" t="b">
        <v>0</v>
      </c>
      <c r="AS110" s="79" t="b">
        <v>0</v>
      </c>
      <c r="AT110" s="79"/>
      <c r="AU110" s="79">
        <v>103</v>
      </c>
      <c r="AV110" s="86" t="str">
        <f>HYPERLINK("https://abs.twimg.com/images/themes/theme1/bg.png")</f>
        <v>https://abs.twimg.com/images/themes/theme1/bg.png</v>
      </c>
      <c r="AW110" s="79" t="b">
        <v>0</v>
      </c>
      <c r="AX110" s="79" t="s">
        <v>2381</v>
      </c>
      <c r="AY110" s="86" t="str">
        <f>HYPERLINK("https://twitter.com/pm_alberti")</f>
        <v>https://twitter.com/pm_alberti</v>
      </c>
      <c r="AZ110" s="79" t="s">
        <v>65</v>
      </c>
      <c r="BA110" s="50"/>
      <c r="BB110" s="50"/>
      <c r="BC110" s="50"/>
      <c r="BD110" s="50"/>
      <c r="BE110" s="50"/>
      <c r="BF110" s="50"/>
      <c r="BG110" s="50"/>
      <c r="BH110" s="50"/>
      <c r="BI110" s="50"/>
      <c r="BJ110" s="50"/>
      <c r="BK110" s="2"/>
      <c r="BL110" s="3"/>
      <c r="BM110" s="3"/>
      <c r="BN110" s="3"/>
      <c r="BO110" s="3"/>
    </row>
    <row r="111" spans="1:67" x14ac:dyDescent="0.25">
      <c r="A111" s="65" t="s">
        <v>283</v>
      </c>
      <c r="B111" s="66"/>
      <c r="C111" s="66"/>
      <c r="D111" s="67"/>
      <c r="E111" s="69"/>
      <c r="F111" s="103" t="str">
        <f>HYPERLINK("https://pbs.twimg.com/profile_images/1239273298552291328/tpElWE6-_normal.jpg")</f>
        <v>https://pbs.twimg.com/profile_images/1239273298552291328/tpElWE6-_normal.jpg</v>
      </c>
      <c r="G111" s="66"/>
      <c r="H111" s="70"/>
      <c r="I111" s="71"/>
      <c r="J111" s="71"/>
      <c r="K111" s="70" t="s">
        <v>2489</v>
      </c>
      <c r="L111" s="74"/>
      <c r="M111" s="75">
        <v>8535.6357421875</v>
      </c>
      <c r="N111" s="75">
        <v>6215.04638671875</v>
      </c>
      <c r="O111" s="76"/>
      <c r="P111" s="77"/>
      <c r="Q111" s="77"/>
      <c r="R111" s="89"/>
      <c r="S111" s="50">
        <v>0</v>
      </c>
      <c r="T111" s="50">
        <v>2</v>
      </c>
      <c r="U111" s="51">
        <v>0</v>
      </c>
      <c r="V111" s="51">
        <v>0.34976299999999999</v>
      </c>
      <c r="W111" s="51">
        <v>5.6762E-2</v>
      </c>
      <c r="X111" s="51">
        <v>4.4640000000000001E-3</v>
      </c>
      <c r="Y111" s="51">
        <v>1</v>
      </c>
      <c r="Z111" s="51">
        <v>0</v>
      </c>
      <c r="AA111" s="72">
        <v>111</v>
      </c>
      <c r="AB111" s="72"/>
      <c r="AC111" s="73"/>
      <c r="AD111" s="79" t="s">
        <v>1836</v>
      </c>
      <c r="AE111" s="84" t="s">
        <v>2029</v>
      </c>
      <c r="AF111" s="79">
        <v>185</v>
      </c>
      <c r="AG111" s="79">
        <v>5489</v>
      </c>
      <c r="AH111" s="79">
        <v>11028</v>
      </c>
      <c r="AI111" s="79">
        <v>9466</v>
      </c>
      <c r="AJ111" s="79"/>
      <c r="AK111" s="79" t="s">
        <v>2219</v>
      </c>
      <c r="AL111" s="79"/>
      <c r="AM111" s="86" t="str">
        <f>HYPERLINK("https://t.co/NbXMlj7lRg")</f>
        <v>https://t.co/NbXMlj7lRg</v>
      </c>
      <c r="AN111" s="79"/>
      <c r="AO111" s="81">
        <v>39925.62945601852</v>
      </c>
      <c r="AP111" s="86" t="str">
        <f>HYPERLINK("https://pbs.twimg.com/profile_banners/34295510/1538175507")</f>
        <v>https://pbs.twimg.com/profile_banners/34295510/1538175507</v>
      </c>
      <c r="AQ111" s="79" t="b">
        <v>0</v>
      </c>
      <c r="AR111" s="79" t="b">
        <v>0</v>
      </c>
      <c r="AS111" s="79" t="b">
        <v>0</v>
      </c>
      <c r="AT111" s="79"/>
      <c r="AU111" s="79">
        <v>170</v>
      </c>
      <c r="AV111" s="86" t="str">
        <f>HYPERLINK("https://abs.twimg.com/images/themes/theme1/bg.png")</f>
        <v>https://abs.twimg.com/images/themes/theme1/bg.png</v>
      </c>
      <c r="AW111" s="79" t="b">
        <v>0</v>
      </c>
      <c r="AX111" s="79" t="s">
        <v>2381</v>
      </c>
      <c r="AY111" s="86" t="str">
        <f>HYPERLINK("https://twitter.com/muratdemirbas")</f>
        <v>https://twitter.com/muratdemirbas</v>
      </c>
      <c r="AZ111" s="79" t="s">
        <v>66</v>
      </c>
      <c r="BA111" s="50" t="s">
        <v>2682</v>
      </c>
      <c r="BB111" s="50" t="s">
        <v>2682</v>
      </c>
      <c r="BC111" s="50" t="s">
        <v>632</v>
      </c>
      <c r="BD111" s="50" t="s">
        <v>632</v>
      </c>
      <c r="BE111" s="50" t="s">
        <v>357</v>
      </c>
      <c r="BF111" s="50" t="s">
        <v>357</v>
      </c>
      <c r="BG111" s="108" t="s">
        <v>2896</v>
      </c>
      <c r="BH111" s="108" t="s">
        <v>2896</v>
      </c>
      <c r="BI111" s="108" t="s">
        <v>3057</v>
      </c>
      <c r="BJ111" s="108" t="s">
        <v>3057</v>
      </c>
      <c r="BK111" s="2"/>
      <c r="BL111" s="3"/>
      <c r="BM111" s="3"/>
      <c r="BN111" s="3"/>
      <c r="BO111" s="3"/>
    </row>
    <row r="112" spans="1:67" x14ac:dyDescent="0.25">
      <c r="A112" s="65" t="s">
        <v>400</v>
      </c>
      <c r="B112" s="66"/>
      <c r="C112" s="66"/>
      <c r="D112" s="67"/>
      <c r="E112" s="69"/>
      <c r="F112" s="103" t="str">
        <f>HYPERLINK("https://pbs.twimg.com/profile_images/695613297496817664/-UJK7noM_normal.jpg")</f>
        <v>https://pbs.twimg.com/profile_images/695613297496817664/-UJK7noM_normal.jpg</v>
      </c>
      <c r="G112" s="66"/>
      <c r="H112" s="70"/>
      <c r="I112" s="71"/>
      <c r="J112" s="71"/>
      <c r="K112" s="70" t="s">
        <v>2490</v>
      </c>
      <c r="L112" s="74"/>
      <c r="M112" s="75">
        <v>587.55426025390625</v>
      </c>
      <c r="N112" s="75">
        <v>3896.083740234375</v>
      </c>
      <c r="O112" s="76"/>
      <c r="P112" s="77"/>
      <c r="Q112" s="77"/>
      <c r="R112" s="89"/>
      <c r="S112" s="50">
        <v>1</v>
      </c>
      <c r="T112" s="50">
        <v>0</v>
      </c>
      <c r="U112" s="51">
        <v>0</v>
      </c>
      <c r="V112" s="51">
        <v>0.26376500000000003</v>
      </c>
      <c r="W112" s="51">
        <v>6.7239999999999999E-3</v>
      </c>
      <c r="X112" s="51">
        <v>4.4409999999999996E-3</v>
      </c>
      <c r="Y112" s="51">
        <v>0</v>
      </c>
      <c r="Z112" s="51">
        <v>0</v>
      </c>
      <c r="AA112" s="72">
        <v>112</v>
      </c>
      <c r="AB112" s="72"/>
      <c r="AC112" s="73"/>
      <c r="AD112" s="79" t="s">
        <v>1837</v>
      </c>
      <c r="AE112" s="84" t="s">
        <v>2030</v>
      </c>
      <c r="AF112" s="79">
        <v>27</v>
      </c>
      <c r="AG112" s="79">
        <v>76</v>
      </c>
      <c r="AH112" s="79">
        <v>42</v>
      </c>
      <c r="AI112" s="79">
        <v>23</v>
      </c>
      <c r="AJ112" s="79"/>
      <c r="AK112" s="79" t="s">
        <v>2220</v>
      </c>
      <c r="AL112" s="79" t="s">
        <v>2338</v>
      </c>
      <c r="AM112" s="86" t="str">
        <f>HYPERLINK("https://t.co/DY9dixvoOd")</f>
        <v>https://t.co/DY9dixvoOd</v>
      </c>
      <c r="AN112" s="79"/>
      <c r="AO112" s="81">
        <v>42405.593310185184</v>
      </c>
      <c r="AP112" s="86" t="str">
        <f>HYPERLINK("https://pbs.twimg.com/profile_banners/4877917546/1454692953")</f>
        <v>https://pbs.twimg.com/profile_banners/4877917546/1454692953</v>
      </c>
      <c r="AQ112" s="79" t="b">
        <v>0</v>
      </c>
      <c r="AR112" s="79" t="b">
        <v>0</v>
      </c>
      <c r="AS112" s="79" t="b">
        <v>1</v>
      </c>
      <c r="AT112" s="79"/>
      <c r="AU112" s="79">
        <v>0</v>
      </c>
      <c r="AV112" s="86" t="str">
        <f>HYPERLINK("https://abs.twimg.com/images/themes/theme1/bg.png")</f>
        <v>https://abs.twimg.com/images/themes/theme1/bg.png</v>
      </c>
      <c r="AW112" s="79" t="b">
        <v>0</v>
      </c>
      <c r="AX112" s="79" t="s">
        <v>2381</v>
      </c>
      <c r="AY112" s="86" t="str">
        <f>HYPERLINK("https://twitter.com/fordguminc")</f>
        <v>https://twitter.com/fordguminc</v>
      </c>
      <c r="AZ112" s="79" t="s">
        <v>65</v>
      </c>
      <c r="BA112" s="50"/>
      <c r="BB112" s="50"/>
      <c r="BC112" s="50"/>
      <c r="BD112" s="50"/>
      <c r="BE112" s="50"/>
      <c r="BF112" s="50"/>
      <c r="BG112" s="50"/>
      <c r="BH112" s="50"/>
      <c r="BI112" s="50"/>
      <c r="BJ112" s="50"/>
      <c r="BK112" s="2"/>
      <c r="BL112" s="3"/>
      <c r="BM112" s="3"/>
      <c r="BN112" s="3"/>
      <c r="BO112" s="3"/>
    </row>
    <row r="113" spans="1:67" x14ac:dyDescent="0.25">
      <c r="A113" s="65" t="s">
        <v>401</v>
      </c>
      <c r="B113" s="66"/>
      <c r="C113" s="66"/>
      <c r="D113" s="67"/>
      <c r="E113" s="69"/>
      <c r="F113" s="103" t="str">
        <f>HYPERLINK("https://pbs.twimg.com/profile_images/1410601637756870661/wxmTG2Ni_normal.jpg")</f>
        <v>https://pbs.twimg.com/profile_images/1410601637756870661/wxmTG2Ni_normal.jpg</v>
      </c>
      <c r="G113" s="66"/>
      <c r="H113" s="70"/>
      <c r="I113" s="71"/>
      <c r="J113" s="71"/>
      <c r="K113" s="70" t="s">
        <v>2491</v>
      </c>
      <c r="L113" s="74"/>
      <c r="M113" s="75">
        <v>6441.24853515625</v>
      </c>
      <c r="N113" s="75">
        <v>1322.418701171875</v>
      </c>
      <c r="O113" s="76"/>
      <c r="P113" s="77"/>
      <c r="Q113" s="77"/>
      <c r="R113" s="89"/>
      <c r="S113" s="50">
        <v>1</v>
      </c>
      <c r="T113" s="50">
        <v>0</v>
      </c>
      <c r="U113" s="51">
        <v>0</v>
      </c>
      <c r="V113" s="51">
        <v>0.26376500000000003</v>
      </c>
      <c r="W113" s="51">
        <v>6.7239999999999999E-3</v>
      </c>
      <c r="X113" s="51">
        <v>4.4409999999999996E-3</v>
      </c>
      <c r="Y113" s="51">
        <v>0</v>
      </c>
      <c r="Z113" s="51">
        <v>0</v>
      </c>
      <c r="AA113" s="72">
        <v>113</v>
      </c>
      <c r="AB113" s="72"/>
      <c r="AC113" s="73"/>
      <c r="AD113" s="79" t="s">
        <v>1838</v>
      </c>
      <c r="AE113" s="84" t="s">
        <v>2031</v>
      </c>
      <c r="AF113" s="79">
        <v>608</v>
      </c>
      <c r="AG113" s="79">
        <v>181876</v>
      </c>
      <c r="AH113" s="79">
        <v>13361</v>
      </c>
      <c r="AI113" s="79">
        <v>598</v>
      </c>
      <c r="AJ113" s="79"/>
      <c r="AK113" s="79" t="s">
        <v>2221</v>
      </c>
      <c r="AL113" s="79" t="s">
        <v>2339</v>
      </c>
      <c r="AM113" s="86" t="str">
        <f>HYPERLINK("https://t.co/SzSAzaxLmI")</f>
        <v>https://t.co/SzSAzaxLmI</v>
      </c>
      <c r="AN113" s="79"/>
      <c r="AO113" s="81">
        <v>39951.784050925926</v>
      </c>
      <c r="AP113" s="86" t="str">
        <f>HYPERLINK("https://pbs.twimg.com/profile_banners/40937524/1625148521")</f>
        <v>https://pbs.twimg.com/profile_banners/40937524/1625148521</v>
      </c>
      <c r="AQ113" s="79" t="b">
        <v>0</v>
      </c>
      <c r="AR113" s="79" t="b">
        <v>0</v>
      </c>
      <c r="AS113" s="79" t="b">
        <v>1</v>
      </c>
      <c r="AT113" s="79"/>
      <c r="AU113" s="79">
        <v>2087</v>
      </c>
      <c r="AV113" s="86" t="str">
        <f>HYPERLINK("https://abs.twimg.com/images/themes/theme15/bg.png")</f>
        <v>https://abs.twimg.com/images/themes/theme15/bg.png</v>
      </c>
      <c r="AW113" s="79" t="b">
        <v>1</v>
      </c>
      <c r="AX113" s="79" t="s">
        <v>2381</v>
      </c>
      <c r="AY113" s="86" t="str">
        <f>HYPERLINK("https://twitter.com/pwc")</f>
        <v>https://twitter.com/pwc</v>
      </c>
      <c r="AZ113" s="79" t="s">
        <v>65</v>
      </c>
      <c r="BA113" s="50"/>
      <c r="BB113" s="50"/>
      <c r="BC113" s="50"/>
      <c r="BD113" s="50"/>
      <c r="BE113" s="50"/>
      <c r="BF113" s="50"/>
      <c r="BG113" s="50"/>
      <c r="BH113" s="50"/>
      <c r="BI113" s="50"/>
      <c r="BJ113" s="50"/>
      <c r="BK113" s="2"/>
      <c r="BL113" s="3"/>
      <c r="BM113" s="3"/>
      <c r="BN113" s="3"/>
      <c r="BO113" s="3"/>
    </row>
    <row r="114" spans="1:67" x14ac:dyDescent="0.25">
      <c r="A114" s="65" t="s">
        <v>287</v>
      </c>
      <c r="B114" s="66"/>
      <c r="C114" s="66"/>
      <c r="D114" s="67"/>
      <c r="E114" s="69"/>
      <c r="F114" s="103" t="str">
        <f>HYPERLINK("https://pbs.twimg.com/profile_images/1444289358903848969/hAAvCum2_normal.jpg")</f>
        <v>https://pbs.twimg.com/profile_images/1444289358903848969/hAAvCum2_normal.jpg</v>
      </c>
      <c r="G114" s="66"/>
      <c r="H114" s="70"/>
      <c r="I114" s="71"/>
      <c r="J114" s="71"/>
      <c r="K114" s="70" t="s">
        <v>2492</v>
      </c>
      <c r="L114" s="74"/>
      <c r="M114" s="75">
        <v>8221.7099609375</v>
      </c>
      <c r="N114" s="75">
        <v>4667.28759765625</v>
      </c>
      <c r="O114" s="76"/>
      <c r="P114" s="77"/>
      <c r="Q114" s="77"/>
      <c r="R114" s="89"/>
      <c r="S114" s="50">
        <v>0</v>
      </c>
      <c r="T114" s="50">
        <v>2</v>
      </c>
      <c r="U114" s="51">
        <v>0</v>
      </c>
      <c r="V114" s="51">
        <v>0.26507799999999998</v>
      </c>
      <c r="W114" s="51">
        <v>7.816E-3</v>
      </c>
      <c r="X114" s="51">
        <v>4.5570000000000003E-3</v>
      </c>
      <c r="Y114" s="51">
        <v>0.5</v>
      </c>
      <c r="Z114" s="51">
        <v>0</v>
      </c>
      <c r="AA114" s="72">
        <v>114</v>
      </c>
      <c r="AB114" s="72"/>
      <c r="AC114" s="73"/>
      <c r="AD114" s="79" t="s">
        <v>1839</v>
      </c>
      <c r="AE114" s="84" t="s">
        <v>2032</v>
      </c>
      <c r="AF114" s="79">
        <v>433</v>
      </c>
      <c r="AG114" s="79">
        <v>615</v>
      </c>
      <c r="AH114" s="79">
        <v>401</v>
      </c>
      <c r="AI114" s="79">
        <v>1275</v>
      </c>
      <c r="AJ114" s="79"/>
      <c r="AK114" s="79" t="s">
        <v>2222</v>
      </c>
      <c r="AL114" s="79" t="s">
        <v>1695</v>
      </c>
      <c r="AM114" s="79"/>
      <c r="AN114" s="79"/>
      <c r="AO114" s="81">
        <v>44007.799976851849</v>
      </c>
      <c r="AP114" s="79"/>
      <c r="AQ114" s="79" t="b">
        <v>1</v>
      </c>
      <c r="AR114" s="79" t="b">
        <v>0</v>
      </c>
      <c r="AS114" s="79" t="b">
        <v>1</v>
      </c>
      <c r="AT114" s="79"/>
      <c r="AU114" s="79">
        <v>3</v>
      </c>
      <c r="AV114" s="79"/>
      <c r="AW114" s="79" t="b">
        <v>0</v>
      </c>
      <c r="AX114" s="79" t="s">
        <v>2381</v>
      </c>
      <c r="AY114" s="86" t="str">
        <f>HYPERLINK("https://twitter.com/drkamonta")</f>
        <v>https://twitter.com/drkamonta</v>
      </c>
      <c r="AZ114" s="79" t="s">
        <v>66</v>
      </c>
      <c r="BA114" s="50" t="s">
        <v>2666</v>
      </c>
      <c r="BB114" s="50" t="s">
        <v>2666</v>
      </c>
      <c r="BC114" s="50" t="s">
        <v>641</v>
      </c>
      <c r="BD114" s="50" t="s">
        <v>641</v>
      </c>
      <c r="BE114" s="50" t="s">
        <v>675</v>
      </c>
      <c r="BF114" s="50" t="s">
        <v>675</v>
      </c>
      <c r="BG114" s="108" t="s">
        <v>2874</v>
      </c>
      <c r="BH114" s="108" t="s">
        <v>2874</v>
      </c>
      <c r="BI114" s="108" t="s">
        <v>3036</v>
      </c>
      <c r="BJ114" s="108" t="s">
        <v>3036</v>
      </c>
      <c r="BK114" s="2"/>
      <c r="BL114" s="3"/>
      <c r="BM114" s="3"/>
      <c r="BN114" s="3"/>
      <c r="BO114" s="3"/>
    </row>
    <row r="115" spans="1:67" x14ac:dyDescent="0.25">
      <c r="A115" s="65" t="s">
        <v>288</v>
      </c>
      <c r="B115" s="66"/>
      <c r="C115" s="66"/>
      <c r="D115" s="67"/>
      <c r="E115" s="69"/>
      <c r="F115" s="103" t="str">
        <f>HYPERLINK("https://pbs.twimg.com/profile_images/1460990878193963014/9WaroOPs_normal.jpg")</f>
        <v>https://pbs.twimg.com/profile_images/1460990878193963014/9WaroOPs_normal.jpg</v>
      </c>
      <c r="G115" s="66"/>
      <c r="H115" s="70"/>
      <c r="I115" s="71"/>
      <c r="J115" s="71"/>
      <c r="K115" s="70" t="s">
        <v>2493</v>
      </c>
      <c r="L115" s="74"/>
      <c r="M115" s="75">
        <v>6235.36376953125</v>
      </c>
      <c r="N115" s="75">
        <v>1345.322998046875</v>
      </c>
      <c r="O115" s="76"/>
      <c r="P115" s="77"/>
      <c r="Q115" s="77"/>
      <c r="R115" s="89"/>
      <c r="S115" s="50">
        <v>0</v>
      </c>
      <c r="T115" s="50">
        <v>1</v>
      </c>
      <c r="U115" s="51">
        <v>0</v>
      </c>
      <c r="V115" s="51">
        <v>0.25533800000000001</v>
      </c>
      <c r="W115" s="51">
        <v>7.1710000000000003E-3</v>
      </c>
      <c r="X115" s="51">
        <v>4.4260000000000002E-3</v>
      </c>
      <c r="Y115" s="51">
        <v>0</v>
      </c>
      <c r="Z115" s="51">
        <v>0</v>
      </c>
      <c r="AA115" s="72">
        <v>115</v>
      </c>
      <c r="AB115" s="72"/>
      <c r="AC115" s="73"/>
      <c r="AD115" s="79" t="s">
        <v>1840</v>
      </c>
      <c r="AE115" s="84" t="s">
        <v>2033</v>
      </c>
      <c r="AF115" s="79">
        <v>249</v>
      </c>
      <c r="AG115" s="79">
        <v>238</v>
      </c>
      <c r="AH115" s="79">
        <v>1425</v>
      </c>
      <c r="AI115" s="79">
        <v>17008</v>
      </c>
      <c r="AJ115" s="79"/>
      <c r="AK115" s="79" t="s">
        <v>2223</v>
      </c>
      <c r="AL115" s="79" t="s">
        <v>2340</v>
      </c>
      <c r="AM115" s="79"/>
      <c r="AN115" s="79"/>
      <c r="AO115" s="81">
        <v>41642.789664351854</v>
      </c>
      <c r="AP115" s="86" t="str">
        <f>HYPERLINK("https://pbs.twimg.com/profile_banners/2274947023/1609822456")</f>
        <v>https://pbs.twimg.com/profile_banners/2274947023/1609822456</v>
      </c>
      <c r="AQ115" s="79" t="b">
        <v>1</v>
      </c>
      <c r="AR115" s="79" t="b">
        <v>0</v>
      </c>
      <c r="AS115" s="79" t="b">
        <v>0</v>
      </c>
      <c r="AT115" s="79"/>
      <c r="AU115" s="79">
        <v>0</v>
      </c>
      <c r="AV115" s="86" t="str">
        <f>HYPERLINK("https://abs.twimg.com/images/themes/theme1/bg.png")</f>
        <v>https://abs.twimg.com/images/themes/theme1/bg.png</v>
      </c>
      <c r="AW115" s="79" t="b">
        <v>0</v>
      </c>
      <c r="AX115" s="79" t="s">
        <v>2381</v>
      </c>
      <c r="AY115" s="86" t="str">
        <f>HYPERLINK("https://twitter.com/mdixon18255")</f>
        <v>https://twitter.com/mdixon18255</v>
      </c>
      <c r="AZ115" s="79" t="s">
        <v>66</v>
      </c>
      <c r="BA115" s="50"/>
      <c r="BB115" s="50"/>
      <c r="BC115" s="50"/>
      <c r="BD115" s="50"/>
      <c r="BE115" s="50" t="s">
        <v>2765</v>
      </c>
      <c r="BF115" s="50" t="s">
        <v>2805</v>
      </c>
      <c r="BG115" s="108" t="s">
        <v>2897</v>
      </c>
      <c r="BH115" s="108" t="s">
        <v>2968</v>
      </c>
      <c r="BI115" s="108" t="s">
        <v>3058</v>
      </c>
      <c r="BJ115" s="108" t="s">
        <v>3058</v>
      </c>
      <c r="BK115" s="2"/>
      <c r="BL115" s="3"/>
      <c r="BM115" s="3"/>
      <c r="BN115" s="3"/>
      <c r="BO115" s="3"/>
    </row>
    <row r="116" spans="1:67" x14ac:dyDescent="0.25">
      <c r="A116" s="65" t="s">
        <v>289</v>
      </c>
      <c r="B116" s="66"/>
      <c r="C116" s="66"/>
      <c r="D116" s="67"/>
      <c r="E116" s="69"/>
      <c r="F116" s="103" t="str">
        <f>HYPERLINK("https://pbs.twimg.com/profile_images/800417396007772160/ds4RZ6X6_normal.jpg")</f>
        <v>https://pbs.twimg.com/profile_images/800417396007772160/ds4RZ6X6_normal.jpg</v>
      </c>
      <c r="G116" s="66"/>
      <c r="H116" s="70"/>
      <c r="I116" s="71"/>
      <c r="J116" s="71"/>
      <c r="K116" s="70" t="s">
        <v>2494</v>
      </c>
      <c r="L116" s="74"/>
      <c r="M116" s="75">
        <v>9607.71484375</v>
      </c>
      <c r="N116" s="75">
        <v>5899.51513671875</v>
      </c>
      <c r="O116" s="76"/>
      <c r="P116" s="77"/>
      <c r="Q116" s="77"/>
      <c r="R116" s="89"/>
      <c r="S116" s="50">
        <v>0</v>
      </c>
      <c r="T116" s="50">
        <v>1</v>
      </c>
      <c r="U116" s="51">
        <v>0</v>
      </c>
      <c r="V116" s="51">
        <v>0.26420100000000002</v>
      </c>
      <c r="W116" s="51">
        <v>1.0638999999999999E-2</v>
      </c>
      <c r="X116" s="51">
        <v>4.4270000000000004E-3</v>
      </c>
      <c r="Y116" s="51">
        <v>0</v>
      </c>
      <c r="Z116" s="51">
        <v>0</v>
      </c>
      <c r="AA116" s="72">
        <v>116</v>
      </c>
      <c r="AB116" s="72"/>
      <c r="AC116" s="73"/>
      <c r="AD116" s="79" t="s">
        <v>1841</v>
      </c>
      <c r="AE116" s="84" t="s">
        <v>2034</v>
      </c>
      <c r="AF116" s="79">
        <v>1041</v>
      </c>
      <c r="AG116" s="79">
        <v>1241</v>
      </c>
      <c r="AH116" s="79">
        <v>12519</v>
      </c>
      <c r="AI116" s="79">
        <v>3067</v>
      </c>
      <c r="AJ116" s="79"/>
      <c r="AK116" s="79" t="s">
        <v>2224</v>
      </c>
      <c r="AL116" s="79" t="s">
        <v>1694</v>
      </c>
      <c r="AM116" s="79"/>
      <c r="AN116" s="79"/>
      <c r="AO116" s="81">
        <v>40605.628275462965</v>
      </c>
      <c r="AP116" s="86" t="str">
        <f>HYPERLINK("https://pbs.twimg.com/profile_banners/260270551/1479673763")</f>
        <v>https://pbs.twimg.com/profile_banners/260270551/1479673763</v>
      </c>
      <c r="AQ116" s="79" t="b">
        <v>0</v>
      </c>
      <c r="AR116" s="79" t="b">
        <v>0</v>
      </c>
      <c r="AS116" s="79" t="b">
        <v>0</v>
      </c>
      <c r="AT116" s="79"/>
      <c r="AU116" s="79">
        <v>48</v>
      </c>
      <c r="AV116" s="86" t="str">
        <f>HYPERLINK("https://abs.twimg.com/images/themes/theme14/bg.gif")</f>
        <v>https://abs.twimg.com/images/themes/theme14/bg.gif</v>
      </c>
      <c r="AW116" s="79" t="b">
        <v>0</v>
      </c>
      <c r="AX116" s="79" t="s">
        <v>2381</v>
      </c>
      <c r="AY116" s="86" t="str">
        <f>HYPERLINK("https://twitter.com/scottwilsonbuf")</f>
        <v>https://twitter.com/scottwilsonbuf</v>
      </c>
      <c r="AZ116" s="79" t="s">
        <v>66</v>
      </c>
      <c r="BA116" s="50" t="s">
        <v>2590</v>
      </c>
      <c r="BB116" s="50" t="s">
        <v>2590</v>
      </c>
      <c r="BC116" s="50" t="s">
        <v>632</v>
      </c>
      <c r="BD116" s="50" t="s">
        <v>632</v>
      </c>
      <c r="BE116" s="50" t="s">
        <v>357</v>
      </c>
      <c r="BF116" s="50" t="s">
        <v>357</v>
      </c>
      <c r="BG116" s="108" t="s">
        <v>2898</v>
      </c>
      <c r="BH116" s="108" t="s">
        <v>2898</v>
      </c>
      <c r="BI116" s="108" t="s">
        <v>3059</v>
      </c>
      <c r="BJ116" s="108" t="s">
        <v>3059</v>
      </c>
      <c r="BK116" s="2"/>
      <c r="BL116" s="3"/>
      <c r="BM116" s="3"/>
      <c r="BN116" s="3"/>
      <c r="BO116" s="3"/>
    </row>
    <row r="117" spans="1:67" x14ac:dyDescent="0.25">
      <c r="A117" s="65" t="s">
        <v>290</v>
      </c>
      <c r="B117" s="66"/>
      <c r="C117" s="66"/>
      <c r="D117" s="67"/>
      <c r="E117" s="69"/>
      <c r="F117" s="103" t="str">
        <f>HYPERLINK("https://pbs.twimg.com/profile_images/1397932075894947840/esdFDrLr_normal.jpg")</f>
        <v>https://pbs.twimg.com/profile_images/1397932075894947840/esdFDrLr_normal.jpg</v>
      </c>
      <c r="G117" s="66"/>
      <c r="H117" s="70"/>
      <c r="I117" s="71"/>
      <c r="J117" s="71"/>
      <c r="K117" s="70" t="s">
        <v>2495</v>
      </c>
      <c r="L117" s="74"/>
      <c r="M117" s="75">
        <v>6228.181640625</v>
      </c>
      <c r="N117" s="75">
        <v>5420.10498046875</v>
      </c>
      <c r="O117" s="76"/>
      <c r="P117" s="77"/>
      <c r="Q117" s="77"/>
      <c r="R117" s="89"/>
      <c r="S117" s="50">
        <v>0</v>
      </c>
      <c r="T117" s="50">
        <v>4</v>
      </c>
      <c r="U117" s="51">
        <v>1.2</v>
      </c>
      <c r="V117" s="51">
        <v>0.273702</v>
      </c>
      <c r="W117" s="51">
        <v>1.6597000000000001E-2</v>
      </c>
      <c r="X117" s="51">
        <v>4.8060000000000004E-3</v>
      </c>
      <c r="Y117" s="51">
        <v>0.25</v>
      </c>
      <c r="Z117" s="51">
        <v>0</v>
      </c>
      <c r="AA117" s="72">
        <v>117</v>
      </c>
      <c r="AB117" s="72"/>
      <c r="AC117" s="73"/>
      <c r="AD117" s="79" t="s">
        <v>1842</v>
      </c>
      <c r="AE117" s="84" t="s">
        <v>2035</v>
      </c>
      <c r="AF117" s="79">
        <v>970</v>
      </c>
      <c r="AG117" s="79">
        <v>644</v>
      </c>
      <c r="AH117" s="79">
        <v>1429</v>
      </c>
      <c r="AI117" s="79">
        <v>15356</v>
      </c>
      <c r="AJ117" s="79"/>
      <c r="AK117" s="79" t="s">
        <v>2225</v>
      </c>
      <c r="AL117" s="79" t="s">
        <v>1694</v>
      </c>
      <c r="AM117" s="86" t="str">
        <f>HYPERLINK("https://t.co/0saycSd9Sd")</f>
        <v>https://t.co/0saycSd9Sd</v>
      </c>
      <c r="AN117" s="79"/>
      <c r="AO117" s="81">
        <v>40482.686678240738</v>
      </c>
      <c r="AP117" s="86" t="str">
        <f>HYPERLINK("https://pbs.twimg.com/profile_banners/210515865/1538494376")</f>
        <v>https://pbs.twimg.com/profile_banners/210515865/1538494376</v>
      </c>
      <c r="AQ117" s="79" t="b">
        <v>0</v>
      </c>
      <c r="AR117" s="79" t="b">
        <v>0</v>
      </c>
      <c r="AS117" s="79" t="b">
        <v>1</v>
      </c>
      <c r="AT117" s="79"/>
      <c r="AU117" s="79">
        <v>8</v>
      </c>
      <c r="AV117" s="86" t="str">
        <f>HYPERLINK("https://abs.twimg.com/images/themes/theme2/bg.gif")</f>
        <v>https://abs.twimg.com/images/themes/theme2/bg.gif</v>
      </c>
      <c r="AW117" s="79" t="b">
        <v>0</v>
      </c>
      <c r="AX117" s="79" t="s">
        <v>2381</v>
      </c>
      <c r="AY117" s="86" t="str">
        <f>HYPERLINK("https://twitter.com/pfmcdevitt")</f>
        <v>https://twitter.com/pfmcdevitt</v>
      </c>
      <c r="AZ117" s="79" t="s">
        <v>66</v>
      </c>
      <c r="BA117" s="50" t="s">
        <v>2683</v>
      </c>
      <c r="BB117" s="50" t="s">
        <v>2683</v>
      </c>
      <c r="BC117" s="50" t="s">
        <v>2725</v>
      </c>
      <c r="BD117" s="50" t="s">
        <v>2725</v>
      </c>
      <c r="BE117" s="50" t="s">
        <v>357</v>
      </c>
      <c r="BF117" s="50" t="s">
        <v>357</v>
      </c>
      <c r="BG117" s="108" t="s">
        <v>2899</v>
      </c>
      <c r="BH117" s="108" t="s">
        <v>2899</v>
      </c>
      <c r="BI117" s="108" t="s">
        <v>3060</v>
      </c>
      <c r="BJ117" s="108" t="s">
        <v>3060</v>
      </c>
      <c r="BK117" s="2"/>
      <c r="BL117" s="3"/>
      <c r="BM117" s="3"/>
      <c r="BN117" s="3"/>
      <c r="BO117" s="3"/>
    </row>
    <row r="118" spans="1:67" x14ac:dyDescent="0.25">
      <c r="A118" s="65" t="s">
        <v>291</v>
      </c>
      <c r="B118" s="66"/>
      <c r="C118" s="66"/>
      <c r="D118" s="67"/>
      <c r="E118" s="69"/>
      <c r="F118" s="103" t="str">
        <f>HYPERLINK("https://pbs.twimg.com/profile_images/1851270789/Amherst-20120224-02691_normal.jpg")</f>
        <v>https://pbs.twimg.com/profile_images/1851270789/Amherst-20120224-02691_normal.jpg</v>
      </c>
      <c r="G118" s="66"/>
      <c r="H118" s="70"/>
      <c r="I118" s="71"/>
      <c r="J118" s="71"/>
      <c r="K118" s="70" t="s">
        <v>2496</v>
      </c>
      <c r="L118" s="74"/>
      <c r="M118" s="75">
        <v>4829.79833984375</v>
      </c>
      <c r="N118" s="75">
        <v>9282.5986328125</v>
      </c>
      <c r="O118" s="76"/>
      <c r="P118" s="77"/>
      <c r="Q118" s="77"/>
      <c r="R118" s="89"/>
      <c r="S118" s="50">
        <v>0</v>
      </c>
      <c r="T118" s="50">
        <v>1</v>
      </c>
      <c r="U118" s="51">
        <v>0</v>
      </c>
      <c r="V118" s="51">
        <v>0.28042400000000001</v>
      </c>
      <c r="W118" s="51">
        <v>1.7610000000000001E-2</v>
      </c>
      <c r="X118" s="51">
        <v>4.3790000000000001E-3</v>
      </c>
      <c r="Y118" s="51">
        <v>0</v>
      </c>
      <c r="Z118" s="51">
        <v>0</v>
      </c>
      <c r="AA118" s="72">
        <v>118</v>
      </c>
      <c r="AB118" s="72"/>
      <c r="AC118" s="73"/>
      <c r="AD118" s="79" t="s">
        <v>1843</v>
      </c>
      <c r="AE118" s="84" t="s">
        <v>2036</v>
      </c>
      <c r="AF118" s="79">
        <v>4872</v>
      </c>
      <c r="AG118" s="79">
        <v>890</v>
      </c>
      <c r="AH118" s="79">
        <v>29432</v>
      </c>
      <c r="AI118" s="79">
        <v>2906</v>
      </c>
      <c r="AJ118" s="79"/>
      <c r="AK118" s="79" t="s">
        <v>2226</v>
      </c>
      <c r="AL118" s="79" t="s">
        <v>2341</v>
      </c>
      <c r="AM118" s="86" t="str">
        <f>HYPERLINK("https://t.co/cYvN956UM0")</f>
        <v>https://t.co/cYvN956UM0</v>
      </c>
      <c r="AN118" s="79"/>
      <c r="AO118" s="81">
        <v>39881.699432870373</v>
      </c>
      <c r="AP118" s="86" t="str">
        <f>HYPERLINK("https://pbs.twimg.com/profile_banners/23457580/1397382092")</f>
        <v>https://pbs.twimg.com/profile_banners/23457580/1397382092</v>
      </c>
      <c r="AQ118" s="79" t="b">
        <v>0</v>
      </c>
      <c r="AR118" s="79" t="b">
        <v>0</v>
      </c>
      <c r="AS118" s="79" t="b">
        <v>1</v>
      </c>
      <c r="AT118" s="79"/>
      <c r="AU118" s="79">
        <v>57</v>
      </c>
      <c r="AV118" s="86" t="str">
        <f>HYPERLINK("https://abs.twimg.com/images/themes/theme11/bg.gif")</f>
        <v>https://abs.twimg.com/images/themes/theme11/bg.gif</v>
      </c>
      <c r="AW118" s="79" t="b">
        <v>0</v>
      </c>
      <c r="AX118" s="79" t="s">
        <v>2381</v>
      </c>
      <c r="AY118" s="86" t="str">
        <f>HYPERLINK("https://twitter.com/saefarq")</f>
        <v>https://twitter.com/saefarq</v>
      </c>
      <c r="AZ118" s="79" t="s">
        <v>66</v>
      </c>
      <c r="BA118" s="50" t="s">
        <v>2684</v>
      </c>
      <c r="BB118" s="50" t="s">
        <v>2684</v>
      </c>
      <c r="BC118" s="50" t="s">
        <v>632</v>
      </c>
      <c r="BD118" s="50" t="s">
        <v>632</v>
      </c>
      <c r="BE118" s="50" t="s">
        <v>357</v>
      </c>
      <c r="BF118" s="50" t="s">
        <v>357</v>
      </c>
      <c r="BG118" s="108" t="s">
        <v>2900</v>
      </c>
      <c r="BH118" s="108" t="s">
        <v>2900</v>
      </c>
      <c r="BI118" s="108" t="s">
        <v>3061</v>
      </c>
      <c r="BJ118" s="108" t="s">
        <v>3061</v>
      </c>
      <c r="BK118" s="2"/>
      <c r="BL118" s="3"/>
      <c r="BM118" s="3"/>
      <c r="BN118" s="3"/>
      <c r="BO118" s="3"/>
    </row>
    <row r="119" spans="1:67" x14ac:dyDescent="0.25">
      <c r="A119" s="65" t="s">
        <v>292</v>
      </c>
      <c r="B119" s="66"/>
      <c r="C119" s="66"/>
      <c r="D119" s="67"/>
      <c r="E119" s="69"/>
      <c r="F119" s="103" t="str">
        <f>HYPERLINK("https://pbs.twimg.com/profile_images/803288540666859520/LsEynK1t_normal.jpg")</f>
        <v>https://pbs.twimg.com/profile_images/803288540666859520/LsEynK1t_normal.jpg</v>
      </c>
      <c r="G119" s="66"/>
      <c r="H119" s="70"/>
      <c r="I119" s="71"/>
      <c r="J119" s="71"/>
      <c r="K119" s="70" t="s">
        <v>2497</v>
      </c>
      <c r="L119" s="74"/>
      <c r="M119" s="75">
        <v>7363.32421875</v>
      </c>
      <c r="N119" s="75">
        <v>1446.3223876953125</v>
      </c>
      <c r="O119" s="76"/>
      <c r="P119" s="77"/>
      <c r="Q119" s="77"/>
      <c r="R119" s="89"/>
      <c r="S119" s="50">
        <v>0</v>
      </c>
      <c r="T119" s="50">
        <v>1</v>
      </c>
      <c r="U119" s="51">
        <v>0</v>
      </c>
      <c r="V119" s="51">
        <v>0.28042400000000001</v>
      </c>
      <c r="W119" s="51">
        <v>1.7610000000000001E-2</v>
      </c>
      <c r="X119" s="51">
        <v>4.3790000000000001E-3</v>
      </c>
      <c r="Y119" s="51">
        <v>0</v>
      </c>
      <c r="Z119" s="51">
        <v>0</v>
      </c>
      <c r="AA119" s="72">
        <v>119</v>
      </c>
      <c r="AB119" s="72"/>
      <c r="AC119" s="73"/>
      <c r="AD119" s="79" t="s">
        <v>1844</v>
      </c>
      <c r="AE119" s="84" t="s">
        <v>2037</v>
      </c>
      <c r="AF119" s="79">
        <v>1113</v>
      </c>
      <c r="AG119" s="79">
        <v>505</v>
      </c>
      <c r="AH119" s="79">
        <v>3646</v>
      </c>
      <c r="AI119" s="79">
        <v>2724</v>
      </c>
      <c r="AJ119" s="79"/>
      <c r="AK119" s="79" t="s">
        <v>2227</v>
      </c>
      <c r="AL119" s="79" t="s">
        <v>2342</v>
      </c>
      <c r="AM119" s="86" t="str">
        <f>HYPERLINK("https://t.co/UG95mvXor2")</f>
        <v>https://t.co/UG95mvXor2</v>
      </c>
      <c r="AN119" s="79"/>
      <c r="AO119" s="81">
        <v>40695.742800925924</v>
      </c>
      <c r="AP119" s="86" t="str">
        <f>HYPERLINK("https://pbs.twimg.com/profile_banners/309191305/1473853613")</f>
        <v>https://pbs.twimg.com/profile_banners/309191305/1473853613</v>
      </c>
      <c r="AQ119" s="79" t="b">
        <v>0</v>
      </c>
      <c r="AR119" s="79" t="b">
        <v>0</v>
      </c>
      <c r="AS119" s="79" t="b">
        <v>1</v>
      </c>
      <c r="AT119" s="79"/>
      <c r="AU119" s="79">
        <v>19</v>
      </c>
      <c r="AV119" s="86" t="str">
        <f>HYPERLINK("https://abs.twimg.com/images/themes/theme1/bg.png")</f>
        <v>https://abs.twimg.com/images/themes/theme1/bg.png</v>
      </c>
      <c r="AW119" s="79" t="b">
        <v>0</v>
      </c>
      <c r="AX119" s="79" t="s">
        <v>2381</v>
      </c>
      <c r="AY119" s="86" t="str">
        <f>HYPERLINK("https://twitter.com/thomasmcarthur1")</f>
        <v>https://twitter.com/thomasmcarthur1</v>
      </c>
      <c r="AZ119" s="79" t="s">
        <v>66</v>
      </c>
      <c r="BA119" s="50"/>
      <c r="BB119" s="50"/>
      <c r="BC119" s="50"/>
      <c r="BD119" s="50"/>
      <c r="BE119" s="50" t="s">
        <v>357</v>
      </c>
      <c r="BF119" s="50" t="s">
        <v>357</v>
      </c>
      <c r="BG119" s="108" t="s">
        <v>2901</v>
      </c>
      <c r="BH119" s="108" t="s">
        <v>2901</v>
      </c>
      <c r="BI119" s="108" t="s">
        <v>3061</v>
      </c>
      <c r="BJ119" s="108" t="s">
        <v>3061</v>
      </c>
      <c r="BK119" s="2"/>
      <c r="BL119" s="3"/>
      <c r="BM119" s="3"/>
      <c r="BN119" s="3"/>
      <c r="BO119" s="3"/>
    </row>
    <row r="120" spans="1:67" x14ac:dyDescent="0.25">
      <c r="A120" s="65" t="s">
        <v>293</v>
      </c>
      <c r="B120" s="66"/>
      <c r="C120" s="66"/>
      <c r="D120" s="67"/>
      <c r="E120" s="69"/>
      <c r="F120" s="103" t="str">
        <f>HYPERLINK("https://pbs.twimg.com/profile_images/1403348470161891340/dF-lN5ke_normal.jpg")</f>
        <v>https://pbs.twimg.com/profile_images/1403348470161891340/dF-lN5ke_normal.jpg</v>
      </c>
      <c r="G120" s="66"/>
      <c r="H120" s="70"/>
      <c r="I120" s="71"/>
      <c r="J120" s="71"/>
      <c r="K120" s="70" t="s">
        <v>2498</v>
      </c>
      <c r="L120" s="74"/>
      <c r="M120" s="75">
        <v>4106.59423828125</v>
      </c>
      <c r="N120" s="75">
        <v>9629.8564453125</v>
      </c>
      <c r="O120" s="76"/>
      <c r="P120" s="77"/>
      <c r="Q120" s="77"/>
      <c r="R120" s="89"/>
      <c r="S120" s="50">
        <v>0</v>
      </c>
      <c r="T120" s="50">
        <v>1</v>
      </c>
      <c r="U120" s="51">
        <v>0</v>
      </c>
      <c r="V120" s="51">
        <v>0.34300799999999998</v>
      </c>
      <c r="W120" s="51">
        <v>4.5978999999999999E-2</v>
      </c>
      <c r="X120" s="51">
        <v>4.3769999999999998E-3</v>
      </c>
      <c r="Y120" s="51">
        <v>0</v>
      </c>
      <c r="Z120" s="51">
        <v>0</v>
      </c>
      <c r="AA120" s="72">
        <v>120</v>
      </c>
      <c r="AB120" s="72"/>
      <c r="AC120" s="73"/>
      <c r="AD120" s="79" t="s">
        <v>1845</v>
      </c>
      <c r="AE120" s="84" t="s">
        <v>2038</v>
      </c>
      <c r="AF120" s="79">
        <v>591</v>
      </c>
      <c r="AG120" s="79">
        <v>1472</v>
      </c>
      <c r="AH120" s="79">
        <v>2776</v>
      </c>
      <c r="AI120" s="79">
        <v>1710</v>
      </c>
      <c r="AJ120" s="79"/>
      <c r="AK120" s="79" t="s">
        <v>2228</v>
      </c>
      <c r="AL120" s="79" t="s">
        <v>1694</v>
      </c>
      <c r="AM120" s="86" t="str">
        <f>HYPERLINK("https://t.co/LYQ5ILmAgh")</f>
        <v>https://t.co/LYQ5ILmAgh</v>
      </c>
      <c r="AN120" s="79"/>
      <c r="AO120" s="81">
        <v>40833.601527777777</v>
      </c>
      <c r="AP120" s="86" t="str">
        <f>HYPERLINK("https://pbs.twimg.com/profile_banners/392748863/1623419324")</f>
        <v>https://pbs.twimg.com/profile_banners/392748863/1623419324</v>
      </c>
      <c r="AQ120" s="79" t="b">
        <v>0</v>
      </c>
      <c r="AR120" s="79" t="b">
        <v>0</v>
      </c>
      <c r="AS120" s="79" t="b">
        <v>1</v>
      </c>
      <c r="AT120" s="79"/>
      <c r="AU120" s="79">
        <v>57</v>
      </c>
      <c r="AV120" s="86" t="str">
        <f>HYPERLINK("https://abs.twimg.com/images/themes/theme14/bg.gif")</f>
        <v>https://abs.twimg.com/images/themes/theme14/bg.gif</v>
      </c>
      <c r="AW120" s="79" t="b">
        <v>0</v>
      </c>
      <c r="AX120" s="79" t="s">
        <v>2381</v>
      </c>
      <c r="AY120" s="86" t="str">
        <f>HYPERLINK("https://twitter.com/buffaloarchplan")</f>
        <v>https://twitter.com/buffaloarchplan</v>
      </c>
      <c r="AZ120" s="79" t="s">
        <v>66</v>
      </c>
      <c r="BA120" s="50" t="s">
        <v>2685</v>
      </c>
      <c r="BB120" s="50" t="s">
        <v>2685</v>
      </c>
      <c r="BC120" s="50" t="s">
        <v>632</v>
      </c>
      <c r="BD120" s="50" t="s">
        <v>632</v>
      </c>
      <c r="BE120" s="50" t="s">
        <v>693</v>
      </c>
      <c r="BF120" s="50" t="s">
        <v>693</v>
      </c>
      <c r="BG120" s="108" t="s">
        <v>2902</v>
      </c>
      <c r="BH120" s="108" t="s">
        <v>2902</v>
      </c>
      <c r="BI120" s="108" t="s">
        <v>3062</v>
      </c>
      <c r="BJ120" s="108" t="s">
        <v>3062</v>
      </c>
      <c r="BK120" s="2"/>
      <c r="BL120" s="3"/>
      <c r="BM120" s="3"/>
      <c r="BN120" s="3"/>
      <c r="BO120" s="3"/>
    </row>
    <row r="121" spans="1:67" x14ac:dyDescent="0.25">
      <c r="A121" s="65" t="s">
        <v>295</v>
      </c>
      <c r="B121" s="66"/>
      <c r="C121" s="66"/>
      <c r="D121" s="67"/>
      <c r="E121" s="69"/>
      <c r="F121" s="103" t="str">
        <f>HYPERLINK("https://pbs.twimg.com/profile_images/1448247266687557637/yIHBBb2T_normal.jpg")</f>
        <v>https://pbs.twimg.com/profile_images/1448247266687557637/yIHBBb2T_normal.jpg</v>
      </c>
      <c r="G121" s="66"/>
      <c r="H121" s="70"/>
      <c r="I121" s="71"/>
      <c r="J121" s="71"/>
      <c r="K121" s="70" t="s">
        <v>2499</v>
      </c>
      <c r="L121" s="74"/>
      <c r="M121" s="75">
        <v>4761.10400390625</v>
      </c>
      <c r="N121" s="75">
        <v>690.150390625</v>
      </c>
      <c r="O121" s="76"/>
      <c r="P121" s="77"/>
      <c r="Q121" s="77"/>
      <c r="R121" s="89"/>
      <c r="S121" s="50">
        <v>0</v>
      </c>
      <c r="T121" s="50">
        <v>1</v>
      </c>
      <c r="U121" s="51">
        <v>0</v>
      </c>
      <c r="V121" s="51">
        <v>0.25211600000000001</v>
      </c>
      <c r="W121" s="51">
        <v>4.2760000000000003E-3</v>
      </c>
      <c r="X121" s="51">
        <v>4.4799999999999996E-3</v>
      </c>
      <c r="Y121" s="51">
        <v>0</v>
      </c>
      <c r="Z121" s="51">
        <v>0</v>
      </c>
      <c r="AA121" s="72">
        <v>121</v>
      </c>
      <c r="AB121" s="72"/>
      <c r="AC121" s="73"/>
      <c r="AD121" s="79" t="s">
        <v>1846</v>
      </c>
      <c r="AE121" s="84" t="s">
        <v>2039</v>
      </c>
      <c r="AF121" s="79">
        <v>1666</v>
      </c>
      <c r="AG121" s="79">
        <v>2152</v>
      </c>
      <c r="AH121" s="79">
        <v>15685</v>
      </c>
      <c r="AI121" s="79">
        <v>19316</v>
      </c>
      <c r="AJ121" s="79"/>
      <c r="AK121" s="79" t="s">
        <v>2229</v>
      </c>
      <c r="AL121" s="79" t="s">
        <v>2343</v>
      </c>
      <c r="AM121" s="86" t="str">
        <f>HYPERLINK("https://t.co/ISZk8jdJ1W")</f>
        <v>https://t.co/ISZk8jdJ1W</v>
      </c>
      <c r="AN121" s="79"/>
      <c r="AO121" s="81">
        <v>40071.404976851853</v>
      </c>
      <c r="AP121" s="86" t="str">
        <f>HYPERLINK("https://pbs.twimg.com/profile_banners/74409745/1645217409")</f>
        <v>https://pbs.twimg.com/profile_banners/74409745/1645217409</v>
      </c>
      <c r="AQ121" s="79" t="b">
        <v>1</v>
      </c>
      <c r="AR121" s="79" t="b">
        <v>0</v>
      </c>
      <c r="AS121" s="79" t="b">
        <v>1</v>
      </c>
      <c r="AT121" s="79"/>
      <c r="AU121" s="79">
        <v>33</v>
      </c>
      <c r="AV121" s="86" t="str">
        <f>HYPERLINK("https://abs.twimg.com/images/themes/theme1/bg.png")</f>
        <v>https://abs.twimg.com/images/themes/theme1/bg.png</v>
      </c>
      <c r="AW121" s="79" t="b">
        <v>0</v>
      </c>
      <c r="AX121" s="79" t="s">
        <v>2381</v>
      </c>
      <c r="AY121" s="86" t="str">
        <f>HYPERLINK("https://twitter.com/bergren")</f>
        <v>https://twitter.com/bergren</v>
      </c>
      <c r="AZ121" s="79" t="s">
        <v>66</v>
      </c>
      <c r="BA121" s="50" t="s">
        <v>2686</v>
      </c>
      <c r="BB121" s="50" t="s">
        <v>2686</v>
      </c>
      <c r="BC121" s="50" t="s">
        <v>632</v>
      </c>
      <c r="BD121" s="50" t="s">
        <v>632</v>
      </c>
      <c r="BE121" s="50" t="s">
        <v>357</v>
      </c>
      <c r="BF121" s="50" t="s">
        <v>357</v>
      </c>
      <c r="BG121" s="108" t="s">
        <v>2903</v>
      </c>
      <c r="BH121" s="108" t="s">
        <v>2903</v>
      </c>
      <c r="BI121" s="108" t="s">
        <v>3063</v>
      </c>
      <c r="BJ121" s="108" t="s">
        <v>3063</v>
      </c>
      <c r="BK121" s="2"/>
      <c r="BL121" s="3"/>
      <c r="BM121" s="3"/>
      <c r="BN121" s="3"/>
      <c r="BO121" s="3"/>
    </row>
    <row r="122" spans="1:67" x14ac:dyDescent="0.25">
      <c r="A122" s="65" t="s">
        <v>296</v>
      </c>
      <c r="B122" s="66"/>
      <c r="C122" s="66"/>
      <c r="D122" s="67"/>
      <c r="E122" s="69"/>
      <c r="F122" s="103" t="str">
        <f>HYPERLINK("https://pbs.twimg.com/profile_images/1501210398510493700/KghuBnZp_normal.jpg")</f>
        <v>https://pbs.twimg.com/profile_images/1501210398510493700/KghuBnZp_normal.jpg</v>
      </c>
      <c r="G122" s="66"/>
      <c r="H122" s="70"/>
      <c r="I122" s="71"/>
      <c r="J122" s="71"/>
      <c r="K122" s="70" t="s">
        <v>2500</v>
      </c>
      <c r="L122" s="74"/>
      <c r="M122" s="75">
        <v>5767.95458984375</v>
      </c>
      <c r="N122" s="75">
        <v>9780.6640625</v>
      </c>
      <c r="O122" s="76"/>
      <c r="P122" s="77"/>
      <c r="Q122" s="77"/>
      <c r="R122" s="89"/>
      <c r="S122" s="50">
        <v>0</v>
      </c>
      <c r="T122" s="50">
        <v>3</v>
      </c>
      <c r="U122" s="51">
        <v>0.15384600000000001</v>
      </c>
      <c r="V122" s="51">
        <v>0.28391100000000002</v>
      </c>
      <c r="W122" s="51">
        <v>5.2247000000000002E-2</v>
      </c>
      <c r="X122" s="51">
        <v>4.5019999999999999E-3</v>
      </c>
      <c r="Y122" s="51">
        <v>0.33333333333333331</v>
      </c>
      <c r="Z122" s="51">
        <v>0</v>
      </c>
      <c r="AA122" s="72">
        <v>122</v>
      </c>
      <c r="AB122" s="72"/>
      <c r="AC122" s="73"/>
      <c r="AD122" s="79" t="s">
        <v>1847</v>
      </c>
      <c r="AE122" s="84" t="s">
        <v>2040</v>
      </c>
      <c r="AF122" s="79">
        <v>1155</v>
      </c>
      <c r="AG122" s="79">
        <v>20</v>
      </c>
      <c r="AH122" s="79">
        <v>275</v>
      </c>
      <c r="AI122" s="79">
        <v>66</v>
      </c>
      <c r="AJ122" s="79"/>
      <c r="AK122" s="79" t="s">
        <v>2230</v>
      </c>
      <c r="AL122" s="79" t="s">
        <v>2344</v>
      </c>
      <c r="AM122" s="79"/>
      <c r="AN122" s="79"/>
      <c r="AO122" s="81">
        <v>44625.507997685185</v>
      </c>
      <c r="AP122" s="86" t="str">
        <f>HYPERLINK("https://pbs.twimg.com/profile_banners/1500081511877554177/1647013675")</f>
        <v>https://pbs.twimg.com/profile_banners/1500081511877554177/1647013675</v>
      </c>
      <c r="AQ122" s="79" t="b">
        <v>1</v>
      </c>
      <c r="AR122" s="79" t="b">
        <v>0</v>
      </c>
      <c r="AS122" s="79" t="b">
        <v>0</v>
      </c>
      <c r="AT122" s="79"/>
      <c r="AU122" s="79">
        <v>0</v>
      </c>
      <c r="AV122" s="79"/>
      <c r="AW122" s="79" t="b">
        <v>0</v>
      </c>
      <c r="AX122" s="79" t="s">
        <v>2381</v>
      </c>
      <c r="AY122" s="86" t="str">
        <f>HYPERLINK("https://twitter.com/osmanfaran")</f>
        <v>https://twitter.com/osmanfaran</v>
      </c>
      <c r="AZ122" s="79" t="s">
        <v>66</v>
      </c>
      <c r="BA122" s="50"/>
      <c r="BB122" s="50"/>
      <c r="BC122" s="50"/>
      <c r="BD122" s="50"/>
      <c r="BE122" s="50" t="s">
        <v>695</v>
      </c>
      <c r="BF122" s="50" t="s">
        <v>695</v>
      </c>
      <c r="BG122" s="108" t="s">
        <v>2904</v>
      </c>
      <c r="BH122" s="108" t="s">
        <v>2904</v>
      </c>
      <c r="BI122" s="108" t="s">
        <v>3064</v>
      </c>
      <c r="BJ122" s="108" t="s">
        <v>3064</v>
      </c>
      <c r="BK122" s="2"/>
      <c r="BL122" s="3"/>
      <c r="BM122" s="3"/>
      <c r="BN122" s="3"/>
      <c r="BO122" s="3"/>
    </row>
    <row r="123" spans="1:67" x14ac:dyDescent="0.25">
      <c r="A123" s="65" t="s">
        <v>402</v>
      </c>
      <c r="B123" s="66"/>
      <c r="C123" s="66"/>
      <c r="D123" s="67"/>
      <c r="E123" s="69"/>
      <c r="F123" s="103" t="str">
        <f>HYPERLINK("https://pbs.twimg.com/profile_images/178594432/Seal_logo1_normal.jpg")</f>
        <v>https://pbs.twimg.com/profile_images/178594432/Seal_logo1_normal.jpg</v>
      </c>
      <c r="G123" s="66"/>
      <c r="H123" s="70"/>
      <c r="I123" s="71"/>
      <c r="J123" s="71"/>
      <c r="K123" s="70" t="s">
        <v>2501</v>
      </c>
      <c r="L123" s="74"/>
      <c r="M123" s="75">
        <v>5266.4453125</v>
      </c>
      <c r="N123" s="75">
        <v>7420.95458984375</v>
      </c>
      <c r="O123" s="76"/>
      <c r="P123" s="77"/>
      <c r="Q123" s="77"/>
      <c r="R123" s="89"/>
      <c r="S123" s="50">
        <v>13</v>
      </c>
      <c r="T123" s="50">
        <v>0</v>
      </c>
      <c r="U123" s="51">
        <v>522.48086000000001</v>
      </c>
      <c r="V123" s="51">
        <v>0.38148399999999999</v>
      </c>
      <c r="W123" s="51">
        <v>0.165435</v>
      </c>
      <c r="X123" s="51">
        <v>5.8609999999999999E-3</v>
      </c>
      <c r="Y123" s="51">
        <v>0.14743589743589744</v>
      </c>
      <c r="Z123" s="51">
        <v>0</v>
      </c>
      <c r="AA123" s="72">
        <v>123</v>
      </c>
      <c r="AB123" s="72"/>
      <c r="AC123" s="73"/>
      <c r="AD123" s="79" t="s">
        <v>1848</v>
      </c>
      <c r="AE123" s="84" t="s">
        <v>2041</v>
      </c>
      <c r="AF123" s="79">
        <v>372</v>
      </c>
      <c r="AG123" s="79">
        <v>50637</v>
      </c>
      <c r="AH123" s="79">
        <v>44099</v>
      </c>
      <c r="AI123" s="79">
        <v>19138</v>
      </c>
      <c r="AJ123" s="79"/>
      <c r="AK123" s="79" t="s">
        <v>2231</v>
      </c>
      <c r="AL123" s="79" t="s">
        <v>2345</v>
      </c>
      <c r="AM123" s="86" t="str">
        <f>HYPERLINK("https://t.co/QJWcFCAlQ5")</f>
        <v>https://t.co/QJWcFCAlQ5</v>
      </c>
      <c r="AN123" s="79"/>
      <c r="AO123" s="81">
        <v>39909.000081018516</v>
      </c>
      <c r="AP123" s="86" t="str">
        <f>HYPERLINK("https://pbs.twimg.com/profile_banners/29098812/1559957410")</f>
        <v>https://pbs.twimg.com/profile_banners/29098812/1559957410</v>
      </c>
      <c r="AQ123" s="79" t="b">
        <v>0</v>
      </c>
      <c r="AR123" s="79" t="b">
        <v>0</v>
      </c>
      <c r="AS123" s="79" t="b">
        <v>1</v>
      </c>
      <c r="AT123" s="79"/>
      <c r="AU123" s="79">
        <v>548</v>
      </c>
      <c r="AV123" s="86" t="str">
        <f>HYPERLINK("https://abs.twimg.com/images/themes/theme1/bg.png")</f>
        <v>https://abs.twimg.com/images/themes/theme1/bg.png</v>
      </c>
      <c r="AW123" s="79" t="b">
        <v>1</v>
      </c>
      <c r="AX123" s="79" t="s">
        <v>2381</v>
      </c>
      <c r="AY123" s="86" t="str">
        <f>HYPERLINK("https://twitter.com/macsports")</f>
        <v>https://twitter.com/macsports</v>
      </c>
      <c r="AZ123" s="79" t="s">
        <v>65</v>
      </c>
      <c r="BA123" s="50"/>
      <c r="BB123" s="50"/>
      <c r="BC123" s="50"/>
      <c r="BD123" s="50"/>
      <c r="BE123" s="50"/>
      <c r="BF123" s="50"/>
      <c r="BG123" s="50"/>
      <c r="BH123" s="50"/>
      <c r="BI123" s="50"/>
      <c r="BJ123" s="50"/>
      <c r="BK123" s="2"/>
      <c r="BL123" s="3"/>
      <c r="BM123" s="3"/>
      <c r="BN123" s="3"/>
      <c r="BO123" s="3"/>
    </row>
    <row r="124" spans="1:67" x14ac:dyDescent="0.25">
      <c r="A124" s="65" t="s">
        <v>358</v>
      </c>
      <c r="B124" s="66"/>
      <c r="C124" s="66"/>
      <c r="D124" s="67"/>
      <c r="E124" s="69"/>
      <c r="F124" s="103" t="str">
        <f>HYPERLINK("https://pbs.twimg.com/profile_images/1100102635087106048/O7FdP_S__normal.jpg")</f>
        <v>https://pbs.twimg.com/profile_images/1100102635087106048/O7FdP_S__normal.jpg</v>
      </c>
      <c r="G124" s="66"/>
      <c r="H124" s="70"/>
      <c r="I124" s="71"/>
      <c r="J124" s="71"/>
      <c r="K124" s="70" t="s">
        <v>2502</v>
      </c>
      <c r="L124" s="74"/>
      <c r="M124" s="75">
        <v>5700.478515625</v>
      </c>
      <c r="N124" s="75">
        <v>8036.02880859375</v>
      </c>
      <c r="O124" s="76"/>
      <c r="P124" s="77"/>
      <c r="Q124" s="77"/>
      <c r="R124" s="89"/>
      <c r="S124" s="50">
        <v>10</v>
      </c>
      <c r="T124" s="50">
        <v>3</v>
      </c>
      <c r="U124" s="51">
        <v>235.994416</v>
      </c>
      <c r="V124" s="51">
        <v>0.37172500000000003</v>
      </c>
      <c r="W124" s="51">
        <v>0.16472800000000001</v>
      </c>
      <c r="X124" s="51">
        <v>5.8409999999999998E-3</v>
      </c>
      <c r="Y124" s="51">
        <v>0.21212121212121213</v>
      </c>
      <c r="Z124" s="51">
        <v>8.3333333333333329E-2</v>
      </c>
      <c r="AA124" s="72">
        <v>124</v>
      </c>
      <c r="AB124" s="72"/>
      <c r="AC124" s="73"/>
      <c r="AD124" s="79" t="s">
        <v>1849</v>
      </c>
      <c r="AE124" s="84" t="s">
        <v>2042</v>
      </c>
      <c r="AF124" s="79">
        <v>513</v>
      </c>
      <c r="AG124" s="79">
        <v>19033</v>
      </c>
      <c r="AH124" s="79">
        <v>43827</v>
      </c>
      <c r="AI124" s="79">
        <v>10697</v>
      </c>
      <c r="AJ124" s="79"/>
      <c r="AK124" s="79" t="s">
        <v>2232</v>
      </c>
      <c r="AL124" s="79" t="s">
        <v>1694</v>
      </c>
      <c r="AM124" s="86" t="str">
        <f>HYPERLINK("https://t.co/Zj7xep6Mpg")</f>
        <v>https://t.co/Zj7xep6Mpg</v>
      </c>
      <c r="AN124" s="79"/>
      <c r="AO124" s="81">
        <v>39979.790879629632</v>
      </c>
      <c r="AP124" s="86" t="str">
        <f>HYPERLINK("https://pbs.twimg.com/profile_banners/47412141/1460584893")</f>
        <v>https://pbs.twimg.com/profile_banners/47412141/1460584893</v>
      </c>
      <c r="AQ124" s="79" t="b">
        <v>0</v>
      </c>
      <c r="AR124" s="79" t="b">
        <v>0</v>
      </c>
      <c r="AS124" s="79" t="b">
        <v>1</v>
      </c>
      <c r="AT124" s="79"/>
      <c r="AU124" s="79">
        <v>209</v>
      </c>
      <c r="AV124" s="86" t="str">
        <f>HYPERLINK("https://abs.twimg.com/images/themes/theme1/bg.png")</f>
        <v>https://abs.twimg.com/images/themes/theme1/bg.png</v>
      </c>
      <c r="AW124" s="79" t="b">
        <v>1</v>
      </c>
      <c r="AX124" s="79" t="s">
        <v>2381</v>
      </c>
      <c r="AY124" s="86" t="str">
        <f>HYPERLINK("https://twitter.com/ubathletics")</f>
        <v>https://twitter.com/ubathletics</v>
      </c>
      <c r="AZ124" s="79" t="s">
        <v>66</v>
      </c>
      <c r="BA124" s="50"/>
      <c r="BB124" s="50"/>
      <c r="BC124" s="50"/>
      <c r="BD124" s="50"/>
      <c r="BE124" s="50" t="s">
        <v>2766</v>
      </c>
      <c r="BF124" s="50" t="s">
        <v>2806</v>
      </c>
      <c r="BG124" s="108" t="s">
        <v>2905</v>
      </c>
      <c r="BH124" s="108" t="s">
        <v>2969</v>
      </c>
      <c r="BI124" s="108" t="s">
        <v>3065</v>
      </c>
      <c r="BJ124" s="108" t="s">
        <v>3065</v>
      </c>
      <c r="BK124" s="2"/>
      <c r="BL124" s="3"/>
      <c r="BM124" s="3"/>
      <c r="BN124" s="3"/>
      <c r="BO124" s="3"/>
    </row>
    <row r="125" spans="1:67" x14ac:dyDescent="0.25">
      <c r="A125" s="65" t="s">
        <v>297</v>
      </c>
      <c r="B125" s="66"/>
      <c r="C125" s="66"/>
      <c r="D125" s="67"/>
      <c r="E125" s="69"/>
      <c r="F125" s="103" t="str">
        <f>HYPERLINK("https://pbs.twimg.com/profile_images/1444508902280859648/AqVbhsc__normal.png")</f>
        <v>https://pbs.twimg.com/profile_images/1444508902280859648/AqVbhsc__normal.png</v>
      </c>
      <c r="G125" s="66"/>
      <c r="H125" s="70"/>
      <c r="I125" s="71"/>
      <c r="J125" s="71"/>
      <c r="K125" s="70" t="s">
        <v>2503</v>
      </c>
      <c r="L125" s="74"/>
      <c r="M125" s="75">
        <v>6251.51611328125</v>
      </c>
      <c r="N125" s="75">
        <v>8666.1455078125</v>
      </c>
      <c r="O125" s="76"/>
      <c r="P125" s="77"/>
      <c r="Q125" s="77"/>
      <c r="R125" s="89"/>
      <c r="S125" s="50">
        <v>0</v>
      </c>
      <c r="T125" s="50">
        <v>3</v>
      </c>
      <c r="U125" s="51">
        <v>0.15384600000000001</v>
      </c>
      <c r="V125" s="51">
        <v>0.28391100000000002</v>
      </c>
      <c r="W125" s="51">
        <v>5.2247000000000002E-2</v>
      </c>
      <c r="X125" s="51">
        <v>4.5019999999999999E-3</v>
      </c>
      <c r="Y125" s="51">
        <v>0.33333333333333331</v>
      </c>
      <c r="Z125" s="51">
        <v>0</v>
      </c>
      <c r="AA125" s="72">
        <v>125</v>
      </c>
      <c r="AB125" s="72"/>
      <c r="AC125" s="73"/>
      <c r="AD125" s="79" t="s">
        <v>1850</v>
      </c>
      <c r="AE125" s="84" t="s">
        <v>2043</v>
      </c>
      <c r="AF125" s="79">
        <v>3055</v>
      </c>
      <c r="AG125" s="79">
        <v>354</v>
      </c>
      <c r="AH125" s="79">
        <v>29883</v>
      </c>
      <c r="AI125" s="79">
        <v>27713</v>
      </c>
      <c r="AJ125" s="79"/>
      <c r="AK125" s="79" t="s">
        <v>2233</v>
      </c>
      <c r="AL125" s="79"/>
      <c r="AM125" s="79"/>
      <c r="AN125" s="79"/>
      <c r="AO125" s="81">
        <v>44472.156643518516</v>
      </c>
      <c r="AP125" s="79"/>
      <c r="AQ125" s="79" t="b">
        <v>1</v>
      </c>
      <c r="AR125" s="79" t="b">
        <v>0</v>
      </c>
      <c r="AS125" s="79" t="b">
        <v>0</v>
      </c>
      <c r="AT125" s="79"/>
      <c r="AU125" s="79">
        <v>0</v>
      </c>
      <c r="AV125" s="79"/>
      <c r="AW125" s="79" t="b">
        <v>0</v>
      </c>
      <c r="AX125" s="79" t="s">
        <v>2381</v>
      </c>
      <c r="AY125" s="86" t="str">
        <f>HYPERLINK("https://twitter.com/cammill06830348")</f>
        <v>https://twitter.com/cammill06830348</v>
      </c>
      <c r="AZ125" s="79" t="s">
        <v>66</v>
      </c>
      <c r="BA125" s="50"/>
      <c r="BB125" s="50"/>
      <c r="BC125" s="50"/>
      <c r="BD125" s="50"/>
      <c r="BE125" s="50" t="s">
        <v>695</v>
      </c>
      <c r="BF125" s="50" t="s">
        <v>695</v>
      </c>
      <c r="BG125" s="108" t="s">
        <v>2904</v>
      </c>
      <c r="BH125" s="108" t="s">
        <v>2904</v>
      </c>
      <c r="BI125" s="108" t="s">
        <v>3064</v>
      </c>
      <c r="BJ125" s="108" t="s">
        <v>3064</v>
      </c>
      <c r="BK125" s="2"/>
      <c r="BL125" s="3"/>
      <c r="BM125" s="3"/>
      <c r="BN125" s="3"/>
      <c r="BO125" s="3"/>
    </row>
    <row r="126" spans="1:67" x14ac:dyDescent="0.25">
      <c r="A126" s="65" t="s">
        <v>298</v>
      </c>
      <c r="B126" s="66"/>
      <c r="C126" s="66"/>
      <c r="D126" s="67"/>
      <c r="E126" s="69"/>
      <c r="F126" s="103" t="str">
        <f>HYPERLINK("https://pbs.twimg.com/profile_images/1498255346845904898/BwAVxCMP_normal.jpg")</f>
        <v>https://pbs.twimg.com/profile_images/1498255346845904898/BwAVxCMP_normal.jpg</v>
      </c>
      <c r="G126" s="66"/>
      <c r="H126" s="70"/>
      <c r="I126" s="71"/>
      <c r="J126" s="71"/>
      <c r="K126" s="70" t="s">
        <v>2504</v>
      </c>
      <c r="L126" s="74"/>
      <c r="M126" s="75">
        <v>3660.261962890625</v>
      </c>
      <c r="N126" s="75">
        <v>8333.3330078125</v>
      </c>
      <c r="O126" s="76"/>
      <c r="P126" s="77"/>
      <c r="Q126" s="77"/>
      <c r="R126" s="89"/>
      <c r="S126" s="50">
        <v>0</v>
      </c>
      <c r="T126" s="50">
        <v>1</v>
      </c>
      <c r="U126" s="51">
        <v>0</v>
      </c>
      <c r="V126" s="51">
        <v>0.34300799999999998</v>
      </c>
      <c r="W126" s="51">
        <v>4.5978999999999999E-2</v>
      </c>
      <c r="X126" s="51">
        <v>4.3769999999999998E-3</v>
      </c>
      <c r="Y126" s="51">
        <v>0</v>
      </c>
      <c r="Z126" s="51">
        <v>0</v>
      </c>
      <c r="AA126" s="72">
        <v>126</v>
      </c>
      <c r="AB126" s="72"/>
      <c r="AC126" s="73"/>
      <c r="AD126" s="79" t="s">
        <v>1851</v>
      </c>
      <c r="AE126" s="84" t="s">
        <v>2044</v>
      </c>
      <c r="AF126" s="79">
        <v>5266</v>
      </c>
      <c r="AG126" s="79">
        <v>5114</v>
      </c>
      <c r="AH126" s="79">
        <v>16181</v>
      </c>
      <c r="AI126" s="79">
        <v>15244</v>
      </c>
      <c r="AJ126" s="79"/>
      <c r="AK126" s="79" t="s">
        <v>2234</v>
      </c>
      <c r="AL126" s="79"/>
      <c r="AM126" s="79"/>
      <c r="AN126" s="79"/>
      <c r="AO126" s="81">
        <v>41431.37835648148</v>
      </c>
      <c r="AP126" s="86" t="str">
        <f>HYPERLINK("https://pbs.twimg.com/profile_banners/1487263638/1625512304")</f>
        <v>https://pbs.twimg.com/profile_banners/1487263638/1625512304</v>
      </c>
      <c r="AQ126" s="79" t="b">
        <v>1</v>
      </c>
      <c r="AR126" s="79" t="b">
        <v>0</v>
      </c>
      <c r="AS126" s="79" t="b">
        <v>0</v>
      </c>
      <c r="AT126" s="79"/>
      <c r="AU126" s="79">
        <v>1</v>
      </c>
      <c r="AV126" s="86" t="str">
        <f>HYPERLINK("https://abs.twimg.com/images/themes/theme1/bg.png")</f>
        <v>https://abs.twimg.com/images/themes/theme1/bg.png</v>
      </c>
      <c r="AW126" s="79" t="b">
        <v>0</v>
      </c>
      <c r="AX126" s="79" t="s">
        <v>2381</v>
      </c>
      <c r="AY126" s="86" t="str">
        <f>HYPERLINK("https://twitter.com/sukhdevsidhu3")</f>
        <v>https://twitter.com/sukhdevsidhu3</v>
      </c>
      <c r="AZ126" s="79" t="s">
        <v>66</v>
      </c>
      <c r="BA126" s="50" t="s">
        <v>2687</v>
      </c>
      <c r="BB126" s="50" t="s">
        <v>2687</v>
      </c>
      <c r="BC126" s="50" t="s">
        <v>2721</v>
      </c>
      <c r="BD126" s="50" t="s">
        <v>2721</v>
      </c>
      <c r="BE126" s="50" t="s">
        <v>357</v>
      </c>
      <c r="BF126" s="50" t="s">
        <v>357</v>
      </c>
      <c r="BG126" s="108" t="s">
        <v>2906</v>
      </c>
      <c r="BH126" s="108" t="s">
        <v>2906</v>
      </c>
      <c r="BI126" s="108" t="s">
        <v>3066</v>
      </c>
      <c r="BJ126" s="108" t="s">
        <v>3066</v>
      </c>
      <c r="BK126" s="2"/>
      <c r="BL126" s="3"/>
      <c r="BM126" s="3"/>
      <c r="BN126" s="3"/>
      <c r="BO126" s="3"/>
    </row>
    <row r="127" spans="1:67" x14ac:dyDescent="0.25">
      <c r="A127" s="65" t="s">
        <v>299</v>
      </c>
      <c r="B127" s="66"/>
      <c r="C127" s="66"/>
      <c r="D127" s="67"/>
      <c r="E127" s="69"/>
      <c r="F127" s="103" t="str">
        <f>HYPERLINK("https://pbs.twimg.com/profile_images/1486475056951746563/LB-DK3_J_normal.jpg")</f>
        <v>https://pbs.twimg.com/profile_images/1486475056951746563/LB-DK3_J_normal.jpg</v>
      </c>
      <c r="G127" s="66"/>
      <c r="H127" s="70"/>
      <c r="I127" s="71"/>
      <c r="J127" s="71"/>
      <c r="K127" s="70" t="s">
        <v>2505</v>
      </c>
      <c r="L127" s="74"/>
      <c r="M127" s="75">
        <v>1110.8292236328125</v>
      </c>
      <c r="N127" s="75">
        <v>3940.936767578125</v>
      </c>
      <c r="O127" s="76"/>
      <c r="P127" s="77"/>
      <c r="Q127" s="77"/>
      <c r="R127" s="89"/>
      <c r="S127" s="50">
        <v>0</v>
      </c>
      <c r="T127" s="50">
        <v>2</v>
      </c>
      <c r="U127" s="51">
        <v>0</v>
      </c>
      <c r="V127" s="51">
        <v>0.27276800000000001</v>
      </c>
      <c r="W127" s="51">
        <v>9.9889999999999996E-3</v>
      </c>
      <c r="X127" s="51">
        <v>4.7260000000000002E-3</v>
      </c>
      <c r="Y127" s="51">
        <v>0.5</v>
      </c>
      <c r="Z127" s="51">
        <v>0</v>
      </c>
      <c r="AA127" s="72">
        <v>127</v>
      </c>
      <c r="AB127" s="72"/>
      <c r="AC127" s="73"/>
      <c r="AD127" s="79" t="s">
        <v>299</v>
      </c>
      <c r="AE127" s="84" t="s">
        <v>2045</v>
      </c>
      <c r="AF127" s="79">
        <v>1252</v>
      </c>
      <c r="AG127" s="79">
        <v>884</v>
      </c>
      <c r="AH127" s="79">
        <v>18088</v>
      </c>
      <c r="AI127" s="79">
        <v>3045</v>
      </c>
      <c r="AJ127" s="79"/>
      <c r="AK127" s="79" t="s">
        <v>2235</v>
      </c>
      <c r="AL127" s="79" t="s">
        <v>2346</v>
      </c>
      <c r="AM127" s="86" t="str">
        <f>HYPERLINK("https://t.co/6BDWqBgkBe")</f>
        <v>https://t.co/6BDWqBgkBe</v>
      </c>
      <c r="AN127" s="79"/>
      <c r="AO127" s="81">
        <v>39513.67459490741</v>
      </c>
      <c r="AP127" s="86" t="str">
        <f>HYPERLINK("https://pbs.twimg.com/profile_banners/14089460/1378489151")</f>
        <v>https://pbs.twimg.com/profile_banners/14089460/1378489151</v>
      </c>
      <c r="AQ127" s="79" t="b">
        <v>0</v>
      </c>
      <c r="AR127" s="79" t="b">
        <v>0</v>
      </c>
      <c r="AS127" s="79" t="b">
        <v>1</v>
      </c>
      <c r="AT127" s="79"/>
      <c r="AU127" s="79">
        <v>18</v>
      </c>
      <c r="AV127" s="86" t="str">
        <f>HYPERLINK("https://abs.twimg.com/images/themes/theme9/bg.gif")</f>
        <v>https://abs.twimg.com/images/themes/theme9/bg.gif</v>
      </c>
      <c r="AW127" s="79" t="b">
        <v>0</v>
      </c>
      <c r="AX127" s="79" t="s">
        <v>2381</v>
      </c>
      <c r="AY127" s="86" t="str">
        <f>HYPERLINK("https://twitter.com/richardabailey")</f>
        <v>https://twitter.com/richardabailey</v>
      </c>
      <c r="AZ127" s="79" t="s">
        <v>66</v>
      </c>
      <c r="BA127" s="50" t="s">
        <v>2584</v>
      </c>
      <c r="BB127" s="50" t="s">
        <v>2584</v>
      </c>
      <c r="BC127" s="50" t="s">
        <v>632</v>
      </c>
      <c r="BD127" s="50" t="s">
        <v>632</v>
      </c>
      <c r="BE127" s="50" t="s">
        <v>357</v>
      </c>
      <c r="BF127" s="50" t="s">
        <v>357</v>
      </c>
      <c r="BG127" s="108" t="s">
        <v>2907</v>
      </c>
      <c r="BH127" s="108" t="s">
        <v>2907</v>
      </c>
      <c r="BI127" s="108" t="s">
        <v>3067</v>
      </c>
      <c r="BJ127" s="108" t="s">
        <v>3067</v>
      </c>
      <c r="BK127" s="2"/>
      <c r="BL127" s="3"/>
      <c r="BM127" s="3"/>
      <c r="BN127" s="3"/>
      <c r="BO127" s="3"/>
    </row>
    <row r="128" spans="1:67" x14ac:dyDescent="0.25">
      <c r="A128" s="65" t="s">
        <v>403</v>
      </c>
      <c r="B128" s="66"/>
      <c r="C128" s="66"/>
      <c r="D128" s="67"/>
      <c r="E128" s="69"/>
      <c r="F128" s="103" t="str">
        <f>HYPERLINK("https://pbs.twimg.com/profile_images/1322875199856037888/EfR4BtGO_normal.jpg")</f>
        <v>https://pbs.twimg.com/profile_images/1322875199856037888/EfR4BtGO_normal.jpg</v>
      </c>
      <c r="G128" s="66"/>
      <c r="H128" s="70"/>
      <c r="I128" s="71"/>
      <c r="J128" s="71"/>
      <c r="K128" s="70" t="s">
        <v>2506</v>
      </c>
      <c r="L128" s="74"/>
      <c r="M128" s="75">
        <v>2156.457763671875</v>
      </c>
      <c r="N128" s="75">
        <v>6744.92626953125</v>
      </c>
      <c r="O128" s="76"/>
      <c r="P128" s="77"/>
      <c r="Q128" s="77"/>
      <c r="R128" s="89"/>
      <c r="S128" s="50">
        <v>2</v>
      </c>
      <c r="T128" s="50">
        <v>0</v>
      </c>
      <c r="U128" s="51">
        <v>0</v>
      </c>
      <c r="V128" s="51">
        <v>0.27276800000000001</v>
      </c>
      <c r="W128" s="51">
        <v>9.9889999999999996E-3</v>
      </c>
      <c r="X128" s="51">
        <v>4.7260000000000002E-3</v>
      </c>
      <c r="Y128" s="51">
        <v>0.5</v>
      </c>
      <c r="Z128" s="51">
        <v>0</v>
      </c>
      <c r="AA128" s="72">
        <v>128</v>
      </c>
      <c r="AB128" s="72"/>
      <c r="AC128" s="73"/>
      <c r="AD128" s="79" t="s">
        <v>1852</v>
      </c>
      <c r="AE128" s="84" t="s">
        <v>2046</v>
      </c>
      <c r="AF128" s="79">
        <v>1694</v>
      </c>
      <c r="AG128" s="79">
        <v>137961</v>
      </c>
      <c r="AH128" s="79">
        <v>36736</v>
      </c>
      <c r="AI128" s="79">
        <v>57259</v>
      </c>
      <c r="AJ128" s="79"/>
      <c r="AK128" s="79" t="s">
        <v>2236</v>
      </c>
      <c r="AL128" s="79" t="s">
        <v>2347</v>
      </c>
      <c r="AM128" s="86" t="str">
        <f>HYPERLINK("https://t.co/3bdohwmD3G")</f>
        <v>https://t.co/3bdohwmD3G</v>
      </c>
      <c r="AN128" s="79"/>
      <c r="AO128" s="81">
        <v>39856.629317129627</v>
      </c>
      <c r="AP128" s="86" t="str">
        <f>HYPERLINK("https://pbs.twimg.com/profile_banners/20683724/1593958614")</f>
        <v>https://pbs.twimg.com/profile_banners/20683724/1593958614</v>
      </c>
      <c r="AQ128" s="79" t="b">
        <v>0</v>
      </c>
      <c r="AR128" s="79" t="b">
        <v>0</v>
      </c>
      <c r="AS128" s="79" t="b">
        <v>1</v>
      </c>
      <c r="AT128" s="79"/>
      <c r="AU128" s="79">
        <v>1179</v>
      </c>
      <c r="AV128" s="86" t="str">
        <f>HYPERLINK("https://abs.twimg.com/images/themes/theme1/bg.png")</f>
        <v>https://abs.twimg.com/images/themes/theme1/bg.png</v>
      </c>
      <c r="AW128" s="79" t="b">
        <v>1</v>
      </c>
      <c r="AX128" s="79" t="s">
        <v>2381</v>
      </c>
      <c r="AY128" s="86" t="str">
        <f>HYPERLINK("https://twitter.com/unc")</f>
        <v>https://twitter.com/unc</v>
      </c>
      <c r="AZ128" s="79" t="s">
        <v>65</v>
      </c>
      <c r="BA128" s="50"/>
      <c r="BB128" s="50"/>
      <c r="BC128" s="50"/>
      <c r="BD128" s="50"/>
      <c r="BE128" s="50"/>
      <c r="BF128" s="50"/>
      <c r="BG128" s="50"/>
      <c r="BH128" s="50"/>
      <c r="BI128" s="50"/>
      <c r="BJ128" s="50"/>
      <c r="BK128" s="2"/>
      <c r="BL128" s="3"/>
      <c r="BM128" s="3"/>
      <c r="BN128" s="3"/>
      <c r="BO128" s="3"/>
    </row>
    <row r="129" spans="1:67" x14ac:dyDescent="0.25">
      <c r="A129" s="65" t="s">
        <v>300</v>
      </c>
      <c r="B129" s="66"/>
      <c r="C129" s="66"/>
      <c r="D129" s="67"/>
      <c r="E129" s="69"/>
      <c r="F129" s="103" t="str">
        <f>HYPERLINK("https://pbs.twimg.com/profile_images/1257111020163813376/ZkXVIVDO_normal.jpg")</f>
        <v>https://pbs.twimg.com/profile_images/1257111020163813376/ZkXVIVDO_normal.jpg</v>
      </c>
      <c r="G129" s="66"/>
      <c r="H129" s="70"/>
      <c r="I129" s="71"/>
      <c r="J129" s="71"/>
      <c r="K129" s="70" t="s">
        <v>2507</v>
      </c>
      <c r="L129" s="74"/>
      <c r="M129" s="75">
        <v>6744.3095703125</v>
      </c>
      <c r="N129" s="75">
        <v>5951.93115234375</v>
      </c>
      <c r="O129" s="76"/>
      <c r="P129" s="77"/>
      <c r="Q129" s="77"/>
      <c r="R129" s="89"/>
      <c r="S129" s="50">
        <v>0</v>
      </c>
      <c r="T129" s="50">
        <v>2</v>
      </c>
      <c r="U129" s="51">
        <v>352</v>
      </c>
      <c r="V129" s="51">
        <v>0.26819100000000001</v>
      </c>
      <c r="W129" s="51">
        <v>6.3119999999999999E-3</v>
      </c>
      <c r="X129" s="51">
        <v>5.1250000000000002E-3</v>
      </c>
      <c r="Y129" s="51">
        <v>0</v>
      </c>
      <c r="Z129" s="51">
        <v>0</v>
      </c>
      <c r="AA129" s="72">
        <v>129</v>
      </c>
      <c r="AB129" s="72"/>
      <c r="AC129" s="73"/>
      <c r="AD129" s="79" t="s">
        <v>1853</v>
      </c>
      <c r="AE129" s="84" t="s">
        <v>2047</v>
      </c>
      <c r="AF129" s="79">
        <v>686</v>
      </c>
      <c r="AG129" s="79">
        <v>382</v>
      </c>
      <c r="AH129" s="79">
        <v>419</v>
      </c>
      <c r="AI129" s="79">
        <v>840</v>
      </c>
      <c r="AJ129" s="79"/>
      <c r="AK129" s="79" t="s">
        <v>2237</v>
      </c>
      <c r="AL129" s="79" t="s">
        <v>1694</v>
      </c>
      <c r="AM129" s="86" t="str">
        <f>HYPERLINK("https://t.co/JM2CuG5WgO")</f>
        <v>https://t.co/JM2CuG5WgO</v>
      </c>
      <c r="AN129" s="79"/>
      <c r="AO129" s="81">
        <v>43955.029340277775</v>
      </c>
      <c r="AP129" s="86" t="str">
        <f>HYPERLINK("https://pbs.twimg.com/profile_banners/1257108198391193602/1646733254")</f>
        <v>https://pbs.twimg.com/profile_banners/1257108198391193602/1646733254</v>
      </c>
      <c r="AQ129" s="79" t="b">
        <v>1</v>
      </c>
      <c r="AR129" s="79" t="b">
        <v>0</v>
      </c>
      <c r="AS129" s="79" t="b">
        <v>1</v>
      </c>
      <c r="AT129" s="79"/>
      <c r="AU129" s="79">
        <v>4</v>
      </c>
      <c r="AV129" s="79"/>
      <c r="AW129" s="79" t="b">
        <v>0</v>
      </c>
      <c r="AX129" s="79" t="s">
        <v>2381</v>
      </c>
      <c r="AY129" s="86" t="str">
        <f>HYPERLINK("https://twitter.com/univbuffalooto")</f>
        <v>https://twitter.com/univbuffalooto</v>
      </c>
      <c r="AZ129" s="79" t="s">
        <v>66</v>
      </c>
      <c r="BA129" s="50" t="s">
        <v>2688</v>
      </c>
      <c r="BB129" s="50" t="s">
        <v>2688</v>
      </c>
      <c r="BC129" s="50" t="s">
        <v>633</v>
      </c>
      <c r="BD129" s="50" t="s">
        <v>633</v>
      </c>
      <c r="BE129" s="50" t="s">
        <v>2767</v>
      </c>
      <c r="BF129" s="50" t="s">
        <v>2807</v>
      </c>
      <c r="BG129" s="108" t="s">
        <v>2908</v>
      </c>
      <c r="BH129" s="108" t="s">
        <v>2970</v>
      </c>
      <c r="BI129" s="108" t="s">
        <v>3068</v>
      </c>
      <c r="BJ129" s="108" t="s">
        <v>3068</v>
      </c>
      <c r="BK129" s="2"/>
      <c r="BL129" s="3"/>
      <c r="BM129" s="3"/>
      <c r="BN129" s="3"/>
      <c r="BO129" s="3"/>
    </row>
    <row r="130" spans="1:67" x14ac:dyDescent="0.25">
      <c r="A130" s="65" t="s">
        <v>404</v>
      </c>
      <c r="B130" s="66"/>
      <c r="C130" s="66"/>
      <c r="D130" s="67"/>
      <c r="E130" s="69"/>
      <c r="F130" s="103" t="str">
        <f>HYPERLINK("https://pbs.twimg.com/profile_images/1349895505195786245/M3D9o9Kb_normal.jpg")</f>
        <v>https://pbs.twimg.com/profile_images/1349895505195786245/M3D9o9Kb_normal.jpg</v>
      </c>
      <c r="G130" s="66"/>
      <c r="H130" s="70"/>
      <c r="I130" s="71"/>
      <c r="J130" s="71"/>
      <c r="K130" s="70" t="s">
        <v>2508</v>
      </c>
      <c r="L130" s="74"/>
      <c r="M130" s="75">
        <v>7233.87353515625</v>
      </c>
      <c r="N130" s="75">
        <v>8939.8046875</v>
      </c>
      <c r="O130" s="76"/>
      <c r="P130" s="77"/>
      <c r="Q130" s="77"/>
      <c r="R130" s="89"/>
      <c r="S130" s="50">
        <v>1</v>
      </c>
      <c r="T130" s="50">
        <v>0</v>
      </c>
      <c r="U130" s="51">
        <v>0</v>
      </c>
      <c r="V130" s="51">
        <v>0.20704900000000001</v>
      </c>
      <c r="W130" s="51">
        <v>5.22E-4</v>
      </c>
      <c r="X130" s="51">
        <v>4.6990000000000001E-3</v>
      </c>
      <c r="Y130" s="51">
        <v>0</v>
      </c>
      <c r="Z130" s="51">
        <v>0</v>
      </c>
      <c r="AA130" s="72">
        <v>130</v>
      </c>
      <c r="AB130" s="72"/>
      <c r="AC130" s="73"/>
      <c r="AD130" s="79" t="s">
        <v>1854</v>
      </c>
      <c r="AE130" s="84" t="s">
        <v>2048</v>
      </c>
      <c r="AF130" s="79">
        <v>270</v>
      </c>
      <c r="AG130" s="79">
        <v>80</v>
      </c>
      <c r="AH130" s="79">
        <v>62</v>
      </c>
      <c r="AI130" s="79">
        <v>403</v>
      </c>
      <c r="AJ130" s="79"/>
      <c r="AK130" s="79" t="s">
        <v>2238</v>
      </c>
      <c r="AL130" s="79" t="s">
        <v>2348</v>
      </c>
      <c r="AM130" s="79"/>
      <c r="AN130" s="79"/>
      <c r="AO130" s="81">
        <v>44211.065625000003</v>
      </c>
      <c r="AP130" s="86" t="str">
        <f>HYPERLINK("https://pbs.twimg.com/profile_banners/1349892643694780425/1646094638")</f>
        <v>https://pbs.twimg.com/profile_banners/1349892643694780425/1646094638</v>
      </c>
      <c r="AQ130" s="79" t="b">
        <v>1</v>
      </c>
      <c r="AR130" s="79" t="b">
        <v>0</v>
      </c>
      <c r="AS130" s="79" t="b">
        <v>0</v>
      </c>
      <c r="AT130" s="79"/>
      <c r="AU130" s="79">
        <v>0</v>
      </c>
      <c r="AV130" s="79"/>
      <c r="AW130" s="79" t="b">
        <v>0</v>
      </c>
      <c r="AX130" s="79" t="s">
        <v>2381</v>
      </c>
      <c r="AY130" s="86" t="str">
        <f>HYPERLINK("https://twitter.com/alyssareese98")</f>
        <v>https://twitter.com/alyssareese98</v>
      </c>
      <c r="AZ130" s="79" t="s">
        <v>65</v>
      </c>
      <c r="BA130" s="50"/>
      <c r="BB130" s="50"/>
      <c r="BC130" s="50"/>
      <c r="BD130" s="50"/>
      <c r="BE130" s="50"/>
      <c r="BF130" s="50"/>
      <c r="BG130" s="50"/>
      <c r="BH130" s="50"/>
      <c r="BI130" s="50"/>
      <c r="BJ130" s="50"/>
      <c r="BK130" s="2"/>
      <c r="BL130" s="3"/>
      <c r="BM130" s="3"/>
      <c r="BN130" s="3"/>
      <c r="BO130" s="3"/>
    </row>
    <row r="131" spans="1:67" x14ac:dyDescent="0.25">
      <c r="A131" s="65" t="s">
        <v>301</v>
      </c>
      <c r="B131" s="66"/>
      <c r="C131" s="66"/>
      <c r="D131" s="67"/>
      <c r="E131" s="69"/>
      <c r="F131" s="103" t="str">
        <f>HYPERLINK("https://pbs.twimg.com/profile_images/1217528247266807810/N454u4A8_normal.jpg")</f>
        <v>https://pbs.twimg.com/profile_images/1217528247266807810/N454u4A8_normal.jpg</v>
      </c>
      <c r="G131" s="66"/>
      <c r="H131" s="70"/>
      <c r="I131" s="71"/>
      <c r="J131" s="71"/>
      <c r="K131" s="70" t="s">
        <v>2509</v>
      </c>
      <c r="L131" s="74"/>
      <c r="M131" s="75">
        <v>6288.71826171875</v>
      </c>
      <c r="N131" s="75">
        <v>440.67385864257813</v>
      </c>
      <c r="O131" s="76"/>
      <c r="P131" s="77"/>
      <c r="Q131" s="77"/>
      <c r="R131" s="89"/>
      <c r="S131" s="50">
        <v>1</v>
      </c>
      <c r="T131" s="50">
        <v>1</v>
      </c>
      <c r="U131" s="51">
        <v>0</v>
      </c>
      <c r="V131" s="51">
        <v>0</v>
      </c>
      <c r="W131" s="51">
        <v>0</v>
      </c>
      <c r="X131" s="51">
        <v>5.0759999999999998E-3</v>
      </c>
      <c r="Y131" s="51">
        <v>0</v>
      </c>
      <c r="Z131" s="51">
        <v>0</v>
      </c>
      <c r="AA131" s="72">
        <v>131</v>
      </c>
      <c r="AB131" s="72"/>
      <c r="AC131" s="73"/>
      <c r="AD131" s="79" t="s">
        <v>1855</v>
      </c>
      <c r="AE131" s="84" t="s">
        <v>2049</v>
      </c>
      <c r="AF131" s="79">
        <v>242</v>
      </c>
      <c r="AG131" s="79">
        <v>2303</v>
      </c>
      <c r="AH131" s="79">
        <v>4987</v>
      </c>
      <c r="AI131" s="79">
        <v>2218</v>
      </c>
      <c r="AJ131" s="79"/>
      <c r="AK131" s="79" t="s">
        <v>2239</v>
      </c>
      <c r="AL131" s="79" t="s">
        <v>1694</v>
      </c>
      <c r="AM131" s="86" t="str">
        <f>HYPERLINK("http://t.co/8B3jtKVES4")</f>
        <v>http://t.co/8B3jtKVES4</v>
      </c>
      <c r="AN131" s="79"/>
      <c r="AO131" s="81">
        <v>40003.654074074075</v>
      </c>
      <c r="AP131" s="86" t="str">
        <f>HYPERLINK("https://pbs.twimg.com/profile_banners/55270452/1619924853")</f>
        <v>https://pbs.twimg.com/profile_banners/55270452/1619924853</v>
      </c>
      <c r="AQ131" s="79" t="b">
        <v>0</v>
      </c>
      <c r="AR131" s="79" t="b">
        <v>0</v>
      </c>
      <c r="AS131" s="79" t="b">
        <v>0</v>
      </c>
      <c r="AT131" s="79"/>
      <c r="AU131" s="79">
        <v>65</v>
      </c>
      <c r="AV131" s="86" t="str">
        <f>HYPERLINK("https://abs.twimg.com/images/themes/theme1/bg.png")</f>
        <v>https://abs.twimg.com/images/themes/theme1/bg.png</v>
      </c>
      <c r="AW131" s="79" t="b">
        <v>0</v>
      </c>
      <c r="AX131" s="79" t="s">
        <v>2381</v>
      </c>
      <c r="AY131" s="86" t="str">
        <f>HYPERLINK("https://twitter.com/ubadmissions")</f>
        <v>https://twitter.com/ubadmissions</v>
      </c>
      <c r="AZ131" s="79" t="s">
        <v>66</v>
      </c>
      <c r="BA131" s="50" t="s">
        <v>2689</v>
      </c>
      <c r="BB131" s="50" t="s">
        <v>2689</v>
      </c>
      <c r="BC131" s="50" t="s">
        <v>648</v>
      </c>
      <c r="BD131" s="50" t="s">
        <v>2721</v>
      </c>
      <c r="BE131" s="50" t="s">
        <v>2768</v>
      </c>
      <c r="BF131" s="50" t="s">
        <v>2808</v>
      </c>
      <c r="BG131" s="108" t="s">
        <v>2909</v>
      </c>
      <c r="BH131" s="108" t="s">
        <v>2971</v>
      </c>
      <c r="BI131" s="108" t="s">
        <v>3069</v>
      </c>
      <c r="BJ131" s="108" t="s">
        <v>3106</v>
      </c>
      <c r="BK131" s="2"/>
      <c r="BL131" s="3"/>
      <c r="BM131" s="3"/>
      <c r="BN131" s="3"/>
      <c r="BO131" s="3"/>
    </row>
    <row r="132" spans="1:67" x14ac:dyDescent="0.25">
      <c r="A132" s="65" t="s">
        <v>302</v>
      </c>
      <c r="B132" s="66"/>
      <c r="C132" s="66"/>
      <c r="D132" s="67"/>
      <c r="E132" s="69"/>
      <c r="F132" s="103" t="str">
        <f>HYPERLINK("https://pbs.twimg.com/profile_images/1301011136784068608/Xh94ZbrD_normal.jpg")</f>
        <v>https://pbs.twimg.com/profile_images/1301011136784068608/Xh94ZbrD_normal.jpg</v>
      </c>
      <c r="G132" s="66"/>
      <c r="H132" s="70"/>
      <c r="I132" s="71"/>
      <c r="J132" s="71"/>
      <c r="K132" s="70" t="s">
        <v>2510</v>
      </c>
      <c r="L132" s="74"/>
      <c r="M132" s="75">
        <v>5983.75341796875</v>
      </c>
      <c r="N132" s="75">
        <v>8998.986328125</v>
      </c>
      <c r="O132" s="76"/>
      <c r="P132" s="77"/>
      <c r="Q132" s="77"/>
      <c r="R132" s="89"/>
      <c r="S132" s="50">
        <v>0</v>
      </c>
      <c r="T132" s="50">
        <v>4</v>
      </c>
      <c r="U132" s="51">
        <v>1.6392979999999999</v>
      </c>
      <c r="V132" s="51">
        <v>0.28492299999999998</v>
      </c>
      <c r="W132" s="51">
        <v>6.4444000000000001E-2</v>
      </c>
      <c r="X132" s="51">
        <v>4.5779999999999996E-3</v>
      </c>
      <c r="Y132" s="51">
        <v>0.25</v>
      </c>
      <c r="Z132" s="51">
        <v>0</v>
      </c>
      <c r="AA132" s="72">
        <v>132</v>
      </c>
      <c r="AB132" s="72"/>
      <c r="AC132" s="73"/>
      <c r="AD132" s="79" t="s">
        <v>1856</v>
      </c>
      <c r="AE132" s="84" t="s">
        <v>2050</v>
      </c>
      <c r="AF132" s="79">
        <v>426</v>
      </c>
      <c r="AG132" s="79">
        <v>186</v>
      </c>
      <c r="AH132" s="79">
        <v>22115</v>
      </c>
      <c r="AI132" s="79">
        <v>3296</v>
      </c>
      <c r="AJ132" s="79"/>
      <c r="AK132" s="79" t="s">
        <v>2240</v>
      </c>
      <c r="AL132" s="79" t="s">
        <v>2349</v>
      </c>
      <c r="AM132" s="79"/>
      <c r="AN132" s="79"/>
      <c r="AO132" s="81">
        <v>39850.137141203704</v>
      </c>
      <c r="AP132" s="86" t="str">
        <f>HYPERLINK("https://pbs.twimg.com/profile_banners/20214036/1643384739")</f>
        <v>https://pbs.twimg.com/profile_banners/20214036/1643384739</v>
      </c>
      <c r="AQ132" s="79" t="b">
        <v>0</v>
      </c>
      <c r="AR132" s="79" t="b">
        <v>0</v>
      </c>
      <c r="AS132" s="79" t="b">
        <v>1</v>
      </c>
      <c r="AT132" s="79"/>
      <c r="AU132" s="79">
        <v>3</v>
      </c>
      <c r="AV132" s="86" t="str">
        <f>HYPERLINK("https://abs.twimg.com/images/themes/theme2/bg.gif")</f>
        <v>https://abs.twimg.com/images/themes/theme2/bg.gif</v>
      </c>
      <c r="AW132" s="79" t="b">
        <v>0</v>
      </c>
      <c r="AX132" s="79" t="s">
        <v>2381</v>
      </c>
      <c r="AY132" s="86" t="str">
        <f>HYPERLINK("https://twitter.com/jsexton9")</f>
        <v>https://twitter.com/jsexton9</v>
      </c>
      <c r="AZ132" s="79" t="s">
        <v>66</v>
      </c>
      <c r="BA132" s="50"/>
      <c r="BB132" s="50"/>
      <c r="BC132" s="50"/>
      <c r="BD132" s="50"/>
      <c r="BE132" s="50" t="s">
        <v>697</v>
      </c>
      <c r="BF132" s="50" t="s">
        <v>697</v>
      </c>
      <c r="BG132" s="108" t="s">
        <v>2910</v>
      </c>
      <c r="BH132" s="108" t="s">
        <v>2910</v>
      </c>
      <c r="BI132" s="108" t="s">
        <v>3047</v>
      </c>
      <c r="BJ132" s="108" t="s">
        <v>3047</v>
      </c>
      <c r="BK132" s="2"/>
      <c r="BL132" s="3"/>
      <c r="BM132" s="3"/>
      <c r="BN132" s="3"/>
      <c r="BO132" s="3"/>
    </row>
    <row r="133" spans="1:67" x14ac:dyDescent="0.25">
      <c r="A133" s="65" t="s">
        <v>405</v>
      </c>
      <c r="B133" s="66"/>
      <c r="C133" s="66"/>
      <c r="D133" s="67"/>
      <c r="E133" s="69"/>
      <c r="F133" s="103" t="str">
        <f>HYPERLINK("https://pbs.twimg.com/profile_images/1479532778849017857/BWX4dPeY_normal.jpg")</f>
        <v>https://pbs.twimg.com/profile_images/1479532778849017857/BWX4dPeY_normal.jpg</v>
      </c>
      <c r="G133" s="66"/>
      <c r="H133" s="70"/>
      <c r="I133" s="71"/>
      <c r="J133" s="71"/>
      <c r="K133" s="70" t="s">
        <v>2511</v>
      </c>
      <c r="L133" s="74"/>
      <c r="M133" s="75">
        <v>4259.81103515625</v>
      </c>
      <c r="N133" s="75">
        <v>6807.03857421875</v>
      </c>
      <c r="O133" s="76"/>
      <c r="P133" s="77"/>
      <c r="Q133" s="77"/>
      <c r="R133" s="89"/>
      <c r="S133" s="50">
        <v>10</v>
      </c>
      <c r="T133" s="50">
        <v>0</v>
      </c>
      <c r="U133" s="51">
        <v>227.53105400000001</v>
      </c>
      <c r="V133" s="51">
        <v>0.36493599999999998</v>
      </c>
      <c r="W133" s="51">
        <v>0.13139700000000001</v>
      </c>
      <c r="X133" s="51">
        <v>5.5300000000000002E-3</v>
      </c>
      <c r="Y133" s="51">
        <v>0.16666666666666666</v>
      </c>
      <c r="Z133" s="51">
        <v>0</v>
      </c>
      <c r="AA133" s="72">
        <v>133</v>
      </c>
      <c r="AB133" s="72"/>
      <c r="AC133" s="73"/>
      <c r="AD133" s="79" t="s">
        <v>1857</v>
      </c>
      <c r="AE133" s="84" t="s">
        <v>2051</v>
      </c>
      <c r="AF133" s="79">
        <v>751</v>
      </c>
      <c r="AG133" s="79">
        <v>616022</v>
      </c>
      <c r="AH133" s="79">
        <v>20291</v>
      </c>
      <c r="AI133" s="79">
        <v>2867</v>
      </c>
      <c r="AJ133" s="79"/>
      <c r="AK133" s="79" t="s">
        <v>2241</v>
      </c>
      <c r="AL133" s="79" t="s">
        <v>2350</v>
      </c>
      <c r="AM133" s="86" t="str">
        <f>HYPERLINK("https://t.co/ZXFqj54fIg")</f>
        <v>https://t.co/ZXFqj54fIg</v>
      </c>
      <c r="AN133" s="79"/>
      <c r="AO133" s="81">
        <v>40032.786504629628</v>
      </c>
      <c r="AP133" s="86" t="str">
        <f>HYPERLINK("https://pbs.twimg.com/profile_banners/63799043/1647218310")</f>
        <v>https://pbs.twimg.com/profile_banners/63799043/1647218310</v>
      </c>
      <c r="AQ133" s="79" t="b">
        <v>0</v>
      </c>
      <c r="AR133" s="79" t="b">
        <v>0</v>
      </c>
      <c r="AS133" s="79" t="b">
        <v>1</v>
      </c>
      <c r="AT133" s="79"/>
      <c r="AU133" s="79">
        <v>846</v>
      </c>
      <c r="AV133" s="86" t="str">
        <f>HYPERLINK("https://abs.twimg.com/images/themes/theme1/bg.png")</f>
        <v>https://abs.twimg.com/images/themes/theme1/bg.png</v>
      </c>
      <c r="AW133" s="79" t="b">
        <v>1</v>
      </c>
      <c r="AX133" s="79" t="s">
        <v>2381</v>
      </c>
      <c r="AY133" s="86" t="str">
        <f>HYPERLINK("https://twitter.com/marchmadnesswbb")</f>
        <v>https://twitter.com/marchmadnesswbb</v>
      </c>
      <c r="AZ133" s="79" t="s">
        <v>65</v>
      </c>
      <c r="BA133" s="50"/>
      <c r="BB133" s="50"/>
      <c r="BC133" s="50"/>
      <c r="BD133" s="50"/>
      <c r="BE133" s="50"/>
      <c r="BF133" s="50"/>
      <c r="BG133" s="50"/>
      <c r="BH133" s="50"/>
      <c r="BI133" s="50"/>
      <c r="BJ133" s="50"/>
      <c r="BK133" s="2"/>
      <c r="BL133" s="3"/>
      <c r="BM133" s="3"/>
      <c r="BN133" s="3"/>
      <c r="BO133" s="3"/>
    </row>
    <row r="134" spans="1:67" x14ac:dyDescent="0.25">
      <c r="A134" s="65" t="s">
        <v>372</v>
      </c>
      <c r="B134" s="66"/>
      <c r="C134" s="66"/>
      <c r="D134" s="67"/>
      <c r="E134" s="69"/>
      <c r="F134" s="103" t="str">
        <f>HYPERLINK("https://pbs.twimg.com/profile_images/488716033331441665/tR5kC_3P_normal.jpeg")</f>
        <v>https://pbs.twimg.com/profile_images/488716033331441665/tR5kC_3P_normal.jpeg</v>
      </c>
      <c r="G134" s="66"/>
      <c r="H134" s="70"/>
      <c r="I134" s="71"/>
      <c r="J134" s="71"/>
      <c r="K134" s="70" t="s">
        <v>2512</v>
      </c>
      <c r="L134" s="74"/>
      <c r="M134" s="75">
        <v>4573.01904296875</v>
      </c>
      <c r="N134" s="75">
        <v>6762.85986328125</v>
      </c>
      <c r="O134" s="76"/>
      <c r="P134" s="77"/>
      <c r="Q134" s="77"/>
      <c r="R134" s="89"/>
      <c r="S134" s="50">
        <v>10</v>
      </c>
      <c r="T134" s="50">
        <v>4</v>
      </c>
      <c r="U134" s="51">
        <v>232.17035200000001</v>
      </c>
      <c r="V134" s="51">
        <v>0.37172500000000003</v>
      </c>
      <c r="W134" s="51">
        <v>0.18088899999999999</v>
      </c>
      <c r="X134" s="51">
        <v>5.7270000000000003E-3</v>
      </c>
      <c r="Y134" s="51">
        <v>0.23484848484848486</v>
      </c>
      <c r="Z134" s="51">
        <v>0</v>
      </c>
      <c r="AA134" s="72">
        <v>134</v>
      </c>
      <c r="AB134" s="72"/>
      <c r="AC134" s="73"/>
      <c r="AD134" s="79" t="s">
        <v>1858</v>
      </c>
      <c r="AE134" s="84" t="s">
        <v>2052</v>
      </c>
      <c r="AF134" s="79">
        <v>299</v>
      </c>
      <c r="AG134" s="79">
        <v>25912</v>
      </c>
      <c r="AH134" s="79">
        <v>5525</v>
      </c>
      <c r="AI134" s="79">
        <v>3138</v>
      </c>
      <c r="AJ134" s="79"/>
      <c r="AK134" s="79" t="s">
        <v>2242</v>
      </c>
      <c r="AL134" s="79" t="s">
        <v>2351</v>
      </c>
      <c r="AM134" s="86" t="str">
        <f>HYPERLINK("http://t.co/NjVbkJruVr")</f>
        <v>http://t.co/NjVbkJruVr</v>
      </c>
      <c r="AN134" s="79"/>
      <c r="AO134" s="81">
        <v>39842.648530092592</v>
      </c>
      <c r="AP134" s="86" t="str">
        <f>HYPERLINK("https://pbs.twimg.com/profile_banners/19715694/1405354084")</f>
        <v>https://pbs.twimg.com/profile_banners/19715694/1405354084</v>
      </c>
      <c r="AQ134" s="79" t="b">
        <v>0</v>
      </c>
      <c r="AR134" s="79" t="b">
        <v>0</v>
      </c>
      <c r="AS134" s="79" t="b">
        <v>0</v>
      </c>
      <c r="AT134" s="79"/>
      <c r="AU134" s="79">
        <v>444</v>
      </c>
      <c r="AV134" s="86" t="str">
        <f>HYPERLINK("https://abs.twimg.com/images/themes/theme1/bg.png")</f>
        <v>https://abs.twimg.com/images/themes/theme1/bg.png</v>
      </c>
      <c r="AW134" s="79" t="b">
        <v>0</v>
      </c>
      <c r="AX134" s="79" t="s">
        <v>2381</v>
      </c>
      <c r="AY134" s="86" t="str">
        <f>HYPERLINK("https://twitter.com/ubcommunity")</f>
        <v>https://twitter.com/ubcommunity</v>
      </c>
      <c r="AZ134" s="79" t="s">
        <v>66</v>
      </c>
      <c r="BA134" s="50" t="s">
        <v>2690</v>
      </c>
      <c r="BB134" s="50" t="s">
        <v>2690</v>
      </c>
      <c r="BC134" s="50" t="s">
        <v>633</v>
      </c>
      <c r="BD134" s="50" t="s">
        <v>633</v>
      </c>
      <c r="BE134" s="50" t="s">
        <v>698</v>
      </c>
      <c r="BF134" s="50" t="s">
        <v>2809</v>
      </c>
      <c r="BG134" s="108" t="s">
        <v>2911</v>
      </c>
      <c r="BH134" s="108" t="s">
        <v>2972</v>
      </c>
      <c r="BI134" s="108" t="s">
        <v>3070</v>
      </c>
      <c r="BJ134" s="108" t="s">
        <v>3107</v>
      </c>
      <c r="BK134" s="2"/>
      <c r="BL134" s="3"/>
      <c r="BM134" s="3"/>
      <c r="BN134" s="3"/>
      <c r="BO134" s="3"/>
    </row>
    <row r="135" spans="1:67" x14ac:dyDescent="0.25">
      <c r="A135" s="65" t="s">
        <v>303</v>
      </c>
      <c r="B135" s="66"/>
      <c r="C135" s="66"/>
      <c r="D135" s="67"/>
      <c r="E135" s="69"/>
      <c r="F135" s="103" t="str">
        <f>HYPERLINK("https://pbs.twimg.com/profile_images/1484362841968709635/ExIaVCG7_normal.jpg")</f>
        <v>https://pbs.twimg.com/profile_images/1484362841968709635/ExIaVCG7_normal.jpg</v>
      </c>
      <c r="G135" s="66"/>
      <c r="H135" s="70"/>
      <c r="I135" s="71"/>
      <c r="J135" s="71"/>
      <c r="K135" s="70" t="s">
        <v>2513</v>
      </c>
      <c r="L135" s="74"/>
      <c r="M135" s="75">
        <v>2618.25146484375</v>
      </c>
      <c r="N135" s="75">
        <v>6226.82666015625</v>
      </c>
      <c r="O135" s="76"/>
      <c r="P135" s="77"/>
      <c r="Q135" s="77"/>
      <c r="R135" s="89"/>
      <c r="S135" s="50">
        <v>0</v>
      </c>
      <c r="T135" s="50">
        <v>4</v>
      </c>
      <c r="U135" s="51">
        <v>1.6392979999999999</v>
      </c>
      <c r="V135" s="51">
        <v>0.28492299999999998</v>
      </c>
      <c r="W135" s="51">
        <v>6.4444000000000001E-2</v>
      </c>
      <c r="X135" s="51">
        <v>4.5779999999999996E-3</v>
      </c>
      <c r="Y135" s="51">
        <v>0.25</v>
      </c>
      <c r="Z135" s="51">
        <v>0</v>
      </c>
      <c r="AA135" s="72">
        <v>135</v>
      </c>
      <c r="AB135" s="72"/>
      <c r="AC135" s="73"/>
      <c r="AD135" s="79" t="s">
        <v>1859</v>
      </c>
      <c r="AE135" s="84" t="s">
        <v>2053</v>
      </c>
      <c r="AF135" s="79">
        <v>2070</v>
      </c>
      <c r="AG135" s="79">
        <v>393</v>
      </c>
      <c r="AH135" s="79">
        <v>63797</v>
      </c>
      <c r="AI135" s="79">
        <v>717945</v>
      </c>
      <c r="AJ135" s="79"/>
      <c r="AK135" s="79" t="s">
        <v>2243</v>
      </c>
      <c r="AL135" s="79"/>
      <c r="AM135" s="79"/>
      <c r="AN135" s="79"/>
      <c r="AO135" s="81">
        <v>42419.898402777777</v>
      </c>
      <c r="AP135" s="86" t="str">
        <f>HYPERLINK("https://pbs.twimg.com/profile_banners/700795416825040896/1591100601")</f>
        <v>https://pbs.twimg.com/profile_banners/700795416825040896/1591100601</v>
      </c>
      <c r="AQ135" s="79" t="b">
        <v>1</v>
      </c>
      <c r="AR135" s="79" t="b">
        <v>0</v>
      </c>
      <c r="AS135" s="79" t="b">
        <v>0</v>
      </c>
      <c r="AT135" s="79"/>
      <c r="AU135" s="79">
        <v>1</v>
      </c>
      <c r="AV135" s="79"/>
      <c r="AW135" s="79" t="b">
        <v>0</v>
      </c>
      <c r="AX135" s="79" t="s">
        <v>2381</v>
      </c>
      <c r="AY135" s="86" t="str">
        <f>HYPERLINK("https://twitter.com/bronxbuddy")</f>
        <v>https://twitter.com/bronxbuddy</v>
      </c>
      <c r="AZ135" s="79" t="s">
        <v>66</v>
      </c>
      <c r="BA135" s="50"/>
      <c r="BB135" s="50"/>
      <c r="BC135" s="50"/>
      <c r="BD135" s="50"/>
      <c r="BE135" s="50" t="s">
        <v>697</v>
      </c>
      <c r="BF135" s="50" t="s">
        <v>697</v>
      </c>
      <c r="BG135" s="108" t="s">
        <v>2910</v>
      </c>
      <c r="BH135" s="108" t="s">
        <v>2910</v>
      </c>
      <c r="BI135" s="108" t="s">
        <v>3047</v>
      </c>
      <c r="BJ135" s="108" t="s">
        <v>3047</v>
      </c>
      <c r="BK135" s="2"/>
      <c r="BL135" s="3"/>
      <c r="BM135" s="3"/>
      <c r="BN135" s="3"/>
      <c r="BO135" s="3"/>
    </row>
    <row r="136" spans="1:67" x14ac:dyDescent="0.25">
      <c r="A136" s="65" t="s">
        <v>305</v>
      </c>
      <c r="B136" s="66"/>
      <c r="C136" s="66"/>
      <c r="D136" s="67"/>
      <c r="E136" s="69"/>
      <c r="F136" s="103" t="str">
        <f>HYPERLINK("https://pbs.twimg.com/profile_images/1453489963383861248/rqlE9DoN_normal.jpg")</f>
        <v>https://pbs.twimg.com/profile_images/1453489963383861248/rqlE9DoN_normal.jpg</v>
      </c>
      <c r="G136" s="66"/>
      <c r="H136" s="70"/>
      <c r="I136" s="71"/>
      <c r="J136" s="71"/>
      <c r="K136" s="70" t="s">
        <v>2514</v>
      </c>
      <c r="L136" s="74"/>
      <c r="M136" s="75">
        <v>3994.093017578125</v>
      </c>
      <c r="N136" s="75">
        <v>2940.070068359375</v>
      </c>
      <c r="O136" s="76"/>
      <c r="P136" s="77"/>
      <c r="Q136" s="77"/>
      <c r="R136" s="89"/>
      <c r="S136" s="50">
        <v>0</v>
      </c>
      <c r="T136" s="50">
        <v>2</v>
      </c>
      <c r="U136" s="51">
        <v>0</v>
      </c>
      <c r="V136" s="51">
        <v>0.353632</v>
      </c>
      <c r="W136" s="51">
        <v>7.0933999999999997E-2</v>
      </c>
      <c r="X136" s="51">
        <v>4.4229999999999998E-3</v>
      </c>
      <c r="Y136" s="51">
        <v>0.5</v>
      </c>
      <c r="Z136" s="51">
        <v>0</v>
      </c>
      <c r="AA136" s="72">
        <v>136</v>
      </c>
      <c r="AB136" s="72"/>
      <c r="AC136" s="73"/>
      <c r="AD136" s="79" t="s">
        <v>1860</v>
      </c>
      <c r="AE136" s="84" t="s">
        <v>2054</v>
      </c>
      <c r="AF136" s="79">
        <v>2267</v>
      </c>
      <c r="AG136" s="79">
        <v>357</v>
      </c>
      <c r="AH136" s="79">
        <v>46330</v>
      </c>
      <c r="AI136" s="79">
        <v>12194</v>
      </c>
      <c r="AJ136" s="79"/>
      <c r="AK136" s="79" t="s">
        <v>2244</v>
      </c>
      <c r="AL136" s="79" t="s">
        <v>2352</v>
      </c>
      <c r="AM136" s="79"/>
      <c r="AN136" s="79"/>
      <c r="AO136" s="81">
        <v>40217.757175925923</v>
      </c>
      <c r="AP136" s="86" t="str">
        <f>HYPERLINK("https://pbs.twimg.com/profile_banners/112493408/1643171755")</f>
        <v>https://pbs.twimg.com/profile_banners/112493408/1643171755</v>
      </c>
      <c r="AQ136" s="79" t="b">
        <v>1</v>
      </c>
      <c r="AR136" s="79" t="b">
        <v>0</v>
      </c>
      <c r="AS136" s="79" t="b">
        <v>0</v>
      </c>
      <c r="AT136" s="79"/>
      <c r="AU136" s="79">
        <v>7</v>
      </c>
      <c r="AV136" s="86" t="str">
        <f>HYPERLINK("https://abs.twimg.com/images/themes/theme1/bg.png")</f>
        <v>https://abs.twimg.com/images/themes/theme1/bg.png</v>
      </c>
      <c r="AW136" s="79" t="b">
        <v>0</v>
      </c>
      <c r="AX136" s="79" t="s">
        <v>2381</v>
      </c>
      <c r="AY136" s="86" t="str">
        <f>HYPERLINK("https://twitter.com/jesuslife12")</f>
        <v>https://twitter.com/jesuslife12</v>
      </c>
      <c r="AZ136" s="79" t="s">
        <v>66</v>
      </c>
      <c r="BA136" s="50" t="s">
        <v>2582</v>
      </c>
      <c r="BB136" s="50" t="s">
        <v>2582</v>
      </c>
      <c r="BC136" s="50" t="s">
        <v>633</v>
      </c>
      <c r="BD136" s="50" t="s">
        <v>633</v>
      </c>
      <c r="BE136" s="50" t="s">
        <v>698</v>
      </c>
      <c r="BF136" s="50" t="s">
        <v>698</v>
      </c>
      <c r="BG136" s="108" t="s">
        <v>2912</v>
      </c>
      <c r="BH136" s="108" t="s">
        <v>2912</v>
      </c>
      <c r="BI136" s="108" t="s">
        <v>3071</v>
      </c>
      <c r="BJ136" s="108" t="s">
        <v>3071</v>
      </c>
      <c r="BK136" s="2"/>
      <c r="BL136" s="3"/>
      <c r="BM136" s="3"/>
      <c r="BN136" s="3"/>
      <c r="BO136" s="3"/>
    </row>
    <row r="137" spans="1:67" x14ac:dyDescent="0.25">
      <c r="A137" s="65" t="s">
        <v>306</v>
      </c>
      <c r="B137" s="66"/>
      <c r="C137" s="66"/>
      <c r="D137" s="67"/>
      <c r="E137" s="69"/>
      <c r="F137" s="103" t="str">
        <f>HYPERLINK("https://pbs.twimg.com/profile_images/505444947906932736/jfAntq6T_normal.jpeg")</f>
        <v>https://pbs.twimg.com/profile_images/505444947906932736/jfAntq6T_normal.jpeg</v>
      </c>
      <c r="G137" s="66"/>
      <c r="H137" s="70"/>
      <c r="I137" s="71"/>
      <c r="J137" s="71"/>
      <c r="K137" s="70" t="s">
        <v>2515</v>
      </c>
      <c r="L137" s="74"/>
      <c r="M137" s="75">
        <v>4846.720703125</v>
      </c>
      <c r="N137" s="75">
        <v>8039.091796875</v>
      </c>
      <c r="O137" s="76"/>
      <c r="P137" s="77"/>
      <c r="Q137" s="77"/>
      <c r="R137" s="89"/>
      <c r="S137" s="50">
        <v>1</v>
      </c>
      <c r="T137" s="50">
        <v>6</v>
      </c>
      <c r="U137" s="51">
        <v>1.6392979999999999</v>
      </c>
      <c r="V137" s="51">
        <v>0.35599500000000001</v>
      </c>
      <c r="W137" s="51">
        <v>0.12037399999999999</v>
      </c>
      <c r="X137" s="51">
        <v>4.7590000000000002E-3</v>
      </c>
      <c r="Y137" s="51">
        <v>0.35</v>
      </c>
      <c r="Z137" s="51">
        <v>0</v>
      </c>
      <c r="AA137" s="72">
        <v>137</v>
      </c>
      <c r="AB137" s="72"/>
      <c r="AC137" s="73"/>
      <c r="AD137" s="79" t="s">
        <v>1861</v>
      </c>
      <c r="AE137" s="84" t="s">
        <v>2055</v>
      </c>
      <c r="AF137" s="79">
        <v>1437</v>
      </c>
      <c r="AG137" s="79">
        <v>6045</v>
      </c>
      <c r="AH137" s="79">
        <v>2371</v>
      </c>
      <c r="AI137" s="79">
        <v>1379</v>
      </c>
      <c r="AJ137" s="79"/>
      <c r="AK137" s="79" t="s">
        <v>2245</v>
      </c>
      <c r="AL137" s="79" t="s">
        <v>2353</v>
      </c>
      <c r="AM137" s="86" t="str">
        <f>HYPERLINK("https://t.co/JaujrqZ3nA")</f>
        <v>https://t.co/JaujrqZ3nA</v>
      </c>
      <c r="AN137" s="79"/>
      <c r="AO137" s="81">
        <v>39905.083553240744</v>
      </c>
      <c r="AP137" s="86" t="str">
        <f>HYPERLINK("https://pbs.twimg.com/profile_banners/28255148/1452220181")</f>
        <v>https://pbs.twimg.com/profile_banners/28255148/1452220181</v>
      </c>
      <c r="AQ137" s="79" t="b">
        <v>0</v>
      </c>
      <c r="AR137" s="79" t="b">
        <v>0</v>
      </c>
      <c r="AS137" s="79" t="b">
        <v>1</v>
      </c>
      <c r="AT137" s="79"/>
      <c r="AU137" s="79">
        <v>142</v>
      </c>
      <c r="AV137" s="86" t="str">
        <f>HYPERLINK("https://abs.twimg.com/images/themes/theme8/bg.gif")</f>
        <v>https://abs.twimg.com/images/themes/theme8/bg.gif</v>
      </c>
      <c r="AW137" s="79" t="b">
        <v>0</v>
      </c>
      <c r="AX137" s="79" t="s">
        <v>2381</v>
      </c>
      <c r="AY137" s="86" t="str">
        <f>HYPERLINK("https://twitter.com/ubnewssource")</f>
        <v>https://twitter.com/ubnewssource</v>
      </c>
      <c r="AZ137" s="79" t="s">
        <v>66</v>
      </c>
      <c r="BA137" s="50" t="s">
        <v>2691</v>
      </c>
      <c r="BB137" s="50" t="s">
        <v>2691</v>
      </c>
      <c r="BC137" s="50" t="s">
        <v>648</v>
      </c>
      <c r="BD137" s="50" t="s">
        <v>648</v>
      </c>
      <c r="BE137" s="50" t="s">
        <v>700</v>
      </c>
      <c r="BF137" s="50" t="s">
        <v>2810</v>
      </c>
      <c r="BG137" s="108" t="s">
        <v>2913</v>
      </c>
      <c r="BH137" s="108" t="s">
        <v>2973</v>
      </c>
      <c r="BI137" s="108" t="s">
        <v>3065</v>
      </c>
      <c r="BJ137" s="108" t="s">
        <v>3065</v>
      </c>
      <c r="BK137" s="2"/>
      <c r="BL137" s="3"/>
      <c r="BM137" s="3"/>
      <c r="BN137" s="3"/>
      <c r="BO137" s="3"/>
    </row>
    <row r="138" spans="1:67" x14ac:dyDescent="0.25">
      <c r="A138" s="65" t="s">
        <v>308</v>
      </c>
      <c r="B138" s="66"/>
      <c r="C138" s="66"/>
      <c r="D138" s="67"/>
      <c r="E138" s="69"/>
      <c r="F138" s="103" t="str">
        <f>HYPERLINK("https://pbs.twimg.com/profile_images/1328473865845157889/u6ytk3VD_normal.jpg")</f>
        <v>https://pbs.twimg.com/profile_images/1328473865845157889/u6ytk3VD_normal.jpg</v>
      </c>
      <c r="G138" s="66"/>
      <c r="H138" s="70"/>
      <c r="I138" s="71"/>
      <c r="J138" s="71"/>
      <c r="K138" s="70" t="s">
        <v>2516</v>
      </c>
      <c r="L138" s="74"/>
      <c r="M138" s="75">
        <v>6253.84228515625</v>
      </c>
      <c r="N138" s="75">
        <v>9532.8779296875</v>
      </c>
      <c r="O138" s="76"/>
      <c r="P138" s="77"/>
      <c r="Q138" s="77"/>
      <c r="R138" s="89"/>
      <c r="S138" s="50">
        <v>0</v>
      </c>
      <c r="T138" s="50">
        <v>2</v>
      </c>
      <c r="U138" s="51">
        <v>264.16190499999999</v>
      </c>
      <c r="V138" s="51">
        <v>0.34748200000000001</v>
      </c>
      <c r="W138" s="51">
        <v>4.6973000000000001E-2</v>
      </c>
      <c r="X138" s="51">
        <v>4.5510000000000004E-3</v>
      </c>
      <c r="Y138" s="51">
        <v>0</v>
      </c>
      <c r="Z138" s="51">
        <v>0</v>
      </c>
      <c r="AA138" s="72">
        <v>138</v>
      </c>
      <c r="AB138" s="72"/>
      <c r="AC138" s="73"/>
      <c r="AD138" s="79" t="s">
        <v>1862</v>
      </c>
      <c r="AE138" s="84" t="s">
        <v>2056</v>
      </c>
      <c r="AF138" s="79">
        <v>565</v>
      </c>
      <c r="AG138" s="79">
        <v>1087</v>
      </c>
      <c r="AH138" s="79">
        <v>5298</v>
      </c>
      <c r="AI138" s="79">
        <v>385</v>
      </c>
      <c r="AJ138" s="79"/>
      <c r="AK138" s="79" t="s">
        <v>2246</v>
      </c>
      <c r="AL138" s="79" t="s">
        <v>1694</v>
      </c>
      <c r="AM138" s="86" t="str">
        <f>HYPERLINK("https://t.co/qpopwJvoFc")</f>
        <v>https://t.co/qpopwJvoFc</v>
      </c>
      <c r="AN138" s="79"/>
      <c r="AO138" s="81">
        <v>41311.692314814813</v>
      </c>
      <c r="AP138" s="86" t="str">
        <f>HYPERLINK("https://pbs.twimg.com/profile_banners/1154488459/1615831593")</f>
        <v>https://pbs.twimg.com/profile_banners/1154488459/1615831593</v>
      </c>
      <c r="AQ138" s="79" t="b">
        <v>0</v>
      </c>
      <c r="AR138" s="79" t="b">
        <v>0</v>
      </c>
      <c r="AS138" s="79" t="b">
        <v>1</v>
      </c>
      <c r="AT138" s="79"/>
      <c r="AU138" s="79">
        <v>51</v>
      </c>
      <c r="AV138" s="86" t="str">
        <f>HYPERLINK("https://abs.twimg.com/images/themes/theme1/bg.png")</f>
        <v>https://abs.twimg.com/images/themes/theme1/bg.png</v>
      </c>
      <c r="AW138" s="79" t="b">
        <v>0</v>
      </c>
      <c r="AX138" s="79" t="s">
        <v>2381</v>
      </c>
      <c r="AY138" s="86" t="str">
        <f>HYPERLINK("https://twitter.com/ubstem")</f>
        <v>https://twitter.com/ubstem</v>
      </c>
      <c r="AZ138" s="79" t="s">
        <v>66</v>
      </c>
      <c r="BA138" s="50"/>
      <c r="BB138" s="50"/>
      <c r="BC138" s="50"/>
      <c r="BD138" s="50"/>
      <c r="BE138" s="50" t="s">
        <v>700</v>
      </c>
      <c r="BF138" s="50" t="s">
        <v>2810</v>
      </c>
      <c r="BG138" s="108" t="s">
        <v>2914</v>
      </c>
      <c r="BH138" s="108" t="s">
        <v>2974</v>
      </c>
      <c r="BI138" s="108" t="s">
        <v>3065</v>
      </c>
      <c r="BJ138" s="108" t="s">
        <v>3065</v>
      </c>
      <c r="BK138" s="2"/>
      <c r="BL138" s="3"/>
      <c r="BM138" s="3"/>
      <c r="BN138" s="3"/>
      <c r="BO138" s="3"/>
    </row>
    <row r="139" spans="1:67" x14ac:dyDescent="0.25">
      <c r="A139" s="65" t="s">
        <v>309</v>
      </c>
      <c r="B139" s="66"/>
      <c r="C139" s="66"/>
      <c r="D139" s="67"/>
      <c r="E139" s="69"/>
      <c r="F139" s="103" t="str">
        <f>HYPERLINK("https://pbs.twimg.com/profile_images/2200710345/JD_normal.jpg")</f>
        <v>https://pbs.twimg.com/profile_images/2200710345/JD_normal.jpg</v>
      </c>
      <c r="G139" s="66"/>
      <c r="H139" s="70"/>
      <c r="I139" s="71"/>
      <c r="J139" s="71"/>
      <c r="K139" s="70" t="s">
        <v>2517</v>
      </c>
      <c r="L139" s="74"/>
      <c r="M139" s="75">
        <v>4971.37744140625</v>
      </c>
      <c r="N139" s="75">
        <v>9525.328125</v>
      </c>
      <c r="O139" s="76"/>
      <c r="P139" s="77"/>
      <c r="Q139" s="77"/>
      <c r="R139" s="89"/>
      <c r="S139" s="50">
        <v>0</v>
      </c>
      <c r="T139" s="50">
        <v>1</v>
      </c>
      <c r="U139" s="51">
        <v>0</v>
      </c>
      <c r="V139" s="51">
        <v>0.34300799999999998</v>
      </c>
      <c r="W139" s="51">
        <v>4.5978999999999999E-2</v>
      </c>
      <c r="X139" s="51">
        <v>4.3769999999999998E-3</v>
      </c>
      <c r="Y139" s="51">
        <v>0</v>
      </c>
      <c r="Z139" s="51">
        <v>0</v>
      </c>
      <c r="AA139" s="72">
        <v>139</v>
      </c>
      <c r="AB139" s="72"/>
      <c r="AC139" s="73"/>
      <c r="AD139" s="79" t="s">
        <v>1863</v>
      </c>
      <c r="AE139" s="84" t="s">
        <v>2057</v>
      </c>
      <c r="AF139" s="79">
        <v>3760</v>
      </c>
      <c r="AG139" s="79">
        <v>1444</v>
      </c>
      <c r="AH139" s="79">
        <v>75311</v>
      </c>
      <c r="AI139" s="79">
        <v>87422</v>
      </c>
      <c r="AJ139" s="79"/>
      <c r="AK139" s="79" t="s">
        <v>2247</v>
      </c>
      <c r="AL139" s="79" t="s">
        <v>2354</v>
      </c>
      <c r="AM139" s="79"/>
      <c r="AN139" s="79"/>
      <c r="AO139" s="81">
        <v>40904.171631944446</v>
      </c>
      <c r="AP139" s="86" t="str">
        <f>HYPERLINK("https://pbs.twimg.com/profile_banners/447656478/1552623313")</f>
        <v>https://pbs.twimg.com/profile_banners/447656478/1552623313</v>
      </c>
      <c r="AQ139" s="79" t="b">
        <v>1</v>
      </c>
      <c r="AR139" s="79" t="b">
        <v>0</v>
      </c>
      <c r="AS139" s="79" t="b">
        <v>0</v>
      </c>
      <c r="AT139" s="79"/>
      <c r="AU139" s="79">
        <v>49</v>
      </c>
      <c r="AV139" s="86" t="str">
        <f>HYPERLINK("https://abs.twimg.com/images/themes/theme1/bg.png")</f>
        <v>https://abs.twimg.com/images/themes/theme1/bg.png</v>
      </c>
      <c r="AW139" s="79" t="b">
        <v>0</v>
      </c>
      <c r="AX139" s="79" t="s">
        <v>2381</v>
      </c>
      <c r="AY139" s="86" t="str">
        <f>HYPERLINK("https://twitter.com/jdubclt")</f>
        <v>https://twitter.com/jdubclt</v>
      </c>
      <c r="AZ139" s="79" t="s">
        <v>66</v>
      </c>
      <c r="BA139" s="50"/>
      <c r="BB139" s="50"/>
      <c r="BC139" s="50"/>
      <c r="BD139" s="50"/>
      <c r="BE139" s="50" t="s">
        <v>700</v>
      </c>
      <c r="BF139" s="50" t="s">
        <v>700</v>
      </c>
      <c r="BG139" s="108" t="s">
        <v>2915</v>
      </c>
      <c r="BH139" s="108" t="s">
        <v>2915</v>
      </c>
      <c r="BI139" s="108" t="s">
        <v>3065</v>
      </c>
      <c r="BJ139" s="108" t="s">
        <v>3065</v>
      </c>
      <c r="BK139" s="2"/>
      <c r="BL139" s="3"/>
      <c r="BM139" s="3"/>
      <c r="BN139" s="3"/>
      <c r="BO139" s="3"/>
    </row>
    <row r="140" spans="1:67" x14ac:dyDescent="0.25">
      <c r="A140" s="65" t="s">
        <v>310</v>
      </c>
      <c r="B140" s="66"/>
      <c r="C140" s="66"/>
      <c r="D140" s="67"/>
      <c r="E140" s="69"/>
      <c r="F140" s="103" t="str">
        <f>HYPERLINK("https://pbs.twimg.com/profile_images/1456327146612342797/llxCsznU_normal.jpg")</f>
        <v>https://pbs.twimg.com/profile_images/1456327146612342797/llxCsznU_normal.jpg</v>
      </c>
      <c r="G140" s="66"/>
      <c r="H140" s="70"/>
      <c r="I140" s="71"/>
      <c r="J140" s="71"/>
      <c r="K140" s="70" t="s">
        <v>2518</v>
      </c>
      <c r="L140" s="74"/>
      <c r="M140" s="75">
        <v>4096.87744140625</v>
      </c>
      <c r="N140" s="75">
        <v>8797.5126953125</v>
      </c>
      <c r="O140" s="76"/>
      <c r="P140" s="77"/>
      <c r="Q140" s="77"/>
      <c r="R140" s="89"/>
      <c r="S140" s="50">
        <v>0</v>
      </c>
      <c r="T140" s="50">
        <v>4</v>
      </c>
      <c r="U140" s="51">
        <v>0</v>
      </c>
      <c r="V140" s="51">
        <v>0.35520400000000002</v>
      </c>
      <c r="W140" s="51">
        <v>9.4061000000000006E-2</v>
      </c>
      <c r="X140" s="51">
        <v>4.6059999999999999E-3</v>
      </c>
      <c r="Y140" s="51">
        <v>0.58333333333333337</v>
      </c>
      <c r="Z140" s="51">
        <v>0</v>
      </c>
      <c r="AA140" s="72">
        <v>140</v>
      </c>
      <c r="AB140" s="72"/>
      <c r="AC140" s="73"/>
      <c r="AD140" s="79" t="s">
        <v>1864</v>
      </c>
      <c r="AE140" s="84" t="s">
        <v>2058</v>
      </c>
      <c r="AF140" s="79">
        <v>1090</v>
      </c>
      <c r="AG140" s="79">
        <v>967</v>
      </c>
      <c r="AH140" s="79">
        <v>89464</v>
      </c>
      <c r="AI140" s="79">
        <v>3547</v>
      </c>
      <c r="AJ140" s="79"/>
      <c r="AK140" s="79" t="s">
        <v>2248</v>
      </c>
      <c r="AL140" s="79"/>
      <c r="AM140" s="79"/>
      <c r="AN140" s="79"/>
      <c r="AO140" s="81">
        <v>39918.927905092591</v>
      </c>
      <c r="AP140" s="86" t="str">
        <f>HYPERLINK("https://pbs.twimg.com/profile_banners/31539969/1363122621")</f>
        <v>https://pbs.twimg.com/profile_banners/31539969/1363122621</v>
      </c>
      <c r="AQ140" s="79" t="b">
        <v>0</v>
      </c>
      <c r="AR140" s="79" t="b">
        <v>0</v>
      </c>
      <c r="AS140" s="79" t="b">
        <v>1</v>
      </c>
      <c r="AT140" s="79"/>
      <c r="AU140" s="79">
        <v>32</v>
      </c>
      <c r="AV140" s="86" t="str">
        <f>HYPERLINK("https://abs.twimg.com/images/themes/theme1/bg.png")</f>
        <v>https://abs.twimg.com/images/themes/theme1/bg.png</v>
      </c>
      <c r="AW140" s="79" t="b">
        <v>0</v>
      </c>
      <c r="AX140" s="79" t="s">
        <v>2381</v>
      </c>
      <c r="AY140" s="86" t="str">
        <f>HYPERLINK("https://twitter.com/braddigan89")</f>
        <v>https://twitter.com/braddigan89</v>
      </c>
      <c r="AZ140" s="79" t="s">
        <v>66</v>
      </c>
      <c r="BA140" s="50"/>
      <c r="BB140" s="50"/>
      <c r="BC140" s="50"/>
      <c r="BD140" s="50"/>
      <c r="BE140" s="50" t="s">
        <v>699</v>
      </c>
      <c r="BF140" s="50" t="s">
        <v>699</v>
      </c>
      <c r="BG140" s="108" t="s">
        <v>2916</v>
      </c>
      <c r="BH140" s="108" t="s">
        <v>2916</v>
      </c>
      <c r="BI140" s="108" t="s">
        <v>3072</v>
      </c>
      <c r="BJ140" s="108" t="s">
        <v>3072</v>
      </c>
      <c r="BK140" s="2"/>
      <c r="BL140" s="3"/>
      <c r="BM140" s="3"/>
      <c r="BN140" s="3"/>
      <c r="BO140" s="3"/>
    </row>
    <row r="141" spans="1:67" x14ac:dyDescent="0.25">
      <c r="A141" s="65" t="s">
        <v>339</v>
      </c>
      <c r="B141" s="66"/>
      <c r="C141" s="66"/>
      <c r="D141" s="67"/>
      <c r="E141" s="69"/>
      <c r="F141" s="103" t="str">
        <f>HYPERLINK("https://pbs.twimg.com/profile_images/1289384268242784257/RtvtWQMU_normal.jpg")</f>
        <v>https://pbs.twimg.com/profile_images/1289384268242784257/RtvtWQMU_normal.jpg</v>
      </c>
      <c r="G141" s="66"/>
      <c r="H141" s="70"/>
      <c r="I141" s="71"/>
      <c r="J141" s="71"/>
      <c r="K141" s="70" t="s">
        <v>2519</v>
      </c>
      <c r="L141" s="74"/>
      <c r="M141" s="75">
        <v>5034.4189453125</v>
      </c>
      <c r="N141" s="75">
        <v>7211.279296875</v>
      </c>
      <c r="O141" s="76"/>
      <c r="P141" s="77"/>
      <c r="Q141" s="77"/>
      <c r="R141" s="89"/>
      <c r="S141" s="50">
        <v>3</v>
      </c>
      <c r="T141" s="50">
        <v>4</v>
      </c>
      <c r="U141" s="51">
        <v>31.519048000000002</v>
      </c>
      <c r="V141" s="51">
        <v>0.36000399999999999</v>
      </c>
      <c r="W141" s="51">
        <v>0.115048</v>
      </c>
      <c r="X141" s="51">
        <v>5.1260000000000003E-3</v>
      </c>
      <c r="Y141" s="51">
        <v>0.33333333333333331</v>
      </c>
      <c r="Z141" s="51">
        <v>0</v>
      </c>
      <c r="AA141" s="72">
        <v>141</v>
      </c>
      <c r="AB141" s="72"/>
      <c r="AC141" s="73"/>
      <c r="AD141" s="79" t="s">
        <v>1865</v>
      </c>
      <c r="AE141" s="84" t="s">
        <v>2059</v>
      </c>
      <c r="AF141" s="79">
        <v>462</v>
      </c>
      <c r="AG141" s="79">
        <v>4507</v>
      </c>
      <c r="AH141" s="79">
        <v>8804</v>
      </c>
      <c r="AI141" s="79">
        <v>10307</v>
      </c>
      <c r="AJ141" s="79"/>
      <c r="AK141" s="79" t="s">
        <v>2249</v>
      </c>
      <c r="AL141" s="79" t="s">
        <v>2355</v>
      </c>
      <c r="AM141" s="86" t="str">
        <f>HYPERLINK("https://t.co/zOppIBAX88")</f>
        <v>https://t.co/zOppIBAX88</v>
      </c>
      <c r="AN141" s="79"/>
      <c r="AO141" s="81">
        <v>40835.738194444442</v>
      </c>
      <c r="AP141" s="86" t="str">
        <f>HYPERLINK("https://pbs.twimg.com/profile_banners/394173627/1586128839")</f>
        <v>https://pbs.twimg.com/profile_banners/394173627/1586128839</v>
      </c>
      <c r="AQ141" s="79" t="b">
        <v>0</v>
      </c>
      <c r="AR141" s="79" t="b">
        <v>0</v>
      </c>
      <c r="AS141" s="79" t="b">
        <v>1</v>
      </c>
      <c r="AT141" s="79"/>
      <c r="AU141" s="79">
        <v>36</v>
      </c>
      <c r="AV141" s="86" t="str">
        <f>HYPERLINK("https://abs.twimg.com/images/themes/theme1/bg.png")</f>
        <v>https://abs.twimg.com/images/themes/theme1/bg.png</v>
      </c>
      <c r="AW141" s="79" t="b">
        <v>0</v>
      </c>
      <c r="AX141" s="79" t="s">
        <v>2381</v>
      </c>
      <c r="AY141" s="86" t="str">
        <f>HYPERLINK("https://twitter.com/ubtrueblue")</f>
        <v>https://twitter.com/ubtrueblue</v>
      </c>
      <c r="AZ141" s="79" t="s">
        <v>66</v>
      </c>
      <c r="BA141" s="50"/>
      <c r="BB141" s="50"/>
      <c r="BC141" s="50"/>
      <c r="BD141" s="50"/>
      <c r="BE141" s="50" t="s">
        <v>692</v>
      </c>
      <c r="BF141" s="50" t="s">
        <v>727</v>
      </c>
      <c r="BG141" s="108" t="s">
        <v>2917</v>
      </c>
      <c r="BH141" s="108" t="s">
        <v>2975</v>
      </c>
      <c r="BI141" s="108" t="s">
        <v>3072</v>
      </c>
      <c r="BJ141" s="108" t="s">
        <v>3072</v>
      </c>
      <c r="BK141" s="2"/>
      <c r="BL141" s="3"/>
      <c r="BM141" s="3"/>
      <c r="BN141" s="3"/>
      <c r="BO141" s="3"/>
    </row>
    <row r="142" spans="1:67" x14ac:dyDescent="0.25">
      <c r="A142" s="65" t="s">
        <v>311</v>
      </c>
      <c r="B142" s="66"/>
      <c r="C142" s="66"/>
      <c r="D142" s="67"/>
      <c r="E142" s="69"/>
      <c r="F142" s="103" t="str">
        <f>HYPERLINK("https://pbs.twimg.com/profile_images/1487267070844850180/QyAAYtM__normal.jpg")</f>
        <v>https://pbs.twimg.com/profile_images/1487267070844850180/QyAAYtM__normal.jpg</v>
      </c>
      <c r="G142" s="66"/>
      <c r="H142" s="70"/>
      <c r="I142" s="71"/>
      <c r="J142" s="71"/>
      <c r="K142" s="70" t="s">
        <v>2520</v>
      </c>
      <c r="L142" s="74"/>
      <c r="M142" s="75">
        <v>6997.3212890625</v>
      </c>
      <c r="N142" s="75">
        <v>7962.4697265625</v>
      </c>
      <c r="O142" s="76"/>
      <c r="P142" s="77"/>
      <c r="Q142" s="77"/>
      <c r="R142" s="89"/>
      <c r="S142" s="50">
        <v>0</v>
      </c>
      <c r="T142" s="50">
        <v>4</v>
      </c>
      <c r="U142" s="51">
        <v>0</v>
      </c>
      <c r="V142" s="51">
        <v>0.35520400000000002</v>
      </c>
      <c r="W142" s="51">
        <v>9.4061000000000006E-2</v>
      </c>
      <c r="X142" s="51">
        <v>4.6059999999999999E-3</v>
      </c>
      <c r="Y142" s="51">
        <v>0.58333333333333337</v>
      </c>
      <c r="Z142" s="51">
        <v>0</v>
      </c>
      <c r="AA142" s="72">
        <v>142</v>
      </c>
      <c r="AB142" s="72"/>
      <c r="AC142" s="73"/>
      <c r="AD142" s="79" t="s">
        <v>1866</v>
      </c>
      <c r="AE142" s="84" t="s">
        <v>2060</v>
      </c>
      <c r="AF142" s="79">
        <v>664</v>
      </c>
      <c r="AG142" s="79">
        <v>121</v>
      </c>
      <c r="AH142" s="79">
        <v>9855</v>
      </c>
      <c r="AI142" s="79">
        <v>11154</v>
      </c>
      <c r="AJ142" s="79"/>
      <c r="AK142" s="79" t="s">
        <v>2250</v>
      </c>
      <c r="AL142" s="79" t="s">
        <v>2356</v>
      </c>
      <c r="AM142" s="79"/>
      <c r="AN142" s="79"/>
      <c r="AO142" s="81">
        <v>42552.639525462961</v>
      </c>
      <c r="AP142" s="86" t="str">
        <f>HYPERLINK("https://pbs.twimg.com/profile_banners/748899187744448512/1546562189")</f>
        <v>https://pbs.twimg.com/profile_banners/748899187744448512/1546562189</v>
      </c>
      <c r="AQ142" s="79" t="b">
        <v>1</v>
      </c>
      <c r="AR142" s="79" t="b">
        <v>0</v>
      </c>
      <c r="AS142" s="79" t="b">
        <v>1</v>
      </c>
      <c r="AT142" s="79"/>
      <c r="AU142" s="79">
        <v>0</v>
      </c>
      <c r="AV142" s="79"/>
      <c r="AW142" s="79" t="b">
        <v>0</v>
      </c>
      <c r="AX142" s="79" t="s">
        <v>2381</v>
      </c>
      <c r="AY142" s="86" t="str">
        <f>HYPERLINK("https://twitter.com/matthewk112358")</f>
        <v>https://twitter.com/matthewk112358</v>
      </c>
      <c r="AZ142" s="79" t="s">
        <v>66</v>
      </c>
      <c r="BA142" s="50"/>
      <c r="BB142" s="50"/>
      <c r="BC142" s="50"/>
      <c r="BD142" s="50"/>
      <c r="BE142" s="50" t="s">
        <v>699</v>
      </c>
      <c r="BF142" s="50" t="s">
        <v>699</v>
      </c>
      <c r="BG142" s="108" t="s">
        <v>2916</v>
      </c>
      <c r="BH142" s="108" t="s">
        <v>2916</v>
      </c>
      <c r="BI142" s="108" t="s">
        <v>3072</v>
      </c>
      <c r="BJ142" s="108" t="s">
        <v>3072</v>
      </c>
      <c r="BK142" s="2"/>
      <c r="BL142" s="3"/>
      <c r="BM142" s="3"/>
      <c r="BN142" s="3"/>
      <c r="BO142" s="3"/>
    </row>
    <row r="143" spans="1:67" x14ac:dyDescent="0.25">
      <c r="A143" s="65" t="s">
        <v>312</v>
      </c>
      <c r="B143" s="66"/>
      <c r="C143" s="66"/>
      <c r="D143" s="67"/>
      <c r="E143" s="69"/>
      <c r="F143" s="103" t="str">
        <f>HYPERLINK("https://pbs.twimg.com/profile_images/378800000441469487/d6ea147006735deeb47058603a5b511c_normal.jpeg")</f>
        <v>https://pbs.twimg.com/profile_images/378800000441469487/d6ea147006735deeb47058603a5b511c_normal.jpeg</v>
      </c>
      <c r="G143" s="66"/>
      <c r="H143" s="70"/>
      <c r="I143" s="71"/>
      <c r="J143" s="71"/>
      <c r="K143" s="70" t="s">
        <v>2521</v>
      </c>
      <c r="L143" s="74"/>
      <c r="M143" s="75">
        <v>7530.7509765625</v>
      </c>
      <c r="N143" s="75">
        <v>3439.465576171875</v>
      </c>
      <c r="O143" s="76"/>
      <c r="P143" s="77"/>
      <c r="Q143" s="77"/>
      <c r="R143" s="89"/>
      <c r="S143" s="50">
        <v>0</v>
      </c>
      <c r="T143" s="50">
        <v>2</v>
      </c>
      <c r="U143" s="51">
        <v>0</v>
      </c>
      <c r="V143" s="51">
        <v>0.353632</v>
      </c>
      <c r="W143" s="51">
        <v>7.0933999999999997E-2</v>
      </c>
      <c r="X143" s="51">
        <v>4.4229999999999998E-3</v>
      </c>
      <c r="Y143" s="51">
        <v>0.5</v>
      </c>
      <c r="Z143" s="51">
        <v>0</v>
      </c>
      <c r="AA143" s="72">
        <v>143</v>
      </c>
      <c r="AB143" s="72"/>
      <c r="AC143" s="73"/>
      <c r="AD143" s="79" t="s">
        <v>1867</v>
      </c>
      <c r="AE143" s="84" t="s">
        <v>2061</v>
      </c>
      <c r="AF143" s="79">
        <v>262</v>
      </c>
      <c r="AG143" s="79">
        <v>211</v>
      </c>
      <c r="AH143" s="79">
        <v>39746</v>
      </c>
      <c r="AI143" s="79">
        <v>21800</v>
      </c>
      <c r="AJ143" s="79"/>
      <c r="AK143" s="79" t="s">
        <v>2251</v>
      </c>
      <c r="AL143" s="79" t="s">
        <v>1694</v>
      </c>
      <c r="AM143" s="79"/>
      <c r="AN143" s="79"/>
      <c r="AO143" s="81">
        <v>40911.145243055558</v>
      </c>
      <c r="AP143" s="86" t="str">
        <f>HYPERLINK("https://pbs.twimg.com/profile_banners/453617713/1529425068")</f>
        <v>https://pbs.twimg.com/profile_banners/453617713/1529425068</v>
      </c>
      <c r="AQ143" s="79" t="b">
        <v>0</v>
      </c>
      <c r="AR143" s="79" t="b">
        <v>0</v>
      </c>
      <c r="AS143" s="79" t="b">
        <v>0</v>
      </c>
      <c r="AT143" s="79"/>
      <c r="AU143" s="79">
        <v>7</v>
      </c>
      <c r="AV143" s="86" t="str">
        <f>HYPERLINK("https://abs.twimg.com/images/themes/theme11/bg.gif")</f>
        <v>https://abs.twimg.com/images/themes/theme11/bg.gif</v>
      </c>
      <c r="AW143" s="79" t="b">
        <v>0</v>
      </c>
      <c r="AX143" s="79" t="s">
        <v>2381</v>
      </c>
      <c r="AY143" s="86" t="str">
        <f>HYPERLINK("https://twitter.com/icemycoffee")</f>
        <v>https://twitter.com/icemycoffee</v>
      </c>
      <c r="AZ143" s="79" t="s">
        <v>66</v>
      </c>
      <c r="BA143" s="50" t="s">
        <v>2582</v>
      </c>
      <c r="BB143" s="50" t="s">
        <v>2582</v>
      </c>
      <c r="BC143" s="50" t="s">
        <v>633</v>
      </c>
      <c r="BD143" s="50" t="s">
        <v>633</v>
      </c>
      <c r="BE143" s="50" t="s">
        <v>698</v>
      </c>
      <c r="BF143" s="50" t="s">
        <v>698</v>
      </c>
      <c r="BG143" s="108" t="s">
        <v>2912</v>
      </c>
      <c r="BH143" s="108" t="s">
        <v>2912</v>
      </c>
      <c r="BI143" s="108" t="s">
        <v>3071</v>
      </c>
      <c r="BJ143" s="108" t="s">
        <v>3071</v>
      </c>
      <c r="BK143" s="2"/>
      <c r="BL143" s="3"/>
      <c r="BM143" s="3"/>
      <c r="BN143" s="3"/>
      <c r="BO143" s="3"/>
    </row>
    <row r="144" spans="1:67" x14ac:dyDescent="0.25">
      <c r="A144" s="65" t="s">
        <v>313</v>
      </c>
      <c r="B144" s="66"/>
      <c r="C144" s="66"/>
      <c r="D144" s="67"/>
      <c r="E144" s="69"/>
      <c r="F144" s="103" t="str">
        <f>HYPERLINK("https://pbs.twimg.com/profile_images/1211362999023349762/9RDq88as_normal.jpg")</f>
        <v>https://pbs.twimg.com/profile_images/1211362999023349762/9RDq88as_normal.jpg</v>
      </c>
      <c r="G144" s="66"/>
      <c r="H144" s="70"/>
      <c r="I144" s="71"/>
      <c r="J144" s="71"/>
      <c r="K144" s="70" t="s">
        <v>2522</v>
      </c>
      <c r="L144" s="74"/>
      <c r="M144" s="75">
        <v>631.94830322265625</v>
      </c>
      <c r="N144" s="75">
        <v>6416.42236328125</v>
      </c>
      <c r="O144" s="76"/>
      <c r="P144" s="77"/>
      <c r="Q144" s="77"/>
      <c r="R144" s="89"/>
      <c r="S144" s="50">
        <v>0</v>
      </c>
      <c r="T144" s="50">
        <v>1</v>
      </c>
      <c r="U144" s="51">
        <v>0</v>
      </c>
      <c r="V144" s="51">
        <v>0.34300799999999998</v>
      </c>
      <c r="W144" s="51">
        <v>4.5978999999999999E-2</v>
      </c>
      <c r="X144" s="51">
        <v>4.3769999999999998E-3</v>
      </c>
      <c r="Y144" s="51">
        <v>0</v>
      </c>
      <c r="Z144" s="51">
        <v>0</v>
      </c>
      <c r="AA144" s="72">
        <v>144</v>
      </c>
      <c r="AB144" s="72"/>
      <c r="AC144" s="73"/>
      <c r="AD144" s="79" t="s">
        <v>1868</v>
      </c>
      <c r="AE144" s="84" t="s">
        <v>2062</v>
      </c>
      <c r="AF144" s="79">
        <v>329</v>
      </c>
      <c r="AG144" s="79">
        <v>223</v>
      </c>
      <c r="AH144" s="79">
        <v>256</v>
      </c>
      <c r="AI144" s="79">
        <v>909</v>
      </c>
      <c r="AJ144" s="79"/>
      <c r="AK144" s="79" t="s">
        <v>2252</v>
      </c>
      <c r="AL144" s="79" t="s">
        <v>2357</v>
      </c>
      <c r="AM144" s="86" t="str">
        <f>HYPERLINK("https://t.co/MEgz0RIsOS")</f>
        <v>https://t.co/MEgz0RIsOS</v>
      </c>
      <c r="AN144" s="79"/>
      <c r="AO144" s="81">
        <v>42848.123842592591</v>
      </c>
      <c r="AP144" s="86" t="str">
        <f>HYPERLINK("https://pbs.twimg.com/profile_banners/855979119456251904/1636812560")</f>
        <v>https://pbs.twimg.com/profile_banners/855979119456251904/1636812560</v>
      </c>
      <c r="AQ144" s="79" t="b">
        <v>1</v>
      </c>
      <c r="AR144" s="79" t="b">
        <v>0</v>
      </c>
      <c r="AS144" s="79" t="b">
        <v>1</v>
      </c>
      <c r="AT144" s="79"/>
      <c r="AU144" s="79">
        <v>0</v>
      </c>
      <c r="AV144" s="79"/>
      <c r="AW144" s="79" t="b">
        <v>0</v>
      </c>
      <c r="AX144" s="79" t="s">
        <v>2381</v>
      </c>
      <c r="AY144" s="86" t="str">
        <f>HYPERLINK("https://twitter.com/jahreef4")</f>
        <v>https://twitter.com/jahreef4</v>
      </c>
      <c r="AZ144" s="79" t="s">
        <v>66</v>
      </c>
      <c r="BA144" s="50"/>
      <c r="BB144" s="50"/>
      <c r="BC144" s="50"/>
      <c r="BD144" s="50"/>
      <c r="BE144" s="50" t="s">
        <v>700</v>
      </c>
      <c r="BF144" s="50" t="s">
        <v>700</v>
      </c>
      <c r="BG144" s="108" t="s">
        <v>2915</v>
      </c>
      <c r="BH144" s="108" t="s">
        <v>2915</v>
      </c>
      <c r="BI144" s="108" t="s">
        <v>3065</v>
      </c>
      <c r="BJ144" s="108" t="s">
        <v>3065</v>
      </c>
      <c r="BK144" s="2"/>
      <c r="BL144" s="3"/>
      <c r="BM144" s="3"/>
      <c r="BN144" s="3"/>
      <c r="BO144" s="3"/>
    </row>
    <row r="145" spans="1:67" x14ac:dyDescent="0.25">
      <c r="A145" s="65" t="s">
        <v>314</v>
      </c>
      <c r="B145" s="66"/>
      <c r="C145" s="66"/>
      <c r="D145" s="67"/>
      <c r="E145" s="69"/>
      <c r="F145" s="103" t="str">
        <f>HYPERLINK("https://pbs.twimg.com/profile_images/1051959332743442432/CepsBHsz_normal.jpg")</f>
        <v>https://pbs.twimg.com/profile_images/1051959332743442432/CepsBHsz_normal.jpg</v>
      </c>
      <c r="G145" s="66"/>
      <c r="H145" s="70"/>
      <c r="I145" s="71"/>
      <c r="J145" s="71"/>
      <c r="K145" s="70" t="s">
        <v>2523</v>
      </c>
      <c r="L145" s="74"/>
      <c r="M145" s="75">
        <v>7882.6640625</v>
      </c>
      <c r="N145" s="75">
        <v>7594.76123046875</v>
      </c>
      <c r="O145" s="76"/>
      <c r="P145" s="77"/>
      <c r="Q145" s="77"/>
      <c r="R145" s="89"/>
      <c r="S145" s="50">
        <v>0</v>
      </c>
      <c r="T145" s="50">
        <v>2</v>
      </c>
      <c r="U145" s="51">
        <v>0</v>
      </c>
      <c r="V145" s="51">
        <v>0.353632</v>
      </c>
      <c r="W145" s="51">
        <v>7.0933999999999997E-2</v>
      </c>
      <c r="X145" s="51">
        <v>4.4229999999999998E-3</v>
      </c>
      <c r="Y145" s="51">
        <v>0.5</v>
      </c>
      <c r="Z145" s="51">
        <v>0</v>
      </c>
      <c r="AA145" s="72">
        <v>145</v>
      </c>
      <c r="AB145" s="72"/>
      <c r="AC145" s="73"/>
      <c r="AD145" s="79" t="s">
        <v>1869</v>
      </c>
      <c r="AE145" s="84" t="s">
        <v>2063</v>
      </c>
      <c r="AF145" s="79">
        <v>395</v>
      </c>
      <c r="AG145" s="79">
        <v>247</v>
      </c>
      <c r="AH145" s="79">
        <v>6472</v>
      </c>
      <c r="AI145" s="79">
        <v>54090</v>
      </c>
      <c r="AJ145" s="79"/>
      <c r="AK145" s="79"/>
      <c r="AL145" s="79" t="s">
        <v>2358</v>
      </c>
      <c r="AM145" s="79"/>
      <c r="AN145" s="79"/>
      <c r="AO145" s="81">
        <v>42472.774895833332</v>
      </c>
      <c r="AP145" s="86" t="str">
        <f>HYPERLINK("https://pbs.twimg.com/profile_banners/719957218544656384/1460486235")</f>
        <v>https://pbs.twimg.com/profile_banners/719957218544656384/1460486235</v>
      </c>
      <c r="AQ145" s="79" t="b">
        <v>1</v>
      </c>
      <c r="AR145" s="79" t="b">
        <v>0</v>
      </c>
      <c r="AS145" s="79" t="b">
        <v>0</v>
      </c>
      <c r="AT145" s="79"/>
      <c r="AU145" s="79">
        <v>1</v>
      </c>
      <c r="AV145" s="79"/>
      <c r="AW145" s="79" t="b">
        <v>0</v>
      </c>
      <c r="AX145" s="79" t="s">
        <v>2381</v>
      </c>
      <c r="AY145" s="86" t="str">
        <f>HYPERLINK("https://twitter.com/buffalowelowe")</f>
        <v>https://twitter.com/buffalowelowe</v>
      </c>
      <c r="AZ145" s="79" t="s">
        <v>66</v>
      </c>
      <c r="BA145" s="50" t="s">
        <v>2582</v>
      </c>
      <c r="BB145" s="50" t="s">
        <v>2582</v>
      </c>
      <c r="BC145" s="50" t="s">
        <v>633</v>
      </c>
      <c r="BD145" s="50" t="s">
        <v>633</v>
      </c>
      <c r="BE145" s="50" t="s">
        <v>698</v>
      </c>
      <c r="BF145" s="50" t="s">
        <v>698</v>
      </c>
      <c r="BG145" s="108" t="s">
        <v>2912</v>
      </c>
      <c r="BH145" s="108" t="s">
        <v>2912</v>
      </c>
      <c r="BI145" s="108" t="s">
        <v>3071</v>
      </c>
      <c r="BJ145" s="108" t="s">
        <v>3071</v>
      </c>
      <c r="BK145" s="2"/>
      <c r="BL145" s="3"/>
      <c r="BM145" s="3"/>
      <c r="BN145" s="3"/>
      <c r="BO145" s="3"/>
    </row>
    <row r="146" spans="1:67" x14ac:dyDescent="0.25">
      <c r="A146" s="65" t="s">
        <v>315</v>
      </c>
      <c r="B146" s="66"/>
      <c r="C146" s="66"/>
      <c r="D146" s="67"/>
      <c r="E146" s="69"/>
      <c r="F146" s="103" t="str">
        <f>HYPERLINK("https://pbs.twimg.com/profile_images/1444414319471456256/QnmAh87z_normal.jpg")</f>
        <v>https://pbs.twimg.com/profile_images/1444414319471456256/QnmAh87z_normal.jpg</v>
      </c>
      <c r="G146" s="66"/>
      <c r="H146" s="70"/>
      <c r="I146" s="71"/>
      <c r="J146" s="71"/>
      <c r="K146" s="70" t="s">
        <v>2524</v>
      </c>
      <c r="L146" s="74"/>
      <c r="M146" s="75">
        <v>7084.62890625</v>
      </c>
      <c r="N146" s="75">
        <v>7283.7138671875</v>
      </c>
      <c r="O146" s="76"/>
      <c r="P146" s="77"/>
      <c r="Q146" s="77"/>
      <c r="R146" s="89"/>
      <c r="S146" s="50">
        <v>0</v>
      </c>
      <c r="T146" s="50">
        <v>2</v>
      </c>
      <c r="U146" s="51">
        <v>0</v>
      </c>
      <c r="V146" s="51">
        <v>0.353632</v>
      </c>
      <c r="W146" s="51">
        <v>7.0933999999999997E-2</v>
      </c>
      <c r="X146" s="51">
        <v>4.4229999999999998E-3</v>
      </c>
      <c r="Y146" s="51">
        <v>0.5</v>
      </c>
      <c r="Z146" s="51">
        <v>0</v>
      </c>
      <c r="AA146" s="72">
        <v>146</v>
      </c>
      <c r="AB146" s="72"/>
      <c r="AC146" s="73"/>
      <c r="AD146" s="79" t="s">
        <v>1870</v>
      </c>
      <c r="AE146" s="84" t="s">
        <v>2064</v>
      </c>
      <c r="AF146" s="79">
        <v>2920</v>
      </c>
      <c r="AG146" s="79">
        <v>1478</v>
      </c>
      <c r="AH146" s="79">
        <v>46680</v>
      </c>
      <c r="AI146" s="79">
        <v>4431</v>
      </c>
      <c r="AJ146" s="79"/>
      <c r="AK146" s="79" t="s">
        <v>2253</v>
      </c>
      <c r="AL146" s="79" t="s">
        <v>2359</v>
      </c>
      <c r="AM146" s="86" t="str">
        <f>HYPERLINK("https://t.co/mmnMCbbeuV")</f>
        <v>https://t.co/mmnMCbbeuV</v>
      </c>
      <c r="AN146" s="79"/>
      <c r="AO146" s="81">
        <v>40245.97278935185</v>
      </c>
      <c r="AP146" s="86" t="str">
        <f>HYPERLINK("https://pbs.twimg.com/profile_banners/121257530/1387295571")</f>
        <v>https://pbs.twimg.com/profile_banners/121257530/1387295571</v>
      </c>
      <c r="AQ146" s="79" t="b">
        <v>0</v>
      </c>
      <c r="AR146" s="79" t="b">
        <v>0</v>
      </c>
      <c r="AS146" s="79" t="b">
        <v>0</v>
      </c>
      <c r="AT146" s="79"/>
      <c r="AU146" s="79">
        <v>26</v>
      </c>
      <c r="AV146" s="86" t="str">
        <f>HYPERLINK("https://abs.twimg.com/images/themes/theme1/bg.png")</f>
        <v>https://abs.twimg.com/images/themes/theme1/bg.png</v>
      </c>
      <c r="AW146" s="79" t="b">
        <v>0</v>
      </c>
      <c r="AX146" s="79" t="s">
        <v>2381</v>
      </c>
      <c r="AY146" s="86" t="str">
        <f>HYPERLINK("https://twitter.com/lawomenshoops")</f>
        <v>https://twitter.com/lawomenshoops</v>
      </c>
      <c r="AZ146" s="79" t="s">
        <v>66</v>
      </c>
      <c r="BA146" s="50" t="s">
        <v>2582</v>
      </c>
      <c r="BB146" s="50" t="s">
        <v>2582</v>
      </c>
      <c r="BC146" s="50" t="s">
        <v>633</v>
      </c>
      <c r="BD146" s="50" t="s">
        <v>633</v>
      </c>
      <c r="BE146" s="50" t="s">
        <v>698</v>
      </c>
      <c r="BF146" s="50" t="s">
        <v>698</v>
      </c>
      <c r="BG146" s="108" t="s">
        <v>2912</v>
      </c>
      <c r="BH146" s="108" t="s">
        <v>2912</v>
      </c>
      <c r="BI146" s="108" t="s">
        <v>3071</v>
      </c>
      <c r="BJ146" s="108" t="s">
        <v>3071</v>
      </c>
      <c r="BK146" s="2"/>
      <c r="BL146" s="3"/>
      <c r="BM146" s="3"/>
      <c r="BN146" s="3"/>
      <c r="BO146" s="3"/>
    </row>
    <row r="147" spans="1:67" x14ac:dyDescent="0.25">
      <c r="A147" s="65" t="s">
        <v>316</v>
      </c>
      <c r="B147" s="66"/>
      <c r="C147" s="66"/>
      <c r="D147" s="67"/>
      <c r="E147" s="69"/>
      <c r="F147" s="103" t="str">
        <f>HYPERLINK("https://pbs.twimg.com/profile_images/671695242169442304/pYbYqgSc_normal.png")</f>
        <v>https://pbs.twimg.com/profile_images/671695242169442304/pYbYqgSc_normal.png</v>
      </c>
      <c r="G147" s="66"/>
      <c r="H147" s="70"/>
      <c r="I147" s="71"/>
      <c r="J147" s="71"/>
      <c r="K147" s="70" t="s">
        <v>2525</v>
      </c>
      <c r="L147" s="74"/>
      <c r="M147" s="75">
        <v>4624.419921875</v>
      </c>
      <c r="N147" s="75">
        <v>6119.4775390625</v>
      </c>
      <c r="O147" s="76"/>
      <c r="P147" s="77"/>
      <c r="Q147" s="77"/>
      <c r="R147" s="89"/>
      <c r="S147" s="50">
        <v>0</v>
      </c>
      <c r="T147" s="50">
        <v>11</v>
      </c>
      <c r="U147" s="51">
        <v>742.62536399999999</v>
      </c>
      <c r="V147" s="51">
        <v>0.38239699999999999</v>
      </c>
      <c r="W147" s="51">
        <v>0.147783</v>
      </c>
      <c r="X147" s="51">
        <v>5.385E-3</v>
      </c>
      <c r="Y147" s="51">
        <v>0.14545454545454545</v>
      </c>
      <c r="Z147" s="51">
        <v>0</v>
      </c>
      <c r="AA147" s="72">
        <v>147</v>
      </c>
      <c r="AB147" s="72"/>
      <c r="AC147" s="73"/>
      <c r="AD147" s="79" t="s">
        <v>1871</v>
      </c>
      <c r="AE147" s="84" t="s">
        <v>2065</v>
      </c>
      <c r="AF147" s="79">
        <v>3999</v>
      </c>
      <c r="AG147" s="79">
        <v>2998</v>
      </c>
      <c r="AH147" s="79">
        <v>639754</v>
      </c>
      <c r="AI147" s="79">
        <v>199569</v>
      </c>
      <c r="AJ147" s="79"/>
      <c r="AK147" s="79"/>
      <c r="AL147" s="79" t="s">
        <v>1695</v>
      </c>
      <c r="AM147" s="79"/>
      <c r="AN147" s="79"/>
      <c r="AO147" s="81">
        <v>39913.554189814815</v>
      </c>
      <c r="AP147" s="86" t="str">
        <f>HYPERLINK("https://pbs.twimg.com/profile_banners/30213351/1646521211")</f>
        <v>https://pbs.twimg.com/profile_banners/30213351/1646521211</v>
      </c>
      <c r="AQ147" s="79" t="b">
        <v>0</v>
      </c>
      <c r="AR147" s="79" t="b">
        <v>0</v>
      </c>
      <c r="AS147" s="79" t="b">
        <v>1</v>
      </c>
      <c r="AT147" s="79"/>
      <c r="AU147" s="79">
        <v>446</v>
      </c>
      <c r="AV147" s="86" t="str">
        <f>HYPERLINK("https://abs.twimg.com/images/themes/theme5/bg.gif")</f>
        <v>https://abs.twimg.com/images/themes/theme5/bg.gif</v>
      </c>
      <c r="AW147" s="79" t="b">
        <v>0</v>
      </c>
      <c r="AX147" s="79" t="s">
        <v>2381</v>
      </c>
      <c r="AY147" s="86" t="str">
        <f>HYPERLINK("https://twitter.com/ghofmar")</f>
        <v>https://twitter.com/ghofmar</v>
      </c>
      <c r="AZ147" s="79" t="s">
        <v>66</v>
      </c>
      <c r="BA147" s="50" t="s">
        <v>2692</v>
      </c>
      <c r="BB147" s="50" t="s">
        <v>2692</v>
      </c>
      <c r="BC147" s="50" t="s">
        <v>2726</v>
      </c>
      <c r="BD147" s="50" t="s">
        <v>2738</v>
      </c>
      <c r="BE147" s="50" t="s">
        <v>2769</v>
      </c>
      <c r="BF147" s="50" t="s">
        <v>2811</v>
      </c>
      <c r="BG147" s="108" t="s">
        <v>2918</v>
      </c>
      <c r="BH147" s="108" t="s">
        <v>2976</v>
      </c>
      <c r="BI147" s="108" t="s">
        <v>3073</v>
      </c>
      <c r="BJ147" s="108" t="s">
        <v>3073</v>
      </c>
      <c r="BK147" s="2"/>
      <c r="BL147" s="3"/>
      <c r="BM147" s="3"/>
      <c r="BN147" s="3"/>
      <c r="BO147" s="3"/>
    </row>
    <row r="148" spans="1:67" x14ac:dyDescent="0.25">
      <c r="A148" s="65" t="s">
        <v>359</v>
      </c>
      <c r="B148" s="66"/>
      <c r="C148" s="66"/>
      <c r="D148" s="67"/>
      <c r="E148" s="69"/>
      <c r="F148" s="103" t="str">
        <f>HYPERLINK("https://pbs.twimg.com/profile_images/757599824573304832/JOLfZ93m_normal.jpg")</f>
        <v>https://pbs.twimg.com/profile_images/757599824573304832/JOLfZ93m_normal.jpg</v>
      </c>
      <c r="G148" s="66"/>
      <c r="H148" s="70"/>
      <c r="I148" s="71"/>
      <c r="J148" s="71"/>
      <c r="K148" s="70" t="s">
        <v>2526</v>
      </c>
      <c r="L148" s="74"/>
      <c r="M148" s="75">
        <v>4299.9228515625</v>
      </c>
      <c r="N148" s="75">
        <v>6545.46826171875</v>
      </c>
      <c r="O148" s="76"/>
      <c r="P148" s="77"/>
      <c r="Q148" s="77"/>
      <c r="R148" s="89"/>
      <c r="S148" s="50">
        <v>5</v>
      </c>
      <c r="T148" s="50">
        <v>2</v>
      </c>
      <c r="U148" s="51">
        <v>32.700000000000003</v>
      </c>
      <c r="V148" s="51">
        <v>0.35520400000000002</v>
      </c>
      <c r="W148" s="51">
        <v>8.0105999999999997E-2</v>
      </c>
      <c r="X148" s="51">
        <v>5.3379999999999999E-3</v>
      </c>
      <c r="Y148" s="51">
        <v>0.25</v>
      </c>
      <c r="Z148" s="51">
        <v>0</v>
      </c>
      <c r="AA148" s="72">
        <v>148</v>
      </c>
      <c r="AB148" s="72"/>
      <c r="AC148" s="73"/>
      <c r="AD148" s="79" t="s">
        <v>1872</v>
      </c>
      <c r="AE148" s="84" t="s">
        <v>2066</v>
      </c>
      <c r="AF148" s="79">
        <v>710</v>
      </c>
      <c r="AG148" s="79">
        <v>2061</v>
      </c>
      <c r="AH148" s="79">
        <v>2871</v>
      </c>
      <c r="AI148" s="79">
        <v>901</v>
      </c>
      <c r="AJ148" s="79"/>
      <c r="AK148" s="79" t="s">
        <v>2254</v>
      </c>
      <c r="AL148" s="79" t="s">
        <v>2301</v>
      </c>
      <c r="AM148" s="79"/>
      <c r="AN148" s="79"/>
      <c r="AO148" s="81">
        <v>39899.622685185182</v>
      </c>
      <c r="AP148" s="86" t="str">
        <f>HYPERLINK("https://pbs.twimg.com/profile_banners/27019786/1596057224")</f>
        <v>https://pbs.twimg.com/profile_banners/27019786/1596057224</v>
      </c>
      <c r="AQ148" s="79" t="b">
        <v>0</v>
      </c>
      <c r="AR148" s="79" t="b">
        <v>0</v>
      </c>
      <c r="AS148" s="79" t="b">
        <v>1</v>
      </c>
      <c r="AT148" s="79"/>
      <c r="AU148" s="79">
        <v>105</v>
      </c>
      <c r="AV148" s="86" t="str">
        <f>HYPERLINK("https://abs.twimg.com/images/themes/theme1/bg.png")</f>
        <v>https://abs.twimg.com/images/themes/theme1/bg.png</v>
      </c>
      <c r="AW148" s="79" t="b">
        <v>0</v>
      </c>
      <c r="AX148" s="79" t="s">
        <v>2381</v>
      </c>
      <c r="AY148" s="86" t="str">
        <f>HYPERLINK("https://twitter.com/ublibraries")</f>
        <v>https://twitter.com/ublibraries</v>
      </c>
      <c r="AZ148" s="79" t="s">
        <v>66</v>
      </c>
      <c r="BA148" s="50" t="s">
        <v>2693</v>
      </c>
      <c r="BB148" s="50" t="s">
        <v>2693</v>
      </c>
      <c r="BC148" s="50" t="s">
        <v>2727</v>
      </c>
      <c r="BD148" s="50" t="s">
        <v>2739</v>
      </c>
      <c r="BE148" s="50" t="s">
        <v>2770</v>
      </c>
      <c r="BF148" s="50" t="s">
        <v>2812</v>
      </c>
      <c r="BG148" s="108" t="s">
        <v>2919</v>
      </c>
      <c r="BH148" s="108" t="s">
        <v>2977</v>
      </c>
      <c r="BI148" s="108" t="s">
        <v>3074</v>
      </c>
      <c r="BJ148" s="108" t="s">
        <v>3074</v>
      </c>
      <c r="BK148" s="2"/>
      <c r="BL148" s="3"/>
      <c r="BM148" s="3"/>
      <c r="BN148" s="3"/>
      <c r="BO148" s="3"/>
    </row>
    <row r="149" spans="1:67" x14ac:dyDescent="0.25">
      <c r="A149" s="65" t="s">
        <v>361</v>
      </c>
      <c r="B149" s="66"/>
      <c r="C149" s="66"/>
      <c r="D149" s="67"/>
      <c r="E149" s="69"/>
      <c r="F149" s="103" t="str">
        <f>HYPERLINK("https://pbs.twimg.com/profile_images/2627526764/image_normal.jpg")</f>
        <v>https://pbs.twimg.com/profile_images/2627526764/image_normal.jpg</v>
      </c>
      <c r="G149" s="66"/>
      <c r="H149" s="70"/>
      <c r="I149" s="71"/>
      <c r="J149" s="71"/>
      <c r="K149" s="70" t="s">
        <v>2527</v>
      </c>
      <c r="L149" s="74"/>
      <c r="M149" s="75">
        <v>4603.65771484375</v>
      </c>
      <c r="N149" s="75">
        <v>5177.53564453125</v>
      </c>
      <c r="O149" s="76"/>
      <c r="P149" s="77"/>
      <c r="Q149" s="77"/>
      <c r="R149" s="89"/>
      <c r="S149" s="50">
        <v>4</v>
      </c>
      <c r="T149" s="50">
        <v>1</v>
      </c>
      <c r="U149" s="51">
        <v>211.29647299999999</v>
      </c>
      <c r="V149" s="51">
        <v>0.35679</v>
      </c>
      <c r="W149" s="51">
        <v>7.9336000000000004E-2</v>
      </c>
      <c r="X149" s="51">
        <v>4.8430000000000001E-3</v>
      </c>
      <c r="Y149" s="51">
        <v>0.25</v>
      </c>
      <c r="Z149" s="51">
        <v>0</v>
      </c>
      <c r="AA149" s="72">
        <v>149</v>
      </c>
      <c r="AB149" s="72"/>
      <c r="AC149" s="73"/>
      <c r="AD149" s="79" t="s">
        <v>1873</v>
      </c>
      <c r="AE149" s="84" t="s">
        <v>2067</v>
      </c>
      <c r="AF149" s="79">
        <v>1117</v>
      </c>
      <c r="AG149" s="79">
        <v>8008</v>
      </c>
      <c r="AH149" s="79">
        <v>10055</v>
      </c>
      <c r="AI149" s="79">
        <v>11336</v>
      </c>
      <c r="AJ149" s="79"/>
      <c r="AK149" s="79" t="s">
        <v>2255</v>
      </c>
      <c r="AL149" s="79" t="s">
        <v>1694</v>
      </c>
      <c r="AM149" s="86" t="str">
        <f>HYPERLINK("http://t.co/fxvzPNTfCL")</f>
        <v>http://t.co/fxvzPNTfCL</v>
      </c>
      <c r="AN149" s="79"/>
      <c r="AO149" s="81">
        <v>41108.875810185185</v>
      </c>
      <c r="AP149" s="79"/>
      <c r="AQ149" s="79" t="b">
        <v>1</v>
      </c>
      <c r="AR149" s="79" t="b">
        <v>0</v>
      </c>
      <c r="AS149" s="79" t="b">
        <v>0</v>
      </c>
      <c r="AT149" s="79"/>
      <c r="AU149" s="79">
        <v>39</v>
      </c>
      <c r="AV149" s="86" t="str">
        <f>HYPERLINK("https://abs.twimg.com/images/themes/theme1/bg.png")</f>
        <v>https://abs.twimg.com/images/themes/theme1/bg.png</v>
      </c>
      <c r="AW149" s="79" t="b">
        <v>0</v>
      </c>
      <c r="AX149" s="79" t="s">
        <v>2381</v>
      </c>
      <c r="AY149" s="86" t="str">
        <f>HYPERLINK("https://twitter.com/ubcoachjack")</f>
        <v>https://twitter.com/ubcoachjack</v>
      </c>
      <c r="AZ149" s="79" t="s">
        <v>66</v>
      </c>
      <c r="BA149" s="50"/>
      <c r="BB149" s="50"/>
      <c r="BC149" s="50"/>
      <c r="BD149" s="50"/>
      <c r="BE149" s="50" t="s">
        <v>692</v>
      </c>
      <c r="BF149" s="50" t="s">
        <v>692</v>
      </c>
      <c r="BG149" s="108" t="s">
        <v>2920</v>
      </c>
      <c r="BH149" s="108" t="s">
        <v>2920</v>
      </c>
      <c r="BI149" s="108" t="s">
        <v>3075</v>
      </c>
      <c r="BJ149" s="108" t="s">
        <v>3075</v>
      </c>
      <c r="BK149" s="2"/>
      <c r="BL149" s="3"/>
      <c r="BM149" s="3"/>
      <c r="BN149" s="3"/>
      <c r="BO149" s="3"/>
    </row>
    <row r="150" spans="1:67" x14ac:dyDescent="0.25">
      <c r="A150" s="65" t="s">
        <v>317</v>
      </c>
      <c r="B150" s="66"/>
      <c r="C150" s="66"/>
      <c r="D150" s="67"/>
      <c r="E150" s="69"/>
      <c r="F150" s="103" t="str">
        <f>HYPERLINK("https://pbs.twimg.com/profile_images/1285636513951350784/46_mLI-X_normal.jpg")</f>
        <v>https://pbs.twimg.com/profile_images/1285636513951350784/46_mLI-X_normal.jpg</v>
      </c>
      <c r="G150" s="66"/>
      <c r="H150" s="70"/>
      <c r="I150" s="71"/>
      <c r="J150" s="71"/>
      <c r="K150" s="70" t="s">
        <v>2528</v>
      </c>
      <c r="L150" s="74"/>
      <c r="M150" s="75">
        <v>165.95156860351563</v>
      </c>
      <c r="N150" s="75">
        <v>6819.1953125</v>
      </c>
      <c r="O150" s="76"/>
      <c r="P150" s="77"/>
      <c r="Q150" s="77"/>
      <c r="R150" s="89"/>
      <c r="S150" s="50">
        <v>0</v>
      </c>
      <c r="T150" s="50">
        <v>1</v>
      </c>
      <c r="U150" s="51">
        <v>0</v>
      </c>
      <c r="V150" s="51">
        <v>0.34300799999999998</v>
      </c>
      <c r="W150" s="51">
        <v>4.5978999999999999E-2</v>
      </c>
      <c r="X150" s="51">
        <v>4.3769999999999998E-3</v>
      </c>
      <c r="Y150" s="51">
        <v>0</v>
      </c>
      <c r="Z150" s="51">
        <v>0</v>
      </c>
      <c r="AA150" s="72">
        <v>150</v>
      </c>
      <c r="AB150" s="72"/>
      <c r="AC150" s="73"/>
      <c r="AD150" s="79" t="s">
        <v>1874</v>
      </c>
      <c r="AE150" s="84" t="s">
        <v>2068</v>
      </c>
      <c r="AF150" s="79">
        <v>419</v>
      </c>
      <c r="AG150" s="79">
        <v>392</v>
      </c>
      <c r="AH150" s="79">
        <v>28808</v>
      </c>
      <c r="AI150" s="79">
        <v>727</v>
      </c>
      <c r="AJ150" s="79"/>
      <c r="AK150" s="79" t="s">
        <v>2256</v>
      </c>
      <c r="AL150" s="79" t="s">
        <v>2360</v>
      </c>
      <c r="AM150" s="79"/>
      <c r="AN150" s="79"/>
      <c r="AO150" s="81">
        <v>40759.663587962961</v>
      </c>
      <c r="AP150" s="86" t="str">
        <f>HYPERLINK("https://pbs.twimg.com/profile_banners/348534261/1426388431")</f>
        <v>https://pbs.twimg.com/profile_banners/348534261/1426388431</v>
      </c>
      <c r="AQ150" s="79" t="b">
        <v>1</v>
      </c>
      <c r="AR150" s="79" t="b">
        <v>0</v>
      </c>
      <c r="AS150" s="79" t="b">
        <v>0</v>
      </c>
      <c r="AT150" s="79"/>
      <c r="AU150" s="79">
        <v>1</v>
      </c>
      <c r="AV150" s="86" t="str">
        <f>HYPERLINK("https://abs.twimg.com/images/themes/theme1/bg.png")</f>
        <v>https://abs.twimg.com/images/themes/theme1/bg.png</v>
      </c>
      <c r="AW150" s="79" t="b">
        <v>0</v>
      </c>
      <c r="AX150" s="79" t="s">
        <v>2381</v>
      </c>
      <c r="AY150" s="86" t="str">
        <f>HYPERLINK("https://twitter.com/stephen11mcc")</f>
        <v>https://twitter.com/stephen11mcc</v>
      </c>
      <c r="AZ150" s="79" t="s">
        <v>66</v>
      </c>
      <c r="BA150" s="50"/>
      <c r="BB150" s="50"/>
      <c r="BC150" s="50"/>
      <c r="BD150" s="50"/>
      <c r="BE150" s="50" t="s">
        <v>700</v>
      </c>
      <c r="BF150" s="50" t="s">
        <v>700</v>
      </c>
      <c r="BG150" s="108" t="s">
        <v>2915</v>
      </c>
      <c r="BH150" s="108" t="s">
        <v>2915</v>
      </c>
      <c r="BI150" s="108" t="s">
        <v>3065</v>
      </c>
      <c r="BJ150" s="108" t="s">
        <v>3065</v>
      </c>
      <c r="BK150" s="2"/>
      <c r="BL150" s="3"/>
      <c r="BM150" s="3"/>
      <c r="BN150" s="3"/>
      <c r="BO150" s="3"/>
    </row>
    <row r="151" spans="1:67" x14ac:dyDescent="0.25">
      <c r="A151" s="65" t="s">
        <v>318</v>
      </c>
      <c r="B151" s="66"/>
      <c r="C151" s="66"/>
      <c r="D151" s="67"/>
      <c r="E151" s="69"/>
      <c r="F151" s="103" t="str">
        <f>HYPERLINK("https://pbs.twimg.com/profile_images/1104127162007855104/ptyOqe0M_normal.jpg")</f>
        <v>https://pbs.twimg.com/profile_images/1104127162007855104/ptyOqe0M_normal.jpg</v>
      </c>
      <c r="G151" s="66"/>
      <c r="H151" s="70"/>
      <c r="I151" s="71"/>
      <c r="J151" s="71"/>
      <c r="K151" s="70" t="s">
        <v>2529</v>
      </c>
      <c r="L151" s="74"/>
      <c r="M151" s="75">
        <v>7420.0654296875</v>
      </c>
      <c r="N151" s="75">
        <v>3655.127197265625</v>
      </c>
      <c r="O151" s="76"/>
      <c r="P151" s="77"/>
      <c r="Q151" s="77"/>
      <c r="R151" s="89"/>
      <c r="S151" s="50">
        <v>0</v>
      </c>
      <c r="T151" s="50">
        <v>2</v>
      </c>
      <c r="U151" s="51">
        <v>0</v>
      </c>
      <c r="V151" s="51">
        <v>0.34672799999999998</v>
      </c>
      <c r="W151" s="51">
        <v>5.3150999999999997E-2</v>
      </c>
      <c r="X151" s="51">
        <v>4.4889999999999999E-3</v>
      </c>
      <c r="Y151" s="51">
        <v>0.5</v>
      </c>
      <c r="Z151" s="51">
        <v>0</v>
      </c>
      <c r="AA151" s="72">
        <v>151</v>
      </c>
      <c r="AB151" s="72"/>
      <c r="AC151" s="73"/>
      <c r="AD151" s="79" t="s">
        <v>1875</v>
      </c>
      <c r="AE151" s="84" t="s">
        <v>2069</v>
      </c>
      <c r="AF151" s="79">
        <v>365</v>
      </c>
      <c r="AG151" s="79">
        <v>96</v>
      </c>
      <c r="AH151" s="79">
        <v>2189</v>
      </c>
      <c r="AI151" s="79">
        <v>5019</v>
      </c>
      <c r="AJ151" s="79"/>
      <c r="AK151" s="79" t="s">
        <v>2257</v>
      </c>
      <c r="AL151" s="79" t="s">
        <v>1695</v>
      </c>
      <c r="AM151" s="79"/>
      <c r="AN151" s="79"/>
      <c r="AO151" s="81">
        <v>41445.776956018519</v>
      </c>
      <c r="AP151" s="79"/>
      <c r="AQ151" s="79" t="b">
        <v>1</v>
      </c>
      <c r="AR151" s="79" t="b">
        <v>0</v>
      </c>
      <c r="AS151" s="79" t="b">
        <v>1</v>
      </c>
      <c r="AT151" s="79"/>
      <c r="AU151" s="79">
        <v>0</v>
      </c>
      <c r="AV151" s="86" t="str">
        <f>HYPERLINK("https://abs.twimg.com/images/themes/theme1/bg.png")</f>
        <v>https://abs.twimg.com/images/themes/theme1/bg.png</v>
      </c>
      <c r="AW151" s="79" t="b">
        <v>0</v>
      </c>
      <c r="AX151" s="79" t="s">
        <v>2381</v>
      </c>
      <c r="AY151" s="86" t="str">
        <f>HYPERLINK("https://twitter.com/keyes1211")</f>
        <v>https://twitter.com/keyes1211</v>
      </c>
      <c r="AZ151" s="79" t="s">
        <v>66</v>
      </c>
      <c r="BA151" s="50"/>
      <c r="BB151" s="50"/>
      <c r="BC151" s="50"/>
      <c r="BD151" s="50"/>
      <c r="BE151" s="50" t="s">
        <v>2771</v>
      </c>
      <c r="BF151" s="50" t="s">
        <v>2806</v>
      </c>
      <c r="BG151" s="108" t="s">
        <v>2921</v>
      </c>
      <c r="BH151" s="108" t="s">
        <v>2978</v>
      </c>
      <c r="BI151" s="108" t="s">
        <v>3076</v>
      </c>
      <c r="BJ151" s="108" t="s">
        <v>3076</v>
      </c>
      <c r="BK151" s="2"/>
      <c r="BL151" s="3"/>
      <c r="BM151" s="3"/>
      <c r="BN151" s="3"/>
      <c r="BO151" s="3"/>
    </row>
    <row r="152" spans="1:67" x14ac:dyDescent="0.25">
      <c r="A152" s="65" t="s">
        <v>319</v>
      </c>
      <c r="B152" s="66"/>
      <c r="C152" s="66"/>
      <c r="D152" s="67"/>
      <c r="E152" s="69"/>
      <c r="F152" s="103" t="str">
        <f>HYPERLINK("https://pbs.twimg.com/profile_images/799054119856128006/9VOKntfF_normal.jpg")</f>
        <v>https://pbs.twimg.com/profile_images/799054119856128006/9VOKntfF_normal.jpg</v>
      </c>
      <c r="G152" s="66"/>
      <c r="H152" s="70"/>
      <c r="I152" s="71"/>
      <c r="J152" s="71"/>
      <c r="K152" s="70" t="s">
        <v>2530</v>
      </c>
      <c r="L152" s="74"/>
      <c r="M152" s="75">
        <v>2458.950927734375</v>
      </c>
      <c r="N152" s="75">
        <v>499.122802734375</v>
      </c>
      <c r="O152" s="76"/>
      <c r="P152" s="77"/>
      <c r="Q152" s="77"/>
      <c r="R152" s="89"/>
      <c r="S152" s="50">
        <v>0</v>
      </c>
      <c r="T152" s="50">
        <v>1</v>
      </c>
      <c r="U152" s="51">
        <v>0</v>
      </c>
      <c r="V152" s="51">
        <v>0.34300799999999998</v>
      </c>
      <c r="W152" s="51">
        <v>4.5978999999999999E-2</v>
      </c>
      <c r="X152" s="51">
        <v>4.3769999999999998E-3</v>
      </c>
      <c r="Y152" s="51">
        <v>0</v>
      </c>
      <c r="Z152" s="51">
        <v>0</v>
      </c>
      <c r="AA152" s="72">
        <v>152</v>
      </c>
      <c r="AB152" s="72"/>
      <c r="AC152" s="73"/>
      <c r="AD152" s="79" t="s">
        <v>1876</v>
      </c>
      <c r="AE152" s="84" t="s">
        <v>2070</v>
      </c>
      <c r="AF152" s="79">
        <v>689</v>
      </c>
      <c r="AG152" s="79">
        <v>208</v>
      </c>
      <c r="AH152" s="79">
        <v>2158</v>
      </c>
      <c r="AI152" s="79">
        <v>9750</v>
      </c>
      <c r="AJ152" s="79"/>
      <c r="AK152" s="79" t="s">
        <v>2258</v>
      </c>
      <c r="AL152" s="79" t="s">
        <v>2361</v>
      </c>
      <c r="AM152" s="79"/>
      <c r="AN152" s="79"/>
      <c r="AO152" s="81">
        <v>40727.077673611115</v>
      </c>
      <c r="AP152" s="86" t="str">
        <f>HYPERLINK("https://pbs.twimg.com/profile_banners/328264521/1465004916")</f>
        <v>https://pbs.twimg.com/profile_banners/328264521/1465004916</v>
      </c>
      <c r="AQ152" s="79" t="b">
        <v>1</v>
      </c>
      <c r="AR152" s="79" t="b">
        <v>0</v>
      </c>
      <c r="AS152" s="79" t="b">
        <v>1</v>
      </c>
      <c r="AT152" s="79"/>
      <c r="AU152" s="79">
        <v>2</v>
      </c>
      <c r="AV152" s="86" t="str">
        <f>HYPERLINK("https://abs.twimg.com/images/themes/theme1/bg.png")</f>
        <v>https://abs.twimg.com/images/themes/theme1/bg.png</v>
      </c>
      <c r="AW152" s="79" t="b">
        <v>0</v>
      </c>
      <c r="AX152" s="79" t="s">
        <v>2381</v>
      </c>
      <c r="AY152" s="86" t="str">
        <f>HYPERLINK("https://twitter.com/loride99")</f>
        <v>https://twitter.com/loride99</v>
      </c>
      <c r="AZ152" s="79" t="s">
        <v>66</v>
      </c>
      <c r="BA152" s="50"/>
      <c r="BB152" s="50"/>
      <c r="BC152" s="50"/>
      <c r="BD152" s="50"/>
      <c r="BE152" s="50" t="s">
        <v>700</v>
      </c>
      <c r="BF152" s="50" t="s">
        <v>700</v>
      </c>
      <c r="BG152" s="108" t="s">
        <v>2915</v>
      </c>
      <c r="BH152" s="108" t="s">
        <v>2915</v>
      </c>
      <c r="BI152" s="108" t="s">
        <v>3065</v>
      </c>
      <c r="BJ152" s="108" t="s">
        <v>3065</v>
      </c>
      <c r="BK152" s="2"/>
      <c r="BL152" s="3"/>
      <c r="BM152" s="3"/>
      <c r="BN152" s="3"/>
      <c r="BO152" s="3"/>
    </row>
    <row r="153" spans="1:67" x14ac:dyDescent="0.25">
      <c r="A153" s="65" t="s">
        <v>320</v>
      </c>
      <c r="B153" s="66"/>
      <c r="C153" s="66"/>
      <c r="D153" s="67"/>
      <c r="E153" s="69"/>
      <c r="F153" s="103" t="str">
        <f>HYPERLINK("https://pbs.twimg.com/profile_images/1028038370839154689/xBTtsLz4_normal.jpg")</f>
        <v>https://pbs.twimg.com/profile_images/1028038370839154689/xBTtsLz4_normal.jpg</v>
      </c>
      <c r="G153" s="66"/>
      <c r="H153" s="70"/>
      <c r="I153" s="71"/>
      <c r="J153" s="71"/>
      <c r="K153" s="70" t="s">
        <v>2531</v>
      </c>
      <c r="L153" s="74"/>
      <c r="M153" s="75">
        <v>7597.44677734375</v>
      </c>
      <c r="N153" s="75">
        <v>2217.4296875</v>
      </c>
      <c r="O153" s="76"/>
      <c r="P153" s="77"/>
      <c r="Q153" s="77"/>
      <c r="R153" s="89"/>
      <c r="S153" s="50">
        <v>0</v>
      </c>
      <c r="T153" s="50">
        <v>1</v>
      </c>
      <c r="U153" s="51">
        <v>0</v>
      </c>
      <c r="V153" s="51">
        <v>0.34300799999999998</v>
      </c>
      <c r="W153" s="51">
        <v>4.5978999999999999E-2</v>
      </c>
      <c r="X153" s="51">
        <v>4.3769999999999998E-3</v>
      </c>
      <c r="Y153" s="51">
        <v>0</v>
      </c>
      <c r="Z153" s="51">
        <v>0</v>
      </c>
      <c r="AA153" s="72">
        <v>153</v>
      </c>
      <c r="AB153" s="72"/>
      <c r="AC153" s="73"/>
      <c r="AD153" s="79" t="s">
        <v>1877</v>
      </c>
      <c r="AE153" s="84" t="s">
        <v>2071</v>
      </c>
      <c r="AF153" s="79">
        <v>1053</v>
      </c>
      <c r="AG153" s="79">
        <v>1156</v>
      </c>
      <c r="AH153" s="79">
        <v>28372</v>
      </c>
      <c r="AI153" s="79">
        <v>174017</v>
      </c>
      <c r="AJ153" s="79"/>
      <c r="AK153" s="79" t="s">
        <v>2259</v>
      </c>
      <c r="AL153" s="79" t="s">
        <v>1694</v>
      </c>
      <c r="AM153" s="79"/>
      <c r="AN153" s="79"/>
      <c r="AO153" s="81">
        <v>43134.739548611113</v>
      </c>
      <c r="AP153" s="79"/>
      <c r="AQ153" s="79" t="b">
        <v>1</v>
      </c>
      <c r="AR153" s="79" t="b">
        <v>0</v>
      </c>
      <c r="AS153" s="79" t="b">
        <v>1</v>
      </c>
      <c r="AT153" s="79"/>
      <c r="AU153" s="79">
        <v>3</v>
      </c>
      <c r="AV153" s="79"/>
      <c r="AW153" s="79" t="b">
        <v>0</v>
      </c>
      <c r="AX153" s="79" t="s">
        <v>2381</v>
      </c>
      <c r="AY153" s="86" t="str">
        <f>HYPERLINK("https://twitter.com/huddles10251")</f>
        <v>https://twitter.com/huddles10251</v>
      </c>
      <c r="AZ153" s="79" t="s">
        <v>66</v>
      </c>
      <c r="BA153" s="50" t="s">
        <v>2694</v>
      </c>
      <c r="BB153" s="50" t="s">
        <v>2694</v>
      </c>
      <c r="BC153" s="50" t="s">
        <v>633</v>
      </c>
      <c r="BD153" s="50" t="s">
        <v>633</v>
      </c>
      <c r="BE153" s="50" t="s">
        <v>700</v>
      </c>
      <c r="BF153" s="50" t="s">
        <v>2810</v>
      </c>
      <c r="BG153" s="108" t="s">
        <v>2915</v>
      </c>
      <c r="BH153" s="108" t="s">
        <v>2915</v>
      </c>
      <c r="BI153" s="108" t="s">
        <v>3065</v>
      </c>
      <c r="BJ153" s="108" t="s">
        <v>3065</v>
      </c>
      <c r="BK153" s="2"/>
      <c r="BL153" s="3"/>
      <c r="BM153" s="3"/>
      <c r="BN153" s="3"/>
      <c r="BO153" s="3"/>
    </row>
    <row r="154" spans="1:67" x14ac:dyDescent="0.25">
      <c r="A154" s="65" t="s">
        <v>321</v>
      </c>
      <c r="B154" s="66"/>
      <c r="C154" s="66"/>
      <c r="D154" s="67"/>
      <c r="E154" s="69"/>
      <c r="F154" s="103" t="str">
        <f>HYPERLINK("https://pbs.twimg.com/profile_images/1479272727043350530/2_BCdMgQ_normal.jpg")</f>
        <v>https://pbs.twimg.com/profile_images/1479272727043350530/2_BCdMgQ_normal.jpg</v>
      </c>
      <c r="G154" s="66"/>
      <c r="H154" s="70"/>
      <c r="I154" s="71"/>
      <c r="J154" s="71"/>
      <c r="K154" s="70" t="s">
        <v>2532</v>
      </c>
      <c r="L154" s="74"/>
      <c r="M154" s="75">
        <v>6445.8974609375</v>
      </c>
      <c r="N154" s="75">
        <v>8133.193359375</v>
      </c>
      <c r="O154" s="76"/>
      <c r="P154" s="77"/>
      <c r="Q154" s="77"/>
      <c r="R154" s="89"/>
      <c r="S154" s="50">
        <v>0</v>
      </c>
      <c r="T154" s="50">
        <v>5</v>
      </c>
      <c r="U154" s="51">
        <v>77.525274999999993</v>
      </c>
      <c r="V154" s="51">
        <v>0.30562499999999998</v>
      </c>
      <c r="W154" s="51">
        <v>7.7027999999999999E-2</v>
      </c>
      <c r="X154" s="51">
        <v>4.6769999999999997E-3</v>
      </c>
      <c r="Y154" s="51">
        <v>0.25</v>
      </c>
      <c r="Z154" s="51">
        <v>0</v>
      </c>
      <c r="AA154" s="72">
        <v>154</v>
      </c>
      <c r="AB154" s="72"/>
      <c r="AC154" s="73"/>
      <c r="AD154" s="79" t="s">
        <v>1878</v>
      </c>
      <c r="AE154" s="84" t="s">
        <v>2072</v>
      </c>
      <c r="AF154" s="79">
        <v>347</v>
      </c>
      <c r="AG154" s="79">
        <v>42</v>
      </c>
      <c r="AH154" s="79">
        <v>777</v>
      </c>
      <c r="AI154" s="79">
        <v>654</v>
      </c>
      <c r="AJ154" s="79"/>
      <c r="AK154" s="79" t="s">
        <v>2260</v>
      </c>
      <c r="AL154" s="79" t="s">
        <v>2362</v>
      </c>
      <c r="AM154" s="79"/>
      <c r="AN154" s="79"/>
      <c r="AO154" s="81">
        <v>43002.747743055559</v>
      </c>
      <c r="AP154" s="79"/>
      <c r="AQ154" s="79" t="b">
        <v>1</v>
      </c>
      <c r="AR154" s="79" t="b">
        <v>0</v>
      </c>
      <c r="AS154" s="79" t="b">
        <v>0</v>
      </c>
      <c r="AT154" s="79"/>
      <c r="AU154" s="79">
        <v>0</v>
      </c>
      <c r="AV154" s="79"/>
      <c r="AW154" s="79" t="b">
        <v>0</v>
      </c>
      <c r="AX154" s="79" t="s">
        <v>2381</v>
      </c>
      <c r="AY154" s="86" t="str">
        <f>HYPERLINK("https://twitter.com/bniles408")</f>
        <v>https://twitter.com/bniles408</v>
      </c>
      <c r="AZ154" s="79" t="s">
        <v>66</v>
      </c>
      <c r="BA154" s="50" t="s">
        <v>2637</v>
      </c>
      <c r="BB154" s="50" t="s">
        <v>2637</v>
      </c>
      <c r="BC154" s="50" t="s">
        <v>634</v>
      </c>
      <c r="BD154" s="50" t="s">
        <v>634</v>
      </c>
      <c r="BE154" s="50" t="s">
        <v>665</v>
      </c>
      <c r="BF154" s="50" t="s">
        <v>695</v>
      </c>
      <c r="BG154" s="108" t="s">
        <v>2922</v>
      </c>
      <c r="BH154" s="108" t="s">
        <v>2979</v>
      </c>
      <c r="BI154" s="108" t="s">
        <v>3077</v>
      </c>
      <c r="BJ154" s="108" t="s">
        <v>3108</v>
      </c>
      <c r="BK154" s="2"/>
      <c r="BL154" s="3"/>
      <c r="BM154" s="3"/>
      <c r="BN154" s="3"/>
      <c r="BO154" s="3"/>
    </row>
    <row r="155" spans="1:67" x14ac:dyDescent="0.25">
      <c r="A155" s="65" t="s">
        <v>322</v>
      </c>
      <c r="B155" s="66"/>
      <c r="C155" s="66"/>
      <c r="D155" s="67"/>
      <c r="E155" s="69"/>
      <c r="F155" s="103" t="str">
        <f>HYPERLINK("https://pbs.twimg.com/profile_images/1478206720098942977/otq9lNjm_normal.jpg")</f>
        <v>https://pbs.twimg.com/profile_images/1478206720098942977/otq9lNjm_normal.jpg</v>
      </c>
      <c r="G155" s="66"/>
      <c r="H155" s="70"/>
      <c r="I155" s="71"/>
      <c r="J155" s="71"/>
      <c r="K155" s="70" t="s">
        <v>2533</v>
      </c>
      <c r="L155" s="74"/>
      <c r="M155" s="75">
        <v>9061.837890625</v>
      </c>
      <c r="N155" s="75">
        <v>5886.88134765625</v>
      </c>
      <c r="O155" s="76"/>
      <c r="P155" s="77"/>
      <c r="Q155" s="77"/>
      <c r="R155" s="89"/>
      <c r="S155" s="50">
        <v>0</v>
      </c>
      <c r="T155" s="50">
        <v>1</v>
      </c>
      <c r="U155" s="51">
        <v>0</v>
      </c>
      <c r="V155" s="51">
        <v>0.34300799999999998</v>
      </c>
      <c r="W155" s="51">
        <v>4.5978999999999999E-2</v>
      </c>
      <c r="X155" s="51">
        <v>4.3769999999999998E-3</v>
      </c>
      <c r="Y155" s="51">
        <v>0</v>
      </c>
      <c r="Z155" s="51">
        <v>0</v>
      </c>
      <c r="AA155" s="72">
        <v>155</v>
      </c>
      <c r="AB155" s="72"/>
      <c r="AC155" s="73"/>
      <c r="AD155" s="79" t="s">
        <v>1879</v>
      </c>
      <c r="AE155" s="84" t="s">
        <v>2073</v>
      </c>
      <c r="AF155" s="79">
        <v>1701</v>
      </c>
      <c r="AG155" s="79">
        <v>1179</v>
      </c>
      <c r="AH155" s="79">
        <v>105101</v>
      </c>
      <c r="AI155" s="79">
        <v>240768</v>
      </c>
      <c r="AJ155" s="79"/>
      <c r="AK155" s="79"/>
      <c r="AL155" s="79" t="s">
        <v>2363</v>
      </c>
      <c r="AM155" s="79"/>
      <c r="AN155" s="79"/>
      <c r="AO155" s="81">
        <v>40630.941400462965</v>
      </c>
      <c r="AP155" s="86" t="str">
        <f>HYPERLINK("https://pbs.twimg.com/profile_banners/273656189/1552023806")</f>
        <v>https://pbs.twimg.com/profile_banners/273656189/1552023806</v>
      </c>
      <c r="AQ155" s="79" t="b">
        <v>1</v>
      </c>
      <c r="AR155" s="79" t="b">
        <v>0</v>
      </c>
      <c r="AS155" s="79" t="b">
        <v>1</v>
      </c>
      <c r="AT155" s="79"/>
      <c r="AU155" s="79">
        <v>8</v>
      </c>
      <c r="AV155" s="86" t="str">
        <f>HYPERLINK("https://abs.twimg.com/images/themes/theme1/bg.png")</f>
        <v>https://abs.twimg.com/images/themes/theme1/bg.png</v>
      </c>
      <c r="AW155" s="79" t="b">
        <v>0</v>
      </c>
      <c r="AX155" s="79" t="s">
        <v>2381</v>
      </c>
      <c r="AY155" s="86" t="str">
        <f>HYPERLINK("https://twitter.com/sexylex1984")</f>
        <v>https://twitter.com/sexylex1984</v>
      </c>
      <c r="AZ155" s="79" t="s">
        <v>66</v>
      </c>
      <c r="BA155" s="50"/>
      <c r="BB155" s="50"/>
      <c r="BC155" s="50"/>
      <c r="BD155" s="50"/>
      <c r="BE155" s="50" t="s">
        <v>700</v>
      </c>
      <c r="BF155" s="50" t="s">
        <v>700</v>
      </c>
      <c r="BG155" s="108" t="s">
        <v>2915</v>
      </c>
      <c r="BH155" s="108" t="s">
        <v>2915</v>
      </c>
      <c r="BI155" s="108" t="s">
        <v>3065</v>
      </c>
      <c r="BJ155" s="108" t="s">
        <v>3065</v>
      </c>
      <c r="BK155" s="2"/>
      <c r="BL155" s="3"/>
      <c r="BM155" s="3"/>
      <c r="BN155" s="3"/>
      <c r="BO155" s="3"/>
    </row>
    <row r="156" spans="1:67" x14ac:dyDescent="0.25">
      <c r="A156" s="65" t="s">
        <v>323</v>
      </c>
      <c r="B156" s="66"/>
      <c r="C156" s="66"/>
      <c r="D156" s="67"/>
      <c r="E156" s="69"/>
      <c r="F156" s="103" t="str">
        <f>HYPERLINK("https://pbs.twimg.com/profile_images/1407851714636664837/APOHP-wh_normal.jpg")</f>
        <v>https://pbs.twimg.com/profile_images/1407851714636664837/APOHP-wh_normal.jpg</v>
      </c>
      <c r="G156" s="66"/>
      <c r="H156" s="70"/>
      <c r="I156" s="71"/>
      <c r="J156" s="71"/>
      <c r="K156" s="70" t="s">
        <v>2534</v>
      </c>
      <c r="L156" s="74"/>
      <c r="M156" s="75">
        <v>7846.75732421875</v>
      </c>
      <c r="N156" s="75">
        <v>3537.1865234375</v>
      </c>
      <c r="O156" s="76"/>
      <c r="P156" s="77"/>
      <c r="Q156" s="77"/>
      <c r="R156" s="89"/>
      <c r="S156" s="50">
        <v>0</v>
      </c>
      <c r="T156" s="50">
        <v>1</v>
      </c>
      <c r="U156" s="51">
        <v>0</v>
      </c>
      <c r="V156" s="51">
        <v>0.34300799999999998</v>
      </c>
      <c r="W156" s="51">
        <v>4.5978999999999999E-2</v>
      </c>
      <c r="X156" s="51">
        <v>4.3769999999999998E-3</v>
      </c>
      <c r="Y156" s="51">
        <v>0</v>
      </c>
      <c r="Z156" s="51">
        <v>0</v>
      </c>
      <c r="AA156" s="72">
        <v>156</v>
      </c>
      <c r="AB156" s="72"/>
      <c r="AC156" s="73"/>
      <c r="AD156" s="79" t="s">
        <v>1880</v>
      </c>
      <c r="AE156" s="84" t="s">
        <v>2074</v>
      </c>
      <c r="AF156" s="79">
        <v>3173</v>
      </c>
      <c r="AG156" s="79">
        <v>350</v>
      </c>
      <c r="AH156" s="79">
        <v>19395</v>
      </c>
      <c r="AI156" s="79">
        <v>31683</v>
      </c>
      <c r="AJ156" s="79"/>
      <c r="AK156" s="79" t="s">
        <v>2261</v>
      </c>
      <c r="AL156" s="79" t="s">
        <v>1694</v>
      </c>
      <c r="AM156" s="86" t="str">
        <f>HYPERLINK("https://t.co/jylb3psCWu")</f>
        <v>https://t.co/jylb3psCWu</v>
      </c>
      <c r="AN156" s="79"/>
      <c r="AO156" s="81">
        <v>43369.75677083333</v>
      </c>
      <c r="AP156" s="86" t="str">
        <f>HYPERLINK("https://pbs.twimg.com/profile_banners/1045012562335715329/1537989236")</f>
        <v>https://pbs.twimg.com/profile_banners/1045012562335715329/1537989236</v>
      </c>
      <c r="AQ156" s="79" t="b">
        <v>1</v>
      </c>
      <c r="AR156" s="79" t="b">
        <v>0</v>
      </c>
      <c r="AS156" s="79" t="b">
        <v>0</v>
      </c>
      <c r="AT156" s="79"/>
      <c r="AU156" s="79">
        <v>0</v>
      </c>
      <c r="AV156" s="79"/>
      <c r="AW156" s="79" t="b">
        <v>0</v>
      </c>
      <c r="AX156" s="79" t="s">
        <v>2381</v>
      </c>
      <c r="AY156" s="86" t="str">
        <f>HYPERLINK("https://twitter.com/amellusosports")</f>
        <v>https://twitter.com/amellusosports</v>
      </c>
      <c r="AZ156" s="79" t="s">
        <v>66</v>
      </c>
      <c r="BA156" s="50"/>
      <c r="BB156" s="50"/>
      <c r="BC156" s="50"/>
      <c r="BD156" s="50"/>
      <c r="BE156" s="50" t="s">
        <v>700</v>
      </c>
      <c r="BF156" s="50" t="s">
        <v>700</v>
      </c>
      <c r="BG156" s="108" t="s">
        <v>2915</v>
      </c>
      <c r="BH156" s="108" t="s">
        <v>2915</v>
      </c>
      <c r="BI156" s="108" t="s">
        <v>3065</v>
      </c>
      <c r="BJ156" s="108" t="s">
        <v>3065</v>
      </c>
      <c r="BK156" s="2"/>
      <c r="BL156" s="3"/>
      <c r="BM156" s="3"/>
      <c r="BN156" s="3"/>
      <c r="BO156" s="3"/>
    </row>
    <row r="157" spans="1:67" x14ac:dyDescent="0.25">
      <c r="A157" s="65" t="s">
        <v>324</v>
      </c>
      <c r="B157" s="66"/>
      <c r="C157" s="66"/>
      <c r="D157" s="67"/>
      <c r="E157" s="69"/>
      <c r="F157" s="103" t="str">
        <f>HYPERLINK("https://pbs.twimg.com/profile_images/1354521585122684929/aOifkhNx_normal.jpg")</f>
        <v>https://pbs.twimg.com/profile_images/1354521585122684929/aOifkhNx_normal.jpg</v>
      </c>
      <c r="G157" s="66"/>
      <c r="H157" s="70"/>
      <c r="I157" s="71"/>
      <c r="J157" s="71"/>
      <c r="K157" s="70" t="s">
        <v>2535</v>
      </c>
      <c r="L157" s="74"/>
      <c r="M157" s="75">
        <v>2110.427001953125</v>
      </c>
      <c r="N157" s="75">
        <v>2069.370849609375</v>
      </c>
      <c r="O157" s="76"/>
      <c r="P157" s="77"/>
      <c r="Q157" s="77"/>
      <c r="R157" s="89"/>
      <c r="S157" s="50">
        <v>0</v>
      </c>
      <c r="T157" s="50">
        <v>1</v>
      </c>
      <c r="U157" s="51">
        <v>0</v>
      </c>
      <c r="V157" s="51">
        <v>0.34300799999999998</v>
      </c>
      <c r="W157" s="51">
        <v>4.5978999999999999E-2</v>
      </c>
      <c r="X157" s="51">
        <v>4.3769999999999998E-3</v>
      </c>
      <c r="Y157" s="51">
        <v>0</v>
      </c>
      <c r="Z157" s="51">
        <v>0</v>
      </c>
      <c r="AA157" s="72">
        <v>157</v>
      </c>
      <c r="AB157" s="72"/>
      <c r="AC157" s="73"/>
      <c r="AD157" s="79" t="s">
        <v>1881</v>
      </c>
      <c r="AE157" s="84" t="s">
        <v>2075</v>
      </c>
      <c r="AF157" s="79">
        <v>2460</v>
      </c>
      <c r="AG157" s="79">
        <v>1959</v>
      </c>
      <c r="AH157" s="79">
        <v>3588</v>
      </c>
      <c r="AI157" s="79">
        <v>3644</v>
      </c>
      <c r="AJ157" s="79"/>
      <c r="AK157" s="79" t="s">
        <v>2262</v>
      </c>
      <c r="AL157" s="79" t="s">
        <v>1694</v>
      </c>
      <c r="AM157" s="86" t="str">
        <f>HYPERLINK("https://t.co/FBbABslsHe")</f>
        <v>https://t.co/FBbABslsHe</v>
      </c>
      <c r="AN157" s="79"/>
      <c r="AO157" s="81">
        <v>41727.896689814814</v>
      </c>
      <c r="AP157" s="86" t="str">
        <f>HYPERLINK("https://pbs.twimg.com/profile_banners/2418015080/1611778087")</f>
        <v>https://pbs.twimg.com/profile_banners/2418015080/1611778087</v>
      </c>
      <c r="AQ157" s="79" t="b">
        <v>1</v>
      </c>
      <c r="AR157" s="79" t="b">
        <v>0</v>
      </c>
      <c r="AS157" s="79" t="b">
        <v>0</v>
      </c>
      <c r="AT157" s="79"/>
      <c r="AU157" s="79">
        <v>9</v>
      </c>
      <c r="AV157" s="86" t="str">
        <f>HYPERLINK("https://abs.twimg.com/images/themes/theme1/bg.png")</f>
        <v>https://abs.twimg.com/images/themes/theme1/bg.png</v>
      </c>
      <c r="AW157" s="79" t="b">
        <v>0</v>
      </c>
      <c r="AX157" s="79" t="s">
        <v>2381</v>
      </c>
      <c r="AY157" s="86" t="str">
        <f>HYPERLINK("https://twitter.com/ksharkey25")</f>
        <v>https://twitter.com/ksharkey25</v>
      </c>
      <c r="AZ157" s="79" t="s">
        <v>66</v>
      </c>
      <c r="BA157" s="50"/>
      <c r="BB157" s="50"/>
      <c r="BC157" s="50"/>
      <c r="BD157" s="50"/>
      <c r="BE157" s="50" t="s">
        <v>700</v>
      </c>
      <c r="BF157" s="50" t="s">
        <v>700</v>
      </c>
      <c r="BG157" s="108" t="s">
        <v>2915</v>
      </c>
      <c r="BH157" s="108" t="s">
        <v>2915</v>
      </c>
      <c r="BI157" s="108" t="s">
        <v>3065</v>
      </c>
      <c r="BJ157" s="108" t="s">
        <v>3065</v>
      </c>
      <c r="BK157" s="2"/>
      <c r="BL157" s="3"/>
      <c r="BM157" s="3"/>
      <c r="BN157" s="3"/>
      <c r="BO157" s="3"/>
    </row>
    <row r="158" spans="1:67" x14ac:dyDescent="0.25">
      <c r="A158" s="65" t="s">
        <v>325</v>
      </c>
      <c r="B158" s="66"/>
      <c r="C158" s="66"/>
      <c r="D158" s="67"/>
      <c r="E158" s="69"/>
      <c r="F158" s="103" t="str">
        <f>HYPERLINK("https://pbs.twimg.com/profile_images/1068847455112974336/Y8JKe8s8_normal.jpg")</f>
        <v>https://pbs.twimg.com/profile_images/1068847455112974336/Y8JKe8s8_normal.jpg</v>
      </c>
      <c r="G158" s="66"/>
      <c r="H158" s="70"/>
      <c r="I158" s="71"/>
      <c r="J158" s="71"/>
      <c r="K158" s="70" t="s">
        <v>2536</v>
      </c>
      <c r="L158" s="74"/>
      <c r="M158" s="75">
        <v>8992.7275390625</v>
      </c>
      <c r="N158" s="75">
        <v>7240.099609375</v>
      </c>
      <c r="O158" s="76"/>
      <c r="P158" s="77"/>
      <c r="Q158" s="77"/>
      <c r="R158" s="89"/>
      <c r="S158" s="50">
        <v>0</v>
      </c>
      <c r="T158" s="50">
        <v>2</v>
      </c>
      <c r="U158" s="51">
        <v>0</v>
      </c>
      <c r="V158" s="51">
        <v>0.28091699999999997</v>
      </c>
      <c r="W158" s="51">
        <v>1.933E-2</v>
      </c>
      <c r="X158" s="51">
        <v>4.633E-3</v>
      </c>
      <c r="Y158" s="51">
        <v>0.5</v>
      </c>
      <c r="Z158" s="51">
        <v>0</v>
      </c>
      <c r="AA158" s="72">
        <v>158</v>
      </c>
      <c r="AB158" s="72"/>
      <c r="AC158" s="73"/>
      <c r="AD158" s="79" t="s">
        <v>1882</v>
      </c>
      <c r="AE158" s="84" t="s">
        <v>2076</v>
      </c>
      <c r="AF158" s="79">
        <v>647</v>
      </c>
      <c r="AG158" s="79">
        <v>609</v>
      </c>
      <c r="AH158" s="79">
        <v>10247</v>
      </c>
      <c r="AI158" s="79">
        <v>67119</v>
      </c>
      <c r="AJ158" s="79"/>
      <c r="AK158" s="79" t="s">
        <v>2263</v>
      </c>
      <c r="AL158" s="79" t="s">
        <v>1694</v>
      </c>
      <c r="AM158" s="86" t="str">
        <f>HYPERLINK("https://t.co/vCdk1PURWs")</f>
        <v>https://t.co/vCdk1PURWs</v>
      </c>
      <c r="AN158" s="79"/>
      <c r="AO158" s="81">
        <v>40200.782361111109</v>
      </c>
      <c r="AP158" s="86" t="str">
        <f>HYPERLINK("https://pbs.twimg.com/profile_banners/107489607/1570322076")</f>
        <v>https://pbs.twimg.com/profile_banners/107489607/1570322076</v>
      </c>
      <c r="AQ158" s="79" t="b">
        <v>0</v>
      </c>
      <c r="AR158" s="79" t="b">
        <v>0</v>
      </c>
      <c r="AS158" s="79" t="b">
        <v>1</v>
      </c>
      <c r="AT158" s="79"/>
      <c r="AU158" s="79">
        <v>46</v>
      </c>
      <c r="AV158" s="86" t="str">
        <f>HYPERLINK("https://abs.twimg.com/images/themes/theme2/bg.gif")</f>
        <v>https://abs.twimg.com/images/themes/theme2/bg.gif</v>
      </c>
      <c r="AW158" s="79" t="b">
        <v>0</v>
      </c>
      <c r="AX158" s="79" t="s">
        <v>2381</v>
      </c>
      <c r="AY158" s="86" t="str">
        <f>HYPERLINK("https://twitter.com/josephdid")</f>
        <v>https://twitter.com/josephdid</v>
      </c>
      <c r="AZ158" s="79" t="s">
        <v>66</v>
      </c>
      <c r="BA158" s="50" t="s">
        <v>2695</v>
      </c>
      <c r="BB158" s="50" t="s">
        <v>2695</v>
      </c>
      <c r="BC158" s="50" t="s">
        <v>2728</v>
      </c>
      <c r="BD158" s="50" t="s">
        <v>2728</v>
      </c>
      <c r="BE158" s="50" t="s">
        <v>671</v>
      </c>
      <c r="BF158" s="50" t="s">
        <v>699</v>
      </c>
      <c r="BG158" s="108" t="s">
        <v>2923</v>
      </c>
      <c r="BH158" s="108" t="s">
        <v>2980</v>
      </c>
      <c r="BI158" s="108" t="s">
        <v>3078</v>
      </c>
      <c r="BJ158" s="108" t="s">
        <v>3109</v>
      </c>
      <c r="BK158" s="2"/>
      <c r="BL158" s="3"/>
      <c r="BM158" s="3"/>
      <c r="BN158" s="3"/>
      <c r="BO158" s="3"/>
    </row>
    <row r="159" spans="1:67" x14ac:dyDescent="0.25">
      <c r="A159" s="65" t="s">
        <v>326</v>
      </c>
      <c r="B159" s="66"/>
      <c r="C159" s="66"/>
      <c r="D159" s="67"/>
      <c r="E159" s="69"/>
      <c r="F159" s="103" t="str">
        <f>HYPERLINK("https://pbs.twimg.com/profile_images/1498891451996020738/ovJEFO4r_normal.jpg")</f>
        <v>https://pbs.twimg.com/profile_images/1498891451996020738/ovJEFO4r_normal.jpg</v>
      </c>
      <c r="G159" s="66"/>
      <c r="H159" s="70"/>
      <c r="I159" s="71"/>
      <c r="J159" s="71"/>
      <c r="K159" s="70" t="s">
        <v>2537</v>
      </c>
      <c r="L159" s="74"/>
      <c r="M159" s="75">
        <v>680.27764892578125</v>
      </c>
      <c r="N159" s="75">
        <v>3575.23046875</v>
      </c>
      <c r="O159" s="76"/>
      <c r="P159" s="77"/>
      <c r="Q159" s="77"/>
      <c r="R159" s="89"/>
      <c r="S159" s="50">
        <v>0</v>
      </c>
      <c r="T159" s="50">
        <v>1</v>
      </c>
      <c r="U159" s="51">
        <v>0</v>
      </c>
      <c r="V159" s="51">
        <v>0.34300799999999998</v>
      </c>
      <c r="W159" s="51">
        <v>4.5978999999999999E-2</v>
      </c>
      <c r="X159" s="51">
        <v>4.3769999999999998E-3</v>
      </c>
      <c r="Y159" s="51">
        <v>0</v>
      </c>
      <c r="Z159" s="51">
        <v>0</v>
      </c>
      <c r="AA159" s="72">
        <v>159</v>
      </c>
      <c r="AB159" s="72"/>
      <c r="AC159" s="73"/>
      <c r="AD159" s="79" t="s">
        <v>1883</v>
      </c>
      <c r="AE159" s="84" t="s">
        <v>2077</v>
      </c>
      <c r="AF159" s="79">
        <v>899</v>
      </c>
      <c r="AG159" s="79">
        <v>656</v>
      </c>
      <c r="AH159" s="79">
        <v>61836</v>
      </c>
      <c r="AI159" s="79">
        <v>47898</v>
      </c>
      <c r="AJ159" s="79"/>
      <c r="AK159" s="79" t="s">
        <v>2264</v>
      </c>
      <c r="AL159" s="79" t="s">
        <v>2364</v>
      </c>
      <c r="AM159" s="86" t="str">
        <f>HYPERLINK("https://t.co/Q4jcDsurFh")</f>
        <v>https://t.co/Q4jcDsurFh</v>
      </c>
      <c r="AN159" s="79"/>
      <c r="AO159" s="81">
        <v>40182.497291666667</v>
      </c>
      <c r="AP159" s="86" t="str">
        <f>HYPERLINK("https://pbs.twimg.com/profile_banners/101738436/1641014365")</f>
        <v>https://pbs.twimg.com/profile_banners/101738436/1641014365</v>
      </c>
      <c r="AQ159" s="79" t="b">
        <v>0</v>
      </c>
      <c r="AR159" s="79" t="b">
        <v>0</v>
      </c>
      <c r="AS159" s="79" t="b">
        <v>1</v>
      </c>
      <c r="AT159" s="79"/>
      <c r="AU159" s="79">
        <v>17</v>
      </c>
      <c r="AV159" s="86" t="str">
        <f>HYPERLINK("https://abs.twimg.com/images/themes/theme12/bg.gif")</f>
        <v>https://abs.twimg.com/images/themes/theme12/bg.gif</v>
      </c>
      <c r="AW159" s="79" t="b">
        <v>0</v>
      </c>
      <c r="AX159" s="79" t="s">
        <v>2381</v>
      </c>
      <c r="AY159" s="86" t="str">
        <f>HYPERLINK("https://twitter.com/mvanharrison")</f>
        <v>https://twitter.com/mvanharrison</v>
      </c>
      <c r="AZ159" s="79" t="s">
        <v>66</v>
      </c>
      <c r="BA159" s="50"/>
      <c r="BB159" s="50"/>
      <c r="BC159" s="50"/>
      <c r="BD159" s="50"/>
      <c r="BE159" s="50" t="s">
        <v>700</v>
      </c>
      <c r="BF159" s="50" t="s">
        <v>700</v>
      </c>
      <c r="BG159" s="108" t="s">
        <v>2915</v>
      </c>
      <c r="BH159" s="108" t="s">
        <v>2915</v>
      </c>
      <c r="BI159" s="108" t="s">
        <v>3065</v>
      </c>
      <c r="BJ159" s="108" t="s">
        <v>3065</v>
      </c>
      <c r="BK159" s="2"/>
      <c r="BL159" s="3"/>
      <c r="BM159" s="3"/>
      <c r="BN159" s="3"/>
      <c r="BO159" s="3"/>
    </row>
    <row r="160" spans="1:67" x14ac:dyDescent="0.25">
      <c r="A160" s="65" t="s">
        <v>327</v>
      </c>
      <c r="B160" s="66"/>
      <c r="C160" s="66"/>
      <c r="D160" s="67"/>
      <c r="E160" s="69"/>
      <c r="F160" s="103" t="str">
        <f>HYPERLINK("https://pbs.twimg.com/profile_images/1398402288549519362/dRW2qm-1_normal.jpg")</f>
        <v>https://pbs.twimg.com/profile_images/1398402288549519362/dRW2qm-1_normal.jpg</v>
      </c>
      <c r="G160" s="66"/>
      <c r="H160" s="70"/>
      <c r="I160" s="71"/>
      <c r="J160" s="71"/>
      <c r="K160" s="70" t="s">
        <v>2538</v>
      </c>
      <c r="L160" s="74"/>
      <c r="M160" s="75">
        <v>6604.83056640625</v>
      </c>
      <c r="N160" s="75">
        <v>4046.744384765625</v>
      </c>
      <c r="O160" s="76"/>
      <c r="P160" s="77"/>
      <c r="Q160" s="77"/>
      <c r="R160" s="89"/>
      <c r="S160" s="50">
        <v>0</v>
      </c>
      <c r="T160" s="50">
        <v>1</v>
      </c>
      <c r="U160" s="51">
        <v>0</v>
      </c>
      <c r="V160" s="51">
        <v>0.34300799999999998</v>
      </c>
      <c r="W160" s="51">
        <v>4.5978999999999999E-2</v>
      </c>
      <c r="X160" s="51">
        <v>4.3769999999999998E-3</v>
      </c>
      <c r="Y160" s="51">
        <v>0</v>
      </c>
      <c r="Z160" s="51">
        <v>0</v>
      </c>
      <c r="AA160" s="72">
        <v>160</v>
      </c>
      <c r="AB160" s="72"/>
      <c r="AC160" s="73"/>
      <c r="AD160" s="79" t="s">
        <v>1884</v>
      </c>
      <c r="AE160" s="84" t="s">
        <v>2078</v>
      </c>
      <c r="AF160" s="79">
        <v>2724</v>
      </c>
      <c r="AG160" s="79">
        <v>10268</v>
      </c>
      <c r="AH160" s="79">
        <v>2687</v>
      </c>
      <c r="AI160" s="79">
        <v>11343</v>
      </c>
      <c r="AJ160" s="79"/>
      <c r="AK160" s="79" t="s">
        <v>2265</v>
      </c>
      <c r="AL160" s="79" t="s">
        <v>1694</v>
      </c>
      <c r="AM160" s="79"/>
      <c r="AN160" s="79"/>
      <c r="AO160" s="81">
        <v>42046.907314814816</v>
      </c>
      <c r="AP160" s="86" t="str">
        <f>HYPERLINK("https://pbs.twimg.com/profile_banners/3031368833/1622032464")</f>
        <v>https://pbs.twimg.com/profile_banners/3031368833/1622032464</v>
      </c>
      <c r="AQ160" s="79" t="b">
        <v>0</v>
      </c>
      <c r="AR160" s="79" t="b">
        <v>0</v>
      </c>
      <c r="AS160" s="79" t="b">
        <v>1</v>
      </c>
      <c r="AT160" s="79"/>
      <c r="AU160" s="79">
        <v>10</v>
      </c>
      <c r="AV160" s="86" t="str">
        <f>HYPERLINK("https://abs.twimg.com/images/themes/theme1/bg.png")</f>
        <v>https://abs.twimg.com/images/themes/theme1/bg.png</v>
      </c>
      <c r="AW160" s="79" t="b">
        <v>0</v>
      </c>
      <c r="AX160" s="79" t="s">
        <v>2381</v>
      </c>
      <c r="AY160" s="86" t="str">
        <f>HYPERLINK("https://twitter.com/thesamuraicoach")</f>
        <v>https://twitter.com/thesamuraicoach</v>
      </c>
      <c r="AZ160" s="79" t="s">
        <v>66</v>
      </c>
      <c r="BA160" s="50"/>
      <c r="BB160" s="50"/>
      <c r="BC160" s="50"/>
      <c r="BD160" s="50"/>
      <c r="BE160" s="50" t="s">
        <v>700</v>
      </c>
      <c r="BF160" s="50" t="s">
        <v>700</v>
      </c>
      <c r="BG160" s="108" t="s">
        <v>2915</v>
      </c>
      <c r="BH160" s="108" t="s">
        <v>2915</v>
      </c>
      <c r="BI160" s="108" t="s">
        <v>3065</v>
      </c>
      <c r="BJ160" s="108" t="s">
        <v>3065</v>
      </c>
      <c r="BK160" s="2"/>
      <c r="BL160" s="3"/>
      <c r="BM160" s="3"/>
      <c r="BN160" s="3"/>
      <c r="BO160" s="3"/>
    </row>
    <row r="161" spans="1:67" x14ac:dyDescent="0.25">
      <c r="A161" s="65" t="s">
        <v>328</v>
      </c>
      <c r="B161" s="66"/>
      <c r="C161" s="66"/>
      <c r="D161" s="67"/>
      <c r="E161" s="69"/>
      <c r="F161" s="103" t="str">
        <f>HYPERLINK("https://pbs.twimg.com/profile_images/1267865326823378944/LbVJEzCn_normal.jpg")</f>
        <v>https://pbs.twimg.com/profile_images/1267865326823378944/LbVJEzCn_normal.jpg</v>
      </c>
      <c r="G161" s="66"/>
      <c r="H161" s="70"/>
      <c r="I161" s="71"/>
      <c r="J161" s="71"/>
      <c r="K161" s="70" t="s">
        <v>2539</v>
      </c>
      <c r="L161" s="74"/>
      <c r="M161" s="75">
        <v>9819.8095703125</v>
      </c>
      <c r="N161" s="75">
        <v>4382.3486328125</v>
      </c>
      <c r="O161" s="76"/>
      <c r="P161" s="77"/>
      <c r="Q161" s="77"/>
      <c r="R161" s="89"/>
      <c r="S161" s="50">
        <v>0</v>
      </c>
      <c r="T161" s="50">
        <v>1</v>
      </c>
      <c r="U161" s="51">
        <v>0</v>
      </c>
      <c r="V161" s="51">
        <v>0.34300799999999998</v>
      </c>
      <c r="W161" s="51">
        <v>4.5978999999999999E-2</v>
      </c>
      <c r="X161" s="51">
        <v>4.3769999999999998E-3</v>
      </c>
      <c r="Y161" s="51">
        <v>0</v>
      </c>
      <c r="Z161" s="51">
        <v>0</v>
      </c>
      <c r="AA161" s="72">
        <v>161</v>
      </c>
      <c r="AB161" s="72"/>
      <c r="AC161" s="73"/>
      <c r="AD161" s="79" t="s">
        <v>1885</v>
      </c>
      <c r="AE161" s="84" t="s">
        <v>2079</v>
      </c>
      <c r="AF161" s="79">
        <v>1490</v>
      </c>
      <c r="AG161" s="79">
        <v>343</v>
      </c>
      <c r="AH161" s="79">
        <v>4751</v>
      </c>
      <c r="AI161" s="79">
        <v>4780</v>
      </c>
      <c r="AJ161" s="79"/>
      <c r="AK161" s="79"/>
      <c r="AL161" s="79"/>
      <c r="AM161" s="79"/>
      <c r="AN161" s="79"/>
      <c r="AO161" s="81">
        <v>40745.237326388888</v>
      </c>
      <c r="AP161" s="86" t="str">
        <f>HYPERLINK("https://pbs.twimg.com/profile_banners/339491725/1349878500")</f>
        <v>https://pbs.twimg.com/profile_banners/339491725/1349878500</v>
      </c>
      <c r="AQ161" s="79" t="b">
        <v>0</v>
      </c>
      <c r="AR161" s="79" t="b">
        <v>0</v>
      </c>
      <c r="AS161" s="79" t="b">
        <v>0</v>
      </c>
      <c r="AT161" s="79"/>
      <c r="AU161" s="79">
        <v>2</v>
      </c>
      <c r="AV161" s="86" t="str">
        <f>HYPERLINK("https://abs.twimg.com/images/themes/theme14/bg.gif")</f>
        <v>https://abs.twimg.com/images/themes/theme14/bg.gif</v>
      </c>
      <c r="AW161" s="79" t="b">
        <v>0</v>
      </c>
      <c r="AX161" s="79" t="s">
        <v>2381</v>
      </c>
      <c r="AY161" s="86" t="str">
        <f>HYPERLINK("https://twitter.com/wils_dogg")</f>
        <v>https://twitter.com/wils_dogg</v>
      </c>
      <c r="AZ161" s="79" t="s">
        <v>66</v>
      </c>
      <c r="BA161" s="50"/>
      <c r="BB161" s="50"/>
      <c r="BC161" s="50"/>
      <c r="BD161" s="50"/>
      <c r="BE161" s="50" t="s">
        <v>700</v>
      </c>
      <c r="BF161" s="50" t="s">
        <v>700</v>
      </c>
      <c r="BG161" s="108" t="s">
        <v>2915</v>
      </c>
      <c r="BH161" s="108" t="s">
        <v>2915</v>
      </c>
      <c r="BI161" s="108" t="s">
        <v>3065</v>
      </c>
      <c r="BJ161" s="108" t="s">
        <v>3065</v>
      </c>
      <c r="BK161" s="2"/>
      <c r="BL161" s="3"/>
      <c r="BM161" s="3"/>
      <c r="BN161" s="3"/>
      <c r="BO161" s="3"/>
    </row>
    <row r="162" spans="1:67" x14ac:dyDescent="0.25">
      <c r="A162" s="65" t="s">
        <v>329</v>
      </c>
      <c r="B162" s="66"/>
      <c r="C162" s="66"/>
      <c r="D162" s="67"/>
      <c r="E162" s="69"/>
      <c r="F162" s="103" t="str">
        <f>HYPERLINK("https://pbs.twimg.com/profile_images/708842407509540864/JDp9M3fq_normal.jpg")</f>
        <v>https://pbs.twimg.com/profile_images/708842407509540864/JDp9M3fq_normal.jpg</v>
      </c>
      <c r="G162" s="66"/>
      <c r="H162" s="70"/>
      <c r="I162" s="71"/>
      <c r="J162" s="71"/>
      <c r="K162" s="70" t="s">
        <v>2540</v>
      </c>
      <c r="L162" s="74"/>
      <c r="M162" s="75">
        <v>5816.6259765625</v>
      </c>
      <c r="N162" s="75">
        <v>1245.5279541015625</v>
      </c>
      <c r="O162" s="76"/>
      <c r="P162" s="77"/>
      <c r="Q162" s="77"/>
      <c r="R162" s="89"/>
      <c r="S162" s="50">
        <v>0</v>
      </c>
      <c r="T162" s="50">
        <v>1</v>
      </c>
      <c r="U162" s="51">
        <v>0</v>
      </c>
      <c r="V162" s="51">
        <v>0.34300799999999998</v>
      </c>
      <c r="W162" s="51">
        <v>4.5978999999999999E-2</v>
      </c>
      <c r="X162" s="51">
        <v>4.3769999999999998E-3</v>
      </c>
      <c r="Y162" s="51">
        <v>0</v>
      </c>
      <c r="Z162" s="51">
        <v>0</v>
      </c>
      <c r="AA162" s="72">
        <v>162</v>
      </c>
      <c r="AB162" s="72"/>
      <c r="AC162" s="73"/>
      <c r="AD162" s="79" t="s">
        <v>1886</v>
      </c>
      <c r="AE162" s="84" t="s">
        <v>2080</v>
      </c>
      <c r="AF162" s="79">
        <v>54</v>
      </c>
      <c r="AG162" s="79">
        <v>33</v>
      </c>
      <c r="AH162" s="79">
        <v>2316</v>
      </c>
      <c r="AI162" s="79">
        <v>4616</v>
      </c>
      <c r="AJ162" s="79"/>
      <c r="AK162" s="79"/>
      <c r="AL162" s="79"/>
      <c r="AM162" s="79"/>
      <c r="AN162" s="79"/>
      <c r="AO162" s="81">
        <v>42419.977060185185</v>
      </c>
      <c r="AP162" s="79"/>
      <c r="AQ162" s="79" t="b">
        <v>1</v>
      </c>
      <c r="AR162" s="79" t="b">
        <v>0</v>
      </c>
      <c r="AS162" s="79" t="b">
        <v>0</v>
      </c>
      <c r="AT162" s="79"/>
      <c r="AU162" s="79">
        <v>1</v>
      </c>
      <c r="AV162" s="79"/>
      <c r="AW162" s="79" t="b">
        <v>0</v>
      </c>
      <c r="AX162" s="79" t="s">
        <v>2381</v>
      </c>
      <c r="AY162" s="86" t="str">
        <f>HYPERLINK("https://twitter.com/joe_jp_price")</f>
        <v>https://twitter.com/joe_jp_price</v>
      </c>
      <c r="AZ162" s="79" t="s">
        <v>66</v>
      </c>
      <c r="BA162" s="50"/>
      <c r="BB162" s="50"/>
      <c r="BC162" s="50"/>
      <c r="BD162" s="50"/>
      <c r="BE162" s="50" t="s">
        <v>700</v>
      </c>
      <c r="BF162" s="50" t="s">
        <v>700</v>
      </c>
      <c r="BG162" s="108" t="s">
        <v>2915</v>
      </c>
      <c r="BH162" s="108" t="s">
        <v>2915</v>
      </c>
      <c r="BI162" s="108" t="s">
        <v>3065</v>
      </c>
      <c r="BJ162" s="108" t="s">
        <v>3065</v>
      </c>
      <c r="BK162" s="2"/>
      <c r="BL162" s="3"/>
      <c r="BM162" s="3"/>
      <c r="BN162" s="3"/>
      <c r="BO162" s="3"/>
    </row>
    <row r="163" spans="1:67" x14ac:dyDescent="0.25">
      <c r="A163" s="65" t="s">
        <v>330</v>
      </c>
      <c r="B163" s="66"/>
      <c r="C163" s="66"/>
      <c r="D163" s="67"/>
      <c r="E163" s="69"/>
      <c r="F163" s="103" t="str">
        <f>HYPERLINK("https://pbs.twimg.com/profile_images/1492677554217574405/9vtHMHQx_normal.jpg")</f>
        <v>https://pbs.twimg.com/profile_images/1492677554217574405/9vtHMHQx_normal.jpg</v>
      </c>
      <c r="G163" s="66"/>
      <c r="H163" s="70"/>
      <c r="I163" s="71"/>
      <c r="J163" s="71"/>
      <c r="K163" s="70" t="s">
        <v>2541</v>
      </c>
      <c r="L163" s="74"/>
      <c r="M163" s="75">
        <v>2140.421875</v>
      </c>
      <c r="N163" s="75">
        <v>9089.072265625</v>
      </c>
      <c r="O163" s="76"/>
      <c r="P163" s="77"/>
      <c r="Q163" s="77"/>
      <c r="R163" s="89"/>
      <c r="S163" s="50">
        <v>0</v>
      </c>
      <c r="T163" s="50">
        <v>1</v>
      </c>
      <c r="U163" s="51">
        <v>0</v>
      </c>
      <c r="V163" s="51">
        <v>0.34300799999999998</v>
      </c>
      <c r="W163" s="51">
        <v>4.5978999999999999E-2</v>
      </c>
      <c r="X163" s="51">
        <v>4.3769999999999998E-3</v>
      </c>
      <c r="Y163" s="51">
        <v>0</v>
      </c>
      <c r="Z163" s="51">
        <v>0</v>
      </c>
      <c r="AA163" s="72">
        <v>163</v>
      </c>
      <c r="AB163" s="72"/>
      <c r="AC163" s="73"/>
      <c r="AD163" s="79" t="s">
        <v>1887</v>
      </c>
      <c r="AE163" s="84" t="s">
        <v>2081</v>
      </c>
      <c r="AF163" s="79">
        <v>879</v>
      </c>
      <c r="AG163" s="79">
        <v>599</v>
      </c>
      <c r="AH163" s="79">
        <v>121325</v>
      </c>
      <c r="AI163" s="79">
        <v>2031</v>
      </c>
      <c r="AJ163" s="79"/>
      <c r="AK163" s="79" t="s">
        <v>2266</v>
      </c>
      <c r="AL163" s="79" t="s">
        <v>2365</v>
      </c>
      <c r="AM163" s="79"/>
      <c r="AN163" s="79"/>
      <c r="AO163" s="81">
        <v>40746.050879629627</v>
      </c>
      <c r="AP163" s="86" t="str">
        <f>HYPERLINK("https://pbs.twimg.com/profile_banners/340024689/1647057822")</f>
        <v>https://pbs.twimg.com/profile_banners/340024689/1647057822</v>
      </c>
      <c r="AQ163" s="79" t="b">
        <v>1</v>
      </c>
      <c r="AR163" s="79" t="b">
        <v>0</v>
      </c>
      <c r="AS163" s="79" t="b">
        <v>1</v>
      </c>
      <c r="AT163" s="79"/>
      <c r="AU163" s="79">
        <v>13</v>
      </c>
      <c r="AV163" s="86" t="str">
        <f>HYPERLINK("https://abs.twimg.com/images/themes/theme1/bg.png")</f>
        <v>https://abs.twimg.com/images/themes/theme1/bg.png</v>
      </c>
      <c r="AW163" s="79" t="b">
        <v>0</v>
      </c>
      <c r="AX163" s="79" t="s">
        <v>2381</v>
      </c>
      <c r="AY163" s="86" t="str">
        <f>HYPERLINK("https://twitter.com/zacharykrzysiak")</f>
        <v>https://twitter.com/zacharykrzysiak</v>
      </c>
      <c r="AZ163" s="79" t="s">
        <v>66</v>
      </c>
      <c r="BA163" s="50"/>
      <c r="BB163" s="50"/>
      <c r="BC163" s="50"/>
      <c r="BD163" s="50"/>
      <c r="BE163" s="50" t="s">
        <v>700</v>
      </c>
      <c r="BF163" s="50" t="s">
        <v>700</v>
      </c>
      <c r="BG163" s="108" t="s">
        <v>2915</v>
      </c>
      <c r="BH163" s="108" t="s">
        <v>2915</v>
      </c>
      <c r="BI163" s="108" t="s">
        <v>3065</v>
      </c>
      <c r="BJ163" s="108" t="s">
        <v>3065</v>
      </c>
      <c r="BK163" s="2"/>
      <c r="BL163" s="3"/>
      <c r="BM163" s="3"/>
      <c r="BN163" s="3"/>
      <c r="BO163" s="3"/>
    </row>
    <row r="164" spans="1:67" x14ac:dyDescent="0.25">
      <c r="A164" s="65" t="s">
        <v>331</v>
      </c>
      <c r="B164" s="66"/>
      <c r="C164" s="66"/>
      <c r="D164" s="67"/>
      <c r="E164" s="69"/>
      <c r="F164" s="103" t="str">
        <f>HYPERLINK("https://pbs.twimg.com/profile_images/604149749235597313/va-1i0KQ_normal.jpg")</f>
        <v>https://pbs.twimg.com/profile_images/604149749235597313/va-1i0KQ_normal.jpg</v>
      </c>
      <c r="G164" s="66"/>
      <c r="H164" s="70"/>
      <c r="I164" s="71"/>
      <c r="J164" s="71"/>
      <c r="K164" s="70" t="s">
        <v>2542</v>
      </c>
      <c r="L164" s="74"/>
      <c r="M164" s="75">
        <v>2035.41552734375</v>
      </c>
      <c r="N164" s="75">
        <v>5480.2607421875</v>
      </c>
      <c r="O164" s="76"/>
      <c r="P164" s="77"/>
      <c r="Q164" s="77"/>
      <c r="R164" s="89"/>
      <c r="S164" s="50">
        <v>0</v>
      </c>
      <c r="T164" s="50">
        <v>2</v>
      </c>
      <c r="U164" s="51">
        <v>0</v>
      </c>
      <c r="V164" s="51">
        <v>0.353632</v>
      </c>
      <c r="W164" s="51">
        <v>7.0933999999999997E-2</v>
      </c>
      <c r="X164" s="51">
        <v>4.4229999999999998E-3</v>
      </c>
      <c r="Y164" s="51">
        <v>0.5</v>
      </c>
      <c r="Z164" s="51">
        <v>0</v>
      </c>
      <c r="AA164" s="72">
        <v>164</v>
      </c>
      <c r="AB164" s="72"/>
      <c r="AC164" s="73"/>
      <c r="AD164" s="79" t="s">
        <v>1888</v>
      </c>
      <c r="AE164" s="84" t="s">
        <v>2082</v>
      </c>
      <c r="AF164" s="79">
        <v>406</v>
      </c>
      <c r="AG164" s="79">
        <v>199</v>
      </c>
      <c r="AH164" s="79">
        <v>1099</v>
      </c>
      <c r="AI164" s="79">
        <v>4699</v>
      </c>
      <c r="AJ164" s="79"/>
      <c r="AK164" s="79" t="s">
        <v>2267</v>
      </c>
      <c r="AL164" s="79" t="s">
        <v>2366</v>
      </c>
      <c r="AM164" s="79"/>
      <c r="AN164" s="79"/>
      <c r="AO164" s="81">
        <v>42138.067662037036</v>
      </c>
      <c r="AP164" s="86" t="str">
        <f>HYPERLINK("https://pbs.twimg.com/profile_banners/3252972893/1604154038")</f>
        <v>https://pbs.twimg.com/profile_banners/3252972893/1604154038</v>
      </c>
      <c r="AQ164" s="79" t="b">
        <v>1</v>
      </c>
      <c r="AR164" s="79" t="b">
        <v>0</v>
      </c>
      <c r="AS164" s="79" t="b">
        <v>1</v>
      </c>
      <c r="AT164" s="79"/>
      <c r="AU164" s="79">
        <v>0</v>
      </c>
      <c r="AV164" s="86" t="str">
        <f>HYPERLINK("https://abs.twimg.com/images/themes/theme1/bg.png")</f>
        <v>https://abs.twimg.com/images/themes/theme1/bg.png</v>
      </c>
      <c r="AW164" s="79" t="b">
        <v>0</v>
      </c>
      <c r="AX164" s="79" t="s">
        <v>2381</v>
      </c>
      <c r="AY164" s="86" t="str">
        <f>HYPERLINK("https://twitter.com/74_dy")</f>
        <v>https://twitter.com/74_dy</v>
      </c>
      <c r="AZ164" s="79" t="s">
        <v>66</v>
      </c>
      <c r="BA164" s="50" t="s">
        <v>2696</v>
      </c>
      <c r="BB164" s="50" t="s">
        <v>2696</v>
      </c>
      <c r="BC164" s="50" t="s">
        <v>633</v>
      </c>
      <c r="BD164" s="50" t="s">
        <v>633</v>
      </c>
      <c r="BE164" s="50" t="s">
        <v>665</v>
      </c>
      <c r="BF164" s="50" t="s">
        <v>665</v>
      </c>
      <c r="BG164" s="108" t="s">
        <v>2924</v>
      </c>
      <c r="BH164" s="108" t="s">
        <v>2924</v>
      </c>
      <c r="BI164" s="108" t="s">
        <v>3079</v>
      </c>
      <c r="BJ164" s="108" t="s">
        <v>3079</v>
      </c>
      <c r="BK164" s="2"/>
      <c r="BL164" s="3"/>
      <c r="BM164" s="3"/>
      <c r="BN164" s="3"/>
      <c r="BO164" s="3"/>
    </row>
    <row r="165" spans="1:67" x14ac:dyDescent="0.25">
      <c r="A165" s="65" t="s">
        <v>332</v>
      </c>
      <c r="B165" s="66"/>
      <c r="C165" s="66"/>
      <c r="D165" s="67"/>
      <c r="E165" s="69"/>
      <c r="F165" s="103" t="str">
        <f>HYPERLINK("https://pbs.twimg.com/profile_images/981251117869862912/Zg6wN8qO_normal.jpg")</f>
        <v>https://pbs.twimg.com/profile_images/981251117869862912/Zg6wN8qO_normal.jpg</v>
      </c>
      <c r="G165" s="66"/>
      <c r="H165" s="70"/>
      <c r="I165" s="71"/>
      <c r="J165" s="71"/>
      <c r="K165" s="70" t="s">
        <v>2543</v>
      </c>
      <c r="L165" s="74"/>
      <c r="M165" s="75">
        <v>6914.828125</v>
      </c>
      <c r="N165" s="75">
        <v>8792.861328125</v>
      </c>
      <c r="O165" s="76"/>
      <c r="P165" s="77"/>
      <c r="Q165" s="77"/>
      <c r="R165" s="89"/>
      <c r="S165" s="50">
        <v>0</v>
      </c>
      <c r="T165" s="50">
        <v>1</v>
      </c>
      <c r="U165" s="51">
        <v>0</v>
      </c>
      <c r="V165" s="51">
        <v>0.34300799999999998</v>
      </c>
      <c r="W165" s="51">
        <v>4.5978999999999999E-2</v>
      </c>
      <c r="X165" s="51">
        <v>4.3769999999999998E-3</v>
      </c>
      <c r="Y165" s="51">
        <v>0</v>
      </c>
      <c r="Z165" s="51">
        <v>0</v>
      </c>
      <c r="AA165" s="72">
        <v>165</v>
      </c>
      <c r="AB165" s="72"/>
      <c r="AC165" s="73"/>
      <c r="AD165" s="79" t="s">
        <v>1889</v>
      </c>
      <c r="AE165" s="84" t="s">
        <v>2083</v>
      </c>
      <c r="AF165" s="79">
        <v>187</v>
      </c>
      <c r="AG165" s="79">
        <v>144</v>
      </c>
      <c r="AH165" s="79">
        <v>1005</v>
      </c>
      <c r="AI165" s="79">
        <v>3450</v>
      </c>
      <c r="AJ165" s="79"/>
      <c r="AK165" s="79"/>
      <c r="AL165" s="79"/>
      <c r="AM165" s="79"/>
      <c r="AN165" s="79"/>
      <c r="AO165" s="81">
        <v>43117.725624999999</v>
      </c>
      <c r="AP165" s="79"/>
      <c r="AQ165" s="79" t="b">
        <v>1</v>
      </c>
      <c r="AR165" s="79" t="b">
        <v>0</v>
      </c>
      <c r="AS165" s="79" t="b">
        <v>0</v>
      </c>
      <c r="AT165" s="79"/>
      <c r="AU165" s="79">
        <v>1</v>
      </c>
      <c r="AV165" s="79"/>
      <c r="AW165" s="79" t="b">
        <v>0</v>
      </c>
      <c r="AX165" s="79" t="s">
        <v>2381</v>
      </c>
      <c r="AY165" s="86" t="str">
        <f>HYPERLINK("https://twitter.com/cballermpire55")</f>
        <v>https://twitter.com/cballermpire55</v>
      </c>
      <c r="AZ165" s="79" t="s">
        <v>66</v>
      </c>
      <c r="BA165" s="50"/>
      <c r="BB165" s="50"/>
      <c r="BC165" s="50"/>
      <c r="BD165" s="50"/>
      <c r="BE165" s="50" t="s">
        <v>700</v>
      </c>
      <c r="BF165" s="50" t="s">
        <v>700</v>
      </c>
      <c r="BG165" s="108" t="s">
        <v>2915</v>
      </c>
      <c r="BH165" s="108" t="s">
        <v>2915</v>
      </c>
      <c r="BI165" s="108" t="s">
        <v>3065</v>
      </c>
      <c r="BJ165" s="108" t="s">
        <v>3065</v>
      </c>
      <c r="BK165" s="2"/>
      <c r="BL165" s="3"/>
      <c r="BM165" s="3"/>
      <c r="BN165" s="3"/>
      <c r="BO165" s="3"/>
    </row>
    <row r="166" spans="1:67" x14ac:dyDescent="0.25">
      <c r="A166" s="65" t="s">
        <v>333</v>
      </c>
      <c r="B166" s="66"/>
      <c r="C166" s="66"/>
      <c r="D166" s="67"/>
      <c r="E166" s="69"/>
      <c r="F166" s="103" t="str">
        <f>HYPERLINK("https://pbs.twimg.com/profile_images/1449541633691815938/gHErIkj5_normal.jpg")</f>
        <v>https://pbs.twimg.com/profile_images/1449541633691815938/gHErIkj5_normal.jpg</v>
      </c>
      <c r="G166" s="66"/>
      <c r="H166" s="70"/>
      <c r="I166" s="71"/>
      <c r="J166" s="71"/>
      <c r="K166" s="70" t="s">
        <v>2544</v>
      </c>
      <c r="L166" s="74"/>
      <c r="M166" s="75">
        <v>8752.4296875</v>
      </c>
      <c r="N166" s="75">
        <v>8632.033203125</v>
      </c>
      <c r="O166" s="76"/>
      <c r="P166" s="77"/>
      <c r="Q166" s="77"/>
      <c r="R166" s="89"/>
      <c r="S166" s="50">
        <v>0</v>
      </c>
      <c r="T166" s="50">
        <v>1</v>
      </c>
      <c r="U166" s="51">
        <v>0</v>
      </c>
      <c r="V166" s="51">
        <v>0.34300799999999998</v>
      </c>
      <c r="W166" s="51">
        <v>4.5978999999999999E-2</v>
      </c>
      <c r="X166" s="51">
        <v>4.3769999999999998E-3</v>
      </c>
      <c r="Y166" s="51">
        <v>0</v>
      </c>
      <c r="Z166" s="51">
        <v>0</v>
      </c>
      <c r="AA166" s="72">
        <v>166</v>
      </c>
      <c r="AB166" s="72"/>
      <c r="AC166" s="73"/>
      <c r="AD166" s="79" t="s">
        <v>1890</v>
      </c>
      <c r="AE166" s="84" t="s">
        <v>2084</v>
      </c>
      <c r="AF166" s="79">
        <v>343</v>
      </c>
      <c r="AG166" s="79">
        <v>377</v>
      </c>
      <c r="AH166" s="79">
        <v>64742</v>
      </c>
      <c r="AI166" s="79">
        <v>29266</v>
      </c>
      <c r="AJ166" s="79"/>
      <c r="AK166" s="79" t="s">
        <v>2268</v>
      </c>
      <c r="AL166" s="79" t="s">
        <v>2367</v>
      </c>
      <c r="AM166" s="79"/>
      <c r="AN166" s="79"/>
      <c r="AO166" s="81">
        <v>40716.671620370369</v>
      </c>
      <c r="AP166" s="86" t="str">
        <f>HYPERLINK("https://pbs.twimg.com/profile_banners/322077601/1643774990")</f>
        <v>https://pbs.twimg.com/profile_banners/322077601/1643774990</v>
      </c>
      <c r="AQ166" s="79" t="b">
        <v>0</v>
      </c>
      <c r="AR166" s="79" t="b">
        <v>0</v>
      </c>
      <c r="AS166" s="79" t="b">
        <v>1</v>
      </c>
      <c r="AT166" s="79"/>
      <c r="AU166" s="79">
        <v>7</v>
      </c>
      <c r="AV166" s="86" t="str">
        <f>HYPERLINK("https://abs.twimg.com/images/themes/theme1/bg.png")</f>
        <v>https://abs.twimg.com/images/themes/theme1/bg.png</v>
      </c>
      <c r="AW166" s="79" t="b">
        <v>0</v>
      </c>
      <c r="AX166" s="79" t="s">
        <v>2381</v>
      </c>
      <c r="AY166" s="86" t="str">
        <f>HYPERLINK("https://twitter.com/jb_doeee")</f>
        <v>https://twitter.com/jb_doeee</v>
      </c>
      <c r="AZ166" s="79" t="s">
        <v>66</v>
      </c>
      <c r="BA166" s="50"/>
      <c r="BB166" s="50"/>
      <c r="BC166" s="50"/>
      <c r="BD166" s="50"/>
      <c r="BE166" s="50" t="s">
        <v>700</v>
      </c>
      <c r="BF166" s="50" t="s">
        <v>700</v>
      </c>
      <c r="BG166" s="108" t="s">
        <v>2915</v>
      </c>
      <c r="BH166" s="108" t="s">
        <v>2915</v>
      </c>
      <c r="BI166" s="108" t="s">
        <v>3065</v>
      </c>
      <c r="BJ166" s="108" t="s">
        <v>3065</v>
      </c>
      <c r="BK166" s="2"/>
      <c r="BL166" s="3"/>
      <c r="BM166" s="3"/>
      <c r="BN166" s="3"/>
      <c r="BO166" s="3"/>
    </row>
    <row r="167" spans="1:67" x14ac:dyDescent="0.25">
      <c r="A167" s="65" t="s">
        <v>334</v>
      </c>
      <c r="B167" s="66"/>
      <c r="C167" s="66"/>
      <c r="D167" s="67"/>
      <c r="E167" s="69"/>
      <c r="F167" s="103" t="str">
        <f>HYPERLINK("https://pbs.twimg.com/profile_images/1212129127337267201/ukA9PmCI_normal.jpg")</f>
        <v>https://pbs.twimg.com/profile_images/1212129127337267201/ukA9PmCI_normal.jpg</v>
      </c>
      <c r="G167" s="66"/>
      <c r="H167" s="70"/>
      <c r="I167" s="71"/>
      <c r="J167" s="71"/>
      <c r="K167" s="70" t="s">
        <v>2545</v>
      </c>
      <c r="L167" s="74"/>
      <c r="M167" s="75">
        <v>1812.65087890625</v>
      </c>
      <c r="N167" s="75">
        <v>1622.26025390625</v>
      </c>
      <c r="O167" s="76"/>
      <c r="P167" s="77"/>
      <c r="Q167" s="77"/>
      <c r="R167" s="89"/>
      <c r="S167" s="50">
        <v>0</v>
      </c>
      <c r="T167" s="50">
        <v>3</v>
      </c>
      <c r="U167" s="51">
        <v>0</v>
      </c>
      <c r="V167" s="51">
        <v>0.27137800000000001</v>
      </c>
      <c r="W167" s="51">
        <v>9.1420000000000008E-3</v>
      </c>
      <c r="X167" s="51">
        <v>4.725E-3</v>
      </c>
      <c r="Y167" s="51">
        <v>0.66666666666666663</v>
      </c>
      <c r="Z167" s="51">
        <v>0</v>
      </c>
      <c r="AA167" s="72">
        <v>167</v>
      </c>
      <c r="AB167" s="72"/>
      <c r="AC167" s="73"/>
      <c r="AD167" s="79" t="s">
        <v>1891</v>
      </c>
      <c r="AE167" s="84" t="s">
        <v>2085</v>
      </c>
      <c r="AF167" s="79">
        <v>1406</v>
      </c>
      <c r="AG167" s="79">
        <v>6644</v>
      </c>
      <c r="AH167" s="79">
        <v>20241</v>
      </c>
      <c r="AI167" s="79">
        <v>14658</v>
      </c>
      <c r="AJ167" s="79"/>
      <c r="AK167" s="79" t="s">
        <v>2269</v>
      </c>
      <c r="AL167" s="79" t="s">
        <v>2368</v>
      </c>
      <c r="AM167" s="86" t="str">
        <f>HYPERLINK("https://t.co/AAwQzZal4p")</f>
        <v>https://t.co/AAwQzZal4p</v>
      </c>
      <c r="AN167" s="79"/>
      <c r="AO167" s="81">
        <v>41863.401550925926</v>
      </c>
      <c r="AP167" s="86" t="str">
        <f>HYPERLINK("https://pbs.twimg.com/profile_banners/2740654439/1515860252")</f>
        <v>https://pbs.twimg.com/profile_banners/2740654439/1515860252</v>
      </c>
      <c r="AQ167" s="79" t="b">
        <v>1</v>
      </c>
      <c r="AR167" s="79" t="b">
        <v>0</v>
      </c>
      <c r="AS167" s="79" t="b">
        <v>0</v>
      </c>
      <c r="AT167" s="79"/>
      <c r="AU167" s="79">
        <v>95</v>
      </c>
      <c r="AV167" s="86" t="str">
        <f>HYPERLINK("https://abs.twimg.com/images/themes/theme1/bg.png")</f>
        <v>https://abs.twimg.com/images/themes/theme1/bg.png</v>
      </c>
      <c r="AW167" s="79" t="b">
        <v>0</v>
      </c>
      <c r="AX167" s="79" t="s">
        <v>2381</v>
      </c>
      <c r="AY167" s="86" t="str">
        <f>HYPERLINK("https://twitter.com/allanag13")</f>
        <v>https://twitter.com/allanag13</v>
      </c>
      <c r="AZ167" s="79" t="s">
        <v>66</v>
      </c>
      <c r="BA167" s="50" t="s">
        <v>2658</v>
      </c>
      <c r="BB167" s="50" t="s">
        <v>2658</v>
      </c>
      <c r="BC167" s="50" t="s">
        <v>632</v>
      </c>
      <c r="BD167" s="50" t="s">
        <v>632</v>
      </c>
      <c r="BE167" s="50" t="s">
        <v>675</v>
      </c>
      <c r="BF167" s="50" t="s">
        <v>675</v>
      </c>
      <c r="BG167" s="108" t="s">
        <v>2863</v>
      </c>
      <c r="BH167" s="108" t="s">
        <v>2863</v>
      </c>
      <c r="BI167" s="108" t="s">
        <v>3025</v>
      </c>
      <c r="BJ167" s="108" t="s">
        <v>3025</v>
      </c>
      <c r="BK167" s="2"/>
      <c r="BL167" s="3"/>
      <c r="BM167" s="3"/>
      <c r="BN167" s="3"/>
      <c r="BO167" s="3"/>
    </row>
    <row r="168" spans="1:67" x14ac:dyDescent="0.25">
      <c r="A168" s="65" t="s">
        <v>370</v>
      </c>
      <c r="B168" s="66"/>
      <c r="C168" s="66"/>
      <c r="D168" s="67"/>
      <c r="E168" s="69"/>
      <c r="F168" s="103" t="str">
        <f>HYPERLINK("https://pbs.twimg.com/profile_images/875401152300433408/tCgafXEm_normal.jpg")</f>
        <v>https://pbs.twimg.com/profile_images/875401152300433408/tCgafXEm_normal.jpg</v>
      </c>
      <c r="G168" s="66"/>
      <c r="H168" s="70"/>
      <c r="I168" s="71"/>
      <c r="J168" s="71"/>
      <c r="K168" s="70" t="s">
        <v>2546</v>
      </c>
      <c r="L168" s="74"/>
      <c r="M168" s="75">
        <v>2704.640869140625</v>
      </c>
      <c r="N168" s="75">
        <v>2974.905517578125</v>
      </c>
      <c r="O168" s="76"/>
      <c r="P168" s="77"/>
      <c r="Q168" s="77"/>
      <c r="R168" s="89"/>
      <c r="S168" s="50">
        <v>3</v>
      </c>
      <c r="T168" s="50">
        <v>3</v>
      </c>
      <c r="U168" s="51">
        <v>298.11428599999999</v>
      </c>
      <c r="V168" s="51">
        <v>0.28594199999999997</v>
      </c>
      <c r="W168" s="51">
        <v>2.1649000000000002E-2</v>
      </c>
      <c r="X168" s="51">
        <v>5.1859999999999996E-3</v>
      </c>
      <c r="Y168" s="51">
        <v>0.26666666666666666</v>
      </c>
      <c r="Z168" s="51">
        <v>0</v>
      </c>
      <c r="AA168" s="72">
        <v>168</v>
      </c>
      <c r="AB168" s="72"/>
      <c r="AC168" s="73"/>
      <c r="AD168" s="79" t="s">
        <v>1892</v>
      </c>
      <c r="AE168" s="84" t="s">
        <v>2086</v>
      </c>
      <c r="AF168" s="79">
        <v>3111</v>
      </c>
      <c r="AG168" s="79">
        <v>3558</v>
      </c>
      <c r="AH168" s="79">
        <v>7002</v>
      </c>
      <c r="AI168" s="79">
        <v>11970</v>
      </c>
      <c r="AJ168" s="79"/>
      <c r="AK168" s="79" t="s">
        <v>2270</v>
      </c>
      <c r="AL168" s="79" t="s">
        <v>1694</v>
      </c>
      <c r="AM168" s="86" t="str">
        <f>HYPERLINK("https://t.co/f3RPQB574n")</f>
        <v>https://t.co/f3RPQB574n</v>
      </c>
      <c r="AN168" s="79"/>
      <c r="AO168" s="81">
        <v>41084.988900462966</v>
      </c>
      <c r="AP168" s="86" t="str">
        <f>HYPERLINK("https://pbs.twimg.com/profile_banners/617579498/1643977150")</f>
        <v>https://pbs.twimg.com/profile_banners/617579498/1643977150</v>
      </c>
      <c r="AQ168" s="79" t="b">
        <v>1</v>
      </c>
      <c r="AR168" s="79" t="b">
        <v>0</v>
      </c>
      <c r="AS168" s="79" t="b">
        <v>1</v>
      </c>
      <c r="AT168" s="79"/>
      <c r="AU168" s="79">
        <v>29</v>
      </c>
      <c r="AV168" s="86" t="str">
        <f>HYPERLINK("https://abs.twimg.com/images/themes/theme1/bg.png")</f>
        <v>https://abs.twimg.com/images/themes/theme1/bg.png</v>
      </c>
      <c r="AW168" s="79" t="b">
        <v>0</v>
      </c>
      <c r="AX168" s="79" t="s">
        <v>2381</v>
      </c>
      <c r="AY168" s="86" t="str">
        <f>HYPERLINK("https://twitter.com/drlagarrettking")</f>
        <v>https://twitter.com/drlagarrettking</v>
      </c>
      <c r="AZ168" s="79" t="s">
        <v>66</v>
      </c>
      <c r="BA168" s="50" t="s">
        <v>2583</v>
      </c>
      <c r="BB168" s="50" t="s">
        <v>2583</v>
      </c>
      <c r="BC168" s="50" t="s">
        <v>642</v>
      </c>
      <c r="BD168" s="50" t="s">
        <v>642</v>
      </c>
      <c r="BE168" s="50" t="s">
        <v>357</v>
      </c>
      <c r="BF168" s="50" t="s">
        <v>357</v>
      </c>
      <c r="BG168" s="108" t="s">
        <v>2876</v>
      </c>
      <c r="BH168" s="108" t="s">
        <v>2876</v>
      </c>
      <c r="BI168" s="108" t="s">
        <v>3038</v>
      </c>
      <c r="BJ168" s="108" t="s">
        <v>3038</v>
      </c>
      <c r="BK168" s="2"/>
      <c r="BL168" s="3"/>
      <c r="BM168" s="3"/>
      <c r="BN168" s="3"/>
      <c r="BO168" s="3"/>
    </row>
    <row r="169" spans="1:67" x14ac:dyDescent="0.25">
      <c r="A169" s="65" t="s">
        <v>335</v>
      </c>
      <c r="B169" s="66"/>
      <c r="C169" s="66"/>
      <c r="D169" s="67"/>
      <c r="E169" s="69"/>
      <c r="F169" s="103" t="str">
        <f>HYPERLINK("https://pbs.twimg.com/profile_images/1397217310566408202/vHHZHXmm_normal.jpg")</f>
        <v>https://pbs.twimg.com/profile_images/1397217310566408202/vHHZHXmm_normal.jpg</v>
      </c>
      <c r="G169" s="66"/>
      <c r="H169" s="70"/>
      <c r="I169" s="71"/>
      <c r="J169" s="71"/>
      <c r="K169" s="70" t="s">
        <v>2547</v>
      </c>
      <c r="L169" s="74"/>
      <c r="M169" s="75">
        <v>2836.69921875</v>
      </c>
      <c r="N169" s="75">
        <v>836.64361572265625</v>
      </c>
      <c r="O169" s="76"/>
      <c r="P169" s="77"/>
      <c r="Q169" s="77"/>
      <c r="R169" s="89"/>
      <c r="S169" s="50">
        <v>0</v>
      </c>
      <c r="T169" s="50">
        <v>1</v>
      </c>
      <c r="U169" s="51">
        <v>0</v>
      </c>
      <c r="V169" s="51">
        <v>0.34300799999999998</v>
      </c>
      <c r="W169" s="51">
        <v>4.5978999999999999E-2</v>
      </c>
      <c r="X169" s="51">
        <v>4.3769999999999998E-3</v>
      </c>
      <c r="Y169" s="51">
        <v>0</v>
      </c>
      <c r="Z169" s="51">
        <v>0</v>
      </c>
      <c r="AA169" s="72">
        <v>169</v>
      </c>
      <c r="AB169" s="72"/>
      <c r="AC169" s="73"/>
      <c r="AD169" s="79" t="s">
        <v>1893</v>
      </c>
      <c r="AE169" s="84" t="s">
        <v>2087</v>
      </c>
      <c r="AF169" s="79">
        <v>231</v>
      </c>
      <c r="AG169" s="79">
        <v>144</v>
      </c>
      <c r="AH169" s="79">
        <v>1634</v>
      </c>
      <c r="AI169" s="79">
        <v>1630</v>
      </c>
      <c r="AJ169" s="79"/>
      <c r="AK169" s="79" t="s">
        <v>2271</v>
      </c>
      <c r="AL169" s="79" t="s">
        <v>1691</v>
      </c>
      <c r="AM169" s="79"/>
      <c r="AN169" s="79"/>
      <c r="AO169" s="81">
        <v>43164.63559027778</v>
      </c>
      <c r="AP169" s="86" t="str">
        <f>HYPERLINK("https://pbs.twimg.com/profile_banners/970679137127096321/1640167134")</f>
        <v>https://pbs.twimg.com/profile_banners/970679137127096321/1640167134</v>
      </c>
      <c r="AQ169" s="79" t="b">
        <v>1</v>
      </c>
      <c r="AR169" s="79" t="b">
        <v>0</v>
      </c>
      <c r="AS169" s="79" t="b">
        <v>0</v>
      </c>
      <c r="AT169" s="79"/>
      <c r="AU169" s="79">
        <v>0</v>
      </c>
      <c r="AV169" s="79"/>
      <c r="AW169" s="79" t="b">
        <v>0</v>
      </c>
      <c r="AX169" s="79" t="s">
        <v>2381</v>
      </c>
      <c r="AY169" s="86" t="str">
        <f>HYPERLINK("https://twitter.com/futuredrroberts")</f>
        <v>https://twitter.com/futuredrroberts</v>
      </c>
      <c r="AZ169" s="79" t="s">
        <v>66</v>
      </c>
      <c r="BA169" s="50"/>
      <c r="BB169" s="50"/>
      <c r="BC169" s="50"/>
      <c r="BD169" s="50"/>
      <c r="BE169" s="50" t="s">
        <v>700</v>
      </c>
      <c r="BF169" s="50" t="s">
        <v>700</v>
      </c>
      <c r="BG169" s="108" t="s">
        <v>2915</v>
      </c>
      <c r="BH169" s="108" t="s">
        <v>2915</v>
      </c>
      <c r="BI169" s="108" t="s">
        <v>3065</v>
      </c>
      <c r="BJ169" s="108" t="s">
        <v>3065</v>
      </c>
      <c r="BK169" s="2"/>
      <c r="BL169" s="3"/>
      <c r="BM169" s="3"/>
      <c r="BN169" s="3"/>
      <c r="BO169" s="3"/>
    </row>
    <row r="170" spans="1:67" x14ac:dyDescent="0.25">
      <c r="A170" s="65" t="s">
        <v>336</v>
      </c>
      <c r="B170" s="66"/>
      <c r="C170" s="66"/>
      <c r="D170" s="67"/>
      <c r="E170" s="69"/>
      <c r="F170" s="103" t="str">
        <f>HYPERLINK("https://pbs.twimg.com/profile_images/952744403352748032/kI6_Ye9A_normal.jpg")</f>
        <v>https://pbs.twimg.com/profile_images/952744403352748032/kI6_Ye9A_normal.jpg</v>
      </c>
      <c r="G170" s="66"/>
      <c r="H170" s="70"/>
      <c r="I170" s="71"/>
      <c r="J170" s="71"/>
      <c r="K170" s="70" t="s">
        <v>2548</v>
      </c>
      <c r="L170" s="74"/>
      <c r="M170" s="75">
        <v>3541.876953125</v>
      </c>
      <c r="N170" s="75">
        <v>1234.5545654296875</v>
      </c>
      <c r="O170" s="76"/>
      <c r="P170" s="77"/>
      <c r="Q170" s="77"/>
      <c r="R170" s="89"/>
      <c r="S170" s="50">
        <v>0</v>
      </c>
      <c r="T170" s="50">
        <v>1</v>
      </c>
      <c r="U170" s="51">
        <v>0</v>
      </c>
      <c r="V170" s="51">
        <v>0.34300799999999998</v>
      </c>
      <c r="W170" s="51">
        <v>4.5978999999999999E-2</v>
      </c>
      <c r="X170" s="51">
        <v>4.3769999999999998E-3</v>
      </c>
      <c r="Y170" s="51">
        <v>0</v>
      </c>
      <c r="Z170" s="51">
        <v>0</v>
      </c>
      <c r="AA170" s="72">
        <v>170</v>
      </c>
      <c r="AB170" s="72"/>
      <c r="AC170" s="73"/>
      <c r="AD170" s="79" t="s">
        <v>1894</v>
      </c>
      <c r="AE170" s="84" t="s">
        <v>2088</v>
      </c>
      <c r="AF170" s="79">
        <v>5003</v>
      </c>
      <c r="AG170" s="79">
        <v>1026</v>
      </c>
      <c r="AH170" s="79">
        <v>118491</v>
      </c>
      <c r="AI170" s="79">
        <v>143917</v>
      </c>
      <c r="AJ170" s="79"/>
      <c r="AK170" s="79" t="s">
        <v>2272</v>
      </c>
      <c r="AL170" s="79" t="s">
        <v>2357</v>
      </c>
      <c r="AM170" s="79"/>
      <c r="AN170" s="79"/>
      <c r="AO170" s="81">
        <v>43115.135717592595</v>
      </c>
      <c r="AP170" s="79"/>
      <c r="AQ170" s="79" t="b">
        <v>1</v>
      </c>
      <c r="AR170" s="79" t="b">
        <v>0</v>
      </c>
      <c r="AS170" s="79" t="b">
        <v>1</v>
      </c>
      <c r="AT170" s="79"/>
      <c r="AU170" s="79">
        <v>2</v>
      </c>
      <c r="AV170" s="79"/>
      <c r="AW170" s="79" t="b">
        <v>0</v>
      </c>
      <c r="AX170" s="79" t="s">
        <v>2381</v>
      </c>
      <c r="AY170" s="86" t="str">
        <f>HYPERLINK("https://twitter.com/johnmaring2")</f>
        <v>https://twitter.com/johnmaring2</v>
      </c>
      <c r="AZ170" s="79" t="s">
        <v>66</v>
      </c>
      <c r="BA170" s="50"/>
      <c r="BB170" s="50"/>
      <c r="BC170" s="50"/>
      <c r="BD170" s="50"/>
      <c r="BE170" s="50" t="s">
        <v>700</v>
      </c>
      <c r="BF170" s="50" t="s">
        <v>700</v>
      </c>
      <c r="BG170" s="108" t="s">
        <v>2915</v>
      </c>
      <c r="BH170" s="108" t="s">
        <v>2915</v>
      </c>
      <c r="BI170" s="108" t="s">
        <v>3065</v>
      </c>
      <c r="BJ170" s="108" t="s">
        <v>3065</v>
      </c>
      <c r="BK170" s="2"/>
      <c r="BL170" s="3"/>
      <c r="BM170" s="3"/>
      <c r="BN170" s="3"/>
      <c r="BO170" s="3"/>
    </row>
    <row r="171" spans="1:67" x14ac:dyDescent="0.25">
      <c r="A171" s="65" t="s">
        <v>337</v>
      </c>
      <c r="B171" s="66"/>
      <c r="C171" s="66"/>
      <c r="D171" s="67"/>
      <c r="E171" s="69"/>
      <c r="F171" s="103" t="str">
        <f>HYPERLINK("https://pbs.twimg.com/profile_images/1460607557471453184/qReByZOY_normal.jpg")</f>
        <v>https://pbs.twimg.com/profile_images/1460607557471453184/qReByZOY_normal.jpg</v>
      </c>
      <c r="G171" s="66"/>
      <c r="H171" s="70"/>
      <c r="I171" s="71"/>
      <c r="J171" s="71"/>
      <c r="K171" s="70" t="s">
        <v>2549</v>
      </c>
      <c r="L171" s="74"/>
      <c r="M171" s="75">
        <v>7948.791015625</v>
      </c>
      <c r="N171" s="75">
        <v>2825.372314453125</v>
      </c>
      <c r="O171" s="76"/>
      <c r="P171" s="77"/>
      <c r="Q171" s="77"/>
      <c r="R171" s="89"/>
      <c r="S171" s="50">
        <v>0</v>
      </c>
      <c r="T171" s="50">
        <v>2</v>
      </c>
      <c r="U171" s="51">
        <v>0</v>
      </c>
      <c r="V171" s="51">
        <v>0.353632</v>
      </c>
      <c r="W171" s="51">
        <v>7.0933999999999997E-2</v>
      </c>
      <c r="X171" s="51">
        <v>4.4229999999999998E-3</v>
      </c>
      <c r="Y171" s="51">
        <v>0.5</v>
      </c>
      <c r="Z171" s="51">
        <v>0</v>
      </c>
      <c r="AA171" s="72">
        <v>171</v>
      </c>
      <c r="AB171" s="72"/>
      <c r="AC171" s="73"/>
      <c r="AD171" s="79" t="s">
        <v>1895</v>
      </c>
      <c r="AE171" s="84" t="s">
        <v>2089</v>
      </c>
      <c r="AF171" s="79">
        <v>277</v>
      </c>
      <c r="AG171" s="79">
        <v>109</v>
      </c>
      <c r="AH171" s="79">
        <v>269</v>
      </c>
      <c r="AI171" s="79">
        <v>2544</v>
      </c>
      <c r="AJ171" s="79"/>
      <c r="AK171" s="79" t="s">
        <v>2273</v>
      </c>
      <c r="AL171" s="79" t="s">
        <v>2326</v>
      </c>
      <c r="AM171" s="79"/>
      <c r="AN171" s="79"/>
      <c r="AO171" s="81">
        <v>44516.183738425927</v>
      </c>
      <c r="AP171" s="79"/>
      <c r="AQ171" s="79" t="b">
        <v>1</v>
      </c>
      <c r="AR171" s="79" t="b">
        <v>0</v>
      </c>
      <c r="AS171" s="79" t="b">
        <v>0</v>
      </c>
      <c r="AT171" s="79"/>
      <c r="AU171" s="79">
        <v>0</v>
      </c>
      <c r="AV171" s="79"/>
      <c r="AW171" s="79" t="b">
        <v>0</v>
      </c>
      <c r="AX171" s="79" t="s">
        <v>2381</v>
      </c>
      <c r="AY171" s="86" t="str">
        <f>HYPERLINK("https://twitter.com/redsterner")</f>
        <v>https://twitter.com/redsterner</v>
      </c>
      <c r="AZ171" s="79" t="s">
        <v>66</v>
      </c>
      <c r="BA171" s="50" t="s">
        <v>2582</v>
      </c>
      <c r="BB171" s="50" t="s">
        <v>2582</v>
      </c>
      <c r="BC171" s="50" t="s">
        <v>633</v>
      </c>
      <c r="BD171" s="50" t="s">
        <v>633</v>
      </c>
      <c r="BE171" s="50" t="s">
        <v>698</v>
      </c>
      <c r="BF171" s="50" t="s">
        <v>698</v>
      </c>
      <c r="BG171" s="108" t="s">
        <v>2912</v>
      </c>
      <c r="BH171" s="108" t="s">
        <v>2912</v>
      </c>
      <c r="BI171" s="108" t="s">
        <v>3071</v>
      </c>
      <c r="BJ171" s="108" t="s">
        <v>3071</v>
      </c>
      <c r="BK171" s="2"/>
      <c r="BL171" s="3"/>
      <c r="BM171" s="3"/>
      <c r="BN171" s="3"/>
      <c r="BO171" s="3"/>
    </row>
    <row r="172" spans="1:67" x14ac:dyDescent="0.25">
      <c r="A172" s="65" t="s">
        <v>338</v>
      </c>
      <c r="B172" s="66"/>
      <c r="C172" s="66"/>
      <c r="D172" s="67"/>
      <c r="E172" s="69"/>
      <c r="F172" s="103" t="str">
        <f>HYPERLINK("https://pbs.twimg.com/profile_images/1348043162724556800/U7ilI3az_normal.jpg")</f>
        <v>https://pbs.twimg.com/profile_images/1348043162724556800/U7ilI3az_normal.jpg</v>
      </c>
      <c r="G172" s="66"/>
      <c r="H172" s="70"/>
      <c r="I172" s="71"/>
      <c r="J172" s="71"/>
      <c r="K172" s="70" t="s">
        <v>2550</v>
      </c>
      <c r="L172" s="74"/>
      <c r="M172" s="75">
        <v>5568.01904296875</v>
      </c>
      <c r="N172" s="75">
        <v>8277.9677734375</v>
      </c>
      <c r="O172" s="76"/>
      <c r="P172" s="77"/>
      <c r="Q172" s="77"/>
      <c r="R172" s="89"/>
      <c r="S172" s="50">
        <v>0</v>
      </c>
      <c r="T172" s="50">
        <v>1</v>
      </c>
      <c r="U172" s="51">
        <v>0</v>
      </c>
      <c r="V172" s="51">
        <v>0.34300799999999998</v>
      </c>
      <c r="W172" s="51">
        <v>4.5978999999999999E-2</v>
      </c>
      <c r="X172" s="51">
        <v>4.3769999999999998E-3</v>
      </c>
      <c r="Y172" s="51">
        <v>0</v>
      </c>
      <c r="Z172" s="51">
        <v>0</v>
      </c>
      <c r="AA172" s="72">
        <v>172</v>
      </c>
      <c r="AB172" s="72"/>
      <c r="AC172" s="73"/>
      <c r="AD172" s="79" t="s">
        <v>1896</v>
      </c>
      <c r="AE172" s="84" t="s">
        <v>2090</v>
      </c>
      <c r="AF172" s="79">
        <v>127</v>
      </c>
      <c r="AG172" s="79">
        <v>35</v>
      </c>
      <c r="AH172" s="79">
        <v>737</v>
      </c>
      <c r="AI172" s="79">
        <v>1253</v>
      </c>
      <c r="AJ172" s="79"/>
      <c r="AK172" s="79"/>
      <c r="AL172" s="79"/>
      <c r="AM172" s="79"/>
      <c r="AN172" s="79"/>
      <c r="AO172" s="81">
        <v>42115.030902777777</v>
      </c>
      <c r="AP172" s="79"/>
      <c r="AQ172" s="79" t="b">
        <v>1</v>
      </c>
      <c r="AR172" s="79" t="b">
        <v>0</v>
      </c>
      <c r="AS172" s="79" t="b">
        <v>0</v>
      </c>
      <c r="AT172" s="79"/>
      <c r="AU172" s="79">
        <v>0</v>
      </c>
      <c r="AV172" s="86" t="str">
        <f>HYPERLINK("https://abs.twimg.com/images/themes/theme1/bg.png")</f>
        <v>https://abs.twimg.com/images/themes/theme1/bg.png</v>
      </c>
      <c r="AW172" s="79" t="b">
        <v>0</v>
      </c>
      <c r="AX172" s="79" t="s">
        <v>2381</v>
      </c>
      <c r="AY172" s="86" t="str">
        <f>HYPERLINK("https://twitter.com/smokinstix")</f>
        <v>https://twitter.com/smokinstix</v>
      </c>
      <c r="AZ172" s="79" t="s">
        <v>66</v>
      </c>
      <c r="BA172" s="50"/>
      <c r="BB172" s="50"/>
      <c r="BC172" s="50"/>
      <c r="BD172" s="50"/>
      <c r="BE172" s="50" t="s">
        <v>700</v>
      </c>
      <c r="BF172" s="50" t="s">
        <v>700</v>
      </c>
      <c r="BG172" s="108" t="s">
        <v>2915</v>
      </c>
      <c r="BH172" s="108" t="s">
        <v>2915</v>
      </c>
      <c r="BI172" s="108" t="s">
        <v>3065</v>
      </c>
      <c r="BJ172" s="108" t="s">
        <v>3065</v>
      </c>
      <c r="BK172" s="2"/>
      <c r="BL172" s="3"/>
      <c r="BM172" s="3"/>
      <c r="BN172" s="3"/>
      <c r="BO172" s="3"/>
    </row>
    <row r="173" spans="1:67" x14ac:dyDescent="0.25">
      <c r="A173" s="65" t="s">
        <v>340</v>
      </c>
      <c r="B173" s="66"/>
      <c r="C173" s="66"/>
      <c r="D173" s="67"/>
      <c r="E173" s="69"/>
      <c r="F173" s="103" t="str">
        <f>HYPERLINK("https://pbs.twimg.com/profile_images/1013176592498032641/qd5Eetkx_normal.jpg")</f>
        <v>https://pbs.twimg.com/profile_images/1013176592498032641/qd5Eetkx_normal.jpg</v>
      </c>
      <c r="G173" s="66"/>
      <c r="H173" s="70"/>
      <c r="I173" s="71"/>
      <c r="J173" s="71"/>
      <c r="K173" s="70" t="s">
        <v>2551</v>
      </c>
      <c r="L173" s="74"/>
      <c r="M173" s="75">
        <v>5360.47021484375</v>
      </c>
      <c r="N173" s="75">
        <v>8755.431640625</v>
      </c>
      <c r="O173" s="76"/>
      <c r="P173" s="77"/>
      <c r="Q173" s="77"/>
      <c r="R173" s="89"/>
      <c r="S173" s="50">
        <v>0</v>
      </c>
      <c r="T173" s="50">
        <v>4</v>
      </c>
      <c r="U173" s="51">
        <v>0</v>
      </c>
      <c r="V173" s="51">
        <v>0.35520400000000002</v>
      </c>
      <c r="W173" s="51">
        <v>9.4061000000000006E-2</v>
      </c>
      <c r="X173" s="51">
        <v>4.6059999999999999E-3</v>
      </c>
      <c r="Y173" s="51">
        <v>0.58333333333333337</v>
      </c>
      <c r="Z173" s="51">
        <v>0</v>
      </c>
      <c r="AA173" s="72">
        <v>173</v>
      </c>
      <c r="AB173" s="72"/>
      <c r="AC173" s="73"/>
      <c r="AD173" s="79" t="s">
        <v>1897</v>
      </c>
      <c r="AE173" s="84" t="s">
        <v>2091</v>
      </c>
      <c r="AF173" s="79">
        <v>317</v>
      </c>
      <c r="AG173" s="79">
        <v>77</v>
      </c>
      <c r="AH173" s="79">
        <v>950</v>
      </c>
      <c r="AI173" s="79">
        <v>5642</v>
      </c>
      <c r="AJ173" s="79"/>
      <c r="AK173" s="79"/>
      <c r="AL173" s="79" t="s">
        <v>2369</v>
      </c>
      <c r="AM173" s="79"/>
      <c r="AN173" s="79"/>
      <c r="AO173" s="81">
        <v>42175.451111111113</v>
      </c>
      <c r="AP173" s="86" t="str">
        <f>HYPERLINK("https://pbs.twimg.com/profile_banners/3336631907/1530395099")</f>
        <v>https://pbs.twimg.com/profile_banners/3336631907/1530395099</v>
      </c>
      <c r="AQ173" s="79" t="b">
        <v>1</v>
      </c>
      <c r="AR173" s="79" t="b">
        <v>0</v>
      </c>
      <c r="AS173" s="79" t="b">
        <v>1</v>
      </c>
      <c r="AT173" s="79"/>
      <c r="AU173" s="79">
        <v>0</v>
      </c>
      <c r="AV173" s="86" t="str">
        <f>HYPERLINK("https://abs.twimg.com/images/themes/theme1/bg.png")</f>
        <v>https://abs.twimg.com/images/themes/theme1/bg.png</v>
      </c>
      <c r="AW173" s="79" t="b">
        <v>0</v>
      </c>
      <c r="AX173" s="79" t="s">
        <v>2381</v>
      </c>
      <c r="AY173" s="86" t="str">
        <f>HYPERLINK("https://twitter.com/mazzycc")</f>
        <v>https://twitter.com/mazzycc</v>
      </c>
      <c r="AZ173" s="79" t="s">
        <v>66</v>
      </c>
      <c r="BA173" s="50"/>
      <c r="BB173" s="50"/>
      <c r="BC173" s="50"/>
      <c r="BD173" s="50"/>
      <c r="BE173" s="50" t="s">
        <v>2772</v>
      </c>
      <c r="BF173" s="50" t="s">
        <v>2813</v>
      </c>
      <c r="BG173" s="108" t="s">
        <v>2925</v>
      </c>
      <c r="BH173" s="108" t="s">
        <v>2915</v>
      </c>
      <c r="BI173" s="108" t="s">
        <v>3065</v>
      </c>
      <c r="BJ173" s="108" t="s">
        <v>3065</v>
      </c>
      <c r="BK173" s="2"/>
      <c r="BL173" s="3"/>
      <c r="BM173" s="3"/>
      <c r="BN173" s="3"/>
      <c r="BO173" s="3"/>
    </row>
    <row r="174" spans="1:67" x14ac:dyDescent="0.25">
      <c r="A174" s="65" t="s">
        <v>341</v>
      </c>
      <c r="B174" s="66"/>
      <c r="C174" s="66"/>
      <c r="D174" s="67"/>
      <c r="E174" s="69"/>
      <c r="F174" s="103" t="str">
        <f>HYPERLINK("https://pbs.twimg.com/profile_images/1354105112982134785/V0xCS6v__normal.jpg")</f>
        <v>https://pbs.twimg.com/profile_images/1354105112982134785/V0xCS6v__normal.jpg</v>
      </c>
      <c r="G174" s="66"/>
      <c r="H174" s="70"/>
      <c r="I174" s="71"/>
      <c r="J174" s="71"/>
      <c r="K174" s="70" t="s">
        <v>2552</v>
      </c>
      <c r="L174" s="74"/>
      <c r="M174" s="75">
        <v>707.1339111328125</v>
      </c>
      <c r="N174" s="75">
        <v>5195.6396484375</v>
      </c>
      <c r="O174" s="76"/>
      <c r="P174" s="77"/>
      <c r="Q174" s="77"/>
      <c r="R174" s="89"/>
      <c r="S174" s="50">
        <v>0</v>
      </c>
      <c r="T174" s="50">
        <v>1</v>
      </c>
      <c r="U174" s="51">
        <v>0</v>
      </c>
      <c r="V174" s="51">
        <v>0.34300799999999998</v>
      </c>
      <c r="W174" s="51">
        <v>4.5978999999999999E-2</v>
      </c>
      <c r="X174" s="51">
        <v>4.3769999999999998E-3</v>
      </c>
      <c r="Y174" s="51">
        <v>0</v>
      </c>
      <c r="Z174" s="51">
        <v>0</v>
      </c>
      <c r="AA174" s="72">
        <v>174</v>
      </c>
      <c r="AB174" s="72"/>
      <c r="AC174" s="73"/>
      <c r="AD174" s="79" t="s">
        <v>1898</v>
      </c>
      <c r="AE174" s="84" t="s">
        <v>2092</v>
      </c>
      <c r="AF174" s="79">
        <v>2098</v>
      </c>
      <c r="AG174" s="79">
        <v>192</v>
      </c>
      <c r="AH174" s="79">
        <v>28222</v>
      </c>
      <c r="AI174" s="79">
        <v>13268</v>
      </c>
      <c r="AJ174" s="79"/>
      <c r="AK174" s="79"/>
      <c r="AL174" s="79" t="s">
        <v>2370</v>
      </c>
      <c r="AM174" s="79"/>
      <c r="AN174" s="79"/>
      <c r="AO174" s="81">
        <v>39992.659317129626</v>
      </c>
      <c r="AP174" s="86" t="str">
        <f>HYPERLINK("https://pbs.twimg.com/profile_banners/51760175/1611680715")</f>
        <v>https://pbs.twimg.com/profile_banners/51760175/1611680715</v>
      </c>
      <c r="AQ174" s="79" t="b">
        <v>0</v>
      </c>
      <c r="AR174" s="79" t="b">
        <v>0</v>
      </c>
      <c r="AS174" s="79" t="b">
        <v>1</v>
      </c>
      <c r="AT174" s="79"/>
      <c r="AU174" s="79">
        <v>3</v>
      </c>
      <c r="AV174" s="86" t="str">
        <f>HYPERLINK("https://abs.twimg.com/images/themes/theme1/bg.png")</f>
        <v>https://abs.twimg.com/images/themes/theme1/bg.png</v>
      </c>
      <c r="AW174" s="79" t="b">
        <v>0</v>
      </c>
      <c r="AX174" s="79" t="s">
        <v>2381</v>
      </c>
      <c r="AY174" s="86" t="str">
        <f>HYPERLINK("https://twitter.com/billybison")</f>
        <v>https://twitter.com/billybison</v>
      </c>
      <c r="AZ174" s="79" t="s">
        <v>66</v>
      </c>
      <c r="BA174" s="50"/>
      <c r="BB174" s="50"/>
      <c r="BC174" s="50"/>
      <c r="BD174" s="50"/>
      <c r="BE174" s="50" t="s">
        <v>700</v>
      </c>
      <c r="BF174" s="50" t="s">
        <v>700</v>
      </c>
      <c r="BG174" s="108" t="s">
        <v>2915</v>
      </c>
      <c r="BH174" s="108" t="s">
        <v>2915</v>
      </c>
      <c r="BI174" s="108" t="s">
        <v>3065</v>
      </c>
      <c r="BJ174" s="108" t="s">
        <v>3065</v>
      </c>
      <c r="BK174" s="2"/>
      <c r="BL174" s="3"/>
      <c r="BM174" s="3"/>
      <c r="BN174" s="3"/>
      <c r="BO174" s="3"/>
    </row>
    <row r="175" spans="1:67" x14ac:dyDescent="0.25">
      <c r="A175" s="65" t="s">
        <v>342</v>
      </c>
      <c r="B175" s="66"/>
      <c r="C175" s="66"/>
      <c r="D175" s="67"/>
      <c r="E175" s="69"/>
      <c r="F175" s="103" t="str">
        <f>HYPERLINK("https://pbs.twimg.com/profile_images/850411218435096576/yLXwZ8sU_normal.jpg")</f>
        <v>https://pbs.twimg.com/profile_images/850411218435096576/yLXwZ8sU_normal.jpg</v>
      </c>
      <c r="G175" s="66"/>
      <c r="H175" s="70"/>
      <c r="I175" s="71"/>
      <c r="J175" s="71"/>
      <c r="K175" s="70" t="s">
        <v>2553</v>
      </c>
      <c r="L175" s="74"/>
      <c r="M175" s="75">
        <v>1824.2178955078125</v>
      </c>
      <c r="N175" s="75">
        <v>8127.68603515625</v>
      </c>
      <c r="O175" s="76"/>
      <c r="P175" s="77"/>
      <c r="Q175" s="77"/>
      <c r="R175" s="89"/>
      <c r="S175" s="50">
        <v>0</v>
      </c>
      <c r="T175" s="50">
        <v>1</v>
      </c>
      <c r="U175" s="51">
        <v>0</v>
      </c>
      <c r="V175" s="51">
        <v>0.28042400000000001</v>
      </c>
      <c r="W175" s="51">
        <v>1.7610000000000001E-2</v>
      </c>
      <c r="X175" s="51">
        <v>4.3790000000000001E-3</v>
      </c>
      <c r="Y175" s="51">
        <v>0</v>
      </c>
      <c r="Z175" s="51">
        <v>0</v>
      </c>
      <c r="AA175" s="72">
        <v>175</v>
      </c>
      <c r="AB175" s="72"/>
      <c r="AC175" s="73"/>
      <c r="AD175" s="79" t="s">
        <v>1899</v>
      </c>
      <c r="AE175" s="84" t="s">
        <v>2093</v>
      </c>
      <c r="AF175" s="79">
        <v>947</v>
      </c>
      <c r="AG175" s="79">
        <v>239</v>
      </c>
      <c r="AH175" s="79">
        <v>5470</v>
      </c>
      <c r="AI175" s="79">
        <v>118970</v>
      </c>
      <c r="AJ175" s="79"/>
      <c r="AK175" s="79" t="s">
        <v>2274</v>
      </c>
      <c r="AL175" s="79" t="s">
        <v>2308</v>
      </c>
      <c r="AM175" s="79"/>
      <c r="AN175" s="79"/>
      <c r="AO175" s="81">
        <v>42832.749236111114</v>
      </c>
      <c r="AP175" s="86" t="str">
        <f>HYPERLINK("https://pbs.twimg.com/profile_banners/850407550616977408/1563649861")</f>
        <v>https://pbs.twimg.com/profile_banners/850407550616977408/1563649861</v>
      </c>
      <c r="AQ175" s="79" t="b">
        <v>1</v>
      </c>
      <c r="AR175" s="79" t="b">
        <v>0</v>
      </c>
      <c r="AS175" s="79" t="b">
        <v>0</v>
      </c>
      <c r="AT175" s="79"/>
      <c r="AU175" s="79">
        <v>0</v>
      </c>
      <c r="AV175" s="79"/>
      <c r="AW175" s="79" t="b">
        <v>0</v>
      </c>
      <c r="AX175" s="79" t="s">
        <v>2381</v>
      </c>
      <c r="AY175" s="86" t="str">
        <f>HYPERLINK("https://twitter.com/danieltucholski")</f>
        <v>https://twitter.com/danieltucholski</v>
      </c>
      <c r="AZ175" s="79" t="s">
        <v>66</v>
      </c>
      <c r="BA175" s="50" t="s">
        <v>2697</v>
      </c>
      <c r="BB175" s="50" t="s">
        <v>2697</v>
      </c>
      <c r="BC175" s="50" t="s">
        <v>632</v>
      </c>
      <c r="BD175" s="50" t="s">
        <v>632</v>
      </c>
      <c r="BE175" s="50" t="s">
        <v>357</v>
      </c>
      <c r="BF175" s="50" t="s">
        <v>357</v>
      </c>
      <c r="BG175" s="108" t="s">
        <v>2926</v>
      </c>
      <c r="BH175" s="108" t="s">
        <v>2926</v>
      </c>
      <c r="BI175" s="108" t="s">
        <v>3080</v>
      </c>
      <c r="BJ175" s="108" t="s">
        <v>3080</v>
      </c>
      <c r="BK175" s="2"/>
      <c r="BL175" s="3"/>
      <c r="BM175" s="3"/>
      <c r="BN175" s="3"/>
      <c r="BO175" s="3"/>
    </row>
    <row r="176" spans="1:67" x14ac:dyDescent="0.25">
      <c r="A176" s="65" t="s">
        <v>343</v>
      </c>
      <c r="B176" s="66"/>
      <c r="C176" s="66"/>
      <c r="D176" s="67"/>
      <c r="E176" s="69"/>
      <c r="F176" s="103" t="str">
        <f>HYPERLINK("https://pbs.twimg.com/profile_images/1451850796832858115/kV4nipzo_normal.jpg")</f>
        <v>https://pbs.twimg.com/profile_images/1451850796832858115/kV4nipzo_normal.jpg</v>
      </c>
      <c r="G176" s="66"/>
      <c r="H176" s="70"/>
      <c r="I176" s="71"/>
      <c r="J176" s="71"/>
      <c r="K176" s="70" t="s">
        <v>2554</v>
      </c>
      <c r="L176" s="74"/>
      <c r="M176" s="75">
        <v>5335.32861328125</v>
      </c>
      <c r="N176" s="75">
        <v>3213.156982421875</v>
      </c>
      <c r="O176" s="76"/>
      <c r="P176" s="77"/>
      <c r="Q176" s="77"/>
      <c r="R176" s="89"/>
      <c r="S176" s="50">
        <v>0</v>
      </c>
      <c r="T176" s="50">
        <v>1</v>
      </c>
      <c r="U176" s="51">
        <v>0</v>
      </c>
      <c r="V176" s="51">
        <v>0.34300799999999998</v>
      </c>
      <c r="W176" s="51">
        <v>4.5978999999999999E-2</v>
      </c>
      <c r="X176" s="51">
        <v>4.3769999999999998E-3</v>
      </c>
      <c r="Y176" s="51">
        <v>0</v>
      </c>
      <c r="Z176" s="51">
        <v>0</v>
      </c>
      <c r="AA176" s="72">
        <v>176</v>
      </c>
      <c r="AB176" s="72"/>
      <c r="AC176" s="73"/>
      <c r="AD176" s="79" t="s">
        <v>1900</v>
      </c>
      <c r="AE176" s="84" t="s">
        <v>2094</v>
      </c>
      <c r="AF176" s="79">
        <v>12</v>
      </c>
      <c r="AG176" s="79">
        <v>7</v>
      </c>
      <c r="AH176" s="79">
        <v>17</v>
      </c>
      <c r="AI176" s="79">
        <v>30</v>
      </c>
      <c r="AJ176" s="79"/>
      <c r="AK176" s="79"/>
      <c r="AL176" s="79"/>
      <c r="AM176" s="79"/>
      <c r="AN176" s="79"/>
      <c r="AO176" s="81">
        <v>44492.406851851854</v>
      </c>
      <c r="AP176" s="79"/>
      <c r="AQ176" s="79" t="b">
        <v>1</v>
      </c>
      <c r="AR176" s="79" t="b">
        <v>0</v>
      </c>
      <c r="AS176" s="79" t="b">
        <v>0</v>
      </c>
      <c r="AT176" s="79"/>
      <c r="AU176" s="79">
        <v>0</v>
      </c>
      <c r="AV176" s="79"/>
      <c r="AW176" s="79" t="b">
        <v>0</v>
      </c>
      <c r="AX176" s="79" t="s">
        <v>2381</v>
      </c>
      <c r="AY176" s="86" t="str">
        <f>HYPERLINK("https://twitter.com/spencerfreedma8")</f>
        <v>https://twitter.com/spencerfreedma8</v>
      </c>
      <c r="AZ176" s="79" t="s">
        <v>66</v>
      </c>
      <c r="BA176" s="50"/>
      <c r="BB176" s="50"/>
      <c r="BC176" s="50"/>
      <c r="BD176" s="50"/>
      <c r="BE176" s="50" t="s">
        <v>700</v>
      </c>
      <c r="BF176" s="50" t="s">
        <v>700</v>
      </c>
      <c r="BG176" s="108" t="s">
        <v>2915</v>
      </c>
      <c r="BH176" s="108" t="s">
        <v>2915</v>
      </c>
      <c r="BI176" s="108" t="s">
        <v>3065</v>
      </c>
      <c r="BJ176" s="108" t="s">
        <v>3065</v>
      </c>
      <c r="BK176" s="2"/>
      <c r="BL176" s="3"/>
      <c r="BM176" s="3"/>
      <c r="BN176" s="3"/>
      <c r="BO176" s="3"/>
    </row>
    <row r="177" spans="1:67" x14ac:dyDescent="0.25">
      <c r="A177" s="65" t="s">
        <v>344</v>
      </c>
      <c r="B177" s="66"/>
      <c r="C177" s="66"/>
      <c r="D177" s="67"/>
      <c r="E177" s="69"/>
      <c r="F177" s="103" t="str">
        <f>HYPERLINK("https://pbs.twimg.com/profile_images/1247987156787662849/CmTbtyNU_normal.jpg")</f>
        <v>https://pbs.twimg.com/profile_images/1247987156787662849/CmTbtyNU_normal.jpg</v>
      </c>
      <c r="G177" s="66"/>
      <c r="H177" s="70"/>
      <c r="I177" s="71"/>
      <c r="J177" s="71"/>
      <c r="K177" s="70" t="s">
        <v>2555</v>
      </c>
      <c r="L177" s="74"/>
      <c r="M177" s="75">
        <v>9610.8798828125</v>
      </c>
      <c r="N177" s="75">
        <v>3786.425537109375</v>
      </c>
      <c r="O177" s="76"/>
      <c r="P177" s="77"/>
      <c r="Q177" s="77"/>
      <c r="R177" s="89"/>
      <c r="S177" s="50">
        <v>0</v>
      </c>
      <c r="T177" s="50">
        <v>1</v>
      </c>
      <c r="U177" s="51">
        <v>0</v>
      </c>
      <c r="V177" s="51">
        <v>0.34300799999999998</v>
      </c>
      <c r="W177" s="51">
        <v>4.5978999999999999E-2</v>
      </c>
      <c r="X177" s="51">
        <v>4.3769999999999998E-3</v>
      </c>
      <c r="Y177" s="51">
        <v>0</v>
      </c>
      <c r="Z177" s="51">
        <v>0</v>
      </c>
      <c r="AA177" s="72">
        <v>177</v>
      </c>
      <c r="AB177" s="72"/>
      <c r="AC177" s="73"/>
      <c r="AD177" s="79" t="s">
        <v>1901</v>
      </c>
      <c r="AE177" s="84" t="s">
        <v>2095</v>
      </c>
      <c r="AF177" s="79">
        <v>5003</v>
      </c>
      <c r="AG177" s="79">
        <v>1980</v>
      </c>
      <c r="AH177" s="79">
        <v>11773</v>
      </c>
      <c r="AI177" s="79">
        <v>7849</v>
      </c>
      <c r="AJ177" s="79"/>
      <c r="AK177" s="79" t="s">
        <v>2275</v>
      </c>
      <c r="AL177" s="79" t="s">
        <v>1694</v>
      </c>
      <c r="AM177" s="86" t="str">
        <f>HYPERLINK("https://t.co/AHHcfLCGyw")</f>
        <v>https://t.co/AHHcfLCGyw</v>
      </c>
      <c r="AN177" s="79"/>
      <c r="AO177" s="81">
        <v>39942.134606481479</v>
      </c>
      <c r="AP177" s="86" t="str">
        <f>HYPERLINK("https://pbs.twimg.com/profile_banners/38786271/1586380003")</f>
        <v>https://pbs.twimg.com/profile_banners/38786271/1586380003</v>
      </c>
      <c r="AQ177" s="79" t="b">
        <v>0</v>
      </c>
      <c r="AR177" s="79" t="b">
        <v>0</v>
      </c>
      <c r="AS177" s="79" t="b">
        <v>1</v>
      </c>
      <c r="AT177" s="79"/>
      <c r="AU177" s="79">
        <v>50</v>
      </c>
      <c r="AV177" s="86" t="str">
        <f>HYPERLINK("https://abs.twimg.com/images/themes/theme1/bg.png")</f>
        <v>https://abs.twimg.com/images/themes/theme1/bg.png</v>
      </c>
      <c r="AW177" s="79" t="b">
        <v>0</v>
      </c>
      <c r="AX177" s="79" t="s">
        <v>2381</v>
      </c>
      <c r="AY177" s="86" t="str">
        <f>HYPERLINK("https://twitter.com/patdeezy")</f>
        <v>https://twitter.com/patdeezy</v>
      </c>
      <c r="AZ177" s="79" t="s">
        <v>66</v>
      </c>
      <c r="BA177" s="50"/>
      <c r="BB177" s="50"/>
      <c r="BC177" s="50"/>
      <c r="BD177" s="50"/>
      <c r="BE177" s="50" t="s">
        <v>700</v>
      </c>
      <c r="BF177" s="50" t="s">
        <v>700</v>
      </c>
      <c r="BG177" s="108" t="s">
        <v>2915</v>
      </c>
      <c r="BH177" s="108" t="s">
        <v>2915</v>
      </c>
      <c r="BI177" s="108" t="s">
        <v>3065</v>
      </c>
      <c r="BJ177" s="108" t="s">
        <v>3065</v>
      </c>
      <c r="BK177" s="2"/>
      <c r="BL177" s="3"/>
      <c r="BM177" s="3"/>
      <c r="BN177" s="3"/>
      <c r="BO177" s="3"/>
    </row>
    <row r="178" spans="1:67" x14ac:dyDescent="0.25">
      <c r="A178" s="65" t="s">
        <v>345</v>
      </c>
      <c r="B178" s="66"/>
      <c r="C178" s="66"/>
      <c r="D178" s="67"/>
      <c r="E178" s="69"/>
      <c r="F178" s="103" t="str">
        <f>HYPERLINK("https://pbs.twimg.com/profile_images/1165607388881149953/DTCHMJs6_normal.jpg")</f>
        <v>https://pbs.twimg.com/profile_images/1165607388881149953/DTCHMJs6_normal.jpg</v>
      </c>
      <c r="G178" s="66"/>
      <c r="H178" s="70"/>
      <c r="I178" s="71"/>
      <c r="J178" s="71"/>
      <c r="K178" s="70" t="s">
        <v>2556</v>
      </c>
      <c r="L178" s="74"/>
      <c r="M178" s="75">
        <v>3667.362060546875</v>
      </c>
      <c r="N178" s="75">
        <v>9780.6640625</v>
      </c>
      <c r="O178" s="76"/>
      <c r="P178" s="77"/>
      <c r="Q178" s="77"/>
      <c r="R178" s="89"/>
      <c r="S178" s="50">
        <v>0</v>
      </c>
      <c r="T178" s="50">
        <v>1</v>
      </c>
      <c r="U178" s="51">
        <v>0</v>
      </c>
      <c r="V178" s="51">
        <v>0.26289800000000002</v>
      </c>
      <c r="W178" s="51">
        <v>1.0782999999999999E-2</v>
      </c>
      <c r="X178" s="51">
        <v>4.4019999999999997E-3</v>
      </c>
      <c r="Y178" s="51">
        <v>0</v>
      </c>
      <c r="Z178" s="51">
        <v>0</v>
      </c>
      <c r="AA178" s="72">
        <v>178</v>
      </c>
      <c r="AB178" s="72"/>
      <c r="AC178" s="73"/>
      <c r="AD178" s="79" t="s">
        <v>1902</v>
      </c>
      <c r="AE178" s="84" t="s">
        <v>2096</v>
      </c>
      <c r="AF178" s="79">
        <v>443</v>
      </c>
      <c r="AG178" s="79">
        <v>73</v>
      </c>
      <c r="AH178" s="79">
        <v>678</v>
      </c>
      <c r="AI178" s="79">
        <v>1709</v>
      </c>
      <c r="AJ178" s="79"/>
      <c r="AK178" s="79" t="s">
        <v>2276</v>
      </c>
      <c r="AL178" s="79" t="s">
        <v>2371</v>
      </c>
      <c r="AM178" s="86" t="str">
        <f>HYPERLINK("https://t.co/RG22dKAL9r")</f>
        <v>https://t.co/RG22dKAL9r</v>
      </c>
      <c r="AN178" s="79"/>
      <c r="AO178" s="81">
        <v>42925.782511574071</v>
      </c>
      <c r="AP178" s="86" t="str">
        <f>HYPERLINK("https://pbs.twimg.com/profile_banners/884121679395520513/1499633809")</f>
        <v>https://pbs.twimg.com/profile_banners/884121679395520513/1499633809</v>
      </c>
      <c r="AQ178" s="79" t="b">
        <v>1</v>
      </c>
      <c r="AR178" s="79" t="b">
        <v>0</v>
      </c>
      <c r="AS178" s="79" t="b">
        <v>0</v>
      </c>
      <c r="AT178" s="79"/>
      <c r="AU178" s="79">
        <v>2</v>
      </c>
      <c r="AV178" s="79"/>
      <c r="AW178" s="79" t="b">
        <v>0</v>
      </c>
      <c r="AX178" s="79" t="s">
        <v>2381</v>
      </c>
      <c r="AY178" s="86" t="str">
        <f>HYPERLINK("https://twitter.com/vixeyfoxdouglas")</f>
        <v>https://twitter.com/vixeyfoxdouglas</v>
      </c>
      <c r="AZ178" s="79" t="s">
        <v>66</v>
      </c>
      <c r="BA178" s="50" t="s">
        <v>2698</v>
      </c>
      <c r="BB178" s="50" t="s">
        <v>2698</v>
      </c>
      <c r="BC178" s="50" t="s">
        <v>632</v>
      </c>
      <c r="BD178" s="50" t="s">
        <v>632</v>
      </c>
      <c r="BE178" s="50" t="s">
        <v>357</v>
      </c>
      <c r="BF178" s="50" t="s">
        <v>357</v>
      </c>
      <c r="BG178" s="108" t="s">
        <v>2927</v>
      </c>
      <c r="BH178" s="108" t="s">
        <v>2927</v>
      </c>
      <c r="BI178" s="108" t="s">
        <v>3081</v>
      </c>
      <c r="BJ178" s="108" t="s">
        <v>3081</v>
      </c>
      <c r="BK178" s="2"/>
      <c r="BL178" s="3"/>
      <c r="BM178" s="3"/>
      <c r="BN178" s="3"/>
      <c r="BO178" s="3"/>
    </row>
    <row r="179" spans="1:67" x14ac:dyDescent="0.25">
      <c r="A179" s="65" t="s">
        <v>346</v>
      </c>
      <c r="B179" s="66"/>
      <c r="C179" s="66"/>
      <c r="D179" s="67"/>
      <c r="E179" s="69"/>
      <c r="F179" s="103" t="str">
        <f>HYPERLINK("https://pbs.twimg.com/profile_images/3551409876/0113aa051dd9de887592199794f878e8_normal.jpeg")</f>
        <v>https://pbs.twimg.com/profile_images/3551409876/0113aa051dd9de887592199794f878e8_normal.jpeg</v>
      </c>
      <c r="G179" s="66"/>
      <c r="H179" s="70"/>
      <c r="I179" s="71"/>
      <c r="J179" s="71"/>
      <c r="K179" s="70" t="s">
        <v>2557</v>
      </c>
      <c r="L179" s="74"/>
      <c r="M179" s="75">
        <v>2064.777587890625</v>
      </c>
      <c r="N179" s="75">
        <v>7071.6083984375</v>
      </c>
      <c r="O179" s="76"/>
      <c r="P179" s="77"/>
      <c r="Q179" s="77"/>
      <c r="R179" s="89"/>
      <c r="S179" s="50">
        <v>0</v>
      </c>
      <c r="T179" s="50">
        <v>3</v>
      </c>
      <c r="U179" s="51">
        <v>0.94849499999999998</v>
      </c>
      <c r="V179" s="51">
        <v>0.284416</v>
      </c>
      <c r="W179" s="51">
        <v>5.0769000000000002E-2</v>
      </c>
      <c r="X179" s="51">
        <v>4.5100000000000001E-3</v>
      </c>
      <c r="Y179" s="51">
        <v>0.33333333333333331</v>
      </c>
      <c r="Z179" s="51">
        <v>0</v>
      </c>
      <c r="AA179" s="72">
        <v>179</v>
      </c>
      <c r="AB179" s="72"/>
      <c r="AC179" s="73"/>
      <c r="AD179" s="79" t="s">
        <v>1903</v>
      </c>
      <c r="AE179" s="84" t="s">
        <v>2097</v>
      </c>
      <c r="AF179" s="79">
        <v>355</v>
      </c>
      <c r="AG179" s="79">
        <v>265</v>
      </c>
      <c r="AH179" s="79">
        <v>2027</v>
      </c>
      <c r="AI179" s="79">
        <v>8341</v>
      </c>
      <c r="AJ179" s="79"/>
      <c r="AK179" s="79" t="s">
        <v>2277</v>
      </c>
      <c r="AL179" s="79" t="s">
        <v>1694</v>
      </c>
      <c r="AM179" s="79"/>
      <c r="AN179" s="79"/>
      <c r="AO179" s="81">
        <v>41301.628078703703</v>
      </c>
      <c r="AP179" s="86" t="str">
        <f>HYPERLINK("https://pbs.twimg.com/profile_banners/1125307027/1366835989")</f>
        <v>https://pbs.twimg.com/profile_banners/1125307027/1366835989</v>
      </c>
      <c r="AQ179" s="79" t="b">
        <v>0</v>
      </c>
      <c r="AR179" s="79" t="b">
        <v>0</v>
      </c>
      <c r="AS179" s="79" t="b">
        <v>0</v>
      </c>
      <c r="AT179" s="79"/>
      <c r="AU179" s="79">
        <v>9</v>
      </c>
      <c r="AV179" s="86" t="str">
        <f>HYPERLINK("https://abs.twimg.com/images/themes/theme2/bg.gif")</f>
        <v>https://abs.twimg.com/images/themes/theme2/bg.gif</v>
      </c>
      <c r="AW179" s="79" t="b">
        <v>0</v>
      </c>
      <c r="AX179" s="79" t="s">
        <v>2381</v>
      </c>
      <c r="AY179" s="86" t="str">
        <f>HYPERLINK("https://twitter.com/buffalodr")</f>
        <v>https://twitter.com/buffalodr</v>
      </c>
      <c r="AZ179" s="79" t="s">
        <v>66</v>
      </c>
      <c r="BA179" s="50"/>
      <c r="BB179" s="50"/>
      <c r="BC179" s="50"/>
      <c r="BD179" s="50"/>
      <c r="BE179" s="50" t="s">
        <v>702</v>
      </c>
      <c r="BF179" s="50" t="s">
        <v>702</v>
      </c>
      <c r="BG179" s="108" t="s">
        <v>2928</v>
      </c>
      <c r="BH179" s="108" t="s">
        <v>2928</v>
      </c>
      <c r="BI179" s="108" t="s">
        <v>3082</v>
      </c>
      <c r="BJ179" s="108" t="s">
        <v>3082</v>
      </c>
      <c r="BK179" s="2"/>
      <c r="BL179" s="3"/>
      <c r="BM179" s="3"/>
      <c r="BN179" s="3"/>
      <c r="BO179" s="3"/>
    </row>
    <row r="180" spans="1:67" x14ac:dyDescent="0.25">
      <c r="A180" s="65" t="s">
        <v>347</v>
      </c>
      <c r="B180" s="66"/>
      <c r="C180" s="66"/>
      <c r="D180" s="67"/>
      <c r="E180" s="69"/>
      <c r="F180" s="103" t="str">
        <f>HYPERLINK("https://pbs.twimg.com/profile_images/1106499735161106433/IlPl9xqp_normal.jpg")</f>
        <v>https://pbs.twimg.com/profile_images/1106499735161106433/IlPl9xqp_normal.jpg</v>
      </c>
      <c r="G180" s="66"/>
      <c r="H180" s="70"/>
      <c r="I180" s="71"/>
      <c r="J180" s="71"/>
      <c r="K180" s="70" t="s">
        <v>2558</v>
      </c>
      <c r="L180" s="74"/>
      <c r="M180" s="75">
        <v>6698.53125</v>
      </c>
      <c r="N180" s="75">
        <v>5255.05078125</v>
      </c>
      <c r="O180" s="76"/>
      <c r="P180" s="77"/>
      <c r="Q180" s="77"/>
      <c r="R180" s="89"/>
      <c r="S180" s="50">
        <v>2</v>
      </c>
      <c r="T180" s="50">
        <v>5</v>
      </c>
      <c r="U180" s="51">
        <v>69.718121999999994</v>
      </c>
      <c r="V180" s="51">
        <v>0.36577100000000001</v>
      </c>
      <c r="W180" s="51">
        <v>0.117993</v>
      </c>
      <c r="X180" s="51">
        <v>4.7889999999999999E-3</v>
      </c>
      <c r="Y180" s="51">
        <v>0.45</v>
      </c>
      <c r="Z180" s="51">
        <v>0</v>
      </c>
      <c r="AA180" s="72">
        <v>180</v>
      </c>
      <c r="AB180" s="72"/>
      <c r="AC180" s="73"/>
      <c r="AD180" s="79" t="s">
        <v>1904</v>
      </c>
      <c r="AE180" s="84" t="s">
        <v>2098</v>
      </c>
      <c r="AF180" s="79">
        <v>814</v>
      </c>
      <c r="AG180" s="79">
        <v>241</v>
      </c>
      <c r="AH180" s="79">
        <v>3215</v>
      </c>
      <c r="AI180" s="79">
        <v>10568</v>
      </c>
      <c r="AJ180" s="79"/>
      <c r="AK180" s="79" t="s">
        <v>2278</v>
      </c>
      <c r="AL180" s="79" t="s">
        <v>2372</v>
      </c>
      <c r="AM180" s="86" t="str">
        <f>HYPERLINK("https://t.co/yVxocsGKeX")</f>
        <v>https://t.co/yVxocsGKeX</v>
      </c>
      <c r="AN180" s="79"/>
      <c r="AO180" s="81">
        <v>39856.245011574072</v>
      </c>
      <c r="AP180" s="86" t="str">
        <f>HYPERLINK("https://pbs.twimg.com/profile_banners/20657429/1632746123")</f>
        <v>https://pbs.twimg.com/profile_banners/20657429/1632746123</v>
      </c>
      <c r="AQ180" s="79" t="b">
        <v>0</v>
      </c>
      <c r="AR180" s="79" t="b">
        <v>0</v>
      </c>
      <c r="AS180" s="79" t="b">
        <v>1</v>
      </c>
      <c r="AT180" s="79"/>
      <c r="AU180" s="79">
        <v>8</v>
      </c>
      <c r="AV180" s="86" t="str">
        <f>HYPERLINK("https://abs.twimg.com/images/themes/theme6/bg.gif")</f>
        <v>https://abs.twimg.com/images/themes/theme6/bg.gif</v>
      </c>
      <c r="AW180" s="79" t="b">
        <v>0</v>
      </c>
      <c r="AX180" s="79" t="s">
        <v>2381</v>
      </c>
      <c r="AY180" s="86" t="str">
        <f>HYPERLINK("https://twitter.com/jastrzab")</f>
        <v>https://twitter.com/jastrzab</v>
      </c>
      <c r="AZ180" s="79" t="s">
        <v>66</v>
      </c>
      <c r="BA180" s="50" t="s">
        <v>2699</v>
      </c>
      <c r="BB180" s="50" t="s">
        <v>2699</v>
      </c>
      <c r="BC180" s="50" t="s">
        <v>2729</v>
      </c>
      <c r="BD180" s="50" t="s">
        <v>2740</v>
      </c>
      <c r="BE180" s="50" t="s">
        <v>2773</v>
      </c>
      <c r="BF180" s="50" t="s">
        <v>2814</v>
      </c>
      <c r="BG180" s="108" t="s">
        <v>2929</v>
      </c>
      <c r="BH180" s="108" t="s">
        <v>2929</v>
      </c>
      <c r="BI180" s="108" t="s">
        <v>3083</v>
      </c>
      <c r="BJ180" s="108" t="s">
        <v>3083</v>
      </c>
      <c r="BK180" s="2"/>
      <c r="BL180" s="3"/>
      <c r="BM180" s="3"/>
      <c r="BN180" s="3"/>
      <c r="BO180" s="3"/>
    </row>
    <row r="181" spans="1:67" x14ac:dyDescent="0.25">
      <c r="A181" s="65" t="s">
        <v>348</v>
      </c>
      <c r="B181" s="66"/>
      <c r="C181" s="66"/>
      <c r="D181" s="67"/>
      <c r="E181" s="69"/>
      <c r="F181" s="103" t="str">
        <f>HYPERLINK("https://pbs.twimg.com/profile_images/1419646236345389059/-CYYT9pj_normal.jpg")</f>
        <v>https://pbs.twimg.com/profile_images/1419646236345389059/-CYYT9pj_normal.jpg</v>
      </c>
      <c r="G181" s="66"/>
      <c r="H181" s="70"/>
      <c r="I181" s="71"/>
      <c r="J181" s="71"/>
      <c r="K181" s="70" t="s">
        <v>2559</v>
      </c>
      <c r="L181" s="74"/>
      <c r="M181" s="75">
        <v>5873.1435546875</v>
      </c>
      <c r="N181" s="75">
        <v>6404.4169921875</v>
      </c>
      <c r="O181" s="76"/>
      <c r="P181" s="77"/>
      <c r="Q181" s="77"/>
      <c r="R181" s="89"/>
      <c r="S181" s="50">
        <v>0</v>
      </c>
      <c r="T181" s="50">
        <v>12</v>
      </c>
      <c r="U181" s="51">
        <v>410.32215200000002</v>
      </c>
      <c r="V181" s="51">
        <v>0.37787700000000002</v>
      </c>
      <c r="W181" s="51">
        <v>0.17744199999999999</v>
      </c>
      <c r="X181" s="51">
        <v>5.3790000000000001E-3</v>
      </c>
      <c r="Y181" s="51">
        <v>0.21212121212121213</v>
      </c>
      <c r="Z181" s="51">
        <v>0</v>
      </c>
      <c r="AA181" s="72">
        <v>181</v>
      </c>
      <c r="AB181" s="72"/>
      <c r="AC181" s="73"/>
      <c r="AD181" s="79" t="s">
        <v>1905</v>
      </c>
      <c r="AE181" s="84" t="s">
        <v>2099</v>
      </c>
      <c r="AF181" s="79">
        <v>417</v>
      </c>
      <c r="AG181" s="79">
        <v>740</v>
      </c>
      <c r="AH181" s="79">
        <v>72478</v>
      </c>
      <c r="AI181" s="79">
        <v>57582</v>
      </c>
      <c r="AJ181" s="79"/>
      <c r="AK181" s="79" t="s">
        <v>2279</v>
      </c>
      <c r="AL181" s="79" t="s">
        <v>2373</v>
      </c>
      <c r="AM181" s="86" t="str">
        <f>HYPERLINK("http://t.co/qpjjXqSKDG")</f>
        <v>http://t.co/qpjjXqSKDG</v>
      </c>
      <c r="AN181" s="79"/>
      <c r="AO181" s="81">
        <v>40100.144699074073</v>
      </c>
      <c r="AP181" s="86" t="str">
        <f>HYPERLINK("https://pbs.twimg.com/profile_banners/82266118/1619829322")</f>
        <v>https://pbs.twimg.com/profile_banners/82266118/1619829322</v>
      </c>
      <c r="AQ181" s="79" t="b">
        <v>0</v>
      </c>
      <c r="AR181" s="79" t="b">
        <v>0</v>
      </c>
      <c r="AS181" s="79" t="b">
        <v>1</v>
      </c>
      <c r="AT181" s="79"/>
      <c r="AU181" s="79">
        <v>19</v>
      </c>
      <c r="AV181" s="86" t="str">
        <f>HYPERLINK("https://abs.twimg.com/images/themes/theme15/bg.png")</f>
        <v>https://abs.twimg.com/images/themes/theme15/bg.png</v>
      </c>
      <c r="AW181" s="79" t="b">
        <v>0</v>
      </c>
      <c r="AX181" s="79" t="s">
        <v>2381</v>
      </c>
      <c r="AY181" s="86" t="str">
        <f>HYPERLINK("https://twitter.com/ubbulls1")</f>
        <v>https://twitter.com/ubbulls1</v>
      </c>
      <c r="AZ181" s="79" t="s">
        <v>66</v>
      </c>
      <c r="BA181" s="50" t="s">
        <v>2700</v>
      </c>
      <c r="BB181" s="50" t="s">
        <v>2700</v>
      </c>
      <c r="BC181" s="50" t="s">
        <v>2730</v>
      </c>
      <c r="BD181" s="50" t="s">
        <v>2741</v>
      </c>
      <c r="BE181" s="50" t="s">
        <v>2774</v>
      </c>
      <c r="BF181" s="50" t="s">
        <v>2815</v>
      </c>
      <c r="BG181" s="108" t="s">
        <v>2930</v>
      </c>
      <c r="BH181" s="108" t="s">
        <v>2981</v>
      </c>
      <c r="BI181" s="108" t="s">
        <v>3084</v>
      </c>
      <c r="BJ181" s="108" t="s">
        <v>3084</v>
      </c>
      <c r="BK181" s="2"/>
      <c r="BL181" s="3"/>
      <c r="BM181" s="3"/>
      <c r="BN181" s="3"/>
      <c r="BO181" s="3"/>
    </row>
    <row r="182" spans="1:67" x14ac:dyDescent="0.25">
      <c r="A182" s="65" t="s">
        <v>349</v>
      </c>
      <c r="B182" s="66"/>
      <c r="C182" s="66"/>
      <c r="D182" s="67"/>
      <c r="E182" s="69"/>
      <c r="F182" s="103" t="str">
        <f>HYPERLINK("https://pbs.twimg.com/profile_images/1435969980844158977/qq4KOiIK_normal.jpg")</f>
        <v>https://pbs.twimg.com/profile_images/1435969980844158977/qq4KOiIK_normal.jpg</v>
      </c>
      <c r="G182" s="66"/>
      <c r="H182" s="70"/>
      <c r="I182" s="71"/>
      <c r="J182" s="71"/>
      <c r="K182" s="70" t="s">
        <v>2560</v>
      </c>
      <c r="L182" s="74"/>
      <c r="M182" s="75">
        <v>4789.6904296875</v>
      </c>
      <c r="N182" s="75">
        <v>3689.55322265625</v>
      </c>
      <c r="O182" s="76"/>
      <c r="P182" s="77"/>
      <c r="Q182" s="77"/>
      <c r="R182" s="89"/>
      <c r="S182" s="50">
        <v>0</v>
      </c>
      <c r="T182" s="50">
        <v>4</v>
      </c>
      <c r="U182" s="51">
        <v>0.94849499999999998</v>
      </c>
      <c r="V182" s="51">
        <v>0.35520400000000002</v>
      </c>
      <c r="W182" s="51">
        <v>9.6749000000000002E-2</v>
      </c>
      <c r="X182" s="51">
        <v>4.5719999999999997E-3</v>
      </c>
      <c r="Y182" s="51">
        <v>0.41666666666666669</v>
      </c>
      <c r="Z182" s="51">
        <v>0</v>
      </c>
      <c r="AA182" s="72">
        <v>182</v>
      </c>
      <c r="AB182" s="72"/>
      <c r="AC182" s="73"/>
      <c r="AD182" s="79" t="s">
        <v>1906</v>
      </c>
      <c r="AE182" s="84" t="s">
        <v>2100</v>
      </c>
      <c r="AF182" s="79">
        <v>145</v>
      </c>
      <c r="AG182" s="79">
        <v>1152</v>
      </c>
      <c r="AH182" s="79">
        <v>3258</v>
      </c>
      <c r="AI182" s="79">
        <v>2708</v>
      </c>
      <c r="AJ182" s="79"/>
      <c r="AK182" s="79" t="s">
        <v>2280</v>
      </c>
      <c r="AL182" s="79" t="s">
        <v>1694</v>
      </c>
      <c r="AM182" s="79"/>
      <c r="AN182" s="79"/>
      <c r="AO182" s="81">
        <v>41099.056377314817</v>
      </c>
      <c r="AP182" s="86" t="str">
        <f>HYPERLINK("https://pbs.twimg.com/profile_banners/630675691/1635129291")</f>
        <v>https://pbs.twimg.com/profile_banners/630675691/1635129291</v>
      </c>
      <c r="AQ182" s="79" t="b">
        <v>0</v>
      </c>
      <c r="AR182" s="79" t="b">
        <v>0</v>
      </c>
      <c r="AS182" s="79" t="b">
        <v>0</v>
      </c>
      <c r="AT182" s="79"/>
      <c r="AU182" s="79">
        <v>22</v>
      </c>
      <c r="AV182" s="86" t="str">
        <f>HYPERLINK("https://abs.twimg.com/images/themes/theme1/bg.png")</f>
        <v>https://abs.twimg.com/images/themes/theme1/bg.png</v>
      </c>
      <c r="AW182" s="79" t="b">
        <v>0</v>
      </c>
      <c r="AX182" s="79" t="s">
        <v>2381</v>
      </c>
      <c r="AY182" s="86" t="str">
        <f>HYPERLINK("https://twitter.com/ubdazzlers")</f>
        <v>https://twitter.com/ubdazzlers</v>
      </c>
      <c r="AZ182" s="79" t="s">
        <v>66</v>
      </c>
      <c r="BA182" s="50"/>
      <c r="BB182" s="50"/>
      <c r="BC182" s="50"/>
      <c r="BD182" s="50"/>
      <c r="BE182" s="50" t="s">
        <v>700</v>
      </c>
      <c r="BF182" s="50" t="s">
        <v>2816</v>
      </c>
      <c r="BG182" s="108" t="s">
        <v>2931</v>
      </c>
      <c r="BH182" s="108" t="s">
        <v>2982</v>
      </c>
      <c r="BI182" s="108" t="s">
        <v>3065</v>
      </c>
      <c r="BJ182" s="108" t="s">
        <v>3065</v>
      </c>
      <c r="BK182" s="2"/>
      <c r="BL182" s="3"/>
      <c r="BM182" s="3"/>
      <c r="BN182" s="3"/>
      <c r="BO182" s="3"/>
    </row>
    <row r="183" spans="1:67" x14ac:dyDescent="0.25">
      <c r="A183" s="65" t="s">
        <v>350</v>
      </c>
      <c r="B183" s="66"/>
      <c r="C183" s="66"/>
      <c r="D183" s="67"/>
      <c r="E183" s="69"/>
      <c r="F183" s="103" t="str">
        <f>HYPERLINK("https://pbs.twimg.com/profile_images/1141745722070618112/noFTWtPD_normal.jpg")</f>
        <v>https://pbs.twimg.com/profile_images/1141745722070618112/noFTWtPD_normal.jpg</v>
      </c>
      <c r="G183" s="66"/>
      <c r="H183" s="70"/>
      <c r="I183" s="71"/>
      <c r="J183" s="71"/>
      <c r="K183" s="70" t="s">
        <v>2561</v>
      </c>
      <c r="L183" s="74"/>
      <c r="M183" s="75">
        <v>3641.850341796875</v>
      </c>
      <c r="N183" s="75">
        <v>1983.269287109375</v>
      </c>
      <c r="O183" s="76"/>
      <c r="P183" s="77"/>
      <c r="Q183" s="77"/>
      <c r="R183" s="89"/>
      <c r="S183" s="50">
        <v>0</v>
      </c>
      <c r="T183" s="50">
        <v>1</v>
      </c>
      <c r="U183" s="51">
        <v>0</v>
      </c>
      <c r="V183" s="51">
        <v>0.34300799999999998</v>
      </c>
      <c r="W183" s="51">
        <v>4.5978999999999999E-2</v>
      </c>
      <c r="X183" s="51">
        <v>4.3769999999999998E-3</v>
      </c>
      <c r="Y183" s="51">
        <v>0</v>
      </c>
      <c r="Z183" s="51">
        <v>0</v>
      </c>
      <c r="AA183" s="72">
        <v>183</v>
      </c>
      <c r="AB183" s="72"/>
      <c r="AC183" s="73"/>
      <c r="AD183" s="79" t="s">
        <v>1907</v>
      </c>
      <c r="AE183" s="84" t="s">
        <v>2101</v>
      </c>
      <c r="AF183" s="79">
        <v>628</v>
      </c>
      <c r="AG183" s="79">
        <v>191</v>
      </c>
      <c r="AH183" s="79">
        <v>2516</v>
      </c>
      <c r="AI183" s="79">
        <v>14678</v>
      </c>
      <c r="AJ183" s="79"/>
      <c r="AK183" s="79" t="s">
        <v>2281</v>
      </c>
      <c r="AL183" s="79" t="s">
        <v>1694</v>
      </c>
      <c r="AM183" s="79"/>
      <c r="AN183" s="79"/>
      <c r="AO183" s="81">
        <v>41566.977025462962</v>
      </c>
      <c r="AP183" s="86" t="str">
        <f>HYPERLINK("https://pbs.twimg.com/profile_banners/1973125830/1625620506")</f>
        <v>https://pbs.twimg.com/profile_banners/1973125830/1625620506</v>
      </c>
      <c r="AQ183" s="79" t="b">
        <v>1</v>
      </c>
      <c r="AR183" s="79" t="b">
        <v>0</v>
      </c>
      <c r="AS183" s="79" t="b">
        <v>0</v>
      </c>
      <c r="AT183" s="79"/>
      <c r="AU183" s="79">
        <v>2</v>
      </c>
      <c r="AV183" s="86" t="str">
        <f>HYPERLINK("https://abs.twimg.com/images/themes/theme1/bg.png")</f>
        <v>https://abs.twimg.com/images/themes/theme1/bg.png</v>
      </c>
      <c r="AW183" s="79" t="b">
        <v>0</v>
      </c>
      <c r="AX183" s="79" t="s">
        <v>2381</v>
      </c>
      <c r="AY183" s="86" t="str">
        <f>HYPERLINK("https://twitter.com/samkallday23")</f>
        <v>https://twitter.com/samkallday23</v>
      </c>
      <c r="AZ183" s="79" t="s">
        <v>66</v>
      </c>
      <c r="BA183" s="50"/>
      <c r="BB183" s="50"/>
      <c r="BC183" s="50"/>
      <c r="BD183" s="50"/>
      <c r="BE183" s="50" t="s">
        <v>700</v>
      </c>
      <c r="BF183" s="50" t="s">
        <v>700</v>
      </c>
      <c r="BG183" s="108" t="s">
        <v>2915</v>
      </c>
      <c r="BH183" s="108" t="s">
        <v>2915</v>
      </c>
      <c r="BI183" s="108" t="s">
        <v>3065</v>
      </c>
      <c r="BJ183" s="108" t="s">
        <v>3065</v>
      </c>
      <c r="BK183" s="2"/>
      <c r="BL183" s="3"/>
      <c r="BM183" s="3"/>
      <c r="BN183" s="3"/>
      <c r="BO183" s="3"/>
    </row>
    <row r="184" spans="1:67" x14ac:dyDescent="0.25">
      <c r="A184" s="65" t="s">
        <v>352</v>
      </c>
      <c r="B184" s="66"/>
      <c r="C184" s="66"/>
      <c r="D184" s="67"/>
      <c r="E184" s="69"/>
      <c r="F184" s="103" t="str">
        <f>HYPERLINK("https://pbs.twimg.com/profile_images/1453137037998100483/V5KnAqWn_normal.jpg")</f>
        <v>https://pbs.twimg.com/profile_images/1453137037998100483/V5KnAqWn_normal.jpg</v>
      </c>
      <c r="G184" s="66"/>
      <c r="H184" s="70"/>
      <c r="I184" s="71"/>
      <c r="J184" s="71"/>
      <c r="K184" s="70" t="s">
        <v>2562</v>
      </c>
      <c r="L184" s="74"/>
      <c r="M184" s="75">
        <v>5750.2158203125</v>
      </c>
      <c r="N184" s="75">
        <v>7280.2939453125</v>
      </c>
      <c r="O184" s="76"/>
      <c r="P184" s="77"/>
      <c r="Q184" s="77"/>
      <c r="R184" s="89"/>
      <c r="S184" s="50">
        <v>1</v>
      </c>
      <c r="T184" s="50">
        <v>4</v>
      </c>
      <c r="U184" s="51">
        <v>129.20790400000001</v>
      </c>
      <c r="V184" s="51">
        <v>0.35838999999999999</v>
      </c>
      <c r="W184" s="51">
        <v>8.4478999999999999E-2</v>
      </c>
      <c r="X184" s="51">
        <v>4.6740000000000002E-3</v>
      </c>
      <c r="Y184" s="51">
        <v>0.33333333333333331</v>
      </c>
      <c r="Z184" s="51">
        <v>0.25</v>
      </c>
      <c r="AA184" s="72">
        <v>184</v>
      </c>
      <c r="AB184" s="72"/>
      <c r="AC184" s="73"/>
      <c r="AD184" s="79" t="s">
        <v>1908</v>
      </c>
      <c r="AE184" s="84" t="s">
        <v>2102</v>
      </c>
      <c r="AF184" s="79">
        <v>256</v>
      </c>
      <c r="AG184" s="79">
        <v>635</v>
      </c>
      <c r="AH184" s="79">
        <v>2172</v>
      </c>
      <c r="AI184" s="79">
        <v>7138</v>
      </c>
      <c r="AJ184" s="79"/>
      <c r="AK184" s="79" t="s">
        <v>2282</v>
      </c>
      <c r="AL184" s="79" t="s">
        <v>2301</v>
      </c>
      <c r="AM184" s="79"/>
      <c r="AN184" s="79"/>
      <c r="AO184" s="81">
        <v>41881.575370370374</v>
      </c>
      <c r="AP184" s="86" t="str">
        <f>HYPERLINK("https://pbs.twimg.com/profile_banners/2755866959/1603816234")</f>
        <v>https://pbs.twimg.com/profile_banners/2755866959/1603816234</v>
      </c>
      <c r="AQ184" s="79" t="b">
        <v>1</v>
      </c>
      <c r="AR184" s="79" t="b">
        <v>0</v>
      </c>
      <c r="AS184" s="79" t="b">
        <v>0</v>
      </c>
      <c r="AT184" s="79"/>
      <c r="AU184" s="79">
        <v>8</v>
      </c>
      <c r="AV184" s="86" t="str">
        <f>HYPERLINK("https://abs.twimg.com/images/themes/theme1/bg.png")</f>
        <v>https://abs.twimg.com/images/themes/theme1/bg.png</v>
      </c>
      <c r="AW184" s="79" t="b">
        <v>0</v>
      </c>
      <c r="AX184" s="79" t="s">
        <v>2381</v>
      </c>
      <c r="AY184" s="86" t="str">
        <f>HYPERLINK("https://twitter.com/ub_etgross")</f>
        <v>https://twitter.com/ub_etgross</v>
      </c>
      <c r="AZ184" s="79" t="s">
        <v>66</v>
      </c>
      <c r="BA184" s="50" t="s">
        <v>2701</v>
      </c>
      <c r="BB184" s="50" t="s">
        <v>2701</v>
      </c>
      <c r="BC184" s="50" t="s">
        <v>633</v>
      </c>
      <c r="BD184" s="50" t="s">
        <v>633</v>
      </c>
      <c r="BE184" s="50" t="s">
        <v>2775</v>
      </c>
      <c r="BF184" s="50" t="s">
        <v>2817</v>
      </c>
      <c r="BG184" s="108" t="s">
        <v>2932</v>
      </c>
      <c r="BH184" s="108" t="s">
        <v>2983</v>
      </c>
      <c r="BI184" s="108" t="s">
        <v>3085</v>
      </c>
      <c r="BJ184" s="108" t="s">
        <v>3085</v>
      </c>
      <c r="BK184" s="2"/>
      <c r="BL184" s="3"/>
      <c r="BM184" s="3"/>
      <c r="BN184" s="3"/>
      <c r="BO184" s="3"/>
    </row>
    <row r="185" spans="1:67" x14ac:dyDescent="0.25">
      <c r="A185" s="65" t="s">
        <v>406</v>
      </c>
      <c r="B185" s="66"/>
      <c r="C185" s="66"/>
      <c r="D185" s="67"/>
      <c r="E185" s="69"/>
      <c r="F185" s="103" t="str">
        <f>HYPERLINK("https://pbs.twimg.com/profile_images/1046959827958882304/LkucRhom_normal.jpg")</f>
        <v>https://pbs.twimg.com/profile_images/1046959827958882304/LkucRhom_normal.jpg</v>
      </c>
      <c r="G185" s="66"/>
      <c r="H185" s="70"/>
      <c r="I185" s="71"/>
      <c r="J185" s="71"/>
      <c r="K185" s="70" t="s">
        <v>2563</v>
      </c>
      <c r="L185" s="74"/>
      <c r="M185" s="75">
        <v>1641.9764404296875</v>
      </c>
      <c r="N185" s="75">
        <v>7621.6318359375</v>
      </c>
      <c r="O185" s="76"/>
      <c r="P185" s="77"/>
      <c r="Q185" s="77"/>
      <c r="R185" s="89"/>
      <c r="S185" s="50">
        <v>1</v>
      </c>
      <c r="T185" s="50">
        <v>0</v>
      </c>
      <c r="U185" s="51">
        <v>0</v>
      </c>
      <c r="V185" s="51">
        <v>0.28042400000000001</v>
      </c>
      <c r="W185" s="51">
        <v>1.7610000000000001E-2</v>
      </c>
      <c r="X185" s="51">
        <v>4.3790000000000001E-3</v>
      </c>
      <c r="Y185" s="51">
        <v>0</v>
      </c>
      <c r="Z185" s="51">
        <v>0</v>
      </c>
      <c r="AA185" s="72">
        <v>185</v>
      </c>
      <c r="AB185" s="72"/>
      <c r="AC185" s="73"/>
      <c r="AD185" s="79" t="s">
        <v>1909</v>
      </c>
      <c r="AE185" s="84" t="s">
        <v>2103</v>
      </c>
      <c r="AF185" s="79">
        <v>0</v>
      </c>
      <c r="AG185" s="79">
        <v>6</v>
      </c>
      <c r="AH185" s="79">
        <v>2</v>
      </c>
      <c r="AI185" s="79">
        <v>0</v>
      </c>
      <c r="AJ185" s="79"/>
      <c r="AK185" s="79"/>
      <c r="AL185" s="79"/>
      <c r="AM185" s="79"/>
      <c r="AN185" s="79"/>
      <c r="AO185" s="81">
        <v>43215.054837962962</v>
      </c>
      <c r="AP185" s="86" t="str">
        <f>HYPERLINK("https://pbs.twimg.com/profile_banners/988950461880328193/1538452670")</f>
        <v>https://pbs.twimg.com/profile_banners/988950461880328193/1538452670</v>
      </c>
      <c r="AQ185" s="79" t="b">
        <v>1</v>
      </c>
      <c r="AR185" s="79" t="b">
        <v>0</v>
      </c>
      <c r="AS185" s="79" t="b">
        <v>0</v>
      </c>
      <c r="AT185" s="79"/>
      <c r="AU185" s="79">
        <v>0</v>
      </c>
      <c r="AV185" s="79"/>
      <c r="AW185" s="79" t="b">
        <v>0</v>
      </c>
      <c r="AX185" s="79" t="s">
        <v>2381</v>
      </c>
      <c r="AY185" s="86" t="str">
        <f>HYPERLINK("https://twitter.com/smfofficialy")</f>
        <v>https://twitter.com/smfofficialy</v>
      </c>
      <c r="AZ185" s="79" t="s">
        <v>65</v>
      </c>
      <c r="BA185" s="50"/>
      <c r="BB185" s="50"/>
      <c r="BC185" s="50"/>
      <c r="BD185" s="50"/>
      <c r="BE185" s="50"/>
      <c r="BF185" s="50"/>
      <c r="BG185" s="50"/>
      <c r="BH185" s="50"/>
      <c r="BI185" s="50"/>
      <c r="BJ185" s="50"/>
      <c r="BK185" s="2"/>
      <c r="BL185" s="3"/>
      <c r="BM185" s="3"/>
      <c r="BN185" s="3"/>
      <c r="BO185" s="3"/>
    </row>
    <row r="186" spans="1:67" x14ac:dyDescent="0.25">
      <c r="A186" s="65" t="s">
        <v>355</v>
      </c>
      <c r="B186" s="66"/>
      <c r="C186" s="66"/>
      <c r="D186" s="67"/>
      <c r="E186" s="69"/>
      <c r="F186" s="103" t="str">
        <f>HYPERLINK("https://pbs.twimg.com/profile_images/692050386069364736/oGiV581l_normal.png")</f>
        <v>https://pbs.twimg.com/profile_images/692050386069364736/oGiV581l_normal.png</v>
      </c>
      <c r="G186" s="66"/>
      <c r="H186" s="70"/>
      <c r="I186" s="71"/>
      <c r="J186" s="71"/>
      <c r="K186" s="70" t="s">
        <v>2564</v>
      </c>
      <c r="L186" s="74"/>
      <c r="M186" s="75">
        <v>9358.185546875</v>
      </c>
      <c r="N186" s="75">
        <v>6694.66064453125</v>
      </c>
      <c r="O186" s="76"/>
      <c r="P186" s="77"/>
      <c r="Q186" s="77"/>
      <c r="R186" s="89"/>
      <c r="S186" s="50">
        <v>1</v>
      </c>
      <c r="T186" s="50">
        <v>1</v>
      </c>
      <c r="U186" s="51">
        <v>0</v>
      </c>
      <c r="V186" s="51">
        <v>0</v>
      </c>
      <c r="W186" s="51">
        <v>0</v>
      </c>
      <c r="X186" s="51">
        <v>5.0759999999999998E-3</v>
      </c>
      <c r="Y186" s="51">
        <v>0</v>
      </c>
      <c r="Z186" s="51">
        <v>0</v>
      </c>
      <c r="AA186" s="72">
        <v>186</v>
      </c>
      <c r="AB186" s="72"/>
      <c r="AC186" s="73"/>
      <c r="AD186" s="79" t="s">
        <v>1910</v>
      </c>
      <c r="AE186" s="84" t="s">
        <v>1637</v>
      </c>
      <c r="AF186" s="79">
        <v>103</v>
      </c>
      <c r="AG186" s="79">
        <v>2701</v>
      </c>
      <c r="AH186" s="79">
        <v>16507</v>
      </c>
      <c r="AI186" s="79">
        <v>1019</v>
      </c>
      <c r="AJ186" s="79"/>
      <c r="AK186" s="79" t="s">
        <v>2283</v>
      </c>
      <c r="AL186" s="79" t="s">
        <v>2374</v>
      </c>
      <c r="AM186" s="86" t="str">
        <f>HYPERLINK("https://t.co/kIuHrXQNBD")</f>
        <v>https://t.co/kIuHrXQNBD</v>
      </c>
      <c r="AN186" s="79"/>
      <c r="AO186" s="81">
        <v>40273.020358796297</v>
      </c>
      <c r="AP186" s="86" t="str">
        <f>HYPERLINK("https://pbs.twimg.com/profile_banners/129645673/1468954384")</f>
        <v>https://pbs.twimg.com/profile_banners/129645673/1468954384</v>
      </c>
      <c r="AQ186" s="79" t="b">
        <v>0</v>
      </c>
      <c r="AR186" s="79" t="b">
        <v>0</v>
      </c>
      <c r="AS186" s="79" t="b">
        <v>1</v>
      </c>
      <c r="AT186" s="79"/>
      <c r="AU186" s="79">
        <v>44</v>
      </c>
      <c r="AV186" s="86" t="str">
        <f>HYPERLINK("https://abs.twimg.com/images/themes/theme1/bg.png")</f>
        <v>https://abs.twimg.com/images/themes/theme1/bg.png</v>
      </c>
      <c r="AW186" s="79" t="b">
        <v>0</v>
      </c>
      <c r="AX186" s="79" t="s">
        <v>2381</v>
      </c>
      <c r="AY186" s="86" t="str">
        <f>HYPERLINK("https://twitter.com/amsts")</f>
        <v>https://twitter.com/amsts</v>
      </c>
      <c r="AZ186" s="79" t="s">
        <v>66</v>
      </c>
      <c r="BA186" s="50" t="s">
        <v>2702</v>
      </c>
      <c r="BB186" s="50" t="s">
        <v>2702</v>
      </c>
      <c r="BC186" s="50" t="s">
        <v>655</v>
      </c>
      <c r="BD186" s="50" t="s">
        <v>655</v>
      </c>
      <c r="BE186" s="50" t="s">
        <v>2776</v>
      </c>
      <c r="BF186" s="50" t="s">
        <v>2776</v>
      </c>
      <c r="BG186" s="108" t="s">
        <v>2933</v>
      </c>
      <c r="BH186" s="108" t="s">
        <v>2933</v>
      </c>
      <c r="BI186" s="108" t="s">
        <v>3086</v>
      </c>
      <c r="BJ186" s="108" t="s">
        <v>3086</v>
      </c>
      <c r="BK186" s="2"/>
      <c r="BL186" s="3"/>
      <c r="BM186" s="3"/>
      <c r="BN186" s="3"/>
      <c r="BO186" s="3"/>
    </row>
    <row r="187" spans="1:67" x14ac:dyDescent="0.25">
      <c r="A187" s="65" t="s">
        <v>407</v>
      </c>
      <c r="B187" s="66"/>
      <c r="C187" s="66"/>
      <c r="D187" s="67"/>
      <c r="E187" s="69"/>
      <c r="F187" s="103" t="str">
        <f>HYPERLINK("https://pbs.twimg.com/profile_images/1090991646114828289/nEytX7aq_normal.jpg")</f>
        <v>https://pbs.twimg.com/profile_images/1090991646114828289/nEytX7aq_normal.jpg</v>
      </c>
      <c r="G187" s="66"/>
      <c r="H187" s="70"/>
      <c r="I187" s="71"/>
      <c r="J187" s="71"/>
      <c r="K187" s="70" t="s">
        <v>2565</v>
      </c>
      <c r="L187" s="74"/>
      <c r="M187" s="75">
        <v>1224.4136962890625</v>
      </c>
      <c r="N187" s="75">
        <v>2115.149169921875</v>
      </c>
      <c r="O187" s="76"/>
      <c r="P187" s="77"/>
      <c r="Q187" s="77"/>
      <c r="R187" s="89"/>
      <c r="S187" s="50">
        <v>1</v>
      </c>
      <c r="T187" s="50">
        <v>0</v>
      </c>
      <c r="U187" s="51">
        <v>0</v>
      </c>
      <c r="V187" s="51">
        <v>0.25211600000000001</v>
      </c>
      <c r="W187" s="51">
        <v>4.2760000000000003E-3</v>
      </c>
      <c r="X187" s="51">
        <v>4.4799999999999996E-3</v>
      </c>
      <c r="Y187" s="51">
        <v>0</v>
      </c>
      <c r="Z187" s="51">
        <v>0</v>
      </c>
      <c r="AA187" s="72">
        <v>187</v>
      </c>
      <c r="AB187" s="72"/>
      <c r="AC187" s="73"/>
      <c r="AD187" s="79" t="s">
        <v>1911</v>
      </c>
      <c r="AE187" s="84" t="s">
        <v>2104</v>
      </c>
      <c r="AF187" s="79">
        <v>829</v>
      </c>
      <c r="AG187" s="79">
        <v>8599</v>
      </c>
      <c r="AH187" s="79">
        <v>5102</v>
      </c>
      <c r="AI187" s="79">
        <v>79</v>
      </c>
      <c r="AJ187" s="79"/>
      <c r="AK187" s="79" t="s">
        <v>2284</v>
      </c>
      <c r="AL187" s="79" t="s">
        <v>2375</v>
      </c>
      <c r="AM187" s="86" t="str">
        <f>HYPERLINK("http://t.co/q35TIIN19k")</f>
        <v>http://t.co/q35TIIN19k</v>
      </c>
      <c r="AN187" s="79"/>
      <c r="AO187" s="81">
        <v>40057.837800925925</v>
      </c>
      <c r="AP187" s="86" t="str">
        <f>HYPERLINK("https://pbs.twimg.com/profile_banners/70771821/1626726092")</f>
        <v>https://pbs.twimg.com/profile_banners/70771821/1626726092</v>
      </c>
      <c r="AQ187" s="79" t="b">
        <v>0</v>
      </c>
      <c r="AR187" s="79" t="b">
        <v>0</v>
      </c>
      <c r="AS187" s="79" t="b">
        <v>0</v>
      </c>
      <c r="AT187" s="79"/>
      <c r="AU187" s="79">
        <v>157</v>
      </c>
      <c r="AV187" s="86" t="str">
        <f>HYPERLINK("https://abs.twimg.com/images/themes/theme1/bg.png")</f>
        <v>https://abs.twimg.com/images/themes/theme1/bg.png</v>
      </c>
      <c r="AW187" s="79" t="b">
        <v>1</v>
      </c>
      <c r="AX187" s="79" t="s">
        <v>2381</v>
      </c>
      <c r="AY187" s="86" t="str">
        <f>HYPERLINK("https://twitter.com/ninr")</f>
        <v>https://twitter.com/ninr</v>
      </c>
      <c r="AZ187" s="79" t="s">
        <v>65</v>
      </c>
      <c r="BA187" s="50"/>
      <c r="BB187" s="50"/>
      <c r="BC187" s="50"/>
      <c r="BD187" s="50"/>
      <c r="BE187" s="50"/>
      <c r="BF187" s="50"/>
      <c r="BG187" s="50"/>
      <c r="BH187" s="50"/>
      <c r="BI187" s="50"/>
      <c r="BJ187" s="50"/>
      <c r="BK187" s="2"/>
      <c r="BL187" s="3"/>
      <c r="BM187" s="3"/>
      <c r="BN187" s="3"/>
      <c r="BO187" s="3"/>
    </row>
    <row r="188" spans="1:67" x14ac:dyDescent="0.25">
      <c r="A188" s="65" t="s">
        <v>408</v>
      </c>
      <c r="B188" s="66"/>
      <c r="C188" s="66"/>
      <c r="D188" s="67"/>
      <c r="E188" s="69"/>
      <c r="F188" s="103" t="str">
        <f>HYPERLINK("https://pbs.twimg.com/profile_images/1462066850460848129/UBFsNzoL_normal.jpg")</f>
        <v>https://pbs.twimg.com/profile_images/1462066850460848129/UBFsNzoL_normal.jpg</v>
      </c>
      <c r="G188" s="66"/>
      <c r="H188" s="70"/>
      <c r="I188" s="71"/>
      <c r="J188" s="71"/>
      <c r="K188" s="70" t="s">
        <v>2566</v>
      </c>
      <c r="L188" s="74"/>
      <c r="M188" s="75">
        <v>5061.99169921875</v>
      </c>
      <c r="N188" s="75">
        <v>218.33622741699219</v>
      </c>
      <c r="O188" s="76"/>
      <c r="P188" s="77"/>
      <c r="Q188" s="77"/>
      <c r="R188" s="89"/>
      <c r="S188" s="50">
        <v>1</v>
      </c>
      <c r="T188" s="50">
        <v>0</v>
      </c>
      <c r="U188" s="51">
        <v>0</v>
      </c>
      <c r="V188" s="51">
        <v>0.34300799999999998</v>
      </c>
      <c r="W188" s="51">
        <v>4.5978999999999999E-2</v>
      </c>
      <c r="X188" s="51">
        <v>4.3769999999999998E-3</v>
      </c>
      <c r="Y188" s="51">
        <v>0</v>
      </c>
      <c r="Z188" s="51">
        <v>0</v>
      </c>
      <c r="AA188" s="72">
        <v>188</v>
      </c>
      <c r="AB188" s="72"/>
      <c r="AC188" s="73"/>
      <c r="AD188" s="79" t="s">
        <v>1912</v>
      </c>
      <c r="AE188" s="84" t="s">
        <v>2105</v>
      </c>
      <c r="AF188" s="79">
        <v>596</v>
      </c>
      <c r="AG188" s="79">
        <v>4285</v>
      </c>
      <c r="AH188" s="79">
        <v>10349</v>
      </c>
      <c r="AI188" s="79">
        <v>1325</v>
      </c>
      <c r="AJ188" s="79"/>
      <c r="AK188" s="79" t="s">
        <v>2285</v>
      </c>
      <c r="AL188" s="79" t="s">
        <v>1694</v>
      </c>
      <c r="AM188" s="86" t="str">
        <f>HYPERLINK("https://t.co/5QGXtGasjv")</f>
        <v>https://t.co/5QGXtGasjv</v>
      </c>
      <c r="AN188" s="79"/>
      <c r="AO188" s="81">
        <v>40606.0856712963</v>
      </c>
      <c r="AP188" s="86" t="str">
        <f>HYPERLINK("https://pbs.twimg.com/profile_banners/260531972/1522538959")</f>
        <v>https://pbs.twimg.com/profile_banners/260531972/1522538959</v>
      </c>
      <c r="AQ188" s="79" t="b">
        <v>1</v>
      </c>
      <c r="AR188" s="79" t="b">
        <v>0</v>
      </c>
      <c r="AS188" s="79" t="b">
        <v>0</v>
      </c>
      <c r="AT188" s="79"/>
      <c r="AU188" s="79">
        <v>44</v>
      </c>
      <c r="AV188" s="86" t="str">
        <f>HYPERLINK("https://abs.twimg.com/images/themes/theme1/bg.png")</f>
        <v>https://abs.twimg.com/images/themes/theme1/bg.png</v>
      </c>
      <c r="AW188" s="79" t="b">
        <v>0</v>
      </c>
      <c r="AX188" s="79" t="s">
        <v>2381</v>
      </c>
      <c r="AY188" s="86" t="str">
        <f>HYPERLINK("https://twitter.com/alnutt41")</f>
        <v>https://twitter.com/alnutt41</v>
      </c>
      <c r="AZ188" s="79" t="s">
        <v>65</v>
      </c>
      <c r="BA188" s="50"/>
      <c r="BB188" s="50"/>
      <c r="BC188" s="50"/>
      <c r="BD188" s="50"/>
      <c r="BE188" s="50"/>
      <c r="BF188" s="50"/>
      <c r="BG188" s="50"/>
      <c r="BH188" s="50"/>
      <c r="BI188" s="50"/>
      <c r="BJ188" s="50"/>
      <c r="BK188" s="2"/>
      <c r="BL188" s="3"/>
      <c r="BM188" s="3"/>
      <c r="BN188" s="3"/>
      <c r="BO188" s="3"/>
    </row>
    <row r="189" spans="1:67" x14ac:dyDescent="0.25">
      <c r="A189" s="65" t="s">
        <v>409</v>
      </c>
      <c r="B189" s="66"/>
      <c r="C189" s="66"/>
      <c r="D189" s="67"/>
      <c r="E189" s="69"/>
      <c r="F189" s="103" t="str">
        <f>HYPERLINK("https://pbs.twimg.com/profile_images/1374352068039872515/CAzysHhZ_normal.jpg")</f>
        <v>https://pbs.twimg.com/profile_images/1374352068039872515/CAzysHhZ_normal.jpg</v>
      </c>
      <c r="G189" s="66"/>
      <c r="H189" s="70"/>
      <c r="I189" s="71"/>
      <c r="J189" s="71"/>
      <c r="K189" s="70" t="s">
        <v>2567</v>
      </c>
      <c r="L189" s="74"/>
      <c r="M189" s="75">
        <v>1204.6962890625</v>
      </c>
      <c r="N189" s="75">
        <v>8734.5791015625</v>
      </c>
      <c r="O189" s="76"/>
      <c r="P189" s="77"/>
      <c r="Q189" s="77"/>
      <c r="R189" s="89"/>
      <c r="S189" s="50">
        <v>1</v>
      </c>
      <c r="T189" s="50">
        <v>0</v>
      </c>
      <c r="U189" s="51">
        <v>0</v>
      </c>
      <c r="V189" s="51">
        <v>0.34300799999999998</v>
      </c>
      <c r="W189" s="51">
        <v>4.5978999999999999E-2</v>
      </c>
      <c r="X189" s="51">
        <v>4.3769999999999998E-3</v>
      </c>
      <c r="Y189" s="51">
        <v>0</v>
      </c>
      <c r="Z189" s="51">
        <v>0</v>
      </c>
      <c r="AA189" s="72">
        <v>189</v>
      </c>
      <c r="AB189" s="72"/>
      <c r="AC189" s="73"/>
      <c r="AD189" s="79" t="s">
        <v>1913</v>
      </c>
      <c r="AE189" s="84" t="s">
        <v>1638</v>
      </c>
      <c r="AF189" s="79">
        <v>1997</v>
      </c>
      <c r="AG189" s="79">
        <v>2066</v>
      </c>
      <c r="AH189" s="79">
        <v>9062</v>
      </c>
      <c r="AI189" s="79">
        <v>4394</v>
      </c>
      <c r="AJ189" s="79"/>
      <c r="AK189" s="79" t="s">
        <v>2286</v>
      </c>
      <c r="AL189" s="79" t="s">
        <v>1694</v>
      </c>
      <c r="AM189" s="86" t="str">
        <f>HYPERLINK("https://t.co/GKkyV3uTjH")</f>
        <v>https://t.co/GKkyV3uTjH</v>
      </c>
      <c r="AN189" s="79"/>
      <c r="AO189" s="81">
        <v>39955.791817129626</v>
      </c>
      <c r="AP189" s="86" t="str">
        <f>HYPERLINK("https://pbs.twimg.com/profile_banners/41876935/1646781541")</f>
        <v>https://pbs.twimg.com/profile_banners/41876935/1646781541</v>
      </c>
      <c r="AQ189" s="79" t="b">
        <v>0</v>
      </c>
      <c r="AR189" s="79" t="b">
        <v>0</v>
      </c>
      <c r="AS189" s="79" t="b">
        <v>1</v>
      </c>
      <c r="AT189" s="79"/>
      <c r="AU189" s="79">
        <v>45</v>
      </c>
      <c r="AV189" s="86" t="str">
        <f>HYPERLINK("https://abs.twimg.com/images/themes/theme14/bg.gif")</f>
        <v>https://abs.twimg.com/images/themes/theme14/bg.gif</v>
      </c>
      <c r="AW189" s="79" t="b">
        <v>0</v>
      </c>
      <c r="AX189" s="79" t="s">
        <v>2381</v>
      </c>
      <c r="AY189" s="86" t="str">
        <f>HYPERLINK("https://twitter.com/tom_symonds")</f>
        <v>https://twitter.com/tom_symonds</v>
      </c>
      <c r="AZ189" s="79" t="s">
        <v>65</v>
      </c>
      <c r="BA189" s="50"/>
      <c r="BB189" s="50"/>
      <c r="BC189" s="50"/>
      <c r="BD189" s="50"/>
      <c r="BE189" s="50"/>
      <c r="BF189" s="50"/>
      <c r="BG189" s="50"/>
      <c r="BH189" s="50"/>
      <c r="BI189" s="50"/>
      <c r="BJ189" s="50"/>
      <c r="BK189" s="2"/>
      <c r="BL189" s="3"/>
      <c r="BM189" s="3"/>
      <c r="BN189" s="3"/>
      <c r="BO189" s="3"/>
    </row>
    <row r="190" spans="1:67" x14ac:dyDescent="0.25">
      <c r="A190" s="65" t="s">
        <v>410</v>
      </c>
      <c r="B190" s="66"/>
      <c r="C190" s="66"/>
      <c r="D190" s="67"/>
      <c r="E190" s="69"/>
      <c r="F190" s="103" t="str">
        <f>HYPERLINK("https://pbs.twimg.com/profile_images/705391464/5pmlogo_normal.png")</f>
        <v>https://pbs.twimg.com/profile_images/705391464/5pmlogo_normal.png</v>
      </c>
      <c r="G190" s="66"/>
      <c r="H190" s="70"/>
      <c r="I190" s="71"/>
      <c r="J190" s="71"/>
      <c r="K190" s="70" t="s">
        <v>2568</v>
      </c>
      <c r="L190" s="74"/>
      <c r="M190" s="75">
        <v>2658.443359375</v>
      </c>
      <c r="N190" s="75">
        <v>8998.9033203125</v>
      </c>
      <c r="O190" s="76"/>
      <c r="P190" s="77"/>
      <c r="Q190" s="77"/>
      <c r="R190" s="89"/>
      <c r="S190" s="50">
        <v>2</v>
      </c>
      <c r="T190" s="50">
        <v>0</v>
      </c>
      <c r="U190" s="51">
        <v>0</v>
      </c>
      <c r="V190" s="51">
        <v>0.343746</v>
      </c>
      <c r="W190" s="51">
        <v>5.2601000000000002E-2</v>
      </c>
      <c r="X190" s="51">
        <v>4.5110000000000003E-3</v>
      </c>
      <c r="Y190" s="51">
        <v>0.5</v>
      </c>
      <c r="Z190" s="51">
        <v>0</v>
      </c>
      <c r="AA190" s="72">
        <v>190</v>
      </c>
      <c r="AB190" s="72"/>
      <c r="AC190" s="73"/>
      <c r="AD190" s="79" t="s">
        <v>1914</v>
      </c>
      <c r="AE190" s="84" t="s">
        <v>2106</v>
      </c>
      <c r="AF190" s="79">
        <v>988</v>
      </c>
      <c r="AG190" s="79">
        <v>9814</v>
      </c>
      <c r="AH190" s="79">
        <v>19901</v>
      </c>
      <c r="AI190" s="79">
        <v>618</v>
      </c>
      <c r="AJ190" s="79"/>
      <c r="AK190" s="79" t="s">
        <v>2287</v>
      </c>
      <c r="AL190" s="79" t="s">
        <v>2376</v>
      </c>
      <c r="AM190" s="86" t="str">
        <f>HYPERLINK("http://t.co/IwHSfR6Zof")</f>
        <v>http://t.co/IwHSfR6Zof</v>
      </c>
      <c r="AN190" s="79"/>
      <c r="AO190" s="81">
        <v>39311.673831018517</v>
      </c>
      <c r="AP190" s="86" t="str">
        <f>HYPERLINK("https://pbs.twimg.com/profile_banners/8247952/1402919831")</f>
        <v>https://pbs.twimg.com/profile_banners/8247952/1402919831</v>
      </c>
      <c r="AQ190" s="79" t="b">
        <v>0</v>
      </c>
      <c r="AR190" s="79" t="b">
        <v>0</v>
      </c>
      <c r="AS190" s="79" t="b">
        <v>0</v>
      </c>
      <c r="AT190" s="79"/>
      <c r="AU190" s="79">
        <v>141</v>
      </c>
      <c r="AV190" s="86" t="str">
        <f>HYPERLINK("https://abs.twimg.com/images/themes/theme1/bg.png")</f>
        <v>https://abs.twimg.com/images/themes/theme1/bg.png</v>
      </c>
      <c r="AW190" s="79" t="b">
        <v>0</v>
      </c>
      <c r="AX190" s="79" t="s">
        <v>2381</v>
      </c>
      <c r="AY190" s="86" t="str">
        <f>HYPERLINK("https://twitter.com/5pm")</f>
        <v>https://twitter.com/5pm</v>
      </c>
      <c r="AZ190" s="79" t="s">
        <v>65</v>
      </c>
      <c r="BA190" s="50"/>
      <c r="BB190" s="50"/>
      <c r="BC190" s="50"/>
      <c r="BD190" s="50"/>
      <c r="BE190" s="50"/>
      <c r="BF190" s="50"/>
      <c r="BG190" s="50"/>
      <c r="BH190" s="50"/>
      <c r="BI190" s="50"/>
      <c r="BJ190" s="50"/>
      <c r="BK190" s="2"/>
      <c r="BL190" s="3"/>
      <c r="BM190" s="3"/>
      <c r="BN190" s="3"/>
      <c r="BO190" s="3"/>
    </row>
    <row r="191" spans="1:67" x14ac:dyDescent="0.25">
      <c r="A191" s="65" t="s">
        <v>363</v>
      </c>
      <c r="B191" s="66"/>
      <c r="C191" s="66"/>
      <c r="D191" s="67"/>
      <c r="E191" s="69"/>
      <c r="F191" s="103" t="str">
        <f>HYPERLINK("https://pbs.twimg.com/profile_images/1481048784465543169/ljew4_Vf_normal.jpg")</f>
        <v>https://pbs.twimg.com/profile_images/1481048784465543169/ljew4_Vf_normal.jpg</v>
      </c>
      <c r="G191" s="66"/>
      <c r="H191" s="70"/>
      <c r="I191" s="71"/>
      <c r="J191" s="71"/>
      <c r="K191" s="70" t="s">
        <v>2569</v>
      </c>
      <c r="L191" s="74"/>
      <c r="M191" s="75">
        <v>6268.189453125</v>
      </c>
      <c r="N191" s="75">
        <v>3968.234619140625</v>
      </c>
      <c r="O191" s="76"/>
      <c r="P191" s="77"/>
      <c r="Q191" s="77"/>
      <c r="R191" s="89"/>
      <c r="S191" s="50">
        <v>0</v>
      </c>
      <c r="T191" s="50">
        <v>3</v>
      </c>
      <c r="U191" s="51">
        <v>17</v>
      </c>
      <c r="V191" s="51">
        <v>0.34976299999999999</v>
      </c>
      <c r="W191" s="51">
        <v>6.0415999999999997E-2</v>
      </c>
      <c r="X191" s="51">
        <v>4.594E-3</v>
      </c>
      <c r="Y191" s="51">
        <v>0.5</v>
      </c>
      <c r="Z191" s="51">
        <v>0</v>
      </c>
      <c r="AA191" s="72">
        <v>191</v>
      </c>
      <c r="AB191" s="72"/>
      <c r="AC191" s="73"/>
      <c r="AD191" s="79" t="s">
        <v>1915</v>
      </c>
      <c r="AE191" s="84" t="s">
        <v>2107</v>
      </c>
      <c r="AF191" s="79">
        <v>513</v>
      </c>
      <c r="AG191" s="79">
        <v>654</v>
      </c>
      <c r="AH191" s="79">
        <v>7436</v>
      </c>
      <c r="AI191" s="79">
        <v>63160</v>
      </c>
      <c r="AJ191" s="79"/>
      <c r="AK191" s="79" t="s">
        <v>2288</v>
      </c>
      <c r="AL191" s="79" t="s">
        <v>2377</v>
      </c>
      <c r="AM191" s="79"/>
      <c r="AN191" s="79"/>
      <c r="AO191" s="81">
        <v>43277.344351851854</v>
      </c>
      <c r="AP191" s="86" t="str">
        <f>HYPERLINK("https://pbs.twimg.com/profile_banners/1011523423405793280/1641944522")</f>
        <v>https://pbs.twimg.com/profile_banners/1011523423405793280/1641944522</v>
      </c>
      <c r="AQ191" s="79" t="b">
        <v>1</v>
      </c>
      <c r="AR191" s="79" t="b">
        <v>0</v>
      </c>
      <c r="AS191" s="79" t="b">
        <v>0</v>
      </c>
      <c r="AT191" s="79"/>
      <c r="AU191" s="79">
        <v>0</v>
      </c>
      <c r="AV191" s="79"/>
      <c r="AW191" s="79" t="b">
        <v>0</v>
      </c>
      <c r="AX191" s="79" t="s">
        <v>2381</v>
      </c>
      <c r="AY191" s="86" t="str">
        <f>HYPERLINK("https://twitter.com/davidburris0621")</f>
        <v>https://twitter.com/davidburris0621</v>
      </c>
      <c r="AZ191" s="79" t="s">
        <v>66</v>
      </c>
      <c r="BA191" s="50" t="s">
        <v>2703</v>
      </c>
      <c r="BB191" s="50" t="s">
        <v>2703</v>
      </c>
      <c r="BC191" s="50" t="s">
        <v>2721</v>
      </c>
      <c r="BD191" s="50" t="s">
        <v>648</v>
      </c>
      <c r="BE191" s="50" t="s">
        <v>2777</v>
      </c>
      <c r="BF191" s="50" t="s">
        <v>2818</v>
      </c>
      <c r="BG191" s="108" t="s">
        <v>2934</v>
      </c>
      <c r="BH191" s="108" t="s">
        <v>2984</v>
      </c>
      <c r="BI191" s="108" t="s">
        <v>3087</v>
      </c>
      <c r="BJ191" s="108" t="s">
        <v>3087</v>
      </c>
      <c r="BK191" s="2"/>
      <c r="BL191" s="3"/>
      <c r="BM191" s="3"/>
      <c r="BN191" s="3"/>
      <c r="BO191" s="3"/>
    </row>
    <row r="192" spans="1:67" x14ac:dyDescent="0.25">
      <c r="A192" s="65" t="s">
        <v>364</v>
      </c>
      <c r="B192" s="66"/>
      <c r="C192" s="66"/>
      <c r="D192" s="67"/>
      <c r="E192" s="69"/>
      <c r="F192" s="103" t="str">
        <f>HYPERLINK("https://pbs.twimg.com/profile_images/1105555106316148736/4PAy3laR_normal.png")</f>
        <v>https://pbs.twimg.com/profile_images/1105555106316148736/4PAy3laR_normal.png</v>
      </c>
      <c r="G192" s="66"/>
      <c r="H192" s="70"/>
      <c r="I192" s="71"/>
      <c r="J192" s="71"/>
      <c r="K192" s="70" t="s">
        <v>2570</v>
      </c>
      <c r="L192" s="74"/>
      <c r="M192" s="75">
        <v>1262.96044921875</v>
      </c>
      <c r="N192" s="75">
        <v>4098.63232421875</v>
      </c>
      <c r="O192" s="76"/>
      <c r="P192" s="77"/>
      <c r="Q192" s="77"/>
      <c r="R192" s="89"/>
      <c r="S192" s="50">
        <v>0</v>
      </c>
      <c r="T192" s="50">
        <v>1</v>
      </c>
      <c r="U192" s="51">
        <v>0</v>
      </c>
      <c r="V192" s="51">
        <v>0.34300799999999998</v>
      </c>
      <c r="W192" s="51">
        <v>4.5978999999999999E-2</v>
      </c>
      <c r="X192" s="51">
        <v>4.3769999999999998E-3</v>
      </c>
      <c r="Y192" s="51">
        <v>0</v>
      </c>
      <c r="Z192" s="51">
        <v>0</v>
      </c>
      <c r="AA192" s="72">
        <v>192</v>
      </c>
      <c r="AB192" s="72"/>
      <c r="AC192" s="73"/>
      <c r="AD192" s="79" t="s">
        <v>1916</v>
      </c>
      <c r="AE192" s="84" t="s">
        <v>2108</v>
      </c>
      <c r="AF192" s="79">
        <v>657</v>
      </c>
      <c r="AG192" s="79">
        <v>244</v>
      </c>
      <c r="AH192" s="79">
        <v>1570</v>
      </c>
      <c r="AI192" s="79">
        <v>2371</v>
      </c>
      <c r="AJ192" s="79"/>
      <c r="AK192" s="79" t="s">
        <v>2289</v>
      </c>
      <c r="AL192" s="79" t="s">
        <v>2378</v>
      </c>
      <c r="AM192" s="86" t="str">
        <f>HYPERLINK("https://t.co/hWqBMBEp2r")</f>
        <v>https://t.co/hWqBMBEp2r</v>
      </c>
      <c r="AN192" s="79"/>
      <c r="AO192" s="81">
        <v>43536.550821759258</v>
      </c>
      <c r="AP192" s="86" t="str">
        <f>HYPERLINK("https://pbs.twimg.com/profile_banners/1105456703569620992/1578330152")</f>
        <v>https://pbs.twimg.com/profile_banners/1105456703569620992/1578330152</v>
      </c>
      <c r="AQ192" s="79" t="b">
        <v>1</v>
      </c>
      <c r="AR192" s="79" t="b">
        <v>0</v>
      </c>
      <c r="AS192" s="79" t="b">
        <v>0</v>
      </c>
      <c r="AT192" s="79"/>
      <c r="AU192" s="79">
        <v>5</v>
      </c>
      <c r="AV192" s="79"/>
      <c r="AW192" s="79" t="b">
        <v>0</v>
      </c>
      <c r="AX192" s="79" t="s">
        <v>2381</v>
      </c>
      <c r="AY192" s="86" t="str">
        <f>HYPERLINK("https://twitter.com/xwater_media")</f>
        <v>https://twitter.com/xwater_media</v>
      </c>
      <c r="AZ192" s="79" t="s">
        <v>66</v>
      </c>
      <c r="BA192" s="50"/>
      <c r="BB192" s="50"/>
      <c r="BC192" s="50"/>
      <c r="BD192" s="50"/>
      <c r="BE192" s="50" t="s">
        <v>700</v>
      </c>
      <c r="BF192" s="50" t="s">
        <v>700</v>
      </c>
      <c r="BG192" s="108" t="s">
        <v>2915</v>
      </c>
      <c r="BH192" s="108" t="s">
        <v>2915</v>
      </c>
      <c r="BI192" s="108" t="s">
        <v>3065</v>
      </c>
      <c r="BJ192" s="108" t="s">
        <v>3065</v>
      </c>
      <c r="BK192" s="2"/>
      <c r="BL192" s="3"/>
      <c r="BM192" s="3"/>
      <c r="BN192" s="3"/>
      <c r="BO192" s="3"/>
    </row>
    <row r="193" spans="1:67" x14ac:dyDescent="0.25">
      <c r="A193" s="65" t="s">
        <v>365</v>
      </c>
      <c r="B193" s="66"/>
      <c r="C193" s="66"/>
      <c r="D193" s="67"/>
      <c r="E193" s="69"/>
      <c r="F193" s="103" t="str">
        <f>HYPERLINK("https://pbs.twimg.com/profile_images/1496065188126154755/YVZW64RL_normal.jpg")</f>
        <v>https://pbs.twimg.com/profile_images/1496065188126154755/YVZW64RL_normal.jpg</v>
      </c>
      <c r="G193" s="66"/>
      <c r="H193" s="70"/>
      <c r="I193" s="71"/>
      <c r="J193" s="71"/>
      <c r="K193" s="70" t="s">
        <v>2571</v>
      </c>
      <c r="L193" s="74"/>
      <c r="M193" s="75">
        <v>7650.3837890625</v>
      </c>
      <c r="N193" s="75">
        <v>7030.87158203125</v>
      </c>
      <c r="O193" s="76"/>
      <c r="P193" s="77"/>
      <c r="Q193" s="77"/>
      <c r="R193" s="89"/>
      <c r="S193" s="50">
        <v>0</v>
      </c>
      <c r="T193" s="50">
        <v>2</v>
      </c>
      <c r="U193" s="51">
        <v>0</v>
      </c>
      <c r="V193" s="51">
        <v>0.343746</v>
      </c>
      <c r="W193" s="51">
        <v>5.2601000000000002E-2</v>
      </c>
      <c r="X193" s="51">
        <v>4.5110000000000003E-3</v>
      </c>
      <c r="Y193" s="51">
        <v>0.5</v>
      </c>
      <c r="Z193" s="51">
        <v>0</v>
      </c>
      <c r="AA193" s="72">
        <v>193</v>
      </c>
      <c r="AB193" s="72"/>
      <c r="AC193" s="73"/>
      <c r="AD193" s="79" t="s">
        <v>1917</v>
      </c>
      <c r="AE193" s="84" t="s">
        <v>2109</v>
      </c>
      <c r="AF193" s="79">
        <v>351</v>
      </c>
      <c r="AG193" s="79">
        <v>25</v>
      </c>
      <c r="AH193" s="79">
        <v>889</v>
      </c>
      <c r="AI193" s="79">
        <v>377</v>
      </c>
      <c r="AJ193" s="79"/>
      <c r="AK193" s="79" t="s">
        <v>2290</v>
      </c>
      <c r="AL193" s="79" t="s">
        <v>2379</v>
      </c>
      <c r="AM193" s="86" t="str">
        <f>HYPERLINK("https://t.co/4Yai3YdVkN")</f>
        <v>https://t.co/4Yai3YdVkN</v>
      </c>
      <c r="AN193" s="79"/>
      <c r="AO193" s="81">
        <v>44614.422442129631</v>
      </c>
      <c r="AP193" s="86" t="str">
        <f>HYPERLINK("https://pbs.twimg.com/profile_banners/1496064217643954177/1645531225")</f>
        <v>https://pbs.twimg.com/profile_banners/1496064217643954177/1645531225</v>
      </c>
      <c r="AQ193" s="79" t="b">
        <v>1</v>
      </c>
      <c r="AR193" s="79" t="b">
        <v>0</v>
      </c>
      <c r="AS193" s="79" t="b">
        <v>0</v>
      </c>
      <c r="AT193" s="79"/>
      <c r="AU193" s="79">
        <v>3</v>
      </c>
      <c r="AV193" s="79"/>
      <c r="AW193" s="79" t="b">
        <v>0</v>
      </c>
      <c r="AX193" s="79" t="s">
        <v>2381</v>
      </c>
      <c r="AY193" s="86" t="str">
        <f>HYPERLINK("https://twitter.com/tobylorbha")</f>
        <v>https://twitter.com/tobylorbha</v>
      </c>
      <c r="AZ193" s="79" t="s">
        <v>66</v>
      </c>
      <c r="BA193" s="50" t="s">
        <v>2704</v>
      </c>
      <c r="BB193" s="50" t="s">
        <v>2704</v>
      </c>
      <c r="BC193" s="50" t="s">
        <v>632</v>
      </c>
      <c r="BD193" s="50" t="s">
        <v>632</v>
      </c>
      <c r="BE193" s="50" t="s">
        <v>2778</v>
      </c>
      <c r="BF193" s="50" t="s">
        <v>2819</v>
      </c>
      <c r="BG193" s="108" t="s">
        <v>2935</v>
      </c>
      <c r="BH193" s="108" t="s">
        <v>2935</v>
      </c>
      <c r="BI193" s="108" t="s">
        <v>3088</v>
      </c>
      <c r="BJ193" s="108" t="s">
        <v>3088</v>
      </c>
      <c r="BK193" s="2"/>
      <c r="BL193" s="3"/>
      <c r="BM193" s="3"/>
      <c r="BN193" s="3"/>
      <c r="BO193" s="3"/>
    </row>
    <row r="194" spans="1:67" x14ac:dyDescent="0.25">
      <c r="A194" s="65" t="s">
        <v>367</v>
      </c>
      <c r="B194" s="66"/>
      <c r="C194" s="66"/>
      <c r="D194" s="67"/>
      <c r="E194" s="69"/>
      <c r="F194" s="103" t="str">
        <f>HYPERLINK("https://pbs.twimg.com/profile_images/1368993416906956801/UlSyhCzb_normal.jpg")</f>
        <v>https://pbs.twimg.com/profile_images/1368993416906956801/UlSyhCzb_normal.jpg</v>
      </c>
      <c r="G194" s="66"/>
      <c r="H194" s="70"/>
      <c r="I194" s="71"/>
      <c r="J194" s="71"/>
      <c r="K194" s="70" t="s">
        <v>2572</v>
      </c>
      <c r="L194" s="74"/>
      <c r="M194" s="75">
        <v>352.28350830078125</v>
      </c>
      <c r="N194" s="75">
        <v>4576.857421875</v>
      </c>
      <c r="O194" s="76"/>
      <c r="P194" s="77"/>
      <c r="Q194" s="77"/>
      <c r="R194" s="89"/>
      <c r="S194" s="50">
        <v>2</v>
      </c>
      <c r="T194" s="50">
        <v>1</v>
      </c>
      <c r="U194" s="51">
        <v>0</v>
      </c>
      <c r="V194" s="51">
        <v>0.26075300000000001</v>
      </c>
      <c r="W194" s="51">
        <v>7.92E-3</v>
      </c>
      <c r="X194" s="51">
        <v>4.7780000000000001E-3</v>
      </c>
      <c r="Y194" s="51">
        <v>0</v>
      </c>
      <c r="Z194" s="51">
        <v>0</v>
      </c>
      <c r="AA194" s="72">
        <v>194</v>
      </c>
      <c r="AB194" s="72"/>
      <c r="AC194" s="73"/>
      <c r="AD194" s="79" t="s">
        <v>1918</v>
      </c>
      <c r="AE194" s="84" t="s">
        <v>2110</v>
      </c>
      <c r="AF194" s="79">
        <v>1135</v>
      </c>
      <c r="AG194" s="79">
        <v>1940</v>
      </c>
      <c r="AH194" s="79">
        <v>1243</v>
      </c>
      <c r="AI194" s="79">
        <v>60</v>
      </c>
      <c r="AJ194" s="79"/>
      <c r="AK194" s="79" t="s">
        <v>2291</v>
      </c>
      <c r="AL194" s="79" t="s">
        <v>1694</v>
      </c>
      <c r="AM194" s="86" t="str">
        <f>HYPERLINK("http://t.co/nUJNGaE2Nl")</f>
        <v>http://t.co/nUJNGaE2Nl</v>
      </c>
      <c r="AN194" s="79"/>
      <c r="AO194" s="81">
        <v>39904.256967592592</v>
      </c>
      <c r="AP194" s="86" t="str">
        <f>HYPERLINK("https://pbs.twimg.com/profile_banners/28061816/1585750254")</f>
        <v>https://pbs.twimg.com/profile_banners/28061816/1585750254</v>
      </c>
      <c r="AQ194" s="79" t="b">
        <v>0</v>
      </c>
      <c r="AR194" s="79" t="b">
        <v>0</v>
      </c>
      <c r="AS194" s="79" t="b">
        <v>1</v>
      </c>
      <c r="AT194" s="79"/>
      <c r="AU194" s="79">
        <v>95</v>
      </c>
      <c r="AV194" s="86" t="str">
        <f>HYPERLINK("https://abs.twimg.com/images/themes/theme9/bg.gif")</f>
        <v>https://abs.twimg.com/images/themes/theme9/bg.gif</v>
      </c>
      <c r="AW194" s="79" t="b">
        <v>0</v>
      </c>
      <c r="AX194" s="79" t="s">
        <v>2381</v>
      </c>
      <c r="AY194" s="86" t="str">
        <f>HYPERLINK("https://twitter.com/ubtheatredance")</f>
        <v>https://twitter.com/ubtheatredance</v>
      </c>
      <c r="AZ194" s="79" t="s">
        <v>66</v>
      </c>
      <c r="BA194" s="50" t="s">
        <v>2705</v>
      </c>
      <c r="BB194" s="50" t="s">
        <v>2710</v>
      </c>
      <c r="BC194" s="50" t="s">
        <v>2731</v>
      </c>
      <c r="BD194" s="50" t="s">
        <v>659</v>
      </c>
      <c r="BE194" s="50" t="s">
        <v>720</v>
      </c>
      <c r="BF194" s="50" t="s">
        <v>2820</v>
      </c>
      <c r="BG194" s="108" t="s">
        <v>2936</v>
      </c>
      <c r="BH194" s="108" t="s">
        <v>2985</v>
      </c>
      <c r="BI194" s="108" t="s">
        <v>3089</v>
      </c>
      <c r="BJ194" s="108" t="s">
        <v>3110</v>
      </c>
      <c r="BK194" s="2"/>
      <c r="BL194" s="3"/>
      <c r="BM194" s="3"/>
      <c r="BN194" s="3"/>
      <c r="BO194" s="3"/>
    </row>
    <row r="195" spans="1:67" x14ac:dyDescent="0.25">
      <c r="A195" s="65" t="s">
        <v>373</v>
      </c>
      <c r="B195" s="66"/>
      <c r="C195" s="66"/>
      <c r="D195" s="67"/>
      <c r="E195" s="69"/>
      <c r="F195" s="103" t="str">
        <f>HYPERLINK("https://pbs.twimg.com/profile_images/1371852788561551365/1njXZROZ_normal.jpg")</f>
        <v>https://pbs.twimg.com/profile_images/1371852788561551365/1njXZROZ_normal.jpg</v>
      </c>
      <c r="G195" s="66"/>
      <c r="H195" s="70"/>
      <c r="I195" s="71"/>
      <c r="J195" s="71"/>
      <c r="K195" s="70" t="s">
        <v>2573</v>
      </c>
      <c r="L195" s="74"/>
      <c r="M195" s="75">
        <v>7693.02294921875</v>
      </c>
      <c r="N195" s="75">
        <v>4326.1240234375</v>
      </c>
      <c r="O195" s="76"/>
      <c r="P195" s="77"/>
      <c r="Q195" s="77"/>
      <c r="R195" s="89"/>
      <c r="S195" s="50">
        <v>1</v>
      </c>
      <c r="T195" s="50">
        <v>1</v>
      </c>
      <c r="U195" s="51">
        <v>0</v>
      </c>
      <c r="V195" s="51">
        <v>0</v>
      </c>
      <c r="W195" s="51">
        <v>0</v>
      </c>
      <c r="X195" s="51">
        <v>5.0759999999999998E-3</v>
      </c>
      <c r="Y195" s="51">
        <v>0</v>
      </c>
      <c r="Z195" s="51">
        <v>0</v>
      </c>
      <c r="AA195" s="72">
        <v>195</v>
      </c>
      <c r="AB195" s="72"/>
      <c r="AC195" s="73"/>
      <c r="AD195" s="79" t="s">
        <v>1919</v>
      </c>
      <c r="AE195" s="84" t="s">
        <v>2111</v>
      </c>
      <c r="AF195" s="79">
        <v>323</v>
      </c>
      <c r="AG195" s="79">
        <v>337</v>
      </c>
      <c r="AH195" s="79">
        <v>545</v>
      </c>
      <c r="AI195" s="79">
        <v>73</v>
      </c>
      <c r="AJ195" s="79"/>
      <c r="AK195" s="79" t="s">
        <v>2292</v>
      </c>
      <c r="AL195" s="79" t="s">
        <v>1694</v>
      </c>
      <c r="AM195" s="86" t="str">
        <f>HYPERLINK("https://t.co/Hy36zQBPf9")</f>
        <v>https://t.co/Hy36zQBPf9</v>
      </c>
      <c r="AN195" s="79"/>
      <c r="AO195" s="81">
        <v>41403.865567129629</v>
      </c>
      <c r="AP195" s="86" t="str">
        <f>HYPERLINK("https://pbs.twimg.com/profile_banners/1416440089/1615910168")</f>
        <v>https://pbs.twimg.com/profile_banners/1416440089/1615910168</v>
      </c>
      <c r="AQ195" s="79" t="b">
        <v>1</v>
      </c>
      <c r="AR195" s="79" t="b">
        <v>0</v>
      </c>
      <c r="AS195" s="79" t="b">
        <v>1</v>
      </c>
      <c r="AT195" s="79"/>
      <c r="AU195" s="79">
        <v>11</v>
      </c>
      <c r="AV195" s="86" t="str">
        <f>HYPERLINK("https://abs.twimg.com/images/themes/theme1/bg.png")</f>
        <v>https://abs.twimg.com/images/themes/theme1/bg.png</v>
      </c>
      <c r="AW195" s="79" t="b">
        <v>0</v>
      </c>
      <c r="AX195" s="79" t="s">
        <v>2381</v>
      </c>
      <c r="AY195" s="86" t="str">
        <f>HYPERLINK("https://twitter.com/ubpss")</f>
        <v>https://twitter.com/ubpss</v>
      </c>
      <c r="AZ195" s="79" t="s">
        <v>66</v>
      </c>
      <c r="BA195" s="50" t="s">
        <v>2706</v>
      </c>
      <c r="BB195" s="50" t="s">
        <v>2706</v>
      </c>
      <c r="BC195" s="50" t="s">
        <v>632</v>
      </c>
      <c r="BD195" s="50" t="s">
        <v>632</v>
      </c>
      <c r="BE195" s="50" t="s">
        <v>724</v>
      </c>
      <c r="BF195" s="50" t="s">
        <v>724</v>
      </c>
      <c r="BG195" s="108" t="s">
        <v>2937</v>
      </c>
      <c r="BH195" s="108" t="s">
        <v>2937</v>
      </c>
      <c r="BI195" s="108" t="s">
        <v>3090</v>
      </c>
      <c r="BJ195" s="108" t="s">
        <v>3090</v>
      </c>
      <c r="BK195" s="2"/>
      <c r="BL195" s="3"/>
      <c r="BM195" s="3"/>
      <c r="BN195" s="3"/>
      <c r="BO195" s="3"/>
    </row>
    <row r="196" spans="1:67" x14ac:dyDescent="0.25">
      <c r="A196" s="65" t="s">
        <v>411</v>
      </c>
      <c r="B196" s="66"/>
      <c r="C196" s="66"/>
      <c r="D196" s="67"/>
      <c r="E196" s="69"/>
      <c r="F196" s="103" t="str">
        <f>HYPERLINK("https://pbs.twimg.com/profile_images/1238115126051581952/2JhiMQDD_normal.jpg")</f>
        <v>https://pbs.twimg.com/profile_images/1238115126051581952/2JhiMQDD_normal.jpg</v>
      </c>
      <c r="G196" s="66"/>
      <c r="H196" s="70"/>
      <c r="I196" s="71"/>
      <c r="J196" s="71"/>
      <c r="K196" s="70" t="s">
        <v>2574</v>
      </c>
      <c r="L196" s="74"/>
      <c r="M196" s="75">
        <v>6677.919921875</v>
      </c>
      <c r="N196" s="75">
        <v>625.7816162109375</v>
      </c>
      <c r="O196" s="76"/>
      <c r="P196" s="77"/>
      <c r="Q196" s="77"/>
      <c r="R196" s="89"/>
      <c r="S196" s="50">
        <v>1</v>
      </c>
      <c r="T196" s="50">
        <v>0</v>
      </c>
      <c r="U196" s="51">
        <v>0</v>
      </c>
      <c r="V196" s="51">
        <v>0.27230300000000002</v>
      </c>
      <c r="W196" s="51">
        <v>1.0083E-2</v>
      </c>
      <c r="X196" s="51">
        <v>4.4019999999999997E-3</v>
      </c>
      <c r="Y196" s="51">
        <v>0</v>
      </c>
      <c r="Z196" s="51">
        <v>0</v>
      </c>
      <c r="AA196" s="72">
        <v>196</v>
      </c>
      <c r="AB196" s="72"/>
      <c r="AC196" s="73"/>
      <c r="AD196" s="79" t="s">
        <v>1920</v>
      </c>
      <c r="AE196" s="84" t="s">
        <v>2112</v>
      </c>
      <c r="AF196" s="79">
        <v>186</v>
      </c>
      <c r="AG196" s="79">
        <v>1335</v>
      </c>
      <c r="AH196" s="79">
        <v>3063</v>
      </c>
      <c r="AI196" s="79">
        <v>1967</v>
      </c>
      <c r="AJ196" s="79"/>
      <c r="AK196" s="79" t="s">
        <v>2293</v>
      </c>
      <c r="AL196" s="79" t="s">
        <v>1694</v>
      </c>
      <c r="AM196" s="86" t="str">
        <f>HYPERLINK("https://t.co/pc4883PrsA")</f>
        <v>https://t.co/pc4883PrsA</v>
      </c>
      <c r="AN196" s="79"/>
      <c r="AO196" s="81">
        <v>39840.704062500001</v>
      </c>
      <c r="AP196" s="86" t="str">
        <f>HYPERLINK("https://pbs.twimg.com/profile_banners/19601271/1584025848")</f>
        <v>https://pbs.twimg.com/profile_banners/19601271/1584025848</v>
      </c>
      <c r="AQ196" s="79" t="b">
        <v>0</v>
      </c>
      <c r="AR196" s="79" t="b">
        <v>0</v>
      </c>
      <c r="AS196" s="79" t="b">
        <v>1</v>
      </c>
      <c r="AT196" s="79"/>
      <c r="AU196" s="79">
        <v>32</v>
      </c>
      <c r="AV196" s="86" t="str">
        <f>HYPERLINK("https://abs.twimg.com/images/themes/theme15/bg.png")</f>
        <v>https://abs.twimg.com/images/themes/theme15/bg.png</v>
      </c>
      <c r="AW196" s="79" t="b">
        <v>0</v>
      </c>
      <c r="AX196" s="79" t="s">
        <v>2381</v>
      </c>
      <c r="AY196" s="86" t="str">
        <f>HYPERLINK("https://twitter.com/ubuffaloeln")</f>
        <v>https://twitter.com/ubuffaloeln</v>
      </c>
      <c r="AZ196" s="79" t="s">
        <v>65</v>
      </c>
      <c r="BA196" s="50"/>
      <c r="BB196" s="50"/>
      <c r="BC196" s="50"/>
      <c r="BD196" s="50"/>
      <c r="BE196" s="50"/>
      <c r="BF196" s="50"/>
      <c r="BG196" s="50"/>
      <c r="BH196" s="50"/>
      <c r="BI196" s="50"/>
      <c r="BJ196" s="50"/>
      <c r="BK196" s="2"/>
      <c r="BL196" s="3"/>
      <c r="BM196" s="3"/>
      <c r="BN196" s="3"/>
      <c r="BO196" s="3"/>
    </row>
    <row r="197" spans="1:67" x14ac:dyDescent="0.25">
      <c r="A197" s="65" t="s">
        <v>378</v>
      </c>
      <c r="B197" s="66"/>
      <c r="C197" s="66"/>
      <c r="D197" s="67"/>
      <c r="E197" s="69"/>
      <c r="F197" s="103" t="str">
        <f>HYPERLINK("https://pbs.twimg.com/profile_images/855115679233716224/-WNS7KVI_normal.jpg")</f>
        <v>https://pbs.twimg.com/profile_images/855115679233716224/-WNS7KVI_normal.jpg</v>
      </c>
      <c r="G197" s="66"/>
      <c r="H197" s="70"/>
      <c r="I197" s="71"/>
      <c r="J197" s="71"/>
      <c r="K197" s="70" t="s">
        <v>2575</v>
      </c>
      <c r="L197" s="74"/>
      <c r="M197" s="75">
        <v>4096.95263671875</v>
      </c>
      <c r="N197" s="75">
        <v>3651.628662109375</v>
      </c>
      <c r="O197" s="76"/>
      <c r="P197" s="77"/>
      <c r="Q197" s="77"/>
      <c r="R197" s="89"/>
      <c r="S197" s="50">
        <v>2</v>
      </c>
      <c r="T197" s="50">
        <v>3</v>
      </c>
      <c r="U197" s="51">
        <v>0</v>
      </c>
      <c r="V197" s="51">
        <v>0.34597800000000001</v>
      </c>
      <c r="W197" s="51">
        <v>6.1115000000000003E-2</v>
      </c>
      <c r="X197" s="51">
        <v>4.7000000000000002E-3</v>
      </c>
      <c r="Y197" s="51">
        <v>1</v>
      </c>
      <c r="Z197" s="51">
        <v>0.5</v>
      </c>
      <c r="AA197" s="72">
        <v>197</v>
      </c>
      <c r="AB197" s="72"/>
      <c r="AC197" s="73"/>
      <c r="AD197" s="79" t="s">
        <v>1921</v>
      </c>
      <c r="AE197" s="84" t="s">
        <v>1640</v>
      </c>
      <c r="AF197" s="79">
        <v>476</v>
      </c>
      <c r="AG197" s="79">
        <v>767</v>
      </c>
      <c r="AH197" s="79">
        <v>2327</v>
      </c>
      <c r="AI197" s="79">
        <v>2236</v>
      </c>
      <c r="AJ197" s="79"/>
      <c r="AK197" s="79" t="s">
        <v>2294</v>
      </c>
      <c r="AL197" s="79" t="s">
        <v>1694</v>
      </c>
      <c r="AM197" s="86" t="str">
        <f>HYPERLINK("https://t.co/JUsvGDyCFI")</f>
        <v>https://t.co/JUsvGDyCFI</v>
      </c>
      <c r="AN197" s="79"/>
      <c r="AO197" s="81">
        <v>40381.445520833331</v>
      </c>
      <c r="AP197" s="86" t="str">
        <f>HYPERLINK("https://pbs.twimg.com/profile_banners/169445629/1644536098")</f>
        <v>https://pbs.twimg.com/profile_banners/169445629/1644536098</v>
      </c>
      <c r="AQ197" s="79" t="b">
        <v>0</v>
      </c>
      <c r="AR197" s="79" t="b">
        <v>0</v>
      </c>
      <c r="AS197" s="79" t="b">
        <v>1</v>
      </c>
      <c r="AT197" s="79"/>
      <c r="AU197" s="79">
        <v>19</v>
      </c>
      <c r="AV197" s="86" t="str">
        <f>HYPERLINK("https://abs.twimg.com/images/themes/theme15/bg.png")</f>
        <v>https://abs.twimg.com/images/themes/theme15/bg.png</v>
      </c>
      <c r="AW197" s="79" t="b">
        <v>0</v>
      </c>
      <c r="AX197" s="79" t="s">
        <v>2381</v>
      </c>
      <c r="AY197" s="86" t="str">
        <f>HYPERLINK("https://twitter.com/ubrecreation")</f>
        <v>https://twitter.com/ubrecreation</v>
      </c>
      <c r="AZ197" s="79" t="s">
        <v>66</v>
      </c>
      <c r="BA197" s="50" t="s">
        <v>2707</v>
      </c>
      <c r="BB197" s="50" t="s">
        <v>2707</v>
      </c>
      <c r="BC197" s="50" t="s">
        <v>632</v>
      </c>
      <c r="BD197" s="50" t="s">
        <v>632</v>
      </c>
      <c r="BE197" s="50" t="s">
        <v>2779</v>
      </c>
      <c r="BF197" s="50" t="s">
        <v>2821</v>
      </c>
      <c r="BG197" s="108" t="s">
        <v>2938</v>
      </c>
      <c r="BH197" s="108" t="s">
        <v>2986</v>
      </c>
      <c r="BI197" s="108" t="s">
        <v>3091</v>
      </c>
      <c r="BJ197" s="108" t="s">
        <v>3091</v>
      </c>
      <c r="BK197" s="2"/>
      <c r="BL197" s="3"/>
      <c r="BM197" s="3"/>
      <c r="BN197" s="3"/>
      <c r="BO197" s="3"/>
    </row>
    <row r="198" spans="1:67" x14ac:dyDescent="0.25">
      <c r="A198" s="65" t="s">
        <v>412</v>
      </c>
      <c r="B198" s="66"/>
      <c r="C198" s="66"/>
      <c r="D198" s="67"/>
      <c r="E198" s="69"/>
      <c r="F198" s="103" t="str">
        <f>HYPERLINK("https://pbs.twimg.com/profile_images/1159643170008784896/2Mxp14va_normal.jpg")</f>
        <v>https://pbs.twimg.com/profile_images/1159643170008784896/2Mxp14va_normal.jpg</v>
      </c>
      <c r="G198" s="66"/>
      <c r="H198" s="70"/>
      <c r="I198" s="71"/>
      <c r="J198" s="71"/>
      <c r="K198" s="70" t="s">
        <v>2576</v>
      </c>
      <c r="L198" s="74"/>
      <c r="M198" s="75">
        <v>1901.924560546875</v>
      </c>
      <c r="N198" s="75">
        <v>2463.6318359375</v>
      </c>
      <c r="O198" s="76"/>
      <c r="P198" s="77"/>
      <c r="Q198" s="77"/>
      <c r="R198" s="89"/>
      <c r="S198" s="50">
        <v>2</v>
      </c>
      <c r="T198" s="50">
        <v>0</v>
      </c>
      <c r="U198" s="51">
        <v>0</v>
      </c>
      <c r="V198" s="51">
        <v>0.27323399999999998</v>
      </c>
      <c r="W198" s="51">
        <v>1.4918000000000001E-2</v>
      </c>
      <c r="X198" s="51">
        <v>4.5100000000000001E-3</v>
      </c>
      <c r="Y198" s="51">
        <v>0.5</v>
      </c>
      <c r="Z198" s="51">
        <v>0</v>
      </c>
      <c r="AA198" s="72">
        <v>198</v>
      </c>
      <c r="AB198" s="72"/>
      <c r="AC198" s="73"/>
      <c r="AD198" s="79" t="s">
        <v>1922</v>
      </c>
      <c r="AE198" s="84" t="s">
        <v>2113</v>
      </c>
      <c r="AF198" s="79">
        <v>436</v>
      </c>
      <c r="AG198" s="79">
        <v>2430</v>
      </c>
      <c r="AH198" s="79">
        <v>236</v>
      </c>
      <c r="AI198" s="79">
        <v>1048</v>
      </c>
      <c r="AJ198" s="79"/>
      <c r="AK198" s="79" t="s">
        <v>2295</v>
      </c>
      <c r="AL198" s="79" t="s">
        <v>2380</v>
      </c>
      <c r="AM198" s="86" t="str">
        <f>HYPERLINK("https://t.co/PIn6FAMRzv")</f>
        <v>https://t.co/PIn6FAMRzv</v>
      </c>
      <c r="AN198" s="79"/>
      <c r="AO198" s="81">
        <v>40926.181608796294</v>
      </c>
      <c r="AP198" s="86" t="str">
        <f>HYPERLINK("https://pbs.twimg.com/profile_banners/467124072/1565315820")</f>
        <v>https://pbs.twimg.com/profile_banners/467124072/1565315820</v>
      </c>
      <c r="AQ198" s="79" t="b">
        <v>0</v>
      </c>
      <c r="AR198" s="79" t="b">
        <v>0</v>
      </c>
      <c r="AS198" s="79" t="b">
        <v>0</v>
      </c>
      <c r="AT198" s="79"/>
      <c r="AU198" s="79">
        <v>25</v>
      </c>
      <c r="AV198" s="86" t="str">
        <f>HYPERLINK("https://abs.twimg.com/images/themes/theme1/bg.png")</f>
        <v>https://abs.twimg.com/images/themes/theme1/bg.png</v>
      </c>
      <c r="AW198" s="79" t="b">
        <v>0</v>
      </c>
      <c r="AX198" s="79" t="s">
        <v>2381</v>
      </c>
      <c r="AY198" s="86" t="str">
        <f>HYPERLINK("https://twitter.com/3mt_official")</f>
        <v>https://twitter.com/3mt_official</v>
      </c>
      <c r="AZ198" s="79" t="s">
        <v>65</v>
      </c>
      <c r="BA198" s="50"/>
      <c r="BB198" s="50"/>
      <c r="BC198" s="50"/>
      <c r="BD198" s="50"/>
      <c r="BE198" s="50"/>
      <c r="BF198" s="50"/>
      <c r="BG198" s="50"/>
      <c r="BH198" s="50"/>
      <c r="BI198" s="50"/>
      <c r="BJ198" s="50"/>
      <c r="BK198" s="2"/>
      <c r="BL198" s="3"/>
      <c r="BM198" s="3"/>
      <c r="BN198" s="3"/>
      <c r="BO198" s="3"/>
    </row>
    <row r="199" spans="1:67" x14ac:dyDescent="0.25">
      <c r="A199" s="90" t="s">
        <v>413</v>
      </c>
      <c r="B199" s="91"/>
      <c r="C199" s="91"/>
      <c r="D199" s="92"/>
      <c r="E199" s="93"/>
      <c r="F199" s="104" t="str">
        <f>HYPERLINK("https://pbs.twimg.com/profile_images/1139195284095766534/WCMaWFcK_normal.jpg")</f>
        <v>https://pbs.twimg.com/profile_images/1139195284095766534/WCMaWFcK_normal.jpg</v>
      </c>
      <c r="G199" s="91"/>
      <c r="H199" s="94"/>
      <c r="I199" s="95"/>
      <c r="J199" s="95"/>
      <c r="K199" s="94" t="s">
        <v>2577</v>
      </c>
      <c r="L199" s="96"/>
      <c r="M199" s="97">
        <v>5787.98046875</v>
      </c>
      <c r="N199" s="97">
        <v>851.89276123046875</v>
      </c>
      <c r="O199" s="98"/>
      <c r="P199" s="99"/>
      <c r="Q199" s="99"/>
      <c r="R199" s="100"/>
      <c r="S199" s="50">
        <v>2</v>
      </c>
      <c r="T199" s="50">
        <v>0</v>
      </c>
      <c r="U199" s="51">
        <v>0</v>
      </c>
      <c r="V199" s="51">
        <v>0.27323399999999998</v>
      </c>
      <c r="W199" s="51">
        <v>1.4918000000000001E-2</v>
      </c>
      <c r="X199" s="51">
        <v>4.5100000000000001E-3</v>
      </c>
      <c r="Y199" s="51">
        <v>0.5</v>
      </c>
      <c r="Z199" s="51">
        <v>0</v>
      </c>
      <c r="AA199" s="101">
        <v>199</v>
      </c>
      <c r="AB199" s="101"/>
      <c r="AC199" s="102"/>
      <c r="AD199" s="79" t="s">
        <v>1923</v>
      </c>
      <c r="AE199" s="84" t="s">
        <v>2114</v>
      </c>
      <c r="AF199" s="79">
        <v>47</v>
      </c>
      <c r="AG199" s="79">
        <v>29</v>
      </c>
      <c r="AH199" s="79">
        <v>3</v>
      </c>
      <c r="AI199" s="79">
        <v>56</v>
      </c>
      <c r="AJ199" s="79"/>
      <c r="AK199" s="79" t="s">
        <v>2296</v>
      </c>
      <c r="AL199" s="79"/>
      <c r="AM199" s="79"/>
      <c r="AN199" s="79"/>
      <c r="AO199" s="81">
        <v>43629.650740740741</v>
      </c>
      <c r="AP199" s="86" t="str">
        <f>HYPERLINK("https://pbs.twimg.com/profile_banners/1139194984437911552/1560637752")</f>
        <v>https://pbs.twimg.com/profile_banners/1139194984437911552/1560637752</v>
      </c>
      <c r="AQ199" s="79" t="b">
        <v>1</v>
      </c>
      <c r="AR199" s="79" t="b">
        <v>0</v>
      </c>
      <c r="AS199" s="79" t="b">
        <v>0</v>
      </c>
      <c r="AT199" s="79"/>
      <c r="AU199" s="79">
        <v>0</v>
      </c>
      <c r="AV199" s="79"/>
      <c r="AW199" s="79" t="b">
        <v>0</v>
      </c>
      <c r="AX199" s="79" t="s">
        <v>2381</v>
      </c>
      <c r="AY199" s="86" t="str">
        <f>HYPERLINK("https://twitter.com/bowluspeck")</f>
        <v>https://twitter.com/bowluspeck</v>
      </c>
      <c r="AZ199" s="79" t="s">
        <v>65</v>
      </c>
      <c r="BA199" s="50"/>
      <c r="BB199" s="50"/>
      <c r="BC199" s="50"/>
      <c r="BD199" s="50"/>
      <c r="BE199" s="50"/>
      <c r="BF199" s="50"/>
      <c r="BG199" s="50"/>
      <c r="BH199" s="50"/>
      <c r="BI199" s="50"/>
      <c r="BJ199" s="50"/>
      <c r="BK199" s="2"/>
      <c r="BL199" s="3"/>
      <c r="BM199" s="3"/>
      <c r="BN199" s="3"/>
      <c r="BO19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9" xr:uid="{00000000-0002-0000-0100-000000000000}"/>
    <dataValidation allowBlank="1" errorTitle="Invalid Vertex Visibility" error="You have entered an unrecognized vertex visibility.  Try selecting from the drop-down list instead." sqref="BK3" xr:uid="{00000000-0002-0000-0100-000001000000}"/>
    <dataValidation allowBlank="1" showErrorMessage="1" sqref="BK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9"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9"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9"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9"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9" xr:uid="{00000000-0002-0000-0100-000007000000}"/>
    <dataValidation allowBlank="1" showInputMessage="1" errorTitle="Invalid Vertex Image Key" promptTitle="Vertex Tooltip" prompt="Enter optional text that will pop up when the mouse is hovered over the vertex." sqref="K3:K199"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9"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9"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99" xr:uid="{00000000-0002-0000-0100-00000B000000}"/>
    <dataValidation allowBlank="1" showInputMessage="1" promptTitle="Vertex Label Fill Color" prompt="To select an optional fill color for the Label shape, right-click and select Select Color on the right-click menu." sqref="I3:I199" xr:uid="{00000000-0002-0000-0100-00000C000000}"/>
    <dataValidation allowBlank="1" showInputMessage="1" errorTitle="Invalid Vertex Image Key" promptTitle="Vertex Image File" prompt="Enter the path to an image file.  Hover over the column header for examples." sqref="F3:F199" xr:uid="{00000000-0002-0000-0100-00000D000000}"/>
    <dataValidation allowBlank="1" showInputMessage="1" promptTitle="Vertex Color" prompt="To select an optional vertex color, right-click and select Select Color on the right-click menu." sqref="B3:B199"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99"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99"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99"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9" xr:uid="{00000000-0002-0000-0100-000012000000}">
      <formula1>ValidVertexLabelPositions</formula1>
    </dataValidation>
    <dataValidation allowBlank="1" showInputMessage="1" showErrorMessage="1" promptTitle="Vertex Name" prompt="Enter the name of the vertex." sqref="A3:A199"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workbookViewId="0">
      <pane ySplit="2" topLeftCell="A3" activePane="bottomLeft" state="frozen"/>
      <selection pane="bottomLeft" activeCell="A2" sqref="A2:Y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7109375" bestFit="1" customWidth="1"/>
    <col min="26" max="26" width="15.140625" bestFit="1" customWidth="1"/>
    <col min="27" max="27" width="15.42578125" bestFit="1" customWidth="1"/>
    <col min="28" max="28" width="13.140625" bestFit="1" customWidth="1"/>
    <col min="29" max="29" width="15.85546875" bestFit="1" customWidth="1"/>
    <col min="30" max="30" width="14.5703125" bestFit="1" customWidth="1"/>
    <col min="31" max="31" width="17.42578125" bestFit="1" customWidth="1"/>
    <col min="32" max="32" width="11.5703125" bestFit="1" customWidth="1"/>
  </cols>
  <sheetData>
    <row r="1" spans="1:32" x14ac:dyDescent="0.25">
      <c r="B1" s="55" t="s">
        <v>39</v>
      </c>
      <c r="C1" s="56"/>
      <c r="D1" s="56"/>
      <c r="E1" s="57"/>
      <c r="F1" s="54" t="s">
        <v>43</v>
      </c>
      <c r="G1" s="58" t="s">
        <v>44</v>
      </c>
      <c r="H1" s="59"/>
      <c r="I1" s="60" t="s">
        <v>40</v>
      </c>
      <c r="J1" s="61"/>
      <c r="K1" s="62" t="s">
        <v>42</v>
      </c>
      <c r="L1" s="63"/>
      <c r="M1" s="63"/>
      <c r="N1" s="63"/>
      <c r="O1" s="63"/>
      <c r="P1" s="63"/>
      <c r="Q1" s="63"/>
      <c r="R1" s="63"/>
      <c r="S1" s="63"/>
      <c r="T1" s="63"/>
      <c r="U1" s="63"/>
      <c r="V1" s="63"/>
      <c r="W1" s="63"/>
      <c r="X1" s="63"/>
    </row>
    <row r="2" spans="1:32"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2593</v>
      </c>
      <c r="Z2" s="13" t="s">
        <v>2595</v>
      </c>
      <c r="AA2" s="13" t="s">
        <v>2603</v>
      </c>
      <c r="AB2" s="13" t="s">
        <v>2614</v>
      </c>
      <c r="AC2" s="13" t="s">
        <v>2626</v>
      </c>
      <c r="AD2" s="13" t="s">
        <v>2629</v>
      </c>
      <c r="AE2" s="13" t="s">
        <v>2630</v>
      </c>
      <c r="AF2" s="13" t="s">
        <v>2632</v>
      </c>
    </row>
    <row r="3" spans="1:32" x14ac:dyDescent="0.25">
      <c r="A3" s="14"/>
      <c r="B3" s="15"/>
      <c r="C3" s="15"/>
      <c r="D3" s="15"/>
      <c r="E3" s="15"/>
      <c r="F3" s="16"/>
      <c r="G3" s="64"/>
      <c r="H3" s="64"/>
      <c r="I3" s="52"/>
      <c r="J3" s="52"/>
      <c r="K3" s="48"/>
      <c r="L3" s="48"/>
      <c r="M3" s="48"/>
      <c r="N3" s="48"/>
      <c r="O3" s="48"/>
      <c r="P3" s="48"/>
      <c r="Q3" s="48"/>
      <c r="R3" s="48"/>
      <c r="S3" s="48"/>
      <c r="T3" s="48"/>
      <c r="U3" s="48"/>
      <c r="V3" s="48"/>
      <c r="W3" s="49"/>
      <c r="X3" s="49"/>
      <c r="Y3" s="79"/>
      <c r="Z3" s="79"/>
      <c r="AA3" s="79"/>
      <c r="AB3" s="79"/>
      <c r="AC3" s="79"/>
      <c r="AD3" s="79"/>
      <c r="AE3" s="79"/>
      <c r="AF3" s="79"/>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t="s">
        <v>3111</v>
      </c>
      <c r="B2" s="36" t="s">
        <v>2579</v>
      </c>
      <c r="D2" s="33">
        <f>MIN(Vertices[Degree])</f>
        <v>0</v>
      </c>
      <c r="E2" s="3">
        <f>COUNTIF(Vertices[Degree], "&gt;= " &amp; D2) - COUNTIF(Vertices[Degree], "&gt;=" &amp; D3)</f>
        <v>0</v>
      </c>
      <c r="F2" s="39">
        <f>MIN(Vertices[In-Degree])</f>
        <v>0</v>
      </c>
      <c r="G2" s="40">
        <f>COUNTIF(Vertices[In-Degree], "&gt;= " &amp; F2) - COUNTIF(Vertices[In-Degree], "&gt;=" &amp; F3)</f>
        <v>153</v>
      </c>
      <c r="H2" s="39">
        <f>MIN(Vertices[Out-Degree])</f>
        <v>0</v>
      </c>
      <c r="I2" s="40">
        <f>COUNTIF(Vertices[Out-Degree], "&gt;= " &amp; H2) - COUNTIF(Vertices[Out-Degree], "&gt;=" &amp; H3)</f>
        <v>34</v>
      </c>
      <c r="J2" s="39">
        <f>MIN(Vertices[Betweenness Centrality])</f>
        <v>0</v>
      </c>
      <c r="K2" s="40">
        <f>COUNTIF(Vertices[Betweenness Centrality], "&gt;= " &amp; J2) - COUNTIF(Vertices[Betweenness Centrality], "&gt;=" &amp; J3)</f>
        <v>179</v>
      </c>
      <c r="L2" s="39">
        <f>MIN(Vertices[Closeness Centrality])</f>
        <v>0</v>
      </c>
      <c r="M2" s="40">
        <f>COUNTIF(Vertices[Closeness Centrality], "&gt;= " &amp; L2) - COUNTIF(Vertices[Closeness Centrality], "&gt;=" &amp; L3)</f>
        <v>13</v>
      </c>
      <c r="N2" s="39">
        <f>MIN(Vertices[Eigenvector Centrality])</f>
        <v>0</v>
      </c>
      <c r="O2" s="40">
        <f>COUNTIF(Vertices[Eigenvector Centrality], "&gt;= " &amp; N2) - COUNTIF(Vertices[Eigenvector Centrality], "&gt;=" &amp; N3)</f>
        <v>83</v>
      </c>
      <c r="P2" s="39">
        <f>MIN(Vertices[PageRank])</f>
        <v>4.3769999999999998E-3</v>
      </c>
      <c r="Q2" s="40">
        <f>COUNTIF(Vertices[PageRank], "&gt;= " &amp; P2) - COUNTIF(Vertices[PageRank], "&gt;=" &amp; P3)</f>
        <v>165</v>
      </c>
      <c r="R2" s="39">
        <f>MIN(Vertices[Clustering Coefficient])</f>
        <v>0</v>
      </c>
      <c r="S2" s="45">
        <f>COUNTIF(Vertices[Clustering Coefficient], "&gt;= " &amp; R2) - COUNTIF(Vertices[Clustering Coefficient], "&gt;=" &amp; R3)</f>
        <v>87</v>
      </c>
      <c r="T2" s="39" t="e">
        <f ca="1">MIN(INDIRECT(DynamicFilterSourceColumnRange))</f>
        <v>#REF!</v>
      </c>
      <c r="U2" s="40" t="e">
        <f t="shared" ref="U2:U25" ca="1" si="0">COUNTIF(INDIRECT(DynamicFilterSourceColumnRange), "&gt;= " &amp; T2) - COUNTIF(INDIRECT(DynamicFilterSourceColumnRange), "&gt;=" &amp; T3)</f>
        <v>#REF!</v>
      </c>
      <c r="W2" t="s">
        <v>124</v>
      </c>
      <c r="X2">
        <f>ROWS(HistogramBins[Degree Bin]) - 1</f>
        <v>34</v>
      </c>
    </row>
    <row r="3" spans="1:24" x14ac:dyDescent="0.25">
      <c r="A3" s="109"/>
      <c r="B3" s="109"/>
      <c r="D3" s="34">
        <f t="shared" ref="D3:D35" si="1">D2+($D$36-$D$2)/BinDivisor</f>
        <v>0</v>
      </c>
      <c r="E3" s="3">
        <f>COUNTIF(Vertices[Degree], "&gt;= " &amp; D3) - COUNTIF(Vertices[Degree], "&gt;=" &amp; D4)</f>
        <v>0</v>
      </c>
      <c r="F3" s="41">
        <f t="shared" ref="F3:F35" si="2">F2+($F$36-$F$2)/BinDivisor</f>
        <v>2.0588235294117645</v>
      </c>
      <c r="G3" s="42">
        <f>COUNTIF(Vertices[In-Degree], "&gt;= " &amp; F3) - COUNTIF(Vertices[In-Degree], "&gt;=" &amp; F4)</f>
        <v>18</v>
      </c>
      <c r="H3" s="41">
        <f t="shared" ref="H3:H35" si="3">H2+($H$36-$H$2)/BinDivisor</f>
        <v>0.6470588235294118</v>
      </c>
      <c r="I3" s="42">
        <f>COUNTIF(Vertices[Out-Degree], "&gt;= " &amp; H3) - COUNTIF(Vertices[Out-Degree], "&gt;=" &amp; H4)</f>
        <v>75</v>
      </c>
      <c r="J3" s="41">
        <f t="shared" ref="J3:J35" si="4">J2+($J$36-$J$2)/BinDivisor</f>
        <v>687.63582032352952</v>
      </c>
      <c r="K3" s="42">
        <f>COUNTIF(Vertices[Betweenness Centrality], "&gt;= " &amp; J3) - COUNTIF(Vertices[Betweenness Centrality], "&gt;=" &amp; J4)</f>
        <v>7</v>
      </c>
      <c r="L3" s="41">
        <f t="shared" ref="L3:L35" si="5">L2+($L$36-$L$2)/BinDivisor</f>
        <v>1.6211147058823528E-2</v>
      </c>
      <c r="M3" s="42">
        <f>COUNTIF(Vertices[Closeness Centrality], "&gt;= " &amp; L3) - COUNTIF(Vertices[Closeness Centrality], "&gt;=" &amp; L4)</f>
        <v>6</v>
      </c>
      <c r="N3" s="41">
        <f t="shared" ref="N3:N35" si="6">N2+($N$36-$N$2)/BinDivisor</f>
        <v>1.6360058823529412E-2</v>
      </c>
      <c r="O3" s="42">
        <f>COUNTIF(Vertices[Eigenvector Centrality], "&gt;= " &amp; N3) - COUNTIF(Vertices[Eigenvector Centrality], "&gt;=" &amp; N4)</f>
        <v>20</v>
      </c>
      <c r="P3" s="41">
        <f t="shared" ref="P3:P35" si="7">P2+($P$36-$P$2)/BinDivisor</f>
        <v>5.2532941176470591E-3</v>
      </c>
      <c r="Q3" s="42">
        <f>COUNTIF(Vertices[PageRank], "&gt;= " &amp; P3) - COUNTIF(Vertices[PageRank], "&gt;=" &amp; P4)</f>
        <v>17</v>
      </c>
      <c r="R3" s="41">
        <f t="shared" ref="R3:R35" si="8">R2+($R$36-$R$2)/BinDivisor</f>
        <v>2.9411764705882353E-2</v>
      </c>
      <c r="S3" s="46">
        <f>COUNTIF(Vertices[Clustering Coefficient], "&gt;= " &amp; R3) - COUNTIF(Vertices[Clustering Coefficient], "&gt;=" &amp; R4)</f>
        <v>5</v>
      </c>
      <c r="T3" s="41" t="e">
        <f t="shared" ref="T3:T35" ca="1" si="9">T2+($T$36-$T$2)/BinDivisor</f>
        <v>#REF!</v>
      </c>
      <c r="U3" s="42" t="e">
        <f t="shared" ca="1" si="0"/>
        <v>#REF!</v>
      </c>
      <c r="W3" t="s">
        <v>125</v>
      </c>
      <c r="X3" t="s">
        <v>85</v>
      </c>
    </row>
    <row r="4" spans="1:24" x14ac:dyDescent="0.25">
      <c r="A4" s="36" t="s">
        <v>146</v>
      </c>
      <c r="B4" s="36">
        <v>197</v>
      </c>
      <c r="D4" s="34">
        <f t="shared" si="1"/>
        <v>0</v>
      </c>
      <c r="E4" s="3">
        <f>COUNTIF(Vertices[Degree], "&gt;= " &amp; D4) - COUNTIF(Vertices[Degree], "&gt;=" &amp; D5)</f>
        <v>0</v>
      </c>
      <c r="F4" s="39">
        <f t="shared" si="2"/>
        <v>4.117647058823529</v>
      </c>
      <c r="G4" s="40">
        <f>COUNTIF(Vertices[In-Degree], "&gt;= " &amp; F4) - COUNTIF(Vertices[In-Degree], "&gt;=" &amp; F5)</f>
        <v>10</v>
      </c>
      <c r="H4" s="39">
        <f t="shared" si="3"/>
        <v>1.2941176470588236</v>
      </c>
      <c r="I4" s="40">
        <f>COUNTIF(Vertices[Out-Degree], "&gt;= " &amp; H4) - COUNTIF(Vertices[Out-Degree], "&gt;=" &amp; H5)</f>
        <v>0</v>
      </c>
      <c r="J4" s="39">
        <f t="shared" si="4"/>
        <v>1375.271640647059</v>
      </c>
      <c r="K4" s="40">
        <f>COUNTIF(Vertices[Betweenness Centrality], "&gt;= " &amp; J4) - COUNTIF(Vertices[Betweenness Centrality], "&gt;=" &amp; J5)</f>
        <v>4</v>
      </c>
      <c r="L4" s="39">
        <f t="shared" si="5"/>
        <v>3.2422294117647056E-2</v>
      </c>
      <c r="M4" s="40">
        <f>COUNTIF(Vertices[Closeness Centrality], "&gt;= " &amp; L4) - COUNTIF(Vertices[Closeness Centrality], "&gt;=" &amp; L5)</f>
        <v>0</v>
      </c>
      <c r="N4" s="39">
        <f t="shared" si="6"/>
        <v>3.2720117647058823E-2</v>
      </c>
      <c r="O4" s="40">
        <f>COUNTIF(Vertices[Eigenvector Centrality], "&gt;= " &amp; N4) - COUNTIF(Vertices[Eigenvector Centrality], "&gt;=" &amp; N5)</f>
        <v>37</v>
      </c>
      <c r="P4" s="39">
        <f t="shared" si="7"/>
        <v>6.1295882352941176E-3</v>
      </c>
      <c r="Q4" s="40">
        <f>COUNTIF(Vertices[PageRank], "&gt;= " &amp; P4) - COUNTIF(Vertices[PageRank], "&gt;=" &amp; P5)</f>
        <v>6</v>
      </c>
      <c r="R4" s="39">
        <f t="shared" si="8"/>
        <v>5.8823529411764705E-2</v>
      </c>
      <c r="S4" s="45">
        <f>COUNTIF(Vertices[Clustering Coefficient], "&gt;= " &amp; R4) - COUNTIF(Vertices[Clustering Coefficient], "&gt;=" &amp; R5)</f>
        <v>5</v>
      </c>
      <c r="T4" s="39" t="e">
        <f t="shared" ca="1" si="9"/>
        <v>#REF!</v>
      </c>
      <c r="U4" s="40" t="e">
        <f t="shared" ca="1" si="0"/>
        <v>#REF!</v>
      </c>
      <c r="W4" s="12" t="s">
        <v>126</v>
      </c>
      <c r="X4" s="12" t="s">
        <v>128</v>
      </c>
    </row>
    <row r="5" spans="1:24" x14ac:dyDescent="0.25">
      <c r="A5" s="109"/>
      <c r="B5" s="109"/>
      <c r="D5" s="34">
        <f t="shared" si="1"/>
        <v>0</v>
      </c>
      <c r="E5" s="3">
        <f>COUNTIF(Vertices[Degree], "&gt;= " &amp; D5) - COUNTIF(Vertices[Degree], "&gt;=" &amp; D6)</f>
        <v>0</v>
      </c>
      <c r="F5" s="41">
        <f t="shared" si="2"/>
        <v>6.1764705882352935</v>
      </c>
      <c r="G5" s="42">
        <f>COUNTIF(Vertices[In-Degree], "&gt;= " &amp; F5) - COUNTIF(Vertices[In-Degree], "&gt;=" &amp; F6)</f>
        <v>5</v>
      </c>
      <c r="H5" s="41">
        <f t="shared" si="3"/>
        <v>1.9411764705882355</v>
      </c>
      <c r="I5" s="42">
        <f>COUNTIF(Vertices[Out-Degree], "&gt;= " &amp; H5) - COUNTIF(Vertices[Out-Degree], "&gt;=" &amp; H6)</f>
        <v>31</v>
      </c>
      <c r="J5" s="41">
        <f t="shared" si="4"/>
        <v>2062.9074609705885</v>
      </c>
      <c r="K5" s="42">
        <f>COUNTIF(Vertices[Betweenness Centrality], "&gt;= " &amp; J5) - COUNTIF(Vertices[Betweenness Centrality], "&gt;=" &amp; J6)</f>
        <v>4</v>
      </c>
      <c r="L5" s="41">
        <f t="shared" si="5"/>
        <v>4.8633441176470588E-2</v>
      </c>
      <c r="M5" s="42">
        <f>COUNTIF(Vertices[Closeness Centrality], "&gt;= " &amp; L5) - COUNTIF(Vertices[Closeness Centrality], "&gt;=" &amp; L6)</f>
        <v>0</v>
      </c>
      <c r="N5" s="41">
        <f t="shared" si="6"/>
        <v>4.9080176470588238E-2</v>
      </c>
      <c r="O5" s="42">
        <f>COUNTIF(Vertices[Eigenvector Centrality], "&gt;= " &amp; N5) - COUNTIF(Vertices[Eigenvector Centrality], "&gt;=" &amp; N6)</f>
        <v>19</v>
      </c>
      <c r="P5" s="41">
        <f t="shared" si="7"/>
        <v>7.005882352941176E-3</v>
      </c>
      <c r="Q5" s="42">
        <f>COUNTIF(Vertices[PageRank], "&gt;= " &amp; P5) - COUNTIF(Vertices[PageRank], "&gt;=" &amp; P6)</f>
        <v>5</v>
      </c>
      <c r="R5" s="41">
        <f t="shared" si="8"/>
        <v>8.8235294117647051E-2</v>
      </c>
      <c r="S5" s="46">
        <f>COUNTIF(Vertices[Clustering Coefficient], "&gt;= " &amp; R5) - COUNTIF(Vertices[Clustering Coefficient], "&gt;=" &amp; R6)</f>
        <v>5</v>
      </c>
      <c r="T5" s="41" t="e">
        <f t="shared" ca="1" si="9"/>
        <v>#REF!</v>
      </c>
      <c r="U5" s="42" t="e">
        <f t="shared" ca="1" si="0"/>
        <v>#REF!</v>
      </c>
    </row>
    <row r="6" spans="1:24" x14ac:dyDescent="0.25">
      <c r="A6" s="36" t="s">
        <v>148</v>
      </c>
      <c r="B6" s="36">
        <v>315</v>
      </c>
      <c r="D6" s="34">
        <f t="shared" si="1"/>
        <v>0</v>
      </c>
      <c r="E6" s="3">
        <f>COUNTIF(Vertices[Degree], "&gt;= " &amp; D6) - COUNTIF(Vertices[Degree], "&gt;=" &amp; D7)</f>
        <v>0</v>
      </c>
      <c r="F6" s="39">
        <f t="shared" si="2"/>
        <v>8.235294117647058</v>
      </c>
      <c r="G6" s="40">
        <f>COUNTIF(Vertices[In-Degree], "&gt;= " &amp; F6) - COUNTIF(Vertices[In-Degree], "&gt;=" &amp; F7)</f>
        <v>6</v>
      </c>
      <c r="H6" s="39">
        <f t="shared" si="3"/>
        <v>2.5882352941176472</v>
      </c>
      <c r="I6" s="40">
        <f>COUNTIF(Vertices[Out-Degree], "&gt;= " &amp; H6) - COUNTIF(Vertices[Out-Degree], "&gt;=" &amp; H7)</f>
        <v>26</v>
      </c>
      <c r="J6" s="39">
        <f t="shared" si="4"/>
        <v>2750.5432812941181</v>
      </c>
      <c r="K6" s="40">
        <f>COUNTIF(Vertices[Betweenness Centrality], "&gt;= " &amp; J6) - COUNTIF(Vertices[Betweenness Centrality], "&gt;=" &amp; J7)</f>
        <v>0</v>
      </c>
      <c r="L6" s="39">
        <f t="shared" si="5"/>
        <v>6.4844588235294112E-2</v>
      </c>
      <c r="M6" s="40">
        <f>COUNTIF(Vertices[Closeness Centrality], "&gt;= " &amp; L6) - COUNTIF(Vertices[Closeness Centrality], "&gt;=" &amp; L7)</f>
        <v>0</v>
      </c>
      <c r="N6" s="39">
        <f t="shared" si="6"/>
        <v>6.5440235294117646E-2</v>
      </c>
      <c r="O6" s="40">
        <f>COUNTIF(Vertices[Eigenvector Centrality], "&gt;= " &amp; N6) - COUNTIF(Vertices[Eigenvector Centrality], "&gt;=" &amp; N7)</f>
        <v>14</v>
      </c>
      <c r="P6" s="39">
        <f t="shared" si="7"/>
        <v>7.8821764705882345E-3</v>
      </c>
      <c r="Q6" s="40">
        <f>COUNTIF(Vertices[PageRank], "&gt;= " &amp; P6) - COUNTIF(Vertices[PageRank], "&gt;=" &amp; P7)</f>
        <v>0</v>
      </c>
      <c r="R6" s="39">
        <f t="shared" si="8"/>
        <v>0.11764705882352941</v>
      </c>
      <c r="S6" s="45">
        <f>COUNTIF(Vertices[Clustering Coefficient], "&gt;= " &amp; R6) - COUNTIF(Vertices[Clustering Coefficient], "&gt;=" &amp; R7)</f>
        <v>1</v>
      </c>
      <c r="T6" s="39" t="e">
        <f t="shared" ca="1" si="9"/>
        <v>#REF!</v>
      </c>
      <c r="U6" s="40" t="e">
        <f t="shared" ca="1" si="0"/>
        <v>#REF!</v>
      </c>
    </row>
    <row r="7" spans="1:24" x14ac:dyDescent="0.25">
      <c r="A7" s="36" t="s">
        <v>149</v>
      </c>
      <c r="B7" s="36">
        <v>305</v>
      </c>
      <c r="D7" s="34">
        <f t="shared" si="1"/>
        <v>0</v>
      </c>
      <c r="E7" s="3">
        <f>COUNTIF(Vertices[Degree], "&gt;= " &amp; D7) - COUNTIF(Vertices[Degree], "&gt;=" &amp; D8)</f>
        <v>0</v>
      </c>
      <c r="F7" s="41">
        <f t="shared" si="2"/>
        <v>10.294117647058822</v>
      </c>
      <c r="G7" s="42">
        <f>COUNTIF(Vertices[In-Degree], "&gt;= " &amp; F7) - COUNTIF(Vertices[In-Degree], "&gt;=" &amp; F8)</f>
        <v>0</v>
      </c>
      <c r="H7" s="41">
        <f t="shared" si="3"/>
        <v>3.2352941176470589</v>
      </c>
      <c r="I7" s="42">
        <f>COUNTIF(Vertices[Out-Degree], "&gt;= " &amp; H7) - COUNTIF(Vertices[Out-Degree], "&gt;=" &amp; H8)</f>
        <v>0</v>
      </c>
      <c r="J7" s="41">
        <f t="shared" si="4"/>
        <v>3438.1791016176476</v>
      </c>
      <c r="K7" s="42">
        <f>COUNTIF(Vertices[Betweenness Centrality], "&gt;= " &amp; J7) - COUNTIF(Vertices[Betweenness Centrality], "&gt;=" &amp; J8)</f>
        <v>0</v>
      </c>
      <c r="L7" s="41">
        <f t="shared" si="5"/>
        <v>8.1055735294117637E-2</v>
      </c>
      <c r="M7" s="42">
        <f>COUNTIF(Vertices[Closeness Centrality], "&gt;= " &amp; L7) - COUNTIF(Vertices[Closeness Centrality], "&gt;=" &amp; L8)</f>
        <v>0</v>
      </c>
      <c r="N7" s="41">
        <f t="shared" si="6"/>
        <v>8.1800294117647054E-2</v>
      </c>
      <c r="O7" s="42">
        <f>COUNTIF(Vertices[Eigenvector Centrality], "&gt;= " &amp; N7) - COUNTIF(Vertices[Eigenvector Centrality], "&gt;=" &amp; N8)</f>
        <v>8</v>
      </c>
      <c r="P7" s="41">
        <f t="shared" si="7"/>
        <v>8.7584705882352929E-3</v>
      </c>
      <c r="Q7" s="42">
        <f>COUNTIF(Vertices[PageRank], "&gt;= " &amp; P7) - COUNTIF(Vertices[PageRank], "&gt;=" &amp; P8)</f>
        <v>1</v>
      </c>
      <c r="R7" s="41">
        <f t="shared" si="8"/>
        <v>0.14705882352941177</v>
      </c>
      <c r="S7" s="46">
        <f>COUNTIF(Vertices[Clustering Coefficient], "&gt;= " &amp; R7) - COUNTIF(Vertices[Clustering Coefficient], "&gt;=" &amp; R8)</f>
        <v>10</v>
      </c>
      <c r="T7" s="41" t="e">
        <f t="shared" ca="1" si="9"/>
        <v>#REF!</v>
      </c>
      <c r="U7" s="42" t="e">
        <f t="shared" ca="1" si="0"/>
        <v>#REF!</v>
      </c>
    </row>
    <row r="8" spans="1:24" x14ac:dyDescent="0.25">
      <c r="A8" s="36" t="s">
        <v>150</v>
      </c>
      <c r="B8" s="36">
        <v>620</v>
      </c>
      <c r="D8" s="34">
        <f t="shared" si="1"/>
        <v>0</v>
      </c>
      <c r="E8" s="3">
        <f>COUNTIF(Vertices[Degree], "&gt;= " &amp; D8) - COUNTIF(Vertices[Degree], "&gt;=" &amp; D9)</f>
        <v>0</v>
      </c>
      <c r="F8" s="39">
        <f t="shared" si="2"/>
        <v>12.352941176470587</v>
      </c>
      <c r="G8" s="40">
        <f>COUNTIF(Vertices[In-Degree], "&gt;= " &amp; F8) - COUNTIF(Vertices[In-Degree], "&gt;=" &amp; F9)</f>
        <v>2</v>
      </c>
      <c r="H8" s="39">
        <f t="shared" si="3"/>
        <v>3.8823529411764706</v>
      </c>
      <c r="I8" s="40">
        <f>COUNTIF(Vertices[Out-Degree], "&gt;= " &amp; H8) - COUNTIF(Vertices[Out-Degree], "&gt;=" &amp; H9)</f>
        <v>17</v>
      </c>
      <c r="J8" s="39">
        <f t="shared" si="4"/>
        <v>4125.8149219411771</v>
      </c>
      <c r="K8" s="40">
        <f>COUNTIF(Vertices[Betweenness Centrality], "&gt;= " &amp; J8) - COUNTIF(Vertices[Betweenness Centrality], "&gt;=" &amp; J9)</f>
        <v>1</v>
      </c>
      <c r="L8" s="39">
        <f t="shared" si="5"/>
        <v>9.7266882352941161E-2</v>
      </c>
      <c r="M8" s="40">
        <f>COUNTIF(Vertices[Closeness Centrality], "&gt;= " &amp; L8) - COUNTIF(Vertices[Closeness Centrality], "&gt;=" &amp; L9)</f>
        <v>0</v>
      </c>
      <c r="N8" s="39">
        <f t="shared" si="6"/>
        <v>9.8160352941176462E-2</v>
      </c>
      <c r="O8" s="40">
        <f>COUNTIF(Vertices[Eigenvector Centrality], "&gt;= " &amp; N8) - COUNTIF(Vertices[Eigenvector Centrality], "&gt;=" &amp; N9)</f>
        <v>1</v>
      </c>
      <c r="P8" s="39">
        <f t="shared" si="7"/>
        <v>9.6347647058823514E-3</v>
      </c>
      <c r="Q8" s="40">
        <f>COUNTIF(Vertices[PageRank], "&gt;= " &amp; P8) - COUNTIF(Vertices[PageRank], "&gt;=" &amp; P9)</f>
        <v>1</v>
      </c>
      <c r="R8" s="39">
        <f t="shared" si="8"/>
        <v>0.17647058823529413</v>
      </c>
      <c r="S8" s="45">
        <f>COUNTIF(Vertices[Clustering Coefficient], "&gt;= " &amp; R8) - COUNTIF(Vertices[Clustering Coefficient], "&gt;=" &amp; R9)</f>
        <v>4</v>
      </c>
      <c r="T8" s="39" t="e">
        <f t="shared" ca="1" si="9"/>
        <v>#REF!</v>
      </c>
      <c r="U8" s="40" t="e">
        <f t="shared" ca="1" si="0"/>
        <v>#REF!</v>
      </c>
    </row>
    <row r="9" spans="1:24" x14ac:dyDescent="0.25">
      <c r="A9" s="109"/>
      <c r="B9" s="109"/>
      <c r="D9" s="34">
        <f t="shared" si="1"/>
        <v>0</v>
      </c>
      <c r="E9" s="3">
        <f>COUNTIF(Vertices[Degree], "&gt;= " &amp; D9) - COUNTIF(Vertices[Degree], "&gt;=" &amp; D10)</f>
        <v>0</v>
      </c>
      <c r="F9" s="41">
        <f t="shared" si="2"/>
        <v>14.411764705882351</v>
      </c>
      <c r="G9" s="42">
        <f>COUNTIF(Vertices[In-Degree], "&gt;= " &amp; F9) - COUNTIF(Vertices[In-Degree], "&gt;=" &amp; F10)</f>
        <v>1</v>
      </c>
      <c r="H9" s="41">
        <f t="shared" si="3"/>
        <v>4.5294117647058822</v>
      </c>
      <c r="I9" s="42">
        <f>COUNTIF(Vertices[Out-Degree], "&gt;= " &amp; H9) - COUNTIF(Vertices[Out-Degree], "&gt;=" &amp; H10)</f>
        <v>4</v>
      </c>
      <c r="J9" s="41">
        <f t="shared" si="4"/>
        <v>4813.4507422647066</v>
      </c>
      <c r="K9" s="42">
        <f>COUNTIF(Vertices[Betweenness Centrality], "&gt;= " &amp; J9) - COUNTIF(Vertices[Betweenness Centrality], "&gt;=" &amp; J10)</f>
        <v>0</v>
      </c>
      <c r="L9" s="41">
        <f t="shared" si="5"/>
        <v>0.11347802941176469</v>
      </c>
      <c r="M9" s="42">
        <f>COUNTIF(Vertices[Closeness Centrality], "&gt;= " &amp; L9) - COUNTIF(Vertices[Closeness Centrality], "&gt;=" &amp; L10)</f>
        <v>0</v>
      </c>
      <c r="N9" s="41">
        <f t="shared" si="6"/>
        <v>0.11452041176470587</v>
      </c>
      <c r="O9" s="42">
        <f>COUNTIF(Vertices[Eigenvector Centrality], "&gt;= " &amp; N9) - COUNTIF(Vertices[Eigenvector Centrality], "&gt;=" &amp; N10)</f>
        <v>6</v>
      </c>
      <c r="P9" s="41">
        <f t="shared" si="7"/>
        <v>1.051105882352941E-2</v>
      </c>
      <c r="Q9" s="42">
        <f>COUNTIF(Vertices[PageRank], "&gt;= " &amp; P9) - COUNTIF(Vertices[PageRank], "&gt;=" &amp; P10)</f>
        <v>0</v>
      </c>
      <c r="R9" s="41">
        <f t="shared" si="8"/>
        <v>0.20588235294117649</v>
      </c>
      <c r="S9" s="46">
        <f>COUNTIF(Vertices[Clustering Coefficient], "&gt;= " &amp; R9) - COUNTIF(Vertices[Clustering Coefficient], "&gt;=" &amp; R10)</f>
        <v>3</v>
      </c>
      <c r="T9" s="41" t="e">
        <f t="shared" ca="1" si="9"/>
        <v>#REF!</v>
      </c>
      <c r="U9" s="42" t="e">
        <f t="shared" ca="1" si="0"/>
        <v>#REF!</v>
      </c>
    </row>
    <row r="10" spans="1:24" x14ac:dyDescent="0.25">
      <c r="A10" s="36" t="s">
        <v>151</v>
      </c>
      <c r="B10" s="36">
        <v>135</v>
      </c>
      <c r="D10" s="34">
        <f t="shared" si="1"/>
        <v>0</v>
      </c>
      <c r="E10" s="3">
        <f>COUNTIF(Vertices[Degree], "&gt;= " &amp; D10) - COUNTIF(Vertices[Degree], "&gt;=" &amp; D11)</f>
        <v>0</v>
      </c>
      <c r="F10" s="39">
        <f t="shared" si="2"/>
        <v>16.470588235294116</v>
      </c>
      <c r="G10" s="40">
        <f>COUNTIF(Vertices[In-Degree], "&gt;= " &amp; F10) - COUNTIF(Vertices[In-Degree], "&gt;=" &amp; F11)</f>
        <v>0</v>
      </c>
      <c r="H10" s="39">
        <f t="shared" si="3"/>
        <v>5.1764705882352944</v>
      </c>
      <c r="I10" s="40">
        <f>COUNTIF(Vertices[Out-Degree], "&gt;= " &amp; H10) - COUNTIF(Vertices[Out-Degree], "&gt;=" &amp; H11)</f>
        <v>0</v>
      </c>
      <c r="J10" s="39">
        <f t="shared" si="4"/>
        <v>5501.0865625882361</v>
      </c>
      <c r="K10" s="40">
        <f>COUNTIF(Vertices[Betweenness Centrality], "&gt;= " &amp; J10) - COUNTIF(Vertices[Betweenness Centrality], "&gt;=" &amp; J11)</f>
        <v>1</v>
      </c>
      <c r="L10" s="39">
        <f t="shared" si="5"/>
        <v>0.12968917647058822</v>
      </c>
      <c r="M10" s="40">
        <f>COUNTIF(Vertices[Closeness Centrality], "&gt;= " &amp; L10) - COUNTIF(Vertices[Closeness Centrality], "&gt;=" &amp; L11)</f>
        <v>0</v>
      </c>
      <c r="N10" s="39">
        <f t="shared" si="6"/>
        <v>0.13088047058823529</v>
      </c>
      <c r="O10" s="40">
        <f>COUNTIF(Vertices[Eigenvector Centrality], "&gt;= " &amp; N10) - COUNTIF(Vertices[Eigenvector Centrality], "&gt;=" &amp; N11)</f>
        <v>1</v>
      </c>
      <c r="P10" s="39">
        <f t="shared" si="7"/>
        <v>1.1387352941176468E-2</v>
      </c>
      <c r="Q10" s="40">
        <f>COUNTIF(Vertices[PageRank], "&gt;= " &amp; P10) - COUNTIF(Vertices[PageRank], "&gt;=" &amp; P11)</f>
        <v>1</v>
      </c>
      <c r="R10" s="39">
        <f t="shared" si="8"/>
        <v>0.23529411764705885</v>
      </c>
      <c r="S10" s="45">
        <f>COUNTIF(Vertices[Clustering Coefficient], "&gt;= " &amp; R10) - COUNTIF(Vertices[Clustering Coefficient], "&gt;=" &amp; R11)</f>
        <v>13</v>
      </c>
      <c r="T10" s="39" t="e">
        <f t="shared" ca="1" si="9"/>
        <v>#REF!</v>
      </c>
      <c r="U10" s="40" t="e">
        <f t="shared" ca="1" si="0"/>
        <v>#REF!</v>
      </c>
    </row>
    <row r="11" spans="1:24" x14ac:dyDescent="0.25">
      <c r="A11" s="109"/>
      <c r="B11" s="109"/>
      <c r="D11" s="34">
        <f t="shared" si="1"/>
        <v>0</v>
      </c>
      <c r="E11" s="3">
        <f>COUNTIF(Vertices[Degree], "&gt;= " &amp; D11) - COUNTIF(Vertices[Degree], "&gt;=" &amp; D12)</f>
        <v>0</v>
      </c>
      <c r="F11" s="41">
        <f t="shared" si="2"/>
        <v>18.52941176470588</v>
      </c>
      <c r="G11" s="42">
        <f>COUNTIF(Vertices[In-Degree], "&gt;= " &amp; F11) - COUNTIF(Vertices[In-Degree], "&gt;=" &amp; F12)</f>
        <v>0</v>
      </c>
      <c r="H11" s="41">
        <f t="shared" si="3"/>
        <v>5.8235294117647065</v>
      </c>
      <c r="I11" s="42">
        <f>COUNTIF(Vertices[Out-Degree], "&gt;= " &amp; H11) - COUNTIF(Vertices[Out-Degree], "&gt;=" &amp; H12)</f>
        <v>2</v>
      </c>
      <c r="J11" s="41">
        <f t="shared" si="4"/>
        <v>6188.7223829117656</v>
      </c>
      <c r="K11" s="42">
        <f>COUNTIF(Vertices[Betweenness Centrality], "&gt;= " &amp; J11) - COUNTIF(Vertices[Betweenness Centrality], "&gt;=" &amp; J12)</f>
        <v>0</v>
      </c>
      <c r="L11" s="41">
        <f t="shared" si="5"/>
        <v>0.14590032352941176</v>
      </c>
      <c r="M11" s="42">
        <f>COUNTIF(Vertices[Closeness Centrality], "&gt;= " &amp; L11) - COUNTIF(Vertices[Closeness Centrality], "&gt;=" &amp; L12)</f>
        <v>0</v>
      </c>
      <c r="N11" s="41">
        <f t="shared" si="6"/>
        <v>0.14724052941176471</v>
      </c>
      <c r="O11" s="42">
        <f>COUNTIF(Vertices[Eigenvector Centrality], "&gt;= " &amp; N11) - COUNTIF(Vertices[Eigenvector Centrality], "&gt;=" &amp; N12)</f>
        <v>1</v>
      </c>
      <c r="P11" s="41">
        <f t="shared" si="7"/>
        <v>1.2263647058823527E-2</v>
      </c>
      <c r="Q11" s="42">
        <f>COUNTIF(Vertices[PageRank], "&gt;= " &amp; P11) - COUNTIF(Vertices[PageRank], "&gt;=" &amp; P12)</f>
        <v>0</v>
      </c>
      <c r="R11" s="41">
        <f t="shared" si="8"/>
        <v>0.26470588235294118</v>
      </c>
      <c r="S11" s="46">
        <f>COUNTIF(Vertices[Clustering Coefficient], "&gt;= " &amp; R11) - COUNTIF(Vertices[Clustering Coefficient], "&gt;=" &amp; R12)</f>
        <v>1</v>
      </c>
      <c r="T11" s="41" t="e">
        <f t="shared" ca="1" si="9"/>
        <v>#REF!</v>
      </c>
      <c r="U11" s="42" t="e">
        <f t="shared" ca="1" si="0"/>
        <v>#REF!</v>
      </c>
    </row>
    <row r="12" spans="1:24" x14ac:dyDescent="0.25">
      <c r="A12" s="36" t="s">
        <v>170</v>
      </c>
      <c r="B12" s="36">
        <v>4.507042253521127E-2</v>
      </c>
      <c r="D12" s="34">
        <f t="shared" si="1"/>
        <v>0</v>
      </c>
      <c r="E12" s="3">
        <f>COUNTIF(Vertices[Degree], "&gt;= " &amp; D12) - COUNTIF(Vertices[Degree], "&gt;=" &amp; D13)</f>
        <v>0</v>
      </c>
      <c r="F12" s="39">
        <f t="shared" si="2"/>
        <v>20.588235294117645</v>
      </c>
      <c r="G12" s="40">
        <f>COUNTIF(Vertices[In-Degree], "&gt;= " &amp; F12) - COUNTIF(Vertices[In-Degree], "&gt;=" &amp; F13)</f>
        <v>0</v>
      </c>
      <c r="H12" s="39">
        <f t="shared" si="3"/>
        <v>6.4705882352941186</v>
      </c>
      <c r="I12" s="40">
        <f>COUNTIF(Vertices[Out-Degree], "&gt;= " &amp; H12) - COUNTIF(Vertices[Out-Degree], "&gt;=" &amp; H13)</f>
        <v>1</v>
      </c>
      <c r="J12" s="39">
        <f t="shared" si="4"/>
        <v>6876.3582032352952</v>
      </c>
      <c r="K12" s="40">
        <f>COUNTIF(Vertices[Betweenness Centrality], "&gt;= " &amp; J12) - COUNTIF(Vertices[Betweenness Centrality], "&gt;=" &amp; J13)</f>
        <v>0</v>
      </c>
      <c r="L12" s="39">
        <f t="shared" si="5"/>
        <v>0.1621114705882353</v>
      </c>
      <c r="M12" s="40">
        <f>COUNTIF(Vertices[Closeness Centrality], "&gt;= " &amp; L12) - COUNTIF(Vertices[Closeness Centrality], "&gt;=" &amp; L13)</f>
        <v>2</v>
      </c>
      <c r="N12" s="39">
        <f t="shared" si="6"/>
        <v>0.16360058823529414</v>
      </c>
      <c r="O12" s="40">
        <f>COUNTIF(Vertices[Eigenvector Centrality], "&gt;= " &amp; N12) - COUNTIF(Vertices[Eigenvector Centrality], "&gt;=" &amp; N13)</f>
        <v>3</v>
      </c>
      <c r="P12" s="39">
        <f t="shared" si="7"/>
        <v>1.3139941176470585E-2</v>
      </c>
      <c r="Q12" s="40">
        <f>COUNTIF(Vertices[PageRank], "&gt;= " &amp; P12) - COUNTIF(Vertices[PageRank], "&gt;=" &amp; P13)</f>
        <v>0</v>
      </c>
      <c r="R12" s="39">
        <f t="shared" si="8"/>
        <v>0.29411764705882354</v>
      </c>
      <c r="S12" s="45">
        <f>COUNTIF(Vertices[Clustering Coefficient], "&gt;= " &amp; R12) - COUNTIF(Vertices[Clustering Coefficient], "&gt;=" &amp; R13)</f>
        <v>1</v>
      </c>
      <c r="T12" s="39" t="e">
        <f t="shared" ca="1" si="9"/>
        <v>#REF!</v>
      </c>
      <c r="U12" s="40" t="e">
        <f t="shared" ca="1" si="0"/>
        <v>#REF!</v>
      </c>
    </row>
    <row r="13" spans="1:24" x14ac:dyDescent="0.25">
      <c r="A13" s="36" t="s">
        <v>171</v>
      </c>
      <c r="B13" s="36">
        <v>8.6253369272237201E-2</v>
      </c>
      <c r="D13" s="34">
        <f t="shared" si="1"/>
        <v>0</v>
      </c>
      <c r="E13" s="3">
        <f>COUNTIF(Vertices[Degree], "&gt;= " &amp; D13) - COUNTIF(Vertices[Degree], "&gt;=" &amp; D14)</f>
        <v>0</v>
      </c>
      <c r="F13" s="41">
        <f t="shared" si="2"/>
        <v>22.647058823529409</v>
      </c>
      <c r="G13" s="42">
        <f>COUNTIF(Vertices[In-Degree], "&gt;= " &amp; F13) - COUNTIF(Vertices[In-Degree], "&gt;=" &amp; F14)</f>
        <v>0</v>
      </c>
      <c r="H13" s="41">
        <f t="shared" si="3"/>
        <v>7.1176470588235308</v>
      </c>
      <c r="I13" s="42">
        <f>COUNTIF(Vertices[Out-Degree], "&gt;= " &amp; H13) - COUNTIF(Vertices[Out-Degree], "&gt;=" &amp; H14)</f>
        <v>0</v>
      </c>
      <c r="J13" s="41">
        <f t="shared" si="4"/>
        <v>7563.9940235588247</v>
      </c>
      <c r="K13" s="42">
        <f>COUNTIF(Vertices[Betweenness Centrality], "&gt;= " &amp; J13) - COUNTIF(Vertices[Betweenness Centrality], "&gt;=" &amp; J14)</f>
        <v>0</v>
      </c>
      <c r="L13" s="41">
        <f t="shared" si="5"/>
        <v>0.17832261764705884</v>
      </c>
      <c r="M13" s="42">
        <f>COUNTIF(Vertices[Closeness Centrality], "&gt;= " &amp; L13) - COUNTIF(Vertices[Closeness Centrality], "&gt;=" &amp; L14)</f>
        <v>0</v>
      </c>
      <c r="N13" s="41">
        <f t="shared" si="6"/>
        <v>0.17996064705882356</v>
      </c>
      <c r="O13" s="42">
        <f>COUNTIF(Vertices[Eigenvector Centrality], "&gt;= " &amp; N13) - COUNTIF(Vertices[Eigenvector Centrality], "&gt;=" &amp; N14)</f>
        <v>1</v>
      </c>
      <c r="P13" s="41">
        <f t="shared" si="7"/>
        <v>1.4016235294117644E-2</v>
      </c>
      <c r="Q13" s="42">
        <f>COUNTIF(Vertices[PageRank], "&gt;= " &amp; P13) - COUNTIF(Vertices[PageRank], "&gt;=" &amp; P14)</f>
        <v>0</v>
      </c>
      <c r="R13" s="41">
        <f t="shared" si="8"/>
        <v>0.3235294117647059</v>
      </c>
      <c r="S13" s="46">
        <f>COUNTIF(Vertices[Clustering Coefficient], "&gt;= " &amp; R13) - COUNTIF(Vertices[Clustering Coefficient], "&gt;=" &amp; R14)</f>
        <v>20</v>
      </c>
      <c r="T13" s="41" t="e">
        <f t="shared" ca="1" si="9"/>
        <v>#REF!</v>
      </c>
      <c r="U13" s="42" t="e">
        <f t="shared" ca="1" si="0"/>
        <v>#REF!</v>
      </c>
    </row>
    <row r="14" spans="1:24" x14ac:dyDescent="0.25">
      <c r="A14" s="109"/>
      <c r="B14" s="109"/>
      <c r="D14" s="34">
        <f t="shared" si="1"/>
        <v>0</v>
      </c>
      <c r="E14" s="3">
        <f>COUNTIF(Vertices[Degree], "&gt;= " &amp; D14) - COUNTIF(Vertices[Degree], "&gt;=" &amp; D15)</f>
        <v>0</v>
      </c>
      <c r="F14" s="39">
        <f t="shared" si="2"/>
        <v>24.705882352941174</v>
      </c>
      <c r="G14" s="40">
        <f>COUNTIF(Vertices[In-Degree], "&gt;= " &amp; F14) - COUNTIF(Vertices[In-Degree], "&gt;=" &amp; F15)</f>
        <v>0</v>
      </c>
      <c r="H14" s="39">
        <f t="shared" si="3"/>
        <v>7.7647058823529429</v>
      </c>
      <c r="I14" s="40">
        <f>COUNTIF(Vertices[Out-Degree], "&gt;= " &amp; H14) - COUNTIF(Vertices[Out-Degree], "&gt;=" &amp; H15)</f>
        <v>2</v>
      </c>
      <c r="J14" s="39">
        <f t="shared" si="4"/>
        <v>8251.6298438823542</v>
      </c>
      <c r="K14" s="40">
        <f>COUNTIF(Vertices[Betweenness Centrality], "&gt;= " &amp; J14) - COUNTIF(Vertices[Betweenness Centrality], "&gt;=" &amp; J15)</f>
        <v>0</v>
      </c>
      <c r="L14" s="39">
        <f t="shared" si="5"/>
        <v>0.19453376470588238</v>
      </c>
      <c r="M14" s="40">
        <f>COUNTIF(Vertices[Closeness Centrality], "&gt;= " &amp; L14) - COUNTIF(Vertices[Closeness Centrality], "&gt;=" &amp; L15)</f>
        <v>8</v>
      </c>
      <c r="N14" s="39">
        <f t="shared" si="6"/>
        <v>0.19632070588235298</v>
      </c>
      <c r="O14" s="40">
        <f>COUNTIF(Vertices[Eigenvector Centrality], "&gt;= " &amp; N14) - COUNTIF(Vertices[Eigenvector Centrality], "&gt;=" &amp; N15)</f>
        <v>0</v>
      </c>
      <c r="P14" s="39">
        <f t="shared" si="7"/>
        <v>1.4892529411764702E-2</v>
      </c>
      <c r="Q14" s="40">
        <f>COUNTIF(Vertices[PageRank], "&gt;= " &amp; P14) - COUNTIF(Vertices[PageRank], "&gt;=" &amp; P15)</f>
        <v>0</v>
      </c>
      <c r="R14" s="39">
        <f t="shared" si="8"/>
        <v>0.35294117647058826</v>
      </c>
      <c r="S14" s="45">
        <f>COUNTIF(Vertices[Clustering Coefficient], "&gt;= " &amp; R14) - COUNTIF(Vertices[Clustering Coefficient], "&gt;=" &amp; R15)</f>
        <v>0</v>
      </c>
      <c r="T14" s="39" t="e">
        <f t="shared" ca="1" si="9"/>
        <v>#REF!</v>
      </c>
      <c r="U14" s="40" t="e">
        <f t="shared" ca="1" si="0"/>
        <v>#REF!</v>
      </c>
    </row>
    <row r="15" spans="1:24" x14ac:dyDescent="0.25">
      <c r="A15" s="36" t="s">
        <v>152</v>
      </c>
      <c r="B15" s="36">
        <v>14</v>
      </c>
      <c r="D15" s="34">
        <f t="shared" si="1"/>
        <v>0</v>
      </c>
      <c r="E15" s="3">
        <f>COUNTIF(Vertices[Degree], "&gt;= " &amp; D15) - COUNTIF(Vertices[Degree], "&gt;=" &amp; D16)</f>
        <v>0</v>
      </c>
      <c r="F15" s="41">
        <f t="shared" si="2"/>
        <v>26.764705882352938</v>
      </c>
      <c r="G15" s="42">
        <f>COUNTIF(Vertices[In-Degree], "&gt;= " &amp; F15) - COUNTIF(Vertices[In-Degree], "&gt;=" &amp; F16)</f>
        <v>0</v>
      </c>
      <c r="H15" s="41">
        <f t="shared" si="3"/>
        <v>8.411764705882355</v>
      </c>
      <c r="I15" s="42">
        <f>COUNTIF(Vertices[Out-Degree], "&gt;= " &amp; H15) - COUNTIF(Vertices[Out-Degree], "&gt;=" &amp; H16)</f>
        <v>0</v>
      </c>
      <c r="J15" s="41">
        <f t="shared" si="4"/>
        <v>8939.2656642058828</v>
      </c>
      <c r="K15" s="42">
        <f>COUNTIF(Vertices[Betweenness Centrality], "&gt;= " &amp; J15) - COUNTIF(Vertices[Betweenness Centrality], "&gt;=" &amp; J16)</f>
        <v>0</v>
      </c>
      <c r="L15" s="41">
        <f t="shared" si="5"/>
        <v>0.21074491176470592</v>
      </c>
      <c r="M15" s="42">
        <f>COUNTIF(Vertices[Closeness Centrality], "&gt;= " &amp; L15) - COUNTIF(Vertices[Closeness Centrality], "&gt;=" &amp; L16)</f>
        <v>2</v>
      </c>
      <c r="N15" s="41">
        <f t="shared" si="6"/>
        <v>0.2126807647058824</v>
      </c>
      <c r="O15" s="42">
        <f>COUNTIF(Vertices[Eigenvector Centrality], "&gt;= " &amp; N15) - COUNTIF(Vertices[Eigenvector Centrality], "&gt;=" &amp; N16)</f>
        <v>1</v>
      </c>
      <c r="P15" s="41">
        <f t="shared" si="7"/>
        <v>1.5768823529411762E-2</v>
      </c>
      <c r="Q15" s="42">
        <f>COUNTIF(Vertices[PageRank], "&gt;= " &amp; P15) - COUNTIF(Vertices[PageRank], "&gt;=" &amp; P16)</f>
        <v>0</v>
      </c>
      <c r="R15" s="41">
        <f t="shared" si="8"/>
        <v>0.38235294117647062</v>
      </c>
      <c r="S15" s="46">
        <f>COUNTIF(Vertices[Clustering Coefficient], "&gt;= " &amp; R15) - COUNTIF(Vertices[Clustering Coefficient], "&gt;=" &amp; R16)</f>
        <v>1</v>
      </c>
      <c r="T15" s="41" t="e">
        <f t="shared" ca="1" si="9"/>
        <v>#REF!</v>
      </c>
      <c r="U15" s="42" t="e">
        <f t="shared" ca="1" si="0"/>
        <v>#REF!</v>
      </c>
    </row>
    <row r="16" spans="1:24" x14ac:dyDescent="0.25">
      <c r="A16" s="36" t="s">
        <v>153</v>
      </c>
      <c r="B16" s="36">
        <v>11</v>
      </c>
      <c r="D16" s="34">
        <f t="shared" si="1"/>
        <v>0</v>
      </c>
      <c r="E16" s="3">
        <f>COUNTIF(Vertices[Degree], "&gt;= " &amp; D16) - COUNTIF(Vertices[Degree], "&gt;=" &amp; D17)</f>
        <v>0</v>
      </c>
      <c r="F16" s="39">
        <f t="shared" si="2"/>
        <v>28.823529411764703</v>
      </c>
      <c r="G16" s="40">
        <f>COUNTIF(Vertices[In-Degree], "&gt;= " &amp; F16) - COUNTIF(Vertices[In-Degree], "&gt;=" &amp; F17)</f>
        <v>0</v>
      </c>
      <c r="H16" s="39">
        <f t="shared" si="3"/>
        <v>9.0588235294117663</v>
      </c>
      <c r="I16" s="40">
        <f>COUNTIF(Vertices[Out-Degree], "&gt;= " &amp; H16) - COUNTIF(Vertices[Out-Degree], "&gt;=" &amp; H17)</f>
        <v>0</v>
      </c>
      <c r="J16" s="39">
        <f t="shared" si="4"/>
        <v>9626.9014845294114</v>
      </c>
      <c r="K16" s="40">
        <f>COUNTIF(Vertices[Betweenness Centrality], "&gt;= " &amp; J16) - COUNTIF(Vertices[Betweenness Centrality], "&gt;=" &amp; J17)</f>
        <v>0</v>
      </c>
      <c r="L16" s="39">
        <f t="shared" si="5"/>
        <v>0.22695605882352946</v>
      </c>
      <c r="M16" s="40">
        <f>COUNTIF(Vertices[Closeness Centrality], "&gt;= " &amp; L16) - COUNTIF(Vertices[Closeness Centrality], "&gt;=" &amp; L17)</f>
        <v>3</v>
      </c>
      <c r="N16" s="39">
        <f t="shared" si="6"/>
        <v>0.22904082352941182</v>
      </c>
      <c r="O16" s="40">
        <f>COUNTIF(Vertices[Eigenvector Centrality], "&gt;= " &amp; N16) - COUNTIF(Vertices[Eigenvector Centrality], "&gt;=" &amp; N17)</f>
        <v>0</v>
      </c>
      <c r="P16" s="39">
        <f t="shared" si="7"/>
        <v>1.6645117647058821E-2</v>
      </c>
      <c r="Q16" s="40">
        <f>COUNTIF(Vertices[PageRank], "&gt;= " &amp; P16) - COUNTIF(Vertices[PageRank], "&gt;=" &amp; P17)</f>
        <v>0</v>
      </c>
      <c r="R16" s="39">
        <f t="shared" si="8"/>
        <v>0.41176470588235298</v>
      </c>
      <c r="S16" s="45">
        <f>COUNTIF(Vertices[Clustering Coefficient], "&gt;= " &amp; R16) - COUNTIF(Vertices[Clustering Coefficient], "&gt;=" &amp; R17)</f>
        <v>1</v>
      </c>
      <c r="T16" s="39" t="e">
        <f t="shared" ca="1" si="9"/>
        <v>#REF!</v>
      </c>
      <c r="U16" s="40" t="e">
        <f t="shared" ca="1" si="0"/>
        <v>#REF!</v>
      </c>
    </row>
    <row r="17" spans="1:21" x14ac:dyDescent="0.25">
      <c r="A17" s="36" t="s">
        <v>154</v>
      </c>
      <c r="B17" s="36">
        <v>178</v>
      </c>
      <c r="D17" s="34">
        <f t="shared" si="1"/>
        <v>0</v>
      </c>
      <c r="E17" s="3">
        <f>COUNTIF(Vertices[Degree], "&gt;= " &amp; D17) - COUNTIF(Vertices[Degree], "&gt;=" &amp; D18)</f>
        <v>0</v>
      </c>
      <c r="F17" s="41">
        <f t="shared" si="2"/>
        <v>30.882352941176467</v>
      </c>
      <c r="G17" s="42">
        <f>COUNTIF(Vertices[In-Degree], "&gt;= " &amp; F17) - COUNTIF(Vertices[In-Degree], "&gt;=" &amp; F18)</f>
        <v>0</v>
      </c>
      <c r="H17" s="41">
        <f t="shared" si="3"/>
        <v>9.7058823529411775</v>
      </c>
      <c r="I17" s="42">
        <f>COUNTIF(Vertices[Out-Degree], "&gt;= " &amp; H17) - COUNTIF(Vertices[Out-Degree], "&gt;=" &amp; H18)</f>
        <v>0</v>
      </c>
      <c r="J17" s="41">
        <f t="shared" si="4"/>
        <v>10314.53730485294</v>
      </c>
      <c r="K17" s="42">
        <f>COUNTIF(Vertices[Betweenness Centrality], "&gt;= " &amp; J17) - COUNTIF(Vertices[Betweenness Centrality], "&gt;=" &amp; J18)</f>
        <v>0</v>
      </c>
      <c r="L17" s="41">
        <f t="shared" si="5"/>
        <v>0.24316720588235299</v>
      </c>
      <c r="M17" s="42">
        <f>COUNTIF(Vertices[Closeness Centrality], "&gt;= " &amp; L17) - COUNTIF(Vertices[Closeness Centrality], "&gt;=" &amp; L18)</f>
        <v>10</v>
      </c>
      <c r="N17" s="41">
        <f t="shared" si="6"/>
        <v>0.24540088235294125</v>
      </c>
      <c r="O17" s="42">
        <f>COUNTIF(Vertices[Eigenvector Centrality], "&gt;= " &amp; N17) - COUNTIF(Vertices[Eigenvector Centrality], "&gt;=" &amp; N18)</f>
        <v>0</v>
      </c>
      <c r="P17" s="41">
        <f t="shared" si="7"/>
        <v>1.7521411764705879E-2</v>
      </c>
      <c r="Q17" s="42">
        <f>COUNTIF(Vertices[PageRank], "&gt;= " &amp; P17) - COUNTIF(Vertices[PageRank], "&gt;=" &amp; P18)</f>
        <v>0</v>
      </c>
      <c r="R17" s="41">
        <f t="shared" si="8"/>
        <v>0.44117647058823534</v>
      </c>
      <c r="S17" s="46">
        <f>COUNTIF(Vertices[Clustering Coefficient], "&gt;= " &amp; R17) - COUNTIF(Vertices[Clustering Coefficient], "&gt;=" &amp; R18)</f>
        <v>1</v>
      </c>
      <c r="T17" s="41" t="e">
        <f t="shared" ca="1" si="9"/>
        <v>#REF!</v>
      </c>
      <c r="U17" s="42" t="e">
        <f t="shared" ca="1" si="0"/>
        <v>#REF!</v>
      </c>
    </row>
    <row r="18" spans="1:21" x14ac:dyDescent="0.25">
      <c r="A18" s="36" t="s">
        <v>155</v>
      </c>
      <c r="B18" s="36">
        <v>592</v>
      </c>
      <c r="D18" s="34">
        <f t="shared" si="1"/>
        <v>0</v>
      </c>
      <c r="E18" s="3">
        <f>COUNTIF(Vertices[Degree], "&gt;= " &amp; D18) - COUNTIF(Vertices[Degree], "&gt;=" &amp; D19)</f>
        <v>0</v>
      </c>
      <c r="F18" s="39">
        <f t="shared" si="2"/>
        <v>32.941176470588232</v>
      </c>
      <c r="G18" s="40">
        <f>COUNTIF(Vertices[In-Degree], "&gt;= " &amp; F18) - COUNTIF(Vertices[In-Degree], "&gt;=" &amp; F19)</f>
        <v>1</v>
      </c>
      <c r="H18" s="39">
        <f t="shared" si="3"/>
        <v>10.352941176470589</v>
      </c>
      <c r="I18" s="40">
        <f>COUNTIF(Vertices[Out-Degree], "&gt;= " &amp; H18) - COUNTIF(Vertices[Out-Degree], "&gt;=" &amp; H19)</f>
        <v>0</v>
      </c>
      <c r="J18" s="39">
        <f t="shared" si="4"/>
        <v>11002.173125176469</v>
      </c>
      <c r="K18" s="40">
        <f>COUNTIF(Vertices[Betweenness Centrality], "&gt;= " &amp; J18) - COUNTIF(Vertices[Betweenness Centrality], "&gt;=" &amp; J19)</f>
        <v>0</v>
      </c>
      <c r="L18" s="39">
        <f t="shared" si="5"/>
        <v>0.2593783529411765</v>
      </c>
      <c r="M18" s="40">
        <f>COUNTIF(Vertices[Closeness Centrality], "&gt;= " &amp; L18) - COUNTIF(Vertices[Closeness Centrality], "&gt;=" &amp; L19)</f>
        <v>43</v>
      </c>
      <c r="N18" s="39">
        <f t="shared" si="6"/>
        <v>0.26176094117647064</v>
      </c>
      <c r="O18" s="40">
        <f>COUNTIF(Vertices[Eigenvector Centrality], "&gt;= " &amp; N18) - COUNTIF(Vertices[Eigenvector Centrality], "&gt;=" &amp; N19)</f>
        <v>0</v>
      </c>
      <c r="P18" s="39">
        <f t="shared" si="7"/>
        <v>1.8397705882352938E-2</v>
      </c>
      <c r="Q18" s="40">
        <f>COUNTIF(Vertices[PageRank], "&gt;= " &amp; P18) - COUNTIF(Vertices[PageRank], "&gt;=" &amp; P19)</f>
        <v>0</v>
      </c>
      <c r="R18" s="39">
        <f t="shared" si="8"/>
        <v>0.4705882352941177</v>
      </c>
      <c r="S18" s="45">
        <f>COUNTIF(Vertices[Clustering Coefficient], "&gt;= " &amp; R18) - COUNTIF(Vertices[Clustering Coefficient], "&gt;=" &amp; R19)</f>
        <v>0</v>
      </c>
      <c r="T18" s="39" t="e">
        <f t="shared" ca="1" si="9"/>
        <v>#REF!</v>
      </c>
      <c r="U18" s="40" t="e">
        <f t="shared" ca="1" si="0"/>
        <v>#REF!</v>
      </c>
    </row>
    <row r="19" spans="1:21" x14ac:dyDescent="0.25">
      <c r="A19" s="109"/>
      <c r="B19" s="109"/>
      <c r="D19" s="34">
        <f t="shared" si="1"/>
        <v>0</v>
      </c>
      <c r="E19" s="3">
        <f>COUNTIF(Vertices[Degree], "&gt;= " &amp; D19) - COUNTIF(Vertices[Degree], "&gt;=" &amp; D20)</f>
        <v>0</v>
      </c>
      <c r="F19" s="41">
        <f t="shared" si="2"/>
        <v>35</v>
      </c>
      <c r="G19" s="42">
        <f>COUNTIF(Vertices[In-Degree], "&gt;= " &amp; F19) - COUNTIF(Vertices[In-Degree], "&gt;=" &amp; F20)</f>
        <v>0</v>
      </c>
      <c r="H19" s="41">
        <f t="shared" si="3"/>
        <v>11</v>
      </c>
      <c r="I19" s="42">
        <f>COUNTIF(Vertices[Out-Degree], "&gt;= " &amp; H19) - COUNTIF(Vertices[Out-Degree], "&gt;=" &amp; H20)</f>
        <v>1</v>
      </c>
      <c r="J19" s="41">
        <f t="shared" si="4"/>
        <v>11689.808945499997</v>
      </c>
      <c r="K19" s="42">
        <f>COUNTIF(Vertices[Betweenness Centrality], "&gt;= " &amp; J19) - COUNTIF(Vertices[Betweenness Centrality], "&gt;=" &amp; J20)</f>
        <v>0</v>
      </c>
      <c r="L19" s="41">
        <f t="shared" si="5"/>
        <v>0.27558950000000004</v>
      </c>
      <c r="M19" s="42">
        <f>COUNTIF(Vertices[Closeness Centrality], "&gt;= " &amp; L19) - COUNTIF(Vertices[Closeness Centrality], "&gt;=" &amp; L20)</f>
        <v>22</v>
      </c>
      <c r="N19" s="41">
        <f t="shared" si="6"/>
        <v>0.27812100000000006</v>
      </c>
      <c r="O19" s="42">
        <f>COUNTIF(Vertices[Eigenvector Centrality], "&gt;= " &amp; N19) - COUNTIF(Vertices[Eigenvector Centrality], "&gt;=" &amp; N20)</f>
        <v>0</v>
      </c>
      <c r="P19" s="41">
        <f t="shared" si="7"/>
        <v>1.9273999999999996E-2</v>
      </c>
      <c r="Q19" s="42">
        <f>COUNTIF(Vertices[PageRank], "&gt;= " &amp; P19) - COUNTIF(Vertices[PageRank], "&gt;=" &amp; P20)</f>
        <v>0</v>
      </c>
      <c r="R19" s="41">
        <f t="shared" si="8"/>
        <v>0.5</v>
      </c>
      <c r="S19" s="46">
        <f>COUNTIF(Vertices[Clustering Coefficient], "&gt;= " &amp; R19) - COUNTIF(Vertices[Clustering Coefficient], "&gt;=" &amp; R20)</f>
        <v>27</v>
      </c>
      <c r="T19" s="41" t="e">
        <f t="shared" ca="1" si="9"/>
        <v>#REF!</v>
      </c>
      <c r="U19" s="42" t="e">
        <f t="shared" ca="1" si="0"/>
        <v>#REF!</v>
      </c>
    </row>
    <row r="20" spans="1:21" x14ac:dyDescent="0.25">
      <c r="A20" s="36" t="s">
        <v>156</v>
      </c>
      <c r="B20" s="36">
        <v>7</v>
      </c>
      <c r="D20" s="34">
        <f t="shared" si="1"/>
        <v>0</v>
      </c>
      <c r="E20" s="3">
        <f>COUNTIF(Vertices[Degree], "&gt;= " &amp; D20) - COUNTIF(Vertices[Degree], "&gt;=" &amp; D21)</f>
        <v>0</v>
      </c>
      <c r="F20" s="39">
        <f t="shared" si="2"/>
        <v>37.058823529411768</v>
      </c>
      <c r="G20" s="40">
        <f>COUNTIF(Vertices[In-Degree], "&gt;= " &amp; F20) - COUNTIF(Vertices[In-Degree], "&gt;=" &amp; F21)</f>
        <v>0</v>
      </c>
      <c r="H20" s="39">
        <f t="shared" si="3"/>
        <v>11.647058823529411</v>
      </c>
      <c r="I20" s="40">
        <f>COUNTIF(Vertices[Out-Degree], "&gt;= " &amp; H20) - COUNTIF(Vertices[Out-Degree], "&gt;=" &amp; H21)</f>
        <v>2</v>
      </c>
      <c r="J20" s="39">
        <f t="shared" si="4"/>
        <v>12377.444765823526</v>
      </c>
      <c r="K20" s="40">
        <f>COUNTIF(Vertices[Betweenness Centrality], "&gt;= " &amp; J20) - COUNTIF(Vertices[Betweenness Centrality], "&gt;=" &amp; J21)</f>
        <v>0</v>
      </c>
      <c r="L20" s="39">
        <f t="shared" si="5"/>
        <v>0.29180064705882358</v>
      </c>
      <c r="M20" s="40">
        <f>COUNTIF(Vertices[Closeness Centrality], "&gt;= " &amp; L20) - COUNTIF(Vertices[Closeness Centrality], "&gt;=" &amp; L21)</f>
        <v>6</v>
      </c>
      <c r="N20" s="39">
        <f t="shared" si="6"/>
        <v>0.29448105882352948</v>
      </c>
      <c r="O20" s="40">
        <f>COUNTIF(Vertices[Eigenvector Centrality], "&gt;= " &amp; N20) - COUNTIF(Vertices[Eigenvector Centrality], "&gt;=" &amp; N21)</f>
        <v>1</v>
      </c>
      <c r="P20" s="39">
        <f t="shared" si="7"/>
        <v>2.0150294117647054E-2</v>
      </c>
      <c r="Q20" s="40">
        <f>COUNTIF(Vertices[PageRank], "&gt;= " &amp; P20) - COUNTIF(Vertices[PageRank], "&gt;=" &amp; P21)</f>
        <v>0</v>
      </c>
      <c r="R20" s="39">
        <f t="shared" si="8"/>
        <v>0.52941176470588236</v>
      </c>
      <c r="S20" s="45">
        <f>COUNTIF(Vertices[Clustering Coefficient], "&gt;= " &amp; R20) - COUNTIF(Vertices[Clustering Coefficient], "&gt;=" &amp; R21)</f>
        <v>0</v>
      </c>
      <c r="T20" s="39" t="e">
        <f t="shared" ca="1" si="9"/>
        <v>#REF!</v>
      </c>
      <c r="U20" s="40" t="e">
        <f t="shared" ca="1" si="0"/>
        <v>#REF!</v>
      </c>
    </row>
    <row r="21" spans="1:21" x14ac:dyDescent="0.25">
      <c r="A21" s="36" t="s">
        <v>157</v>
      </c>
      <c r="B21" s="36">
        <v>3.0275089999999998</v>
      </c>
      <c r="D21" s="34">
        <f t="shared" si="1"/>
        <v>0</v>
      </c>
      <c r="E21" s="3">
        <f>COUNTIF(Vertices[Degree], "&gt;= " &amp; D21) - COUNTIF(Vertices[Degree], "&gt;=" &amp; D22)</f>
        <v>0</v>
      </c>
      <c r="F21" s="41">
        <f t="shared" si="2"/>
        <v>39.117647058823536</v>
      </c>
      <c r="G21" s="42">
        <f>COUNTIF(Vertices[In-Degree], "&gt;= " &amp; F21) - COUNTIF(Vertices[In-Degree], "&gt;=" &amp; F22)</f>
        <v>0</v>
      </c>
      <c r="H21" s="41">
        <f t="shared" si="3"/>
        <v>12.294117647058822</v>
      </c>
      <c r="I21" s="42">
        <f>COUNTIF(Vertices[Out-Degree], "&gt;= " &amp; H21) - COUNTIF(Vertices[Out-Degree], "&gt;=" &amp; H22)</f>
        <v>0</v>
      </c>
      <c r="J21" s="41">
        <f t="shared" si="4"/>
        <v>13065.080586147054</v>
      </c>
      <c r="K21" s="42">
        <f>COUNTIF(Vertices[Betweenness Centrality], "&gt;= " &amp; J21) - COUNTIF(Vertices[Betweenness Centrality], "&gt;=" &amp; J22)</f>
        <v>0</v>
      </c>
      <c r="L21" s="41">
        <f t="shared" si="5"/>
        <v>0.30801179411764712</v>
      </c>
      <c r="M21" s="42">
        <f>COUNTIF(Vertices[Closeness Centrality], "&gt;= " &amp; L21) - COUNTIF(Vertices[Closeness Centrality], "&gt;=" &amp; L22)</f>
        <v>0</v>
      </c>
      <c r="N21" s="41">
        <f t="shared" si="6"/>
        <v>0.31084111764705891</v>
      </c>
      <c r="O21" s="42">
        <f>COUNTIF(Vertices[Eigenvector Centrality], "&gt;= " &amp; N21) - COUNTIF(Vertices[Eigenvector Centrality], "&gt;=" &amp; N22)</f>
        <v>0</v>
      </c>
      <c r="P21" s="41">
        <f t="shared" si="7"/>
        <v>2.1026588235294113E-2</v>
      </c>
      <c r="Q21" s="42">
        <f>COUNTIF(Vertices[PageRank], "&gt;= " &amp; P21) - COUNTIF(Vertices[PageRank], "&gt;=" &amp; P22)</f>
        <v>0</v>
      </c>
      <c r="R21" s="41">
        <f t="shared" si="8"/>
        <v>0.55882352941176472</v>
      </c>
      <c r="S21" s="46">
        <f>COUNTIF(Vertices[Clustering Coefficient], "&gt;= " &amp; R21) - COUNTIF(Vertices[Clustering Coefficient], "&gt;=" &amp; R22)</f>
        <v>3</v>
      </c>
      <c r="T21" s="41" t="e">
        <f t="shared" ca="1" si="9"/>
        <v>#REF!</v>
      </c>
      <c r="U21" s="42" t="e">
        <f t="shared" ca="1" si="0"/>
        <v>#REF!</v>
      </c>
    </row>
    <row r="22" spans="1:21" x14ac:dyDescent="0.25">
      <c r="A22" s="109"/>
      <c r="B22" s="109"/>
      <c r="D22" s="34">
        <f t="shared" si="1"/>
        <v>0</v>
      </c>
      <c r="E22" s="3">
        <f>COUNTIF(Vertices[Degree], "&gt;= " &amp; D22) - COUNTIF(Vertices[Degree], "&gt;=" &amp; D23)</f>
        <v>0</v>
      </c>
      <c r="F22" s="39">
        <f t="shared" si="2"/>
        <v>41.176470588235304</v>
      </c>
      <c r="G22" s="40">
        <f>COUNTIF(Vertices[In-Degree], "&gt;= " &amp; F22) - COUNTIF(Vertices[In-Degree], "&gt;=" &amp; F23)</f>
        <v>0</v>
      </c>
      <c r="H22" s="39">
        <f t="shared" si="3"/>
        <v>12.941176470588234</v>
      </c>
      <c r="I22" s="40">
        <f>COUNTIF(Vertices[Out-Degree], "&gt;= " &amp; H22) - COUNTIF(Vertices[Out-Degree], "&gt;=" &amp; H23)</f>
        <v>1</v>
      </c>
      <c r="J22" s="39">
        <f t="shared" si="4"/>
        <v>13752.716406470583</v>
      </c>
      <c r="K22" s="40">
        <f>COUNTIF(Vertices[Betweenness Centrality], "&gt;= " &amp; J22) - COUNTIF(Vertices[Betweenness Centrality], "&gt;=" &amp; J23)</f>
        <v>0</v>
      </c>
      <c r="L22" s="39">
        <f t="shared" si="5"/>
        <v>0.32422294117647066</v>
      </c>
      <c r="M22" s="40">
        <f>COUNTIF(Vertices[Closeness Centrality], "&gt;= " &amp; L22) - COUNTIF(Vertices[Closeness Centrality], "&gt;=" &amp; L23)</f>
        <v>0</v>
      </c>
      <c r="N22" s="39">
        <f t="shared" si="6"/>
        <v>0.32720117647058833</v>
      </c>
      <c r="O22" s="40">
        <f>COUNTIF(Vertices[Eigenvector Centrality], "&gt;= " &amp; N22) - COUNTIF(Vertices[Eigenvector Centrality], "&gt;=" &amp; N23)</f>
        <v>0</v>
      </c>
      <c r="P22" s="39">
        <f t="shared" si="7"/>
        <v>2.1902882352941171E-2</v>
      </c>
      <c r="Q22" s="40">
        <f>COUNTIF(Vertices[PageRank], "&gt;= " &amp; P22) - COUNTIF(Vertices[PageRank], "&gt;=" &amp; P23)</f>
        <v>0</v>
      </c>
      <c r="R22" s="39">
        <f t="shared" si="8"/>
        <v>0.58823529411764708</v>
      </c>
      <c r="S22" s="45">
        <f>COUNTIF(Vertices[Clustering Coefficient], "&gt;= " &amp; R22) - COUNTIF(Vertices[Clustering Coefficient], "&gt;=" &amp; R23)</f>
        <v>0</v>
      </c>
      <c r="T22" s="39" t="e">
        <f t="shared" ca="1" si="9"/>
        <v>#REF!</v>
      </c>
      <c r="U22" s="40" t="e">
        <f t="shared" ca="1" si="0"/>
        <v>#REF!</v>
      </c>
    </row>
    <row r="23" spans="1:21" x14ac:dyDescent="0.25">
      <c r="A23" s="36" t="s">
        <v>158</v>
      </c>
      <c r="B23" s="36">
        <v>9.6084118926758524E-3</v>
      </c>
      <c r="D23" s="34">
        <f t="shared" si="1"/>
        <v>0</v>
      </c>
      <c r="E23" s="3">
        <f>COUNTIF(Vertices[Degree], "&gt;= " &amp; D23) - COUNTIF(Vertices[Degree], "&gt;=" &amp; D24)</f>
        <v>0</v>
      </c>
      <c r="F23" s="41">
        <f t="shared" si="2"/>
        <v>43.235294117647072</v>
      </c>
      <c r="G23" s="42">
        <f>COUNTIF(Vertices[In-Degree], "&gt;= " &amp; F23) - COUNTIF(Vertices[In-Degree], "&gt;=" &amp; F24)</f>
        <v>0</v>
      </c>
      <c r="H23" s="41">
        <f t="shared" si="3"/>
        <v>13.588235294117645</v>
      </c>
      <c r="I23" s="42">
        <f>COUNTIF(Vertices[Out-Degree], "&gt;= " &amp; H23) - COUNTIF(Vertices[Out-Degree], "&gt;=" &amp; H24)</f>
        <v>0</v>
      </c>
      <c r="J23" s="41">
        <f t="shared" si="4"/>
        <v>14440.352226794112</v>
      </c>
      <c r="K23" s="42">
        <f>COUNTIF(Vertices[Betweenness Centrality], "&gt;= " &amp; J23) - COUNTIF(Vertices[Betweenness Centrality], "&gt;=" &amp; J24)</f>
        <v>0</v>
      </c>
      <c r="L23" s="41">
        <f t="shared" si="5"/>
        <v>0.3404340882352942</v>
      </c>
      <c r="M23" s="42">
        <f>COUNTIF(Vertices[Closeness Centrality], "&gt;= " &amp; L23) - COUNTIF(Vertices[Closeness Centrality], "&gt;=" &amp; L24)</f>
        <v>59</v>
      </c>
      <c r="N23" s="41">
        <f t="shared" si="6"/>
        <v>0.34356123529411775</v>
      </c>
      <c r="O23" s="42">
        <f>COUNTIF(Vertices[Eigenvector Centrality], "&gt;= " &amp; N23) - COUNTIF(Vertices[Eigenvector Centrality], "&gt;=" &amp; N24)</f>
        <v>0</v>
      </c>
      <c r="P23" s="41">
        <f t="shared" si="7"/>
        <v>2.277917647058823E-2</v>
      </c>
      <c r="Q23" s="42">
        <f>COUNTIF(Vertices[PageRank], "&gt;= " &amp; P23) - COUNTIF(Vertices[PageRank], "&gt;=" &amp; P24)</f>
        <v>0</v>
      </c>
      <c r="R23" s="41">
        <f t="shared" si="8"/>
        <v>0.61764705882352944</v>
      </c>
      <c r="S23" s="46">
        <f>COUNTIF(Vertices[Clustering Coefficient], "&gt;= " &amp; R23) - COUNTIF(Vertices[Clustering Coefficient], "&gt;=" &amp; R24)</f>
        <v>0</v>
      </c>
      <c r="T23" s="41" t="e">
        <f t="shared" ca="1" si="9"/>
        <v>#REF!</v>
      </c>
      <c r="U23" s="42" t="e">
        <f t="shared" ca="1" si="0"/>
        <v>#REF!</v>
      </c>
    </row>
    <row r="24" spans="1:21" x14ac:dyDescent="0.25">
      <c r="A24" s="36" t="s">
        <v>3112</v>
      </c>
      <c r="B24" s="36" t="s">
        <v>3128</v>
      </c>
      <c r="D24" s="34">
        <f t="shared" si="1"/>
        <v>0</v>
      </c>
      <c r="E24" s="3">
        <f>COUNTIF(Vertices[Degree], "&gt;= " &amp; D24) - COUNTIF(Vertices[Degree], "&gt;=" &amp; D25)</f>
        <v>0</v>
      </c>
      <c r="F24" s="39">
        <f t="shared" si="2"/>
        <v>45.29411764705884</v>
      </c>
      <c r="G24" s="40">
        <f>COUNTIF(Vertices[In-Degree], "&gt;= " &amp; F24) - COUNTIF(Vertices[In-Degree], "&gt;=" &amp; F25)</f>
        <v>0</v>
      </c>
      <c r="H24" s="39">
        <f t="shared" si="3"/>
        <v>14.235294117647056</v>
      </c>
      <c r="I24" s="40">
        <f>COUNTIF(Vertices[Out-Degree], "&gt;= " &amp; H24) - COUNTIF(Vertices[Out-Degree], "&gt;=" &amp; H25)</f>
        <v>0</v>
      </c>
      <c r="J24" s="39">
        <f t="shared" si="4"/>
        <v>15127.98804711764</v>
      </c>
      <c r="K24" s="40">
        <f>COUNTIF(Vertices[Betweenness Centrality], "&gt;= " &amp; J24) - COUNTIF(Vertices[Betweenness Centrality], "&gt;=" &amp; J25)</f>
        <v>0</v>
      </c>
      <c r="L24" s="39">
        <f t="shared" si="5"/>
        <v>0.35664523529411774</v>
      </c>
      <c r="M24" s="40">
        <f>COUNTIF(Vertices[Closeness Centrality], "&gt;= " &amp; L24) - COUNTIF(Vertices[Closeness Centrality], "&gt;=" &amp; L25)</f>
        <v>14</v>
      </c>
      <c r="N24" s="39">
        <f t="shared" si="6"/>
        <v>0.35992129411764717</v>
      </c>
      <c r="O24" s="40">
        <f>COUNTIF(Vertices[Eigenvector Centrality], "&gt;= " &amp; N24) - COUNTIF(Vertices[Eigenvector Centrality], "&gt;=" &amp; N25)</f>
        <v>0</v>
      </c>
      <c r="P24" s="39">
        <f t="shared" si="7"/>
        <v>2.3655470588235288E-2</v>
      </c>
      <c r="Q24" s="40">
        <f>COUNTIF(Vertices[PageRank], "&gt;= " &amp; P24) - COUNTIF(Vertices[PageRank], "&gt;=" &amp; P25)</f>
        <v>0</v>
      </c>
      <c r="R24" s="39">
        <f t="shared" si="8"/>
        <v>0.6470588235294118</v>
      </c>
      <c r="S24" s="45">
        <f>COUNTIF(Vertices[Clustering Coefficient], "&gt;= " &amp; R24) - COUNTIF(Vertices[Clustering Coefficient], "&gt;=" &amp; R25)</f>
        <v>3</v>
      </c>
      <c r="T24" s="39" t="e">
        <f t="shared" ca="1" si="9"/>
        <v>#REF!</v>
      </c>
      <c r="U24" s="40" t="e">
        <f t="shared" ca="1" si="0"/>
        <v>#REF!</v>
      </c>
    </row>
    <row r="25" spans="1:21" x14ac:dyDescent="0.25">
      <c r="A25" s="109"/>
      <c r="B25" s="109"/>
      <c r="D25" s="34">
        <f t="shared" si="1"/>
        <v>0</v>
      </c>
      <c r="E25" s="3">
        <f>COUNTIF(Vertices[Degree], "&gt;= " &amp; D25) - COUNTIF(Vertices[Degree], "&gt;=" &amp; D26)</f>
        <v>0</v>
      </c>
      <c r="F25" s="41">
        <f t="shared" si="2"/>
        <v>47.352941176470608</v>
      </c>
      <c r="G25" s="42">
        <f>COUNTIF(Vertices[In-Degree], "&gt;= " &amp; F25) - COUNTIF(Vertices[In-Degree], "&gt;=" &amp; F26)</f>
        <v>0</v>
      </c>
      <c r="H25" s="41">
        <f t="shared" si="3"/>
        <v>14.882352941176467</v>
      </c>
      <c r="I25" s="42">
        <f>COUNTIF(Vertices[Out-Degree], "&gt;= " &amp; H25) - COUNTIF(Vertices[Out-Degree], "&gt;=" &amp; H26)</f>
        <v>0</v>
      </c>
      <c r="J25" s="41">
        <f t="shared" si="4"/>
        <v>15815.623867441169</v>
      </c>
      <c r="K25" s="42">
        <f>COUNTIF(Vertices[Betweenness Centrality], "&gt;= " &amp; J25) - COUNTIF(Vertices[Betweenness Centrality], "&gt;=" &amp; J26)</f>
        <v>0</v>
      </c>
      <c r="L25" s="41">
        <f t="shared" si="5"/>
        <v>0.37285638235294127</v>
      </c>
      <c r="M25" s="42">
        <f>COUNTIF(Vertices[Closeness Centrality], "&gt;= " &amp; L25) - COUNTIF(Vertices[Closeness Centrality], "&gt;=" &amp; L26)</f>
        <v>6</v>
      </c>
      <c r="N25" s="41">
        <f t="shared" si="6"/>
        <v>0.37628135294117659</v>
      </c>
      <c r="O25" s="42">
        <f>COUNTIF(Vertices[Eigenvector Centrality], "&gt;= " &amp; N25) - COUNTIF(Vertices[Eigenvector Centrality], "&gt;=" &amp; N26)</f>
        <v>0</v>
      </c>
      <c r="P25" s="41">
        <f t="shared" si="7"/>
        <v>2.4531764705882347E-2</v>
      </c>
      <c r="Q25" s="42">
        <f>COUNTIF(Vertices[PageRank], "&gt;= " &amp; P25) - COUNTIF(Vertices[PageRank], "&gt;=" &amp; P26)</f>
        <v>0</v>
      </c>
      <c r="R25" s="41">
        <f t="shared" si="8"/>
        <v>0.67647058823529416</v>
      </c>
      <c r="S25" s="46">
        <f>COUNTIF(Vertices[Clustering Coefficient], "&gt;= " &amp; R25) - COUNTIF(Vertices[Clustering Coefficient], "&gt;=" &amp; R26)</f>
        <v>0</v>
      </c>
      <c r="T25" s="41" t="e">
        <f t="shared" ca="1" si="9"/>
        <v>#REF!</v>
      </c>
      <c r="U25" s="42" t="e">
        <f t="shared" ca="1" si="0"/>
        <v>#REF!</v>
      </c>
    </row>
    <row r="26" spans="1:21" x14ac:dyDescent="0.25">
      <c r="A26" s="36" t="s">
        <v>3113</v>
      </c>
      <c r="B26" s="36" t="s">
        <v>3129</v>
      </c>
      <c r="D26" s="34">
        <f t="shared" si="1"/>
        <v>0</v>
      </c>
      <c r="E26" s="3">
        <f>COUNTIF(Vertices[Degree], "&gt;= " &amp; D26) - COUNTIF(Vertices[Degree], "&gt;=" &amp; D27)</f>
        <v>0</v>
      </c>
      <c r="F26" s="39">
        <f t="shared" si="2"/>
        <v>49.411764705882376</v>
      </c>
      <c r="G26" s="40">
        <f>COUNTIF(Vertices[In-Degree], "&gt;= " &amp; F26) - COUNTIF(Vertices[In-Degree], "&gt;=" &amp; F27)</f>
        <v>0</v>
      </c>
      <c r="H26" s="39">
        <f t="shared" si="3"/>
        <v>15.529411764705879</v>
      </c>
      <c r="I26" s="40">
        <f>COUNTIF(Vertices[Out-Degree], "&gt;= " &amp; H26) - COUNTIF(Vertices[Out-Degree], "&gt;=" &amp; H27)</f>
        <v>0</v>
      </c>
      <c r="J26" s="39">
        <f t="shared" si="4"/>
        <v>16503.259687764697</v>
      </c>
      <c r="K26" s="40">
        <f>COUNTIF(Vertices[Betweenness Centrality], "&gt;= " &amp; J26) - COUNTIF(Vertices[Betweenness Centrality], "&gt;=" &amp; J27)</f>
        <v>0</v>
      </c>
      <c r="L26" s="39">
        <f t="shared" si="5"/>
        <v>0.38906752941176481</v>
      </c>
      <c r="M26" s="40">
        <f>COUNTIF(Vertices[Closeness Centrality], "&gt;= " &amp; L26) - COUNTIF(Vertices[Closeness Centrality], "&gt;=" &amp; L27)</f>
        <v>0</v>
      </c>
      <c r="N26" s="39">
        <f t="shared" si="6"/>
        <v>0.39264141176470602</v>
      </c>
      <c r="O26" s="40">
        <f>COUNTIF(Vertices[Eigenvector Centrality], "&gt;= " &amp; N26) - COUNTIF(Vertices[Eigenvector Centrality], "&gt;=" &amp; N27)</f>
        <v>0</v>
      </c>
      <c r="P26" s="39">
        <f t="shared" si="7"/>
        <v>2.5408058823529405E-2</v>
      </c>
      <c r="Q26" s="40">
        <f>COUNTIF(Vertices[PageRank], "&gt;= " &amp; P26) - COUNTIF(Vertices[PageRank], "&gt;=" &amp; P27)</f>
        <v>0</v>
      </c>
      <c r="R26" s="39">
        <f t="shared" si="8"/>
        <v>0.70588235294117652</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25">
      <c r="A27" s="109"/>
      <c r="B27" s="109"/>
      <c r="D27" s="34">
        <f t="shared" si="1"/>
        <v>0</v>
      </c>
      <c r="E27" s="3">
        <f>COUNTIF(Vertices[Degree], "&gt;= " &amp; D27) - COUNTIF(Vertices[Degree], "&gt;=" &amp; D28)</f>
        <v>0</v>
      </c>
      <c r="F27" s="41">
        <f t="shared" si="2"/>
        <v>51.470588235294144</v>
      </c>
      <c r="G27" s="42">
        <f>COUNTIF(Vertices[In-Degree], "&gt;= " &amp; F27) - COUNTIF(Vertices[In-Degree], "&gt;=" &amp; F28)</f>
        <v>0</v>
      </c>
      <c r="H27" s="41">
        <f t="shared" si="3"/>
        <v>16.17647058823529</v>
      </c>
      <c r="I27" s="42">
        <f>COUNTIF(Vertices[Out-Degree], "&gt;= " &amp; H27) - COUNTIF(Vertices[Out-Degree], "&gt;=" &amp; H28)</f>
        <v>0</v>
      </c>
      <c r="J27" s="41">
        <f t="shared" si="4"/>
        <v>17190.895508088226</v>
      </c>
      <c r="K27" s="42">
        <f>COUNTIF(Vertices[Betweenness Centrality], "&gt;= " &amp; J27) - COUNTIF(Vertices[Betweenness Centrality], "&gt;=" &amp; J28)</f>
        <v>0</v>
      </c>
      <c r="L27" s="41">
        <f t="shared" si="5"/>
        <v>0.40527867647058835</v>
      </c>
      <c r="M27" s="42">
        <f>COUNTIF(Vertices[Closeness Centrality], "&gt;= " &amp; L27) - COUNTIF(Vertices[Closeness Centrality], "&gt;=" &amp; L28)</f>
        <v>2</v>
      </c>
      <c r="N27" s="41">
        <f t="shared" si="6"/>
        <v>0.40900147058823544</v>
      </c>
      <c r="O27" s="42">
        <f>COUNTIF(Vertices[Eigenvector Centrality], "&gt;= " &amp; N27) - COUNTIF(Vertices[Eigenvector Centrality], "&gt;=" &amp; N28)</f>
        <v>0</v>
      </c>
      <c r="P27" s="41">
        <f t="shared" si="7"/>
        <v>2.6284352941176464E-2</v>
      </c>
      <c r="Q27" s="42">
        <f>COUNTIF(Vertices[PageRank], "&gt;= " &amp; P27) - COUNTIF(Vertices[PageRank], "&gt;=" &amp; P28)</f>
        <v>0</v>
      </c>
      <c r="R27" s="41">
        <f t="shared" si="8"/>
        <v>0.73529411764705888</v>
      </c>
      <c r="S27" s="46">
        <f>COUNTIF(Vertices[Clustering Coefficient], "&gt;= " &amp; R27) - COUNTIF(Vertices[Clustering Coefficient], "&gt;=" &amp; R28)</f>
        <v>0</v>
      </c>
      <c r="T27" s="41" t="e">
        <f t="shared" ca="1" si="9"/>
        <v>#REF!</v>
      </c>
      <c r="U27" s="42" t="e">
        <f t="shared" ca="1" si="10"/>
        <v>#REF!</v>
      </c>
    </row>
    <row r="28" spans="1:21" x14ac:dyDescent="0.25">
      <c r="A28" s="36" t="s">
        <v>3114</v>
      </c>
      <c r="B28" s="36" t="s">
        <v>85</v>
      </c>
      <c r="D28" s="34">
        <f t="shared" si="1"/>
        <v>0</v>
      </c>
      <c r="E28" s="3">
        <f>COUNTIF(Vertices[Degree], "&gt;= " &amp; D28) - COUNTIF(Vertices[Degree], "&gt;=" &amp; D29)</f>
        <v>0</v>
      </c>
      <c r="F28" s="39">
        <f t="shared" si="2"/>
        <v>53.529411764705912</v>
      </c>
      <c r="G28" s="40">
        <f>COUNTIF(Vertices[In-Degree], "&gt;= " &amp; F28) - COUNTIF(Vertices[In-Degree], "&gt;=" &amp; F29)</f>
        <v>0</v>
      </c>
      <c r="H28" s="39">
        <f t="shared" si="3"/>
        <v>16.823529411764703</v>
      </c>
      <c r="I28" s="40">
        <f>COUNTIF(Vertices[Out-Degree], "&gt;= " &amp; H28) - COUNTIF(Vertices[Out-Degree], "&gt;=" &amp; H29)</f>
        <v>0</v>
      </c>
      <c r="J28" s="39">
        <f t="shared" si="4"/>
        <v>17878.531328411755</v>
      </c>
      <c r="K28" s="40">
        <f>COUNTIF(Vertices[Betweenness Centrality], "&gt;= " &amp; J28) - COUNTIF(Vertices[Betweenness Centrality], "&gt;=" &amp; J29)</f>
        <v>0</v>
      </c>
      <c r="L28" s="39">
        <f t="shared" si="5"/>
        <v>0.42148982352941189</v>
      </c>
      <c r="M28" s="40">
        <f>COUNTIF(Vertices[Closeness Centrality], "&gt;= " &amp; L28) - COUNTIF(Vertices[Closeness Centrality], "&gt;=" &amp; L29)</f>
        <v>0</v>
      </c>
      <c r="N28" s="39">
        <f t="shared" si="6"/>
        <v>0.42536152941176486</v>
      </c>
      <c r="O28" s="40">
        <f>COUNTIF(Vertices[Eigenvector Centrality], "&gt;= " &amp; N28) - COUNTIF(Vertices[Eigenvector Centrality], "&gt;=" &amp; N29)</f>
        <v>0</v>
      </c>
      <c r="P28" s="39">
        <f t="shared" si="7"/>
        <v>2.7160647058823522E-2</v>
      </c>
      <c r="Q28" s="40">
        <f>COUNTIF(Vertices[PageRank], "&gt;= " &amp; P28) - COUNTIF(Vertices[PageRank], "&gt;=" &amp; P29)</f>
        <v>0</v>
      </c>
      <c r="R28" s="39">
        <f t="shared" si="8"/>
        <v>0.76470588235294124</v>
      </c>
      <c r="S28" s="45">
        <f>COUNTIF(Vertices[Clustering Coefficient], "&gt;= " &amp; R28) - COUNTIF(Vertices[Clustering Coefficient], "&gt;=" &amp; R29)</f>
        <v>0</v>
      </c>
      <c r="T28" s="39" t="e">
        <f t="shared" ca="1" si="9"/>
        <v>#REF!</v>
      </c>
      <c r="U28" s="40" t="e">
        <f t="shared" ca="1" si="10"/>
        <v>#REF!</v>
      </c>
    </row>
    <row r="29" spans="1:21" x14ac:dyDescent="0.25">
      <c r="A29" s="36" t="s">
        <v>3115</v>
      </c>
      <c r="B29" s="36" t="s">
        <v>85</v>
      </c>
      <c r="D29" s="34">
        <f t="shared" si="1"/>
        <v>0</v>
      </c>
      <c r="E29" s="3">
        <f>COUNTIF(Vertices[Degree], "&gt;= " &amp; D29) - COUNTIF(Vertices[Degree], "&gt;=" &amp; D30)</f>
        <v>0</v>
      </c>
      <c r="F29" s="41">
        <f t="shared" si="2"/>
        <v>55.58823529411768</v>
      </c>
      <c r="G29" s="42">
        <f>COUNTIF(Vertices[In-Degree], "&gt;= " &amp; F29) - COUNTIF(Vertices[In-Degree], "&gt;=" &amp; F30)</f>
        <v>0</v>
      </c>
      <c r="H29" s="41">
        <f t="shared" si="3"/>
        <v>17.470588235294116</v>
      </c>
      <c r="I29" s="42">
        <f>COUNTIF(Vertices[Out-Degree], "&gt;= " &amp; H29) - COUNTIF(Vertices[Out-Degree], "&gt;=" &amp; H30)</f>
        <v>0</v>
      </c>
      <c r="J29" s="41">
        <f t="shared" si="4"/>
        <v>18566.167148735283</v>
      </c>
      <c r="K29" s="42">
        <f>COUNTIF(Vertices[Betweenness Centrality], "&gt;= " &amp; J29) - COUNTIF(Vertices[Betweenness Centrality], "&gt;=" &amp; J30)</f>
        <v>0</v>
      </c>
      <c r="L29" s="41">
        <f t="shared" si="5"/>
        <v>0.43770097058823543</v>
      </c>
      <c r="M29" s="42">
        <f>COUNTIF(Vertices[Closeness Centrality], "&gt;= " &amp; L29) - COUNTIF(Vertices[Closeness Centrality], "&gt;=" &amp; L30)</f>
        <v>0</v>
      </c>
      <c r="N29" s="41">
        <f t="shared" si="6"/>
        <v>0.44172158823529428</v>
      </c>
      <c r="O29" s="42">
        <f>COUNTIF(Vertices[Eigenvector Centrality], "&gt;= " &amp; N29) - COUNTIF(Vertices[Eigenvector Centrality], "&gt;=" &amp; N30)</f>
        <v>0</v>
      </c>
      <c r="P29" s="41">
        <f t="shared" si="7"/>
        <v>2.803694117647058E-2</v>
      </c>
      <c r="Q29" s="42">
        <f>COUNTIF(Vertices[PageRank], "&gt;= " &amp; P29) - COUNTIF(Vertices[PageRank], "&gt;=" &amp; P30)</f>
        <v>0</v>
      </c>
      <c r="R29" s="41">
        <f t="shared" si="8"/>
        <v>0.79411764705882359</v>
      </c>
      <c r="S29" s="46">
        <f>COUNTIF(Vertices[Clustering Coefficient], "&gt;= " &amp; R29) - COUNTIF(Vertices[Clustering Coefficient], "&gt;=" &amp; R30)</f>
        <v>0</v>
      </c>
      <c r="T29" s="41" t="e">
        <f t="shared" ca="1" si="9"/>
        <v>#REF!</v>
      </c>
      <c r="U29" s="42" t="e">
        <f t="shared" ca="1" si="10"/>
        <v>#REF!</v>
      </c>
    </row>
    <row r="30" spans="1:21" x14ac:dyDescent="0.25">
      <c r="A30" s="109"/>
      <c r="B30" s="109"/>
      <c r="D30" s="34">
        <f t="shared" si="1"/>
        <v>0</v>
      </c>
      <c r="E30" s="3">
        <f>COUNTIF(Vertices[Degree], "&gt;= " &amp; D30) - COUNTIF(Vertices[Degree], "&gt;=" &amp; D31)</f>
        <v>0</v>
      </c>
      <c r="F30" s="39">
        <f t="shared" si="2"/>
        <v>57.647058823529449</v>
      </c>
      <c r="G30" s="40">
        <f>COUNTIF(Vertices[In-Degree], "&gt;= " &amp; F30) - COUNTIF(Vertices[In-Degree], "&gt;=" &amp; F31)</f>
        <v>0</v>
      </c>
      <c r="H30" s="39">
        <f t="shared" si="3"/>
        <v>18.117647058823529</v>
      </c>
      <c r="I30" s="40">
        <f>COUNTIF(Vertices[Out-Degree], "&gt;= " &amp; H30) - COUNTIF(Vertices[Out-Degree], "&gt;=" &amp; H31)</f>
        <v>0</v>
      </c>
      <c r="J30" s="39">
        <f t="shared" si="4"/>
        <v>19253.802969058812</v>
      </c>
      <c r="K30" s="40">
        <f>COUNTIF(Vertices[Betweenness Centrality], "&gt;= " &amp; J30) - COUNTIF(Vertices[Betweenness Centrality], "&gt;=" &amp; J31)</f>
        <v>0</v>
      </c>
      <c r="L30" s="39">
        <f t="shared" si="5"/>
        <v>0.45391211764705897</v>
      </c>
      <c r="M30" s="40">
        <f>COUNTIF(Vertices[Closeness Centrality], "&gt;= " &amp; L30) - COUNTIF(Vertices[Closeness Centrality], "&gt;=" &amp; L31)</f>
        <v>0</v>
      </c>
      <c r="N30" s="39">
        <f t="shared" si="6"/>
        <v>0.4580816470588237</v>
      </c>
      <c r="O30" s="40">
        <f>COUNTIF(Vertices[Eigenvector Centrality], "&gt;= " &amp; N30) - COUNTIF(Vertices[Eigenvector Centrality], "&gt;=" &amp; N31)</f>
        <v>0</v>
      </c>
      <c r="P30" s="39">
        <f t="shared" si="7"/>
        <v>2.8913235294117639E-2</v>
      </c>
      <c r="Q30" s="40">
        <f>COUNTIF(Vertices[PageRank], "&gt;= " &amp; P30) - COUNTIF(Vertices[PageRank], "&gt;=" &amp; P31)</f>
        <v>0</v>
      </c>
      <c r="R30" s="39">
        <f t="shared" si="8"/>
        <v>0.82352941176470595</v>
      </c>
      <c r="S30" s="45">
        <f>COUNTIF(Vertices[Clustering Coefficient], "&gt;= " &amp; R30) - COUNTIF(Vertices[Clustering Coefficient], "&gt;=" &amp; R31)</f>
        <v>0</v>
      </c>
      <c r="T30" s="39" t="e">
        <f t="shared" ca="1" si="9"/>
        <v>#REF!</v>
      </c>
      <c r="U30" s="40" t="e">
        <f t="shared" ca="1" si="10"/>
        <v>#REF!</v>
      </c>
    </row>
    <row r="31" spans="1:21" x14ac:dyDescent="0.25">
      <c r="A31" s="36" t="s">
        <v>3116</v>
      </c>
      <c r="B31" s="36" t="s">
        <v>85</v>
      </c>
      <c r="D31" s="34">
        <f t="shared" si="1"/>
        <v>0</v>
      </c>
      <c r="E31" s="3">
        <f>COUNTIF(Vertices[Degree], "&gt;= " &amp; D31) - COUNTIF(Vertices[Degree], "&gt;=" &amp; D32)</f>
        <v>0</v>
      </c>
      <c r="F31" s="41">
        <f t="shared" si="2"/>
        <v>59.705882352941217</v>
      </c>
      <c r="G31" s="42">
        <f>COUNTIF(Vertices[In-Degree], "&gt;= " &amp; F31) - COUNTIF(Vertices[In-Degree], "&gt;=" &amp; F32)</f>
        <v>0</v>
      </c>
      <c r="H31" s="41">
        <f t="shared" si="3"/>
        <v>18.764705882352942</v>
      </c>
      <c r="I31" s="42">
        <f>COUNTIF(Vertices[Out-Degree], "&gt;= " &amp; H31) - COUNTIF(Vertices[Out-Degree], "&gt;=" &amp; H32)</f>
        <v>0</v>
      </c>
      <c r="J31" s="41">
        <f t="shared" si="4"/>
        <v>19941.43878938234</v>
      </c>
      <c r="K31" s="42">
        <f>COUNTIF(Vertices[Betweenness Centrality], "&gt;= " &amp; J31) - COUNTIF(Vertices[Betweenness Centrality], "&gt;=" &amp; J32)</f>
        <v>0</v>
      </c>
      <c r="L31" s="41">
        <f t="shared" si="5"/>
        <v>0.4701232647058825</v>
      </c>
      <c r="M31" s="42">
        <f>COUNTIF(Vertices[Closeness Centrality], "&gt;= " &amp; L31) - COUNTIF(Vertices[Closeness Centrality], "&gt;=" &amp; L32)</f>
        <v>0</v>
      </c>
      <c r="N31" s="41">
        <f t="shared" si="6"/>
        <v>0.47444170588235313</v>
      </c>
      <c r="O31" s="42">
        <f>COUNTIF(Vertices[Eigenvector Centrality], "&gt;= " &amp; N31) - COUNTIF(Vertices[Eigenvector Centrality], "&gt;=" &amp; N32)</f>
        <v>0</v>
      </c>
      <c r="P31" s="41">
        <f t="shared" si="7"/>
        <v>2.9789529411764697E-2</v>
      </c>
      <c r="Q31" s="42">
        <f>COUNTIF(Vertices[PageRank], "&gt;= " &amp; P31) - COUNTIF(Vertices[PageRank], "&gt;=" &amp; P32)</f>
        <v>0</v>
      </c>
      <c r="R31" s="41">
        <f t="shared" si="8"/>
        <v>0.85294117647058831</v>
      </c>
      <c r="S31" s="46">
        <f>COUNTIF(Vertices[Clustering Coefficient], "&gt;= " &amp; R31) - COUNTIF(Vertices[Clustering Coefficient], "&gt;=" &amp; R32)</f>
        <v>0</v>
      </c>
      <c r="T31" s="41" t="e">
        <f t="shared" ca="1" si="9"/>
        <v>#REF!</v>
      </c>
      <c r="U31" s="42" t="e">
        <f t="shared" ca="1" si="10"/>
        <v>#REF!</v>
      </c>
    </row>
    <row r="32" spans="1:21" x14ac:dyDescent="0.25">
      <c r="A32" s="36" t="s">
        <v>3117</v>
      </c>
      <c r="B32" s="36" t="s">
        <v>85</v>
      </c>
      <c r="D32" s="34">
        <f t="shared" si="1"/>
        <v>0</v>
      </c>
      <c r="E32" s="3">
        <f>COUNTIF(Vertices[Degree], "&gt;= " &amp; D32) - COUNTIF(Vertices[Degree], "&gt;=" &amp; D33)</f>
        <v>0</v>
      </c>
      <c r="F32" s="39">
        <f t="shared" si="2"/>
        <v>61.764705882352985</v>
      </c>
      <c r="G32" s="40">
        <f>COUNTIF(Vertices[In-Degree], "&gt;= " &amp; F32) - COUNTIF(Vertices[In-Degree], "&gt;=" &amp; F33)</f>
        <v>0</v>
      </c>
      <c r="H32" s="39">
        <f t="shared" si="3"/>
        <v>19.411764705882355</v>
      </c>
      <c r="I32" s="40">
        <f>COUNTIF(Vertices[Out-Degree], "&gt;= " &amp; H32) - COUNTIF(Vertices[Out-Degree], "&gt;=" &amp; H33)</f>
        <v>0</v>
      </c>
      <c r="J32" s="39">
        <f t="shared" si="4"/>
        <v>20629.074609705869</v>
      </c>
      <c r="K32" s="40">
        <f>COUNTIF(Vertices[Betweenness Centrality], "&gt;= " &amp; J32) - COUNTIF(Vertices[Betweenness Centrality], "&gt;=" &amp; J33)</f>
        <v>0</v>
      </c>
      <c r="L32" s="39">
        <f t="shared" si="5"/>
        <v>0.48633441176470604</v>
      </c>
      <c r="M32" s="40">
        <f>COUNTIF(Vertices[Closeness Centrality], "&gt;= " &amp; L32) - COUNTIF(Vertices[Closeness Centrality], "&gt;=" &amp; L33)</f>
        <v>0</v>
      </c>
      <c r="N32" s="39">
        <f t="shared" si="6"/>
        <v>0.49080176470588255</v>
      </c>
      <c r="O32" s="40">
        <f>COUNTIF(Vertices[Eigenvector Centrality], "&gt;= " &amp; N32) - COUNTIF(Vertices[Eigenvector Centrality], "&gt;=" &amp; N33)</f>
        <v>0</v>
      </c>
      <c r="P32" s="39">
        <f t="shared" si="7"/>
        <v>3.0665823529411756E-2</v>
      </c>
      <c r="Q32" s="40">
        <f>COUNTIF(Vertices[PageRank], "&gt;= " &amp; P32) - COUNTIF(Vertices[PageRank], "&gt;=" &amp; P33)</f>
        <v>0</v>
      </c>
      <c r="R32" s="39">
        <f t="shared" si="8"/>
        <v>0.88235294117647067</v>
      </c>
      <c r="S32" s="45">
        <f>COUNTIF(Vertices[Clustering Coefficient], "&gt;= " &amp; R32) - COUNTIF(Vertices[Clustering Coefficient], "&gt;=" &amp; R33)</f>
        <v>0</v>
      </c>
      <c r="T32" s="39" t="e">
        <f t="shared" ca="1" si="9"/>
        <v>#REF!</v>
      </c>
      <c r="U32" s="40" t="e">
        <f t="shared" ca="1" si="10"/>
        <v>#REF!</v>
      </c>
    </row>
    <row r="33" spans="1:21" x14ac:dyDescent="0.25">
      <c r="A33" s="36" t="s">
        <v>3118</v>
      </c>
      <c r="B33" s="36" t="s">
        <v>85</v>
      </c>
      <c r="D33" s="34">
        <f t="shared" si="1"/>
        <v>0</v>
      </c>
      <c r="E33" s="3">
        <f>COUNTIF(Vertices[Degree], "&gt;= " &amp; D33) - COUNTIF(Vertices[Degree], "&gt;=" &amp; D34)</f>
        <v>0</v>
      </c>
      <c r="F33" s="41">
        <f t="shared" si="2"/>
        <v>63.823529411764753</v>
      </c>
      <c r="G33" s="42">
        <f>COUNTIF(Vertices[In-Degree], "&gt;= " &amp; F33) - COUNTIF(Vertices[In-Degree], "&gt;=" &amp; F34)</f>
        <v>0</v>
      </c>
      <c r="H33" s="41">
        <f t="shared" si="3"/>
        <v>20.058823529411768</v>
      </c>
      <c r="I33" s="42">
        <f>COUNTIF(Vertices[Out-Degree], "&gt;= " &amp; H33) - COUNTIF(Vertices[Out-Degree], "&gt;=" &amp; H34)</f>
        <v>0</v>
      </c>
      <c r="J33" s="41">
        <f t="shared" si="4"/>
        <v>21316.710430029398</v>
      </c>
      <c r="K33" s="42">
        <f>COUNTIF(Vertices[Betweenness Centrality], "&gt;= " &amp; J33) - COUNTIF(Vertices[Betweenness Centrality], "&gt;=" &amp; J34)</f>
        <v>0</v>
      </c>
      <c r="L33" s="41">
        <f t="shared" si="5"/>
        <v>0.50254555882352958</v>
      </c>
      <c r="M33" s="42">
        <f>COUNTIF(Vertices[Closeness Centrality], "&gt;= " &amp; L33) - COUNTIF(Vertices[Closeness Centrality], "&gt;=" &amp; L34)</f>
        <v>0</v>
      </c>
      <c r="N33" s="41">
        <f t="shared" si="6"/>
        <v>0.50716182352941197</v>
      </c>
      <c r="O33" s="42">
        <f>COUNTIF(Vertices[Eigenvector Centrality], "&gt;= " &amp; N33) - COUNTIF(Vertices[Eigenvector Centrality], "&gt;=" &amp; N34)</f>
        <v>0</v>
      </c>
      <c r="P33" s="41">
        <f t="shared" si="7"/>
        <v>3.1542117647058818E-2</v>
      </c>
      <c r="Q33" s="42">
        <f>COUNTIF(Vertices[PageRank], "&gt;= " &amp; P33) - COUNTIF(Vertices[PageRank], "&gt;=" &amp; P34)</f>
        <v>0</v>
      </c>
      <c r="R33" s="41">
        <f t="shared" si="8"/>
        <v>0.91176470588235303</v>
      </c>
      <c r="S33" s="46">
        <f>COUNTIF(Vertices[Clustering Coefficient], "&gt;= " &amp; R33) - COUNTIF(Vertices[Clustering Coefficient], "&gt;=" &amp; R34)</f>
        <v>0</v>
      </c>
      <c r="T33" s="41" t="e">
        <f t="shared" ca="1" si="9"/>
        <v>#REF!</v>
      </c>
      <c r="U33" s="42" t="e">
        <f t="shared" ca="1" si="10"/>
        <v>#REF!</v>
      </c>
    </row>
    <row r="34" spans="1:21" x14ac:dyDescent="0.25">
      <c r="A34" s="36" t="s">
        <v>3119</v>
      </c>
      <c r="B34" s="36" t="s">
        <v>85</v>
      </c>
      <c r="D34" s="34">
        <f t="shared" si="1"/>
        <v>0</v>
      </c>
      <c r="E34" s="3">
        <f>COUNTIF(Vertices[Degree], "&gt;= " &amp; D34) - COUNTIF(Vertices[Degree], "&gt;=" &amp; D35)</f>
        <v>0</v>
      </c>
      <c r="F34" s="39">
        <f t="shared" si="2"/>
        <v>65.882352941176521</v>
      </c>
      <c r="G34" s="40">
        <f>COUNTIF(Vertices[In-Degree], "&gt;= " &amp; F34) - COUNTIF(Vertices[In-Degree], "&gt;=" &amp; F35)</f>
        <v>0</v>
      </c>
      <c r="H34" s="39">
        <f t="shared" si="3"/>
        <v>20.705882352941181</v>
      </c>
      <c r="I34" s="40">
        <f>COUNTIF(Vertices[Out-Degree], "&gt;= " &amp; H34) - COUNTIF(Vertices[Out-Degree], "&gt;=" &amp; H35)</f>
        <v>0</v>
      </c>
      <c r="J34" s="39">
        <f t="shared" si="4"/>
        <v>22004.346250352926</v>
      </c>
      <c r="K34" s="40">
        <f>COUNTIF(Vertices[Betweenness Centrality], "&gt;= " &amp; J34) - COUNTIF(Vertices[Betweenness Centrality], "&gt;=" &amp; J35)</f>
        <v>0</v>
      </c>
      <c r="L34" s="39">
        <f t="shared" si="5"/>
        <v>0.51875670588235312</v>
      </c>
      <c r="M34" s="40">
        <f>COUNTIF(Vertices[Closeness Centrality], "&gt;= " &amp; L34) - COUNTIF(Vertices[Closeness Centrality], "&gt;=" &amp; L35)</f>
        <v>0</v>
      </c>
      <c r="N34" s="39">
        <f t="shared" si="6"/>
        <v>0.52352188235294139</v>
      </c>
      <c r="O34" s="40">
        <f>COUNTIF(Vertices[Eigenvector Centrality], "&gt;= " &amp; N34) - COUNTIF(Vertices[Eigenvector Centrality], "&gt;=" &amp; N35)</f>
        <v>0</v>
      </c>
      <c r="P34" s="39">
        <f t="shared" si="7"/>
        <v>3.2418411764705876E-2</v>
      </c>
      <c r="Q34" s="40">
        <f>COUNTIF(Vertices[PageRank], "&gt;= " &amp; P34) - COUNTIF(Vertices[PageRank], "&gt;=" &amp; P35)</f>
        <v>0</v>
      </c>
      <c r="R34" s="39">
        <f t="shared" si="8"/>
        <v>0.94117647058823539</v>
      </c>
      <c r="S34" s="45">
        <f>COUNTIF(Vertices[Clustering Coefficient], "&gt;= " &amp; R34) - COUNTIF(Vertices[Clustering Coefficient], "&gt;=" &amp; R35)</f>
        <v>0</v>
      </c>
      <c r="T34" s="39" t="e">
        <f t="shared" ca="1" si="9"/>
        <v>#REF!</v>
      </c>
      <c r="U34" s="40" t="e">
        <f t="shared" ca="1" si="10"/>
        <v>#REF!</v>
      </c>
    </row>
    <row r="35" spans="1:21" x14ac:dyDescent="0.25">
      <c r="A35" s="36" t="s">
        <v>3120</v>
      </c>
      <c r="B35" s="36" t="s">
        <v>85</v>
      </c>
      <c r="D35" s="34">
        <f t="shared" si="1"/>
        <v>0</v>
      </c>
      <c r="E35" s="3">
        <f>COUNTIF(Vertices[Degree], "&gt;= " &amp; D35) - COUNTIF(Vertices[Degree], "&gt;=" &amp; D36)</f>
        <v>0</v>
      </c>
      <c r="F35" s="41">
        <f t="shared" si="2"/>
        <v>67.941176470588289</v>
      </c>
      <c r="G35" s="42">
        <f>COUNTIF(Vertices[In-Degree], "&gt;= " &amp; F35) - COUNTIF(Vertices[In-Degree], "&gt;=" &amp; F36)</f>
        <v>0</v>
      </c>
      <c r="H35" s="41">
        <f t="shared" si="3"/>
        <v>21.352941176470594</v>
      </c>
      <c r="I35" s="42">
        <f>COUNTIF(Vertices[Out-Degree], "&gt;= " &amp; H35) - COUNTIF(Vertices[Out-Degree], "&gt;=" &amp; H36)</f>
        <v>0</v>
      </c>
      <c r="J35" s="41">
        <f t="shared" si="4"/>
        <v>22691.982070676455</v>
      </c>
      <c r="K35" s="42">
        <f>COUNTIF(Vertices[Betweenness Centrality], "&gt;= " &amp; J35) - COUNTIF(Vertices[Betweenness Centrality], "&gt;=" &amp; J36)</f>
        <v>0</v>
      </c>
      <c r="L35" s="41">
        <f t="shared" si="5"/>
        <v>0.53496785294117666</v>
      </c>
      <c r="M35" s="42">
        <f>COUNTIF(Vertices[Closeness Centrality], "&gt;= " &amp; L35) - COUNTIF(Vertices[Closeness Centrality], "&gt;=" &amp; L36)</f>
        <v>0</v>
      </c>
      <c r="N35" s="41">
        <f t="shared" si="6"/>
        <v>0.53988194117647081</v>
      </c>
      <c r="O35" s="42">
        <f>COUNTIF(Vertices[Eigenvector Centrality], "&gt;= " &amp; N35) - COUNTIF(Vertices[Eigenvector Centrality], "&gt;=" &amp; N36)</f>
        <v>0</v>
      </c>
      <c r="P35" s="41">
        <f t="shared" si="7"/>
        <v>3.3294705882352935E-2</v>
      </c>
      <c r="Q35" s="42">
        <f>COUNTIF(Vertices[PageRank], "&gt;= " &amp; P35) - COUNTIF(Vertices[PageRank], "&gt;=" &amp; P36)</f>
        <v>0</v>
      </c>
      <c r="R35" s="41">
        <f t="shared" si="8"/>
        <v>0.97058823529411775</v>
      </c>
      <c r="S35" s="46">
        <f>COUNTIF(Vertices[Clustering Coefficient], "&gt;= " &amp; R35) - COUNTIF(Vertices[Clustering Coefficient], "&gt;=" &amp; R36)</f>
        <v>0</v>
      </c>
      <c r="T35" s="41" t="e">
        <f t="shared" ca="1" si="9"/>
        <v>#REF!</v>
      </c>
      <c r="U35" s="42" t="e">
        <f t="shared" ca="1" si="10"/>
        <v>#REF!</v>
      </c>
    </row>
    <row r="36" spans="1:21" x14ac:dyDescent="0.25">
      <c r="A36" s="36" t="s">
        <v>3121</v>
      </c>
      <c r="B36" s="36" t="s">
        <v>85</v>
      </c>
      <c r="D36" s="34">
        <f>MAX(Vertices[Degree])</f>
        <v>0</v>
      </c>
      <c r="E36" s="3">
        <f>COUNTIF(Vertices[Degree], "&gt;= " &amp; D36) - COUNTIF(Vertices[Degree], "&gt;=" &amp;#REF!)</f>
        <v>0</v>
      </c>
      <c r="F36" s="43">
        <f>MAX(Vertices[In-Degree])</f>
        <v>70</v>
      </c>
      <c r="G36" s="44">
        <f>COUNTIF(Vertices[In-Degree], "&gt;= " &amp; F36) - COUNTIF(Vertices[In-Degree], "&gt;=" &amp;#REF!)</f>
        <v>1</v>
      </c>
      <c r="H36" s="43">
        <f>MAX(Vertices[Out-Degree])</f>
        <v>22</v>
      </c>
      <c r="I36" s="44">
        <f>COUNTIF(Vertices[Out-Degree], "&gt;= " &amp; H36) - COUNTIF(Vertices[Out-Degree], "&gt;=" &amp;#REF!)</f>
        <v>1</v>
      </c>
      <c r="J36" s="43">
        <f>MAX(Vertices[Betweenness Centrality])</f>
        <v>23379.617891000002</v>
      </c>
      <c r="K36" s="44">
        <f>COUNTIF(Vertices[Betweenness Centrality], "&gt;= " &amp; J36) - COUNTIF(Vertices[Betweenness Centrality], "&gt;=" &amp;#REF!)</f>
        <v>1</v>
      </c>
      <c r="L36" s="43">
        <f>MAX(Vertices[Closeness Centrality])</f>
        <v>0.55117899999999997</v>
      </c>
      <c r="M36" s="44">
        <f>COUNTIF(Vertices[Closeness Centrality], "&gt;= " &amp; L36) - COUNTIF(Vertices[Closeness Centrality], "&gt;=" &amp;#REF!)</f>
        <v>1</v>
      </c>
      <c r="N36" s="43">
        <f>MAX(Vertices[Eigenvector Centrality])</f>
        <v>0.55624200000000001</v>
      </c>
      <c r="O36" s="44">
        <f>COUNTIF(Vertices[Eigenvector Centrality], "&gt;= " &amp; N36) - COUNTIF(Vertices[Eigenvector Centrality], "&gt;=" &amp;#REF!)</f>
        <v>1</v>
      </c>
      <c r="P36" s="43">
        <f>MAX(Vertices[PageRank])</f>
        <v>3.4171E-2</v>
      </c>
      <c r="Q36" s="44">
        <f>COUNTIF(Vertices[PageRank], "&gt;= " &amp; P36) - COUNTIF(Vertices[PageRank], "&gt;=" &amp;#REF!)</f>
        <v>1</v>
      </c>
      <c r="R36" s="43">
        <f>MAX(Vertices[Clustering Coefficient])</f>
        <v>1</v>
      </c>
      <c r="S36" s="47">
        <f>COUNTIF(Vertices[Clustering Coefficient], "&gt;= " &amp; R36) - COUNTIF(Vertices[Clustering Coefficient], "&gt;=" &amp;#REF!)</f>
        <v>6</v>
      </c>
      <c r="T36" s="43" t="e">
        <f ca="1">MAX(INDIRECT(DynamicFilterSourceColumnRange))</f>
        <v>#REF!</v>
      </c>
      <c r="U36" s="44" t="e">
        <f ca="1">COUNTIF(INDIRECT(DynamicFilterSourceColumnRange), "&gt;= " &amp; T36) - COUNTIF(INDIRECT(DynamicFilterSourceColumnRange), "&gt;=" &amp;#REF!)</f>
        <v>#REF!</v>
      </c>
    </row>
    <row r="37" spans="1:21" x14ac:dyDescent="0.25">
      <c r="A37" s="36" t="s">
        <v>3122</v>
      </c>
      <c r="B37" s="36" t="s">
        <v>85</v>
      </c>
    </row>
    <row r="38" spans="1:21" x14ac:dyDescent="0.25">
      <c r="A38" s="36" t="s">
        <v>3123</v>
      </c>
      <c r="B38" s="36" t="s">
        <v>85</v>
      </c>
    </row>
    <row r="39" spans="1:21" x14ac:dyDescent="0.25">
      <c r="A39" s="36" t="s">
        <v>3124</v>
      </c>
      <c r="B39" s="36" t="s">
        <v>85</v>
      </c>
    </row>
    <row r="40" spans="1:21" x14ac:dyDescent="0.25">
      <c r="A40" s="36" t="s">
        <v>21</v>
      </c>
      <c r="B40" s="36" t="s">
        <v>85</v>
      </c>
    </row>
    <row r="41" spans="1:21" x14ac:dyDescent="0.25">
      <c r="A41" s="36" t="s">
        <v>3125</v>
      </c>
      <c r="B41" s="36" t="s">
        <v>85</v>
      </c>
    </row>
    <row r="42" spans="1:21" x14ac:dyDescent="0.25">
      <c r="A42" s="36" t="s">
        <v>3126</v>
      </c>
      <c r="B42" s="36" t="s">
        <v>85</v>
      </c>
    </row>
    <row r="43" spans="1:21" x14ac:dyDescent="0.25">
      <c r="A43" s="36" t="s">
        <v>3127</v>
      </c>
      <c r="B43" s="36" t="s">
        <v>85</v>
      </c>
    </row>
    <row r="53" spans="1:2" x14ac:dyDescent="0.25">
      <c r="A53" t="s">
        <v>163</v>
      </c>
      <c r="B53" t="s">
        <v>17</v>
      </c>
    </row>
    <row r="54" spans="1:2" x14ac:dyDescent="0.25">
      <c r="A54" s="35"/>
      <c r="B54" s="35"/>
    </row>
    <row r="67" spans="1:2" x14ac:dyDescent="0.25">
      <c r="A67" s="35" t="s">
        <v>81</v>
      </c>
      <c r="B67" s="48" t="str">
        <f>IF(COUNT(Vertices[Degree])&gt;0, D2, NoMetricMessage)</f>
        <v>Not Available</v>
      </c>
    </row>
    <row r="68" spans="1:2" x14ac:dyDescent="0.25">
      <c r="A68" s="35" t="s">
        <v>82</v>
      </c>
      <c r="B68" s="48" t="str">
        <f>IF(COUNT(Vertices[Degree])&gt;0, D36, NoMetricMessage)</f>
        <v>Not Available</v>
      </c>
    </row>
    <row r="69" spans="1:2" x14ac:dyDescent="0.25">
      <c r="A69" s="35" t="s">
        <v>83</v>
      </c>
      <c r="B69" s="49" t="str">
        <f>IFERROR(AVERAGE(Vertices[Degree]),NoMetricMessage)</f>
        <v>Not Available</v>
      </c>
    </row>
    <row r="70" spans="1:2" x14ac:dyDescent="0.25">
      <c r="A70" s="35" t="s">
        <v>84</v>
      </c>
      <c r="B70" s="49" t="str">
        <f>IFERROR(MEDIAN(Vertices[Degree]),NoMetricMessage)</f>
        <v>Not Available</v>
      </c>
    </row>
    <row r="81" spans="1:2" x14ac:dyDescent="0.25">
      <c r="A81" s="35" t="s">
        <v>88</v>
      </c>
      <c r="B81" s="48">
        <f>IF(COUNT(Vertices[In-Degree])&gt;0, F2, NoMetricMessage)</f>
        <v>0</v>
      </c>
    </row>
    <row r="82" spans="1:2" x14ac:dyDescent="0.25">
      <c r="A82" s="35" t="s">
        <v>89</v>
      </c>
      <c r="B82" s="48">
        <f>IF(COUNT(Vertices[In-Degree])&gt;0, F36, NoMetricMessage)</f>
        <v>70</v>
      </c>
    </row>
    <row r="83" spans="1:2" x14ac:dyDescent="0.25">
      <c r="A83" s="35" t="s">
        <v>90</v>
      </c>
      <c r="B83" s="49">
        <f>IFERROR(AVERAGE(Vertices[In-Degree]),NoMetricMessage)</f>
        <v>2.0710659898477157</v>
      </c>
    </row>
    <row r="84" spans="1:2" x14ac:dyDescent="0.25">
      <c r="A84" s="35" t="s">
        <v>91</v>
      </c>
      <c r="B84" s="49">
        <f>IFERROR(MEDIAN(Vertices[In-Degree]),NoMetricMessage)</f>
        <v>0</v>
      </c>
    </row>
    <row r="95" spans="1:2" x14ac:dyDescent="0.25">
      <c r="A95" s="35" t="s">
        <v>94</v>
      </c>
      <c r="B95" s="48">
        <f>IF(COUNT(Vertices[Out-Degree])&gt;0, H2, NoMetricMessage)</f>
        <v>0</v>
      </c>
    </row>
    <row r="96" spans="1:2" x14ac:dyDescent="0.25">
      <c r="A96" s="35" t="s">
        <v>95</v>
      </c>
      <c r="B96" s="48">
        <f>IF(COUNT(Vertices[Out-Degree])&gt;0, H36, NoMetricMessage)</f>
        <v>22</v>
      </c>
    </row>
    <row r="97" spans="1:2" x14ac:dyDescent="0.25">
      <c r="A97" s="35" t="s">
        <v>96</v>
      </c>
      <c r="B97" s="49">
        <f>IFERROR(AVERAGE(Vertices[Out-Degree]),NoMetricMessage)</f>
        <v>2.0710659898477157</v>
      </c>
    </row>
    <row r="98" spans="1:2" x14ac:dyDescent="0.25">
      <c r="A98" s="35" t="s">
        <v>97</v>
      </c>
      <c r="B98" s="49">
        <f>IFERROR(MEDIAN(Vertices[Out-Degree]),NoMetricMessage)</f>
        <v>1</v>
      </c>
    </row>
    <row r="109" spans="1:2" x14ac:dyDescent="0.25">
      <c r="A109" s="35" t="s">
        <v>100</v>
      </c>
      <c r="B109" s="49">
        <f>IF(COUNT(Vertices[Betweenness Centrality])&gt;0, J2, NoMetricMessage)</f>
        <v>0</v>
      </c>
    </row>
    <row r="110" spans="1:2" x14ac:dyDescent="0.25">
      <c r="A110" s="35" t="s">
        <v>101</v>
      </c>
      <c r="B110" s="49">
        <f>IF(COUNT(Vertices[Betweenness Centrality])&gt;0, J36, NoMetricMessage)</f>
        <v>23379.617891000002</v>
      </c>
    </row>
    <row r="111" spans="1:2" x14ac:dyDescent="0.25">
      <c r="A111" s="35" t="s">
        <v>102</v>
      </c>
      <c r="B111" s="49">
        <f>IFERROR(AVERAGE(Vertices[Betweenness Centrality]),NoMetricMessage)</f>
        <v>327.61421320304561</v>
      </c>
    </row>
    <row r="112" spans="1:2" x14ac:dyDescent="0.25">
      <c r="A112" s="35" t="s">
        <v>103</v>
      </c>
      <c r="B112" s="49">
        <f>IFERROR(MEDIAN(Vertices[Betweenness Centrality]),NoMetricMessage)</f>
        <v>0</v>
      </c>
    </row>
    <row r="123" spans="1:2" x14ac:dyDescent="0.25">
      <c r="A123" s="35" t="s">
        <v>106</v>
      </c>
      <c r="B123" s="49">
        <f>IF(COUNT(Vertices[Closeness Centrality])&gt;0, L2, NoMetricMessage)</f>
        <v>0</v>
      </c>
    </row>
    <row r="124" spans="1:2" x14ac:dyDescent="0.25">
      <c r="A124" s="35" t="s">
        <v>107</v>
      </c>
      <c r="B124" s="49">
        <f>IF(COUNT(Vertices[Closeness Centrality])&gt;0, L36, NoMetricMessage)</f>
        <v>0.55117899999999997</v>
      </c>
    </row>
    <row r="125" spans="1:2" x14ac:dyDescent="0.25">
      <c r="A125" s="35" t="s">
        <v>108</v>
      </c>
      <c r="B125" s="49">
        <f>IFERROR(AVERAGE(Vertices[Closeness Centrality]),NoMetricMessage)</f>
        <v>0.2771943451776645</v>
      </c>
    </row>
    <row r="126" spans="1:2" x14ac:dyDescent="0.25">
      <c r="A126" s="35" t="s">
        <v>109</v>
      </c>
      <c r="B126" s="49">
        <f>IFERROR(MEDIAN(Vertices[Closeness Centrality]),NoMetricMessage)</f>
        <v>0.28391100000000002</v>
      </c>
    </row>
    <row r="137" spans="1:2" x14ac:dyDescent="0.25">
      <c r="A137" s="35" t="s">
        <v>112</v>
      </c>
      <c r="B137" s="49">
        <f>IF(COUNT(Vertices[Eigenvector Centrality])&gt;0, N2, NoMetricMessage)</f>
        <v>0</v>
      </c>
    </row>
    <row r="138" spans="1:2" x14ac:dyDescent="0.25">
      <c r="A138" s="35" t="s">
        <v>113</v>
      </c>
      <c r="B138" s="49">
        <f>IF(COUNT(Vertices[Eigenvector Centrality])&gt;0, N36, NoMetricMessage)</f>
        <v>0.55624200000000001</v>
      </c>
    </row>
    <row r="139" spans="1:2" x14ac:dyDescent="0.25">
      <c r="A139" s="35" t="s">
        <v>114</v>
      </c>
      <c r="B139" s="49">
        <f>IFERROR(AVERAGE(Vertices[Eigenvector Centrality]),NoMetricMessage)</f>
        <v>4.1979832487309639E-2</v>
      </c>
    </row>
    <row r="140" spans="1:2" x14ac:dyDescent="0.25">
      <c r="A140" s="35" t="s">
        <v>115</v>
      </c>
      <c r="B140" s="49">
        <f>IFERROR(MEDIAN(Vertices[Eigenvector Centrality]),NoMetricMessage)</f>
        <v>2.0806000000000002E-2</v>
      </c>
    </row>
    <row r="151" spans="1:2" x14ac:dyDescent="0.25">
      <c r="A151" s="35" t="s">
        <v>140</v>
      </c>
      <c r="B151" s="49">
        <f>IF(COUNT(Vertices[PageRank])&gt;0, P2, NoMetricMessage)</f>
        <v>4.3769999999999998E-3</v>
      </c>
    </row>
    <row r="152" spans="1:2" x14ac:dyDescent="0.25">
      <c r="A152" s="35" t="s">
        <v>141</v>
      </c>
      <c r="B152" s="49">
        <f>IF(COUNT(Vertices[PageRank])&gt;0, P36, NoMetricMessage)</f>
        <v>3.4171E-2</v>
      </c>
    </row>
    <row r="153" spans="1:2" x14ac:dyDescent="0.25">
      <c r="A153" s="35" t="s">
        <v>142</v>
      </c>
      <c r="B153" s="49">
        <f>IFERROR(AVERAGE(Vertices[PageRank]),NoMetricMessage)</f>
        <v>5.0760862944162393E-3</v>
      </c>
    </row>
    <row r="154" spans="1:2" x14ac:dyDescent="0.25">
      <c r="A154" s="35" t="s">
        <v>143</v>
      </c>
      <c r="B154" s="49">
        <f>IFERROR(MEDIAN(Vertices[PageRank]),NoMetricMessage)</f>
        <v>4.6059999999999999E-3</v>
      </c>
    </row>
    <row r="165" spans="1:2" x14ac:dyDescent="0.25">
      <c r="A165" s="35" t="s">
        <v>118</v>
      </c>
      <c r="B165" s="49">
        <f>IF(COUNT(Vertices[Clustering Coefficient])&gt;0, R2, NoMetricMessage)</f>
        <v>0</v>
      </c>
    </row>
    <row r="166" spans="1:2" x14ac:dyDescent="0.25">
      <c r="A166" s="35" t="s">
        <v>119</v>
      </c>
      <c r="B166" s="49">
        <f>IF(COUNT(Vertices[Clustering Coefficient])&gt;0, R36, NoMetricMessage)</f>
        <v>1</v>
      </c>
    </row>
    <row r="167" spans="1:2" x14ac:dyDescent="0.25">
      <c r="A167" s="35" t="s">
        <v>120</v>
      </c>
      <c r="B167" s="49">
        <f>IFERROR(AVERAGE(Vertices[Clustering Coefficient]),NoMetricMessage)</f>
        <v>0.20004637158999694</v>
      </c>
    </row>
    <row r="168" spans="1:2" x14ac:dyDescent="0.25">
      <c r="A168" s="35" t="s">
        <v>121</v>
      </c>
      <c r="B168" s="49">
        <f>IFERROR(MEDIAN(Vertices[Clustering Coefficient]),NoMetricMessage)</f>
        <v>9.7222222222222224E-2</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2579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3137</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ht="409.5" x14ac:dyDescent="0.25">
      <c r="A8"/>
      <c r="B8">
        <v>2</v>
      </c>
      <c r="C8">
        <v>2</v>
      </c>
      <c r="D8" t="s">
        <v>61</v>
      </c>
      <c r="E8" t="s">
        <v>61</v>
      </c>
      <c r="H8" t="s">
        <v>73</v>
      </c>
      <c r="J8" t="s">
        <v>176</v>
      </c>
      <c r="K8" s="13" t="s">
        <v>2580</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4B4B-F55E-4910-BB6D-3ED53661C72C}">
  <dimension ref="A1:B95"/>
  <sheetViews>
    <sheetView workbookViewId="0"/>
  </sheetViews>
  <sheetFormatPr defaultRowHeight="15" x14ac:dyDescent="0.25"/>
  <cols>
    <col min="1" max="1" width="39.7109375" customWidth="1"/>
    <col min="2" max="2" width="20.28515625" bestFit="1" customWidth="1"/>
  </cols>
  <sheetData>
    <row r="1" spans="1:2" ht="15" customHeight="1" x14ac:dyDescent="0.25">
      <c r="A1" s="13" t="s">
        <v>2581</v>
      </c>
      <c r="B1" s="13" t="s">
        <v>2592</v>
      </c>
    </row>
    <row r="2" spans="1:2" x14ac:dyDescent="0.25">
      <c r="A2" s="86" t="s">
        <v>2582</v>
      </c>
      <c r="B2" s="79">
        <v>8</v>
      </c>
    </row>
    <row r="3" spans="1:2" x14ac:dyDescent="0.25">
      <c r="A3" s="83" t="s">
        <v>2583</v>
      </c>
      <c r="B3" s="79">
        <v>8</v>
      </c>
    </row>
    <row r="4" spans="1:2" x14ac:dyDescent="0.25">
      <c r="A4" s="83" t="s">
        <v>2584</v>
      </c>
      <c r="B4" s="79">
        <v>8</v>
      </c>
    </row>
    <row r="5" spans="1:2" x14ac:dyDescent="0.25">
      <c r="A5" s="83" t="s">
        <v>2585</v>
      </c>
      <c r="B5" s="79">
        <v>6</v>
      </c>
    </row>
    <row r="6" spans="1:2" x14ac:dyDescent="0.25">
      <c r="A6" s="83" t="s">
        <v>2586</v>
      </c>
      <c r="B6" s="79">
        <v>6</v>
      </c>
    </row>
    <row r="7" spans="1:2" x14ac:dyDescent="0.25">
      <c r="A7" s="83" t="s">
        <v>2587</v>
      </c>
      <c r="B7" s="79">
        <v>6</v>
      </c>
    </row>
    <row r="8" spans="1:2" x14ac:dyDescent="0.25">
      <c r="A8" s="83" t="s">
        <v>2588</v>
      </c>
      <c r="B8" s="79">
        <v>5</v>
      </c>
    </row>
    <row r="9" spans="1:2" x14ac:dyDescent="0.25">
      <c r="A9" s="83" t="s">
        <v>2589</v>
      </c>
      <c r="B9" s="79">
        <v>5</v>
      </c>
    </row>
    <row r="10" spans="1:2" x14ac:dyDescent="0.25">
      <c r="A10" s="83" t="s">
        <v>2590</v>
      </c>
      <c r="B10" s="79">
        <v>5</v>
      </c>
    </row>
    <row r="11" spans="1:2" x14ac:dyDescent="0.25">
      <c r="A11" s="83" t="s">
        <v>2591</v>
      </c>
      <c r="B11" s="79">
        <v>5</v>
      </c>
    </row>
    <row r="14" spans="1:2" ht="15" customHeight="1" x14ac:dyDescent="0.25">
      <c r="A14" s="13" t="s">
        <v>2594</v>
      </c>
      <c r="B14" s="13" t="s">
        <v>2592</v>
      </c>
    </row>
    <row r="15" spans="1:2" x14ac:dyDescent="0.25">
      <c r="A15" s="79" t="s">
        <v>632</v>
      </c>
      <c r="B15" s="79">
        <v>163</v>
      </c>
    </row>
    <row r="16" spans="1:2" x14ac:dyDescent="0.25">
      <c r="A16" s="80" t="s">
        <v>633</v>
      </c>
      <c r="B16" s="79">
        <v>68</v>
      </c>
    </row>
    <row r="17" spans="1:2" x14ac:dyDescent="0.25">
      <c r="A17" s="80" t="s">
        <v>637</v>
      </c>
      <c r="B17" s="79">
        <v>9</v>
      </c>
    </row>
    <row r="18" spans="1:2" x14ac:dyDescent="0.25">
      <c r="A18" s="80" t="s">
        <v>642</v>
      </c>
      <c r="B18" s="79">
        <v>8</v>
      </c>
    </row>
    <row r="19" spans="1:2" x14ac:dyDescent="0.25">
      <c r="A19" s="80" t="s">
        <v>640</v>
      </c>
      <c r="B19" s="79">
        <v>8</v>
      </c>
    </row>
    <row r="20" spans="1:2" x14ac:dyDescent="0.25">
      <c r="A20" s="80" t="s">
        <v>634</v>
      </c>
      <c r="B20" s="79">
        <v>6</v>
      </c>
    </row>
    <row r="21" spans="1:2" x14ac:dyDescent="0.25">
      <c r="A21" s="80" t="s">
        <v>638</v>
      </c>
      <c r="B21" s="79">
        <v>6</v>
      </c>
    </row>
    <row r="22" spans="1:2" x14ac:dyDescent="0.25">
      <c r="A22" s="80" t="s">
        <v>641</v>
      </c>
      <c r="B22" s="79">
        <v>5</v>
      </c>
    </row>
    <row r="23" spans="1:2" x14ac:dyDescent="0.25">
      <c r="A23" s="80" t="s">
        <v>658</v>
      </c>
      <c r="B23" s="79">
        <v>4</v>
      </c>
    </row>
    <row r="24" spans="1:2" x14ac:dyDescent="0.25">
      <c r="A24" s="80" t="s">
        <v>647</v>
      </c>
      <c r="B24" s="79">
        <v>4</v>
      </c>
    </row>
    <row r="27" spans="1:2" ht="15" customHeight="1" x14ac:dyDescent="0.25">
      <c r="A27" s="13" t="s">
        <v>2596</v>
      </c>
      <c r="B27" s="13" t="s">
        <v>2592</v>
      </c>
    </row>
    <row r="28" spans="1:2" x14ac:dyDescent="0.25">
      <c r="A28" s="79" t="s">
        <v>357</v>
      </c>
      <c r="B28" s="79">
        <v>455</v>
      </c>
    </row>
    <row r="29" spans="1:2" x14ac:dyDescent="0.25">
      <c r="A29" s="80" t="s">
        <v>2597</v>
      </c>
      <c r="B29" s="79">
        <v>112</v>
      </c>
    </row>
    <row r="30" spans="1:2" x14ac:dyDescent="0.25">
      <c r="A30" s="80" t="s">
        <v>339</v>
      </c>
      <c r="B30" s="79">
        <v>78</v>
      </c>
    </row>
    <row r="31" spans="1:2" x14ac:dyDescent="0.25">
      <c r="A31" s="80" t="s">
        <v>2598</v>
      </c>
      <c r="B31" s="79">
        <v>56</v>
      </c>
    </row>
    <row r="32" spans="1:2" x14ac:dyDescent="0.25">
      <c r="A32" s="80" t="s">
        <v>2599</v>
      </c>
      <c r="B32" s="79">
        <v>27</v>
      </c>
    </row>
    <row r="33" spans="1:2" x14ac:dyDescent="0.25">
      <c r="A33" s="80" t="s">
        <v>353</v>
      </c>
      <c r="B33" s="79">
        <v>19</v>
      </c>
    </row>
    <row r="34" spans="1:2" x14ac:dyDescent="0.25">
      <c r="A34" s="80" t="s">
        <v>2600</v>
      </c>
      <c r="B34" s="79">
        <v>19</v>
      </c>
    </row>
    <row r="35" spans="1:2" x14ac:dyDescent="0.25">
      <c r="A35" s="80" t="s">
        <v>369</v>
      </c>
      <c r="B35" s="79">
        <v>16</v>
      </c>
    </row>
    <row r="36" spans="1:2" x14ac:dyDescent="0.25">
      <c r="A36" s="80" t="s">
        <v>2601</v>
      </c>
      <c r="B36" s="79">
        <v>9</v>
      </c>
    </row>
    <row r="37" spans="1:2" x14ac:dyDescent="0.25">
      <c r="A37" s="80" t="s">
        <v>2602</v>
      </c>
      <c r="B37" s="79">
        <v>8</v>
      </c>
    </row>
    <row r="40" spans="1:2" ht="15" customHeight="1" x14ac:dyDescent="0.25">
      <c r="A40" s="13" t="s">
        <v>2604</v>
      </c>
      <c r="B40" s="13" t="s">
        <v>2592</v>
      </c>
    </row>
    <row r="41" spans="1:2" x14ac:dyDescent="0.25">
      <c r="A41" s="84" t="s">
        <v>601</v>
      </c>
      <c r="B41" s="84">
        <v>442</v>
      </c>
    </row>
    <row r="42" spans="1:2" x14ac:dyDescent="0.25">
      <c r="A42" s="85" t="s">
        <v>2605</v>
      </c>
      <c r="B42" s="84">
        <v>112</v>
      </c>
    </row>
    <row r="43" spans="1:2" x14ac:dyDescent="0.25">
      <c r="A43" s="85" t="s">
        <v>2606</v>
      </c>
      <c r="B43" s="84">
        <v>80</v>
      </c>
    </row>
    <row r="44" spans="1:2" x14ac:dyDescent="0.25">
      <c r="A44" s="85" t="s">
        <v>2607</v>
      </c>
      <c r="B44" s="84">
        <v>78</v>
      </c>
    </row>
    <row r="45" spans="1:2" x14ac:dyDescent="0.25">
      <c r="A45" s="85" t="s">
        <v>2608</v>
      </c>
      <c r="B45" s="84">
        <v>67</v>
      </c>
    </row>
    <row r="46" spans="1:2" x14ac:dyDescent="0.25">
      <c r="A46" s="85" t="s">
        <v>2609</v>
      </c>
      <c r="B46" s="84">
        <v>65</v>
      </c>
    </row>
    <row r="47" spans="1:2" x14ac:dyDescent="0.25">
      <c r="A47" s="85" t="s">
        <v>2610</v>
      </c>
      <c r="B47" s="84">
        <v>64</v>
      </c>
    </row>
    <row r="48" spans="1:2" x14ac:dyDescent="0.25">
      <c r="A48" s="85" t="s">
        <v>2611</v>
      </c>
      <c r="B48" s="84">
        <v>58</v>
      </c>
    </row>
    <row r="49" spans="1:2" x14ac:dyDescent="0.25">
      <c r="A49" s="85" t="s">
        <v>2612</v>
      </c>
      <c r="B49" s="84">
        <v>56</v>
      </c>
    </row>
    <row r="50" spans="1:2" x14ac:dyDescent="0.25">
      <c r="A50" s="85" t="s">
        <v>2613</v>
      </c>
      <c r="B50" s="84">
        <v>53</v>
      </c>
    </row>
    <row r="53" spans="1:2" ht="15" customHeight="1" x14ac:dyDescent="0.25">
      <c r="A53" s="13" t="s">
        <v>2615</v>
      </c>
      <c r="B53" s="13" t="s">
        <v>2592</v>
      </c>
    </row>
    <row r="54" spans="1:2" x14ac:dyDescent="0.25">
      <c r="A54" s="84" t="s">
        <v>2616</v>
      </c>
      <c r="B54" s="84">
        <v>41</v>
      </c>
    </row>
    <row r="55" spans="1:2" x14ac:dyDescent="0.25">
      <c r="A55" s="85" t="s">
        <v>2617</v>
      </c>
      <c r="B55" s="84">
        <v>35</v>
      </c>
    </row>
    <row r="56" spans="1:2" x14ac:dyDescent="0.25">
      <c r="A56" s="85" t="s">
        <v>2618</v>
      </c>
      <c r="B56" s="84">
        <v>35</v>
      </c>
    </row>
    <row r="57" spans="1:2" x14ac:dyDescent="0.25">
      <c r="A57" s="85" t="s">
        <v>2619</v>
      </c>
      <c r="B57" s="84">
        <v>35</v>
      </c>
    </row>
    <row r="58" spans="1:2" x14ac:dyDescent="0.25">
      <c r="A58" s="85" t="s">
        <v>2620</v>
      </c>
      <c r="B58" s="84">
        <v>35</v>
      </c>
    </row>
    <row r="59" spans="1:2" x14ac:dyDescent="0.25">
      <c r="A59" s="85" t="s">
        <v>2621</v>
      </c>
      <c r="B59" s="84">
        <v>35</v>
      </c>
    </row>
    <row r="60" spans="1:2" x14ac:dyDescent="0.25">
      <c r="A60" s="85" t="s">
        <v>2622</v>
      </c>
      <c r="B60" s="84">
        <v>35</v>
      </c>
    </row>
    <row r="61" spans="1:2" x14ac:dyDescent="0.25">
      <c r="A61" s="85" t="s">
        <v>2623</v>
      </c>
      <c r="B61" s="84">
        <v>35</v>
      </c>
    </row>
    <row r="62" spans="1:2" x14ac:dyDescent="0.25">
      <c r="A62" s="85" t="s">
        <v>2624</v>
      </c>
      <c r="B62" s="84">
        <v>35</v>
      </c>
    </row>
    <row r="63" spans="1:2" x14ac:dyDescent="0.25">
      <c r="A63" s="85" t="s">
        <v>2625</v>
      </c>
      <c r="B63" s="84">
        <v>35</v>
      </c>
    </row>
    <row r="66" spans="1:2" ht="15" customHeight="1" x14ac:dyDescent="0.25">
      <c r="A66" s="13" t="s">
        <v>2627</v>
      </c>
      <c r="B66" s="13" t="s">
        <v>2592</v>
      </c>
    </row>
    <row r="67" spans="1:2" x14ac:dyDescent="0.25">
      <c r="A67" s="79" t="s">
        <v>353</v>
      </c>
      <c r="B67" s="79">
        <v>3</v>
      </c>
    </row>
    <row r="68" spans="1:2" x14ac:dyDescent="0.25">
      <c r="A68" s="80" t="s">
        <v>409</v>
      </c>
      <c r="B68" s="79">
        <v>1</v>
      </c>
    </row>
    <row r="69" spans="1:2" x14ac:dyDescent="0.25">
      <c r="A69" s="80" t="s">
        <v>362</v>
      </c>
      <c r="B69" s="79">
        <v>1</v>
      </c>
    </row>
    <row r="72" spans="1:2" ht="15" customHeight="1" x14ac:dyDescent="0.25">
      <c r="A72" s="13" t="s">
        <v>2628</v>
      </c>
      <c r="B72" s="13" t="s">
        <v>2592</v>
      </c>
    </row>
    <row r="73" spans="1:2" x14ac:dyDescent="0.25">
      <c r="A73" s="79" t="s">
        <v>385</v>
      </c>
      <c r="B73" s="79">
        <v>53</v>
      </c>
    </row>
    <row r="74" spans="1:2" x14ac:dyDescent="0.25">
      <c r="A74" s="80" t="s">
        <v>402</v>
      </c>
      <c r="B74" s="79">
        <v>14</v>
      </c>
    </row>
    <row r="75" spans="1:2" x14ac:dyDescent="0.25">
      <c r="A75" s="80" t="s">
        <v>405</v>
      </c>
      <c r="B75" s="79">
        <v>12</v>
      </c>
    </row>
    <row r="76" spans="1:2" x14ac:dyDescent="0.25">
      <c r="A76" s="80" t="s">
        <v>307</v>
      </c>
      <c r="B76" s="79">
        <v>11</v>
      </c>
    </row>
    <row r="77" spans="1:2" x14ac:dyDescent="0.25">
      <c r="A77" s="80" t="s">
        <v>389</v>
      </c>
      <c r="B77" s="79">
        <v>9</v>
      </c>
    </row>
    <row r="78" spans="1:2" x14ac:dyDescent="0.25">
      <c r="A78" s="80" t="s">
        <v>357</v>
      </c>
      <c r="B78" s="79">
        <v>8</v>
      </c>
    </row>
    <row r="79" spans="1:2" x14ac:dyDescent="0.25">
      <c r="A79" s="80" t="s">
        <v>376</v>
      </c>
      <c r="B79" s="79">
        <v>8</v>
      </c>
    </row>
    <row r="80" spans="1:2" x14ac:dyDescent="0.25">
      <c r="A80" s="80" t="s">
        <v>386</v>
      </c>
      <c r="B80" s="79">
        <v>7</v>
      </c>
    </row>
    <row r="81" spans="1:2" x14ac:dyDescent="0.25">
      <c r="A81" s="80" t="s">
        <v>384</v>
      </c>
      <c r="B81" s="79">
        <v>6</v>
      </c>
    </row>
    <row r="82" spans="1:2" x14ac:dyDescent="0.25">
      <c r="A82" s="80" t="s">
        <v>375</v>
      </c>
      <c r="B82" s="79">
        <v>6</v>
      </c>
    </row>
    <row r="85" spans="1:2" ht="15" customHeight="1" x14ac:dyDescent="0.25">
      <c r="A85" s="13" t="s">
        <v>2631</v>
      </c>
      <c r="B85" s="13" t="s">
        <v>2592</v>
      </c>
    </row>
    <row r="86" spans="1:2" x14ac:dyDescent="0.25">
      <c r="A86" s="105" t="s">
        <v>316</v>
      </c>
      <c r="B86" s="79">
        <v>639754</v>
      </c>
    </row>
    <row r="87" spans="1:2" x14ac:dyDescent="0.25">
      <c r="A87" s="106" t="s">
        <v>388</v>
      </c>
      <c r="B87" s="79">
        <v>262994</v>
      </c>
    </row>
    <row r="88" spans="1:2" x14ac:dyDescent="0.25">
      <c r="A88" s="106" t="s">
        <v>391</v>
      </c>
      <c r="B88" s="79">
        <v>227940</v>
      </c>
    </row>
    <row r="89" spans="1:2" x14ac:dyDescent="0.25">
      <c r="A89" s="106" t="s">
        <v>221</v>
      </c>
      <c r="B89" s="79">
        <v>188407</v>
      </c>
    </row>
    <row r="90" spans="1:2" x14ac:dyDescent="0.25">
      <c r="A90" s="106" t="s">
        <v>330</v>
      </c>
      <c r="B90" s="79">
        <v>121325</v>
      </c>
    </row>
    <row r="91" spans="1:2" x14ac:dyDescent="0.25">
      <c r="A91" s="106" t="s">
        <v>232</v>
      </c>
      <c r="B91" s="79">
        <v>119454</v>
      </c>
    </row>
    <row r="92" spans="1:2" x14ac:dyDescent="0.25">
      <c r="A92" s="106" t="s">
        <v>336</v>
      </c>
      <c r="B92" s="79">
        <v>118491</v>
      </c>
    </row>
    <row r="93" spans="1:2" x14ac:dyDescent="0.25">
      <c r="A93" s="106" t="s">
        <v>322</v>
      </c>
      <c r="B93" s="79">
        <v>105101</v>
      </c>
    </row>
    <row r="94" spans="1:2" x14ac:dyDescent="0.25">
      <c r="A94" s="106" t="s">
        <v>310</v>
      </c>
      <c r="B94" s="79">
        <v>89464</v>
      </c>
    </row>
    <row r="95" spans="1:2" x14ac:dyDescent="0.25">
      <c r="A95" s="106" t="s">
        <v>309</v>
      </c>
      <c r="B95" s="79">
        <v>75311</v>
      </c>
    </row>
  </sheetData>
  <hyperlinks>
    <hyperlink ref="A2" r:id="rId1" xr:uid="{01590B0F-68C7-42B3-8FE6-A0F2B1F2ACEE}"/>
    <hyperlink ref="A3" r:id="rId2" xr:uid="{A9736292-33E9-4920-9607-662ADD29D9FB}"/>
    <hyperlink ref="A4" r:id="rId3" xr:uid="{8A7FCEFB-69F7-4C8D-8ABA-EBFAE549FDD3}"/>
    <hyperlink ref="A5" r:id="rId4" xr:uid="{9A66F8F7-C876-40BF-B8DD-61190C2F048D}"/>
    <hyperlink ref="A6" r:id="rId5" xr:uid="{5AB15017-BC58-4FFF-8759-2E38408D81D2}"/>
    <hyperlink ref="A7" r:id="rId6" xr:uid="{FC1C1B03-EA11-4B65-A2E4-AC7F36086FA2}"/>
    <hyperlink ref="A8" r:id="rId7" xr:uid="{8E99FCEE-1493-44FC-BBBA-5EEF3802F0CA}"/>
    <hyperlink ref="A9" r:id="rId8" xr:uid="{6F872030-34B7-4BF5-B606-BA42132C72F9}"/>
    <hyperlink ref="A10" r:id="rId9" xr:uid="{47782582-E57A-47DB-9E6B-60977C9D8EA6}"/>
    <hyperlink ref="A11" r:id="rId10" xr:uid="{9AB89F3A-8EEF-44BE-90E8-A9E732A6C9B8}"/>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DB1F-4498-4ABC-ACE6-374E56A00622}">
  <dimension ref="A1:B7"/>
  <sheetViews>
    <sheetView workbookViewId="0"/>
  </sheetViews>
  <sheetFormatPr defaultRowHeight="15" x14ac:dyDescent="0.25"/>
  <cols>
    <col min="1" max="1" width="6.5703125" bestFit="1" customWidth="1"/>
    <col min="2" max="2" width="8.42578125" bestFit="1" customWidth="1"/>
  </cols>
  <sheetData>
    <row r="1" spans="1:2" ht="15" customHeight="1" x14ac:dyDescent="0.25">
      <c r="A1" s="13" t="s">
        <v>3130</v>
      </c>
      <c r="B1" s="13" t="s">
        <v>17</v>
      </c>
    </row>
    <row r="2" spans="1:2" x14ac:dyDescent="0.25">
      <c r="A2" s="79" t="s">
        <v>3131</v>
      </c>
      <c r="B2" s="79"/>
    </row>
    <row r="3" spans="1:2" x14ac:dyDescent="0.25">
      <c r="A3" s="80" t="s">
        <v>3132</v>
      </c>
      <c r="B3" s="79"/>
    </row>
    <row r="4" spans="1:2" x14ac:dyDescent="0.25">
      <c r="A4" s="80" t="s">
        <v>3133</v>
      </c>
      <c r="B4" s="79"/>
    </row>
    <row r="5" spans="1:2" x14ac:dyDescent="0.25">
      <c r="A5" s="80" t="s">
        <v>3134</v>
      </c>
      <c r="B5" s="79"/>
    </row>
    <row r="6" spans="1:2" x14ac:dyDescent="0.25">
      <c r="A6" s="80" t="s">
        <v>3135</v>
      </c>
      <c r="B6" s="79"/>
    </row>
    <row r="7" spans="1:2" x14ac:dyDescent="0.25">
      <c r="A7" s="80" t="s">
        <v>3136</v>
      </c>
      <c r="B7" s="7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27E61AB-DAAD-441F-A54B-FA2AE3309C0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Edges</vt:lpstr>
      <vt:lpstr>Vertices</vt:lpstr>
      <vt:lpstr>Do Not Delete</vt:lpstr>
      <vt:lpstr>Groups</vt:lpstr>
      <vt:lpstr>Group Vertices</vt:lpstr>
      <vt:lpstr>Overall Metrics</vt:lpstr>
      <vt:lpstr>Misc</vt:lpstr>
      <vt:lpstr>Twitter Search Ntwrk Top Items</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DefaultProfileUser</dc:creator>
  <cp:lastModifiedBy>DefaultProfileUser</cp:lastModifiedBy>
  <dcterms:created xsi:type="dcterms:W3CDTF">2008-01-30T00:41:58Z</dcterms:created>
  <dcterms:modified xsi:type="dcterms:W3CDTF">2022-03-14T15:54:01Z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