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\Desktop\GitHub\digital_comms\tests\mobile_network\"/>
    </mc:Choice>
  </mc:AlternateContent>
  <xr:revisionPtr revIDLastSave="0" documentId="13_ncr:1_{82EA47BE-ED9D-4B20-ADAD-4909FF367380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51" i="1" l="1"/>
  <c r="N50" i="1"/>
  <c r="N48" i="1"/>
  <c r="N49" i="1" s="1"/>
  <c r="M46" i="1"/>
  <c r="I47" i="1"/>
  <c r="M47" i="1" s="1"/>
  <c r="H47" i="1"/>
  <c r="J47" i="1" s="1"/>
  <c r="I46" i="1"/>
  <c r="H46" i="1"/>
  <c r="J46" i="1" s="1"/>
  <c r="J45" i="1"/>
  <c r="I45" i="1"/>
  <c r="H45" i="1"/>
  <c r="I44" i="1"/>
  <c r="H44" i="1"/>
  <c r="J44" i="1" s="1"/>
  <c r="I37" i="1"/>
  <c r="K37" i="1" s="1"/>
  <c r="H37" i="1"/>
  <c r="J37" i="1" s="1"/>
  <c r="I36" i="1"/>
  <c r="K36" i="1" s="1"/>
  <c r="H36" i="1"/>
  <c r="J36" i="1" s="1"/>
  <c r="E14" i="1"/>
  <c r="E3" i="1"/>
  <c r="E9" i="1"/>
  <c r="N46" i="1" l="1"/>
  <c r="N47" i="1" s="1"/>
  <c r="K45" i="1"/>
  <c r="K46" i="1"/>
  <c r="K47" i="1"/>
  <c r="K44" i="1"/>
  <c r="N44" i="1" s="1"/>
  <c r="N45" i="1" s="1"/>
  <c r="N37" i="1"/>
  <c r="N36" i="1"/>
  <c r="I51" i="1"/>
  <c r="M51" i="1" s="1"/>
  <c r="H51" i="1"/>
  <c r="J51" i="1" s="1"/>
  <c r="I50" i="1"/>
  <c r="M50" i="1" s="1"/>
  <c r="H50" i="1"/>
  <c r="J50" i="1" s="1"/>
  <c r="K50" i="1" l="1"/>
  <c r="K51" i="1"/>
  <c r="I48" i="1"/>
  <c r="H48" i="1"/>
  <c r="J48" i="1" s="1"/>
  <c r="I49" i="1"/>
  <c r="M49" i="1" s="1"/>
  <c r="H49" i="1"/>
  <c r="J49" i="1" s="1"/>
  <c r="I42" i="1"/>
  <c r="H42" i="1"/>
  <c r="J42" i="1" s="1"/>
  <c r="I43" i="1"/>
  <c r="K43" i="1" s="1"/>
  <c r="H43" i="1"/>
  <c r="J43" i="1" s="1"/>
  <c r="I41" i="1"/>
  <c r="K41" i="1" s="1"/>
  <c r="H41" i="1"/>
  <c r="J41" i="1" s="1"/>
  <c r="I40" i="1"/>
  <c r="K40" i="1" s="1"/>
  <c r="H40" i="1"/>
  <c r="J40" i="1" s="1"/>
  <c r="I39" i="1"/>
  <c r="H39" i="1"/>
  <c r="J39" i="1" s="1"/>
  <c r="I38" i="1"/>
  <c r="H38" i="1"/>
  <c r="J38" i="1" s="1"/>
  <c r="I35" i="1"/>
  <c r="H35" i="1"/>
  <c r="J35" i="1" s="1"/>
  <c r="H30" i="1"/>
  <c r="J30" i="1" s="1"/>
  <c r="I30" i="1"/>
  <c r="K30" i="1" s="1"/>
  <c r="I34" i="1"/>
  <c r="H34" i="1"/>
  <c r="J34" i="1" s="1"/>
  <c r="C65" i="1"/>
  <c r="A65" i="1"/>
  <c r="B64" i="1"/>
  <c r="C64" i="1" s="1"/>
  <c r="D64" i="1" s="1"/>
  <c r="A64" i="1"/>
  <c r="C63" i="1"/>
  <c r="B63" i="1"/>
  <c r="A63" i="1"/>
  <c r="C62" i="1"/>
  <c r="A62" i="1"/>
  <c r="B61" i="1"/>
  <c r="C61" i="1" s="1"/>
  <c r="D61" i="1" s="1"/>
  <c r="A61" i="1"/>
  <c r="C60" i="1"/>
  <c r="B60" i="1"/>
  <c r="A60" i="1"/>
  <c r="C59" i="1"/>
  <c r="A59" i="1"/>
  <c r="C58" i="1"/>
  <c r="A58" i="1"/>
  <c r="C57" i="1"/>
  <c r="A57" i="1"/>
  <c r="C56" i="1"/>
  <c r="C55" i="1"/>
  <c r="A55" i="1"/>
  <c r="C54" i="1"/>
  <c r="A54" i="1"/>
  <c r="I32" i="1"/>
  <c r="K32" i="1" s="1"/>
  <c r="H32" i="1"/>
  <c r="J32" i="1" s="1"/>
  <c r="I31" i="1"/>
  <c r="K31" i="1" s="1"/>
  <c r="H31" i="1"/>
  <c r="J31" i="1" s="1"/>
  <c r="I33" i="1"/>
  <c r="K33" i="1" s="1"/>
  <c r="H33" i="1"/>
  <c r="J33" i="1" s="1"/>
  <c r="I29" i="1"/>
  <c r="K29" i="1" s="1"/>
  <c r="H29" i="1"/>
  <c r="J29" i="1" s="1"/>
  <c r="I28" i="1"/>
  <c r="H28" i="1"/>
  <c r="J28" i="1" s="1"/>
  <c r="I27" i="1"/>
  <c r="H27" i="1"/>
  <c r="J27" i="1" s="1"/>
  <c r="I26" i="1"/>
  <c r="K26" i="1" s="1"/>
  <c r="H26" i="1"/>
  <c r="J26" i="1" s="1"/>
  <c r="N26" i="1" s="1"/>
  <c r="I25" i="1"/>
  <c r="K25" i="1" s="1"/>
  <c r="H25" i="1"/>
  <c r="J25" i="1" s="1"/>
  <c r="I24" i="1"/>
  <c r="K24" i="1" s="1"/>
  <c r="H24" i="1"/>
  <c r="J24" i="1" s="1"/>
  <c r="I23" i="1"/>
  <c r="K23" i="1" s="1"/>
  <c r="H23" i="1"/>
  <c r="J23" i="1" s="1"/>
  <c r="I22" i="1"/>
  <c r="K22" i="1" s="1"/>
  <c r="H22" i="1"/>
  <c r="J22" i="1" s="1"/>
  <c r="I21" i="1"/>
  <c r="K21" i="1" s="1"/>
  <c r="H21" i="1"/>
  <c r="J21" i="1" s="1"/>
  <c r="I20" i="1"/>
  <c r="H20" i="1"/>
  <c r="N20" i="1" s="1"/>
  <c r="E17" i="1"/>
  <c r="E16" i="1"/>
  <c r="E15" i="1"/>
  <c r="E13" i="1"/>
  <c r="E12" i="1"/>
  <c r="E11" i="1"/>
  <c r="E10" i="1"/>
  <c r="E8" i="1"/>
  <c r="E7" i="1"/>
  <c r="E6" i="1"/>
  <c r="E5" i="1"/>
  <c r="E4" i="1"/>
  <c r="M48" i="1" l="1"/>
  <c r="K42" i="1"/>
  <c r="N42" i="1"/>
  <c r="N43" i="1" s="1"/>
  <c r="K49" i="1"/>
  <c r="K48" i="1"/>
  <c r="K34" i="1"/>
  <c r="N34" i="1" s="1"/>
  <c r="N31" i="1" s="1"/>
  <c r="K35" i="1"/>
  <c r="N35" i="1" s="1"/>
  <c r="N25" i="1"/>
  <c r="N33" i="1" s="1"/>
  <c r="K27" i="1"/>
  <c r="N27" i="1"/>
  <c r="K28" i="1"/>
  <c r="N28" i="1"/>
  <c r="N21" i="1"/>
  <c r="N22" i="1"/>
  <c r="N39" i="1"/>
  <c r="N38" i="1"/>
  <c r="K38" i="1"/>
  <c r="N24" i="1"/>
  <c r="N30" i="1" s="1"/>
  <c r="K39" i="1"/>
  <c r="N23" i="1"/>
  <c r="N29" i="1" s="1"/>
  <c r="J20" i="1"/>
  <c r="K20" i="1"/>
  <c r="N40" i="1" l="1"/>
  <c r="N41" i="1"/>
  <c r="N32" i="1"/>
</calcChain>
</file>

<file path=xl/sharedStrings.xml><?xml version="1.0" encoding="utf-8"?>
<sst xmlns="http://schemas.openxmlformats.org/spreadsheetml/2006/main" count="139" uniqueCount="42">
  <si>
    <t>Free space path loss model</t>
  </si>
  <si>
    <t>Frequency (MHz)</t>
  </si>
  <si>
    <t>Distance (km)</t>
  </si>
  <si>
    <t>Transmitter height</t>
  </si>
  <si>
    <t>Receiver height</t>
  </si>
  <si>
    <t>Env</t>
  </si>
  <si>
    <t>Above roof</t>
  </si>
  <si>
    <t>Distance</t>
  </si>
  <si>
    <t>Hm</t>
  </si>
  <si>
    <t>Hb</t>
  </si>
  <si>
    <t>a(Hm)</t>
  </si>
  <si>
    <t>b(Hb)</t>
  </si>
  <si>
    <t>alpha (&lt;20km)</t>
  </si>
  <si>
    <t>alpha (&gt;20km, &lt;100km)</t>
  </si>
  <si>
    <t>Formula</t>
  </si>
  <si>
    <t>&lt;0.04</t>
  </si>
  <si>
    <t>Urban</t>
  </si>
  <si>
    <t>&gt;0.1</t>
  </si>
  <si>
    <t>Suburban</t>
  </si>
  <si>
    <t>Rural</t>
  </si>
  <si>
    <t>breakpoint (d'BP)</t>
  </si>
  <si>
    <t>breakpoint (dBP)</t>
  </si>
  <si>
    <t>PL1</t>
  </si>
  <si>
    <t>PL2</t>
  </si>
  <si>
    <t>freq (Hz)</t>
  </si>
  <si>
    <t>distance (d)</t>
  </si>
  <si>
    <t>ant_height (hBS)</t>
  </si>
  <si>
    <t>ant_type</t>
  </si>
  <si>
    <t>building_height (h)</t>
  </si>
  <si>
    <t>street_width (w)</t>
  </si>
  <si>
    <t>settlement</t>
  </si>
  <si>
    <t>sight_type</t>
  </si>
  <si>
    <t>UE_height (hUT)</t>
  </si>
  <si>
    <t>micro</t>
  </si>
  <si>
    <t>-</t>
  </si>
  <si>
    <t>urban</t>
  </si>
  <si>
    <t>los</t>
  </si>
  <si>
    <t>nlos</t>
  </si>
  <si>
    <t>macro</t>
  </si>
  <si>
    <t>suburban</t>
  </si>
  <si>
    <t>rural</t>
  </si>
  <si>
    <t>0.04 &lt;= d &lt;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</si>
</sst>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9" formatCode="#,##0.00000"/>
    <numFmt numFmtId="173" formatCode="0.000"/>
  </numFmts>
  <fonts count="4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ont="1" applyAlignment="1">
      <alignment horizontal="center" vertical="center" wrapText="1"/>
    </xf>
    <xf numFmtId="1" fontId="0" fillId="0" borderId="0" xfId="0" applyNumberFormat="1"/>
    <xf numFmtId="0" fontId="0" fillId="0" borderId="0" xfId="0" applyAlignment="1">
      <alignment horizontal="left" indent="15"/>
    </xf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Fill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" fontId="0" fillId="0" borderId="8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69" fontId="0" fillId="0" borderId="0" xfId="0" applyNumberFormat="1" applyBorder="1" applyAlignment="1">
      <alignment horizontal="center" wrapText="1"/>
    </xf>
    <xf numFmtId="4" fontId="0" fillId="0" borderId="8" xfId="0" applyNumberFormat="1" applyBorder="1" applyAlignment="1">
      <alignment horizontal="center" wrapText="1"/>
    </xf>
    <xf numFmtId="0" fontId="3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9" fontId="3" fillId="0" borderId="0" xfId="0" applyNumberFormat="1" applyFont="1" applyBorder="1" applyAlignment="1">
      <alignment horizontal="center"/>
    </xf>
    <xf numFmtId="173" fontId="3" fillId="0" borderId="0" xfId="0" applyNumberFormat="1" applyFont="1" applyBorder="1" applyAlignment="1">
      <alignment horizontal="center"/>
    </xf>
    <xf numFmtId="4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9" fontId="3" fillId="0" borderId="5" xfId="0" applyNumberFormat="1" applyFont="1" applyBorder="1" applyAlignment="1">
      <alignment horizontal="center"/>
    </xf>
    <xf numFmtId="173" fontId="3" fillId="0" borderId="5" xfId="0" applyNumberFormat="1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2" fontId="0" fillId="0" borderId="6" xfId="0" applyNumberFormat="1" applyBorder="1" applyAlignment="1">
      <alignment horizontal="center"/>
    </xf>
    <xf numFmtId="0" fontId="0" fillId="0" borderId="7" xfId="0" applyFill="1" applyBorder="1"/>
    <xf numFmtId="0" fontId="0" fillId="0" borderId="0" xfId="0" applyFill="1" applyBorder="1"/>
    <xf numFmtId="2" fontId="0" fillId="0" borderId="0" xfId="0" applyNumberFormat="1" applyFill="1" applyBorder="1"/>
    <xf numFmtId="1" fontId="0" fillId="0" borderId="0" xfId="0" applyNumberFormat="1" applyFill="1" applyBorder="1"/>
    <xf numFmtId="164" fontId="0" fillId="0" borderId="0" xfId="0" applyNumberFormat="1" applyFill="1" applyBorder="1"/>
    <xf numFmtId="0" fontId="0" fillId="0" borderId="8" xfId="0" applyFill="1" applyBorder="1"/>
    <xf numFmtId="0" fontId="1" fillId="0" borderId="0" xfId="0" applyFont="1" applyFill="1" applyBorder="1"/>
    <xf numFmtId="0" fontId="0" fillId="0" borderId="4" xfId="0" applyFill="1" applyBorder="1"/>
    <xf numFmtId="0" fontId="0" fillId="0" borderId="5" xfId="0" applyFill="1" applyBorder="1"/>
    <xf numFmtId="2" fontId="0" fillId="0" borderId="5" xfId="0" applyNumberFormat="1" applyFill="1" applyBorder="1"/>
    <xf numFmtId="1" fontId="0" fillId="0" borderId="5" xfId="0" applyNumberFormat="1" applyFill="1" applyBorder="1"/>
    <xf numFmtId="164" fontId="0" fillId="0" borderId="5" xfId="0" applyNumberFormat="1" applyFill="1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5"/>
  <sheetViews>
    <sheetView tabSelected="1" topLeftCell="A7" zoomScaleNormal="100" workbookViewId="0">
      <selection activeCell="P13" sqref="P13:S13"/>
    </sheetView>
  </sheetViews>
  <sheetFormatPr defaultRowHeight="15" x14ac:dyDescent="0.25"/>
  <cols>
    <col min="1" max="1" width="10.85546875" customWidth="1"/>
    <col min="2" max="2" width="9.42578125" bestFit="1" customWidth="1"/>
    <col min="3" max="3" width="8.140625" customWidth="1"/>
    <col min="4" max="4" width="9.5703125" customWidth="1"/>
    <col min="5" max="5" width="8.42578125" customWidth="1"/>
    <col min="6" max="6" width="10.42578125" customWidth="1"/>
    <col min="7" max="7" width="8.5703125" customWidth="1"/>
    <col min="8" max="8" width="7.85546875" bestFit="1" customWidth="1"/>
    <col min="9" max="9" width="6.140625" customWidth="1"/>
    <col min="10" max="10" width="7.85546875" bestFit="1" customWidth="1"/>
    <col min="11" max="11" width="15.42578125" customWidth="1"/>
    <col min="12" max="12" width="10.5703125" customWidth="1"/>
    <col min="13" max="13" width="11" customWidth="1"/>
    <col min="14" max="14" width="12.7109375" customWidth="1"/>
    <col min="15" max="16" width="8.5703125" customWidth="1"/>
    <col min="17" max="17" width="14.5703125" customWidth="1"/>
    <col min="18" max="18" width="12.42578125" customWidth="1"/>
    <col min="19" max="19" width="12.85546875" customWidth="1"/>
    <col min="20" max="20" width="14.7109375" customWidth="1"/>
    <col min="21" max="21" width="8.5703125" customWidth="1"/>
    <col min="22" max="22" width="9.42578125" customWidth="1"/>
    <col min="23" max="1023" width="8.5703125" customWidth="1"/>
  </cols>
  <sheetData>
    <row r="1" spans="1:14" ht="15.75" thickBot="1" x14ac:dyDescent="0.3">
      <c r="A1" t="s">
        <v>0</v>
      </c>
    </row>
    <row r="2" spans="1:14" ht="45" x14ac:dyDescent="0.25">
      <c r="A2" s="11" t="s">
        <v>1</v>
      </c>
      <c r="B2" s="12" t="s">
        <v>2</v>
      </c>
      <c r="C2" s="12" t="s">
        <v>3</v>
      </c>
      <c r="D2" s="12" t="s">
        <v>4</v>
      </c>
      <c r="E2" s="35"/>
      <c r="K2" s="1"/>
      <c r="L2" s="1"/>
      <c r="M2" s="1"/>
      <c r="N2" s="1"/>
    </row>
    <row r="3" spans="1:14" x14ac:dyDescent="0.25">
      <c r="A3" s="16">
        <v>800</v>
      </c>
      <c r="B3" s="17">
        <v>1</v>
      </c>
      <c r="C3" s="17">
        <v>20</v>
      </c>
      <c r="D3" s="17">
        <v>1.5</v>
      </c>
      <c r="E3" s="36">
        <f t="shared" ref="E3:E17" si="0">32.4+10*LOG10(POWER(((C3-D3)/1000),2)+POWER(B3,2))+20*LOG10(A3)</f>
        <v>90.463285858405655</v>
      </c>
      <c r="N3" s="2"/>
    </row>
    <row r="4" spans="1:14" x14ac:dyDescent="0.25">
      <c r="A4" s="16">
        <v>800</v>
      </c>
      <c r="B4" s="17">
        <v>2</v>
      </c>
      <c r="C4" s="17">
        <v>20</v>
      </c>
      <c r="D4" s="17">
        <v>1.5</v>
      </c>
      <c r="E4" s="36">
        <f t="shared" si="0"/>
        <v>96.48277123043826</v>
      </c>
      <c r="N4" s="2"/>
    </row>
    <row r="5" spans="1:14" x14ac:dyDescent="0.25">
      <c r="A5" s="16">
        <v>800</v>
      </c>
      <c r="B5" s="17">
        <v>3</v>
      </c>
      <c r="C5" s="17">
        <v>20</v>
      </c>
      <c r="D5" s="17">
        <v>1.5</v>
      </c>
      <c r="E5" s="36">
        <f t="shared" si="0"/>
        <v>100.00438998363249</v>
      </c>
      <c r="N5" s="2"/>
    </row>
    <row r="6" spans="1:14" x14ac:dyDescent="0.25">
      <c r="A6" s="16">
        <v>800</v>
      </c>
      <c r="B6" s="17">
        <v>4</v>
      </c>
      <c r="C6" s="17">
        <v>20</v>
      </c>
      <c r="D6" s="17">
        <v>1.5</v>
      </c>
      <c r="E6" s="36">
        <f t="shared" si="0"/>
        <v>102.50309246370858</v>
      </c>
      <c r="N6" s="2"/>
    </row>
    <row r="7" spans="1:14" x14ac:dyDescent="0.25">
      <c r="A7" s="16">
        <v>800</v>
      </c>
      <c r="B7" s="17">
        <v>5</v>
      </c>
      <c r="C7" s="17">
        <v>20</v>
      </c>
      <c r="D7" s="17">
        <v>1.5</v>
      </c>
      <c r="E7" s="36">
        <f t="shared" si="0"/>
        <v>104.44125928106686</v>
      </c>
      <c r="N7" s="2"/>
    </row>
    <row r="8" spans="1:14" x14ac:dyDescent="0.25">
      <c r="A8" s="16">
        <v>1800</v>
      </c>
      <c r="B8" s="17">
        <v>1</v>
      </c>
      <c r="C8" s="17">
        <v>20</v>
      </c>
      <c r="D8" s="17">
        <v>1.5</v>
      </c>
      <c r="E8" s="36">
        <f t="shared" si="0"/>
        <v>97.506936220632895</v>
      </c>
    </row>
    <row r="9" spans="1:14" x14ac:dyDescent="0.25">
      <c r="A9" s="16">
        <v>1800</v>
      </c>
      <c r="B9" s="17">
        <v>2</v>
      </c>
      <c r="C9" s="17">
        <v>20</v>
      </c>
      <c r="D9" s="17">
        <v>1.5</v>
      </c>
      <c r="E9" s="36">
        <f>32.4+10*LOG10(POWER(((C9-D9)/1000),2)+POWER(B9,2))+20*LOG10(A9)</f>
        <v>103.5264215926655</v>
      </c>
    </row>
    <row r="10" spans="1:14" x14ac:dyDescent="0.25">
      <c r="A10" s="16">
        <v>1800</v>
      </c>
      <c r="B10" s="17">
        <v>3</v>
      </c>
      <c r="C10" s="17">
        <v>20</v>
      </c>
      <c r="D10" s="17">
        <v>1.5</v>
      </c>
      <c r="E10" s="36">
        <f t="shared" si="0"/>
        <v>107.04804034585973</v>
      </c>
    </row>
    <row r="11" spans="1:14" x14ac:dyDescent="0.25">
      <c r="A11" s="16">
        <v>1800</v>
      </c>
      <c r="B11" s="17">
        <v>4</v>
      </c>
      <c r="C11" s="17">
        <v>20</v>
      </c>
      <c r="D11" s="17">
        <v>1.5</v>
      </c>
      <c r="E11" s="36">
        <f t="shared" si="0"/>
        <v>109.54674282593582</v>
      </c>
    </row>
    <row r="12" spans="1:14" x14ac:dyDescent="0.25">
      <c r="A12" s="16">
        <v>1800</v>
      </c>
      <c r="B12" s="17">
        <v>5</v>
      </c>
      <c r="C12" s="17">
        <v>20</v>
      </c>
      <c r="D12" s="17">
        <v>1.5</v>
      </c>
      <c r="E12" s="36">
        <f t="shared" si="0"/>
        <v>111.48490964329409</v>
      </c>
    </row>
    <row r="13" spans="1:14" x14ac:dyDescent="0.25">
      <c r="A13" s="16">
        <v>2600</v>
      </c>
      <c r="B13" s="17">
        <v>1</v>
      </c>
      <c r="C13" s="17">
        <v>20</v>
      </c>
      <c r="D13" s="17">
        <v>1.5</v>
      </c>
      <c r="E13" s="36">
        <f t="shared" si="0"/>
        <v>100.70095307798313</v>
      </c>
    </row>
    <row r="14" spans="1:14" x14ac:dyDescent="0.25">
      <c r="A14" s="16">
        <v>2600</v>
      </c>
      <c r="B14" s="17">
        <v>2</v>
      </c>
      <c r="C14" s="17">
        <v>20</v>
      </c>
      <c r="D14" s="17">
        <v>1.5</v>
      </c>
      <c r="E14" s="36">
        <f t="shared" si="0"/>
        <v>106.72043845001573</v>
      </c>
      <c r="G14" s="3"/>
      <c r="H14" s="3"/>
      <c r="I14" s="3"/>
      <c r="J14" s="3"/>
      <c r="K14" s="3"/>
      <c r="L14" s="3"/>
      <c r="M14" s="3"/>
      <c r="N14" s="3"/>
    </row>
    <row r="15" spans="1:14" x14ac:dyDescent="0.25">
      <c r="A15" s="16">
        <v>2600</v>
      </c>
      <c r="B15" s="17">
        <v>3</v>
      </c>
      <c r="C15" s="17">
        <v>20</v>
      </c>
      <c r="D15" s="17">
        <v>1.5</v>
      </c>
      <c r="E15" s="36">
        <f t="shared" si="0"/>
        <v>110.24205720320997</v>
      </c>
      <c r="L15" s="4"/>
    </row>
    <row r="16" spans="1:14" x14ac:dyDescent="0.25">
      <c r="A16" s="16">
        <v>2600</v>
      </c>
      <c r="B16" s="17">
        <v>4</v>
      </c>
      <c r="C16" s="17">
        <v>20</v>
      </c>
      <c r="D16" s="17">
        <v>1.5</v>
      </c>
      <c r="E16" s="36">
        <f t="shared" si="0"/>
        <v>112.74075968328606</v>
      </c>
    </row>
    <row r="17" spans="1:14" s="5" customFormat="1" ht="15.75" thickBot="1" x14ac:dyDescent="0.3">
      <c r="A17" s="37">
        <v>2600</v>
      </c>
      <c r="B17" s="38">
        <v>5</v>
      </c>
      <c r="C17" s="38">
        <v>20</v>
      </c>
      <c r="D17" s="38">
        <v>1.5</v>
      </c>
      <c r="E17" s="39">
        <f t="shared" si="0"/>
        <v>114.67892650064434</v>
      </c>
    </row>
    <row r="18" spans="1:14" ht="15.75" thickBot="1" x14ac:dyDescent="0.3"/>
    <row r="19" spans="1:14" s="6" customFormat="1" ht="45" x14ac:dyDescent="0.25">
      <c r="A19" s="11" t="s">
        <v>2</v>
      </c>
      <c r="B19" s="12" t="s">
        <v>5</v>
      </c>
      <c r="C19" s="13" t="s">
        <v>6</v>
      </c>
      <c r="D19" s="12" t="s">
        <v>1</v>
      </c>
      <c r="E19" s="12" t="s">
        <v>7</v>
      </c>
      <c r="F19" s="12" t="s">
        <v>3</v>
      </c>
      <c r="G19" s="12" t="s">
        <v>4</v>
      </c>
      <c r="H19" s="12" t="s">
        <v>8</v>
      </c>
      <c r="I19" s="12" t="s">
        <v>9</v>
      </c>
      <c r="J19" s="13" t="s">
        <v>10</v>
      </c>
      <c r="K19" s="13" t="s">
        <v>11</v>
      </c>
      <c r="L19" s="13" t="s">
        <v>12</v>
      </c>
      <c r="M19" s="13" t="s">
        <v>13</v>
      </c>
      <c r="N19" s="14" t="s">
        <v>14</v>
      </c>
    </row>
    <row r="20" spans="1:14" x14ac:dyDescent="0.25">
      <c r="A20" s="16" t="s">
        <v>15</v>
      </c>
      <c r="B20" s="17" t="s">
        <v>16</v>
      </c>
      <c r="C20" s="17">
        <v>1</v>
      </c>
      <c r="D20" s="17">
        <v>800</v>
      </c>
      <c r="E20" s="17">
        <v>0.02</v>
      </c>
      <c r="F20" s="17">
        <v>20</v>
      </c>
      <c r="G20" s="17">
        <v>1.5</v>
      </c>
      <c r="H20" s="17">
        <f t="shared" ref="H20:H28" si="1">MIN(F20,G20)</f>
        <v>1.5</v>
      </c>
      <c r="I20" s="17">
        <f t="shared" ref="I20:I28" si="2">MAX(F20,G20)</f>
        <v>20</v>
      </c>
      <c r="J20" s="18">
        <f t="shared" ref="J20:J28" si="3">(1.1*LN(D20)-0.7)*MIN(10,H20)-(1.56*LN(D20)-0.8)+MAX(0,20*LN(H20/10))</f>
        <v>0.35161505549011451</v>
      </c>
      <c r="K20" s="18">
        <f t="shared" ref="K20:K28" si="4">MIN(0,20*LN(I20/30))</f>
        <v>-8.1093021621632886</v>
      </c>
      <c r="L20" s="17">
        <v>1</v>
      </c>
      <c r="M20" s="17"/>
      <c r="N20" s="15">
        <f>32.4+(20*LN(D20))+(10*LN(POWER(E20,2)+POWER((I20-H20),2)/(POWER(10,6))))</f>
        <v>94.033990110154491</v>
      </c>
    </row>
    <row r="21" spans="1:14" x14ac:dyDescent="0.25">
      <c r="A21" s="16" t="s">
        <v>17</v>
      </c>
      <c r="B21" s="17" t="s">
        <v>16</v>
      </c>
      <c r="C21" s="17">
        <v>1</v>
      </c>
      <c r="D21" s="17">
        <v>100</v>
      </c>
      <c r="E21" s="17">
        <v>0.2</v>
      </c>
      <c r="F21" s="17">
        <v>20</v>
      </c>
      <c r="G21" s="17">
        <v>1.5</v>
      </c>
      <c r="H21" s="17">
        <f t="shared" si="1"/>
        <v>1.5</v>
      </c>
      <c r="I21" s="17">
        <f t="shared" si="2"/>
        <v>20</v>
      </c>
      <c r="J21" s="18">
        <f t="shared" si="3"/>
        <v>0.16446531673892828</v>
      </c>
      <c r="K21" s="18">
        <f t="shared" si="4"/>
        <v>-8.1093021621632886</v>
      </c>
      <c r="L21" s="17">
        <v>1</v>
      </c>
      <c r="M21" s="17"/>
      <c r="N21" s="15">
        <f>69.6+26.2*LN(150)-20*LN(150/D21)-13.82*LN(MAX(30,I21))+(44.9-6.55*LN(MAX(30,I21)))*POWER((LN(E21)),L21)-J21-K21</f>
        <v>117.30067419557813</v>
      </c>
    </row>
    <row r="22" spans="1:14" x14ac:dyDescent="0.25">
      <c r="A22" s="16" t="s">
        <v>17</v>
      </c>
      <c r="B22" s="17" t="s">
        <v>16</v>
      </c>
      <c r="C22" s="17">
        <v>0</v>
      </c>
      <c r="D22" s="17">
        <v>100</v>
      </c>
      <c r="E22" s="17">
        <v>0.2</v>
      </c>
      <c r="F22" s="17">
        <v>20</v>
      </c>
      <c r="G22" s="17">
        <v>1.5</v>
      </c>
      <c r="H22" s="17">
        <f t="shared" si="1"/>
        <v>1.5</v>
      </c>
      <c r="I22" s="17">
        <f t="shared" si="2"/>
        <v>20</v>
      </c>
      <c r="J22" s="18">
        <f t="shared" si="3"/>
        <v>0.16446531673892828</v>
      </c>
      <c r="K22" s="18">
        <f t="shared" si="4"/>
        <v>-8.1093021621632886</v>
      </c>
      <c r="L22" s="17">
        <v>1</v>
      </c>
      <c r="M22" s="17"/>
      <c r="N22" s="15">
        <f>69.6+26.2*LN(150)-20*LN(150/D22)-13.82*LN(MAX(30,I22))+(44.9-6.55*LN(MAX(30,I22)))*POWER((LN(E22)),L22)-J22-K22</f>
        <v>117.30067419557813</v>
      </c>
    </row>
    <row r="23" spans="1:14" x14ac:dyDescent="0.25">
      <c r="A23" s="16" t="s">
        <v>17</v>
      </c>
      <c r="B23" s="17" t="s">
        <v>16</v>
      </c>
      <c r="C23" s="17">
        <v>1</v>
      </c>
      <c r="D23" s="17">
        <v>800</v>
      </c>
      <c r="E23" s="17">
        <v>0.2</v>
      </c>
      <c r="F23" s="17">
        <v>20</v>
      </c>
      <c r="G23" s="17">
        <v>1.5</v>
      </c>
      <c r="H23" s="17">
        <f t="shared" si="1"/>
        <v>1.5</v>
      </c>
      <c r="I23" s="17">
        <f t="shared" si="2"/>
        <v>20</v>
      </c>
      <c r="J23" s="18">
        <f t="shared" si="3"/>
        <v>0.35161505549011451</v>
      </c>
      <c r="K23" s="18">
        <f t="shared" si="4"/>
        <v>-8.1093021621632886</v>
      </c>
      <c r="L23" s="17">
        <v>1</v>
      </c>
      <c r="M23" s="17"/>
      <c r="N23" s="15">
        <f>69.6+26.2*LN(D23)-13.82*LN(MAX(30,I23))+(44.9-6.55*LN(MAX(30,I23)))*POWER((LN(E23)),L23)-J23-K23</f>
        <v>169.08100917856805</v>
      </c>
    </row>
    <row r="24" spans="1:14" x14ac:dyDescent="0.25">
      <c r="A24" s="16" t="s">
        <v>17</v>
      </c>
      <c r="B24" s="17" t="s">
        <v>16</v>
      </c>
      <c r="C24" s="17">
        <v>0</v>
      </c>
      <c r="D24" s="17">
        <v>800</v>
      </c>
      <c r="E24" s="17">
        <v>0.2</v>
      </c>
      <c r="F24" s="17">
        <v>20</v>
      </c>
      <c r="G24" s="17">
        <v>1.5</v>
      </c>
      <c r="H24" s="17">
        <f t="shared" si="1"/>
        <v>1.5</v>
      </c>
      <c r="I24" s="17">
        <f t="shared" si="2"/>
        <v>20</v>
      </c>
      <c r="J24" s="18">
        <f t="shared" si="3"/>
        <v>0.35161505549011451</v>
      </c>
      <c r="K24" s="18">
        <f t="shared" si="4"/>
        <v>-8.1093021621632886</v>
      </c>
      <c r="L24" s="17">
        <v>1</v>
      </c>
      <c r="M24" s="17"/>
      <c r="N24" s="15">
        <f>69.6+26.2*LN(D24)-13.82*LN(MAX(30,I24))+(44.9-6.55*LN(MAX(30,I24)))*POWER((LN(E24)),L24)-J24-K24</f>
        <v>169.08100917856805</v>
      </c>
    </row>
    <row r="25" spans="1:14" x14ac:dyDescent="0.25">
      <c r="A25" s="16" t="s">
        <v>17</v>
      </c>
      <c r="B25" s="17" t="s">
        <v>16</v>
      </c>
      <c r="C25" s="17">
        <v>1</v>
      </c>
      <c r="D25" s="17">
        <v>1800</v>
      </c>
      <c r="E25" s="17">
        <v>0.2</v>
      </c>
      <c r="F25" s="17">
        <v>20</v>
      </c>
      <c r="G25" s="17">
        <v>1.5</v>
      </c>
      <c r="H25" s="17">
        <f t="shared" si="1"/>
        <v>1.5</v>
      </c>
      <c r="I25" s="17">
        <f t="shared" si="2"/>
        <v>20</v>
      </c>
      <c r="J25" s="18">
        <f t="shared" si="3"/>
        <v>0.4245987749495832</v>
      </c>
      <c r="K25" s="18">
        <f t="shared" si="4"/>
        <v>-8.1093021621632886</v>
      </c>
      <c r="L25" s="17">
        <v>1</v>
      </c>
      <c r="M25" s="17"/>
      <c r="N25" s="15">
        <f>46.3+33.9*LN(D25)-13.82*LN(MAX(30,I25))+(44.9-6.55*LN(MAX(30,I25)))*POWER((LN(E25)),L25)-J25-K25</f>
        <v>224.67007009188515</v>
      </c>
    </row>
    <row r="26" spans="1:14" x14ac:dyDescent="0.25">
      <c r="A26" s="16" t="s">
        <v>17</v>
      </c>
      <c r="B26" s="17" t="s">
        <v>16</v>
      </c>
      <c r="C26" s="17">
        <v>0</v>
      </c>
      <c r="D26" s="17">
        <v>1800</v>
      </c>
      <c r="E26" s="17">
        <v>0.2</v>
      </c>
      <c r="F26" s="17">
        <v>20</v>
      </c>
      <c r="G26" s="17">
        <v>1.5</v>
      </c>
      <c r="H26" s="17">
        <f t="shared" si="1"/>
        <v>1.5</v>
      </c>
      <c r="I26" s="17">
        <f t="shared" si="2"/>
        <v>20</v>
      </c>
      <c r="J26" s="18">
        <f t="shared" si="3"/>
        <v>0.4245987749495832</v>
      </c>
      <c r="K26" s="18">
        <f t="shared" si="4"/>
        <v>-8.1093021621632886</v>
      </c>
      <c r="L26" s="17">
        <v>1</v>
      </c>
      <c r="M26" s="17"/>
      <c r="N26" s="15">
        <f>46.3+33.9*LN(D26)-13.82*LN(MAX(30,I26))+(44.9-6.55*LN(MAX(30,I26)))*POWER((LN(E26)),L26)-J26-K26</f>
        <v>224.67007009188515</v>
      </c>
    </row>
    <row r="27" spans="1:14" x14ac:dyDescent="0.25">
      <c r="A27" s="16" t="s">
        <v>17</v>
      </c>
      <c r="B27" s="17" t="s">
        <v>16</v>
      </c>
      <c r="C27" s="17">
        <v>1</v>
      </c>
      <c r="D27" s="17">
        <v>2100</v>
      </c>
      <c r="E27" s="17">
        <v>0.2</v>
      </c>
      <c r="F27" s="17">
        <v>20</v>
      </c>
      <c r="G27" s="17">
        <v>1.5</v>
      </c>
      <c r="H27" s="17">
        <f t="shared" si="1"/>
        <v>1.5</v>
      </c>
      <c r="I27" s="17">
        <f t="shared" si="2"/>
        <v>20</v>
      </c>
      <c r="J27" s="18">
        <f t="shared" si="3"/>
        <v>0.43847233613403525</v>
      </c>
      <c r="K27" s="18">
        <f t="shared" si="4"/>
        <v>-8.1093021621632886</v>
      </c>
      <c r="L27" s="19">
        <v>1</v>
      </c>
      <c r="M27" s="17"/>
      <c r="N27" s="15">
        <f>46.3+33.9*LN(2000)+10*LN(D27/2000)-13.82*LN(MAX(30,I27))+(44.9-6.55*LN(MAX(30,I27)))*POWER((LN(E27)),L27)-J27-K27</f>
        <v>228.71581965319533</v>
      </c>
    </row>
    <row r="28" spans="1:14" x14ac:dyDescent="0.25">
      <c r="A28" s="16" t="s">
        <v>17</v>
      </c>
      <c r="B28" s="17" t="s">
        <v>16</v>
      </c>
      <c r="C28" s="17">
        <v>0</v>
      </c>
      <c r="D28" s="17">
        <v>2100</v>
      </c>
      <c r="E28" s="17">
        <v>0.2</v>
      </c>
      <c r="F28" s="17">
        <v>20</v>
      </c>
      <c r="G28" s="17">
        <v>1.5</v>
      </c>
      <c r="H28" s="17">
        <f t="shared" si="1"/>
        <v>1.5</v>
      </c>
      <c r="I28" s="17">
        <f t="shared" si="2"/>
        <v>20</v>
      </c>
      <c r="J28" s="18">
        <f t="shared" si="3"/>
        <v>0.43847233613403525</v>
      </c>
      <c r="K28" s="18">
        <f t="shared" si="4"/>
        <v>-8.1093021621632886</v>
      </c>
      <c r="L28" s="17">
        <v>1</v>
      </c>
      <c r="M28" s="17"/>
      <c r="N28" s="15">
        <f>46.3+33.9*LN(2000)+10*LN(D28/2000)-13.82*LN(MAX(30,I28))+(44.9-6.55*LN(MAX(30,I28)))*POWER((LN(E28)),L28)-J28-K28</f>
        <v>228.71581965319533</v>
      </c>
    </row>
    <row r="29" spans="1:14" x14ac:dyDescent="0.25">
      <c r="A29" s="16" t="s">
        <v>17</v>
      </c>
      <c r="B29" s="17" t="s">
        <v>18</v>
      </c>
      <c r="C29" s="17">
        <v>1</v>
      </c>
      <c r="D29" s="17">
        <v>800</v>
      </c>
      <c r="E29" s="17">
        <v>0.2</v>
      </c>
      <c r="F29" s="17">
        <v>20</v>
      </c>
      <c r="G29" s="17">
        <v>1.5</v>
      </c>
      <c r="H29" s="17">
        <f>MIN(F29,G29)</f>
        <v>1.5</v>
      </c>
      <c r="I29" s="17">
        <f>MAX(F29,G29)</f>
        <v>20</v>
      </c>
      <c r="J29" s="18">
        <f>(1.1*LN(D29)-0.7)*MIN(10,H29)-(1.56*LN(D29)-0.8)+MAX(0,20*LN(H29/10))</f>
        <v>0.35161505549011451</v>
      </c>
      <c r="K29" s="18">
        <f>MIN(0,20*LN(I29/30))</f>
        <v>-8.1093021621632886</v>
      </c>
      <c r="L29" s="17">
        <v>1</v>
      </c>
      <c r="M29" s="17"/>
      <c r="N29" s="15">
        <f>N23-2*POWER((LN((MIN(MAX(150,D29),2000))/28)),2)-5.4</f>
        <v>141.20374087477344</v>
      </c>
    </row>
    <row r="30" spans="1:14" x14ac:dyDescent="0.25">
      <c r="A30" s="16" t="s">
        <v>17</v>
      </c>
      <c r="B30" s="17" t="s">
        <v>18</v>
      </c>
      <c r="C30" s="17">
        <v>0</v>
      </c>
      <c r="D30" s="17">
        <v>800</v>
      </c>
      <c r="E30" s="17">
        <v>0.2</v>
      </c>
      <c r="F30" s="17">
        <v>20</v>
      </c>
      <c r="G30" s="17">
        <v>1.5</v>
      </c>
      <c r="H30" s="17">
        <f>MIN(F30,G30)</f>
        <v>1.5</v>
      </c>
      <c r="I30" s="17">
        <f>MAX(F30,G30)</f>
        <v>20</v>
      </c>
      <c r="J30" s="18">
        <f>(1.1*LN(D30)-0.7)*MIN(10,H30)-(1.56*LN(D30)-0.8)+MAX(0,20*LN(H30/10))</f>
        <v>0.35161505549011451</v>
      </c>
      <c r="K30" s="18">
        <f>MIN(0,20*LN(I30/30))</f>
        <v>-8.1093021621632886</v>
      </c>
      <c r="L30" s="17">
        <v>1</v>
      </c>
      <c r="M30" s="17"/>
      <c r="N30" s="15">
        <f>N24-2*POWER((LN((MIN(MAX(150,D30),2000))/28)),2)-5.4</f>
        <v>141.20374087477344</v>
      </c>
    </row>
    <row r="31" spans="1:14" x14ac:dyDescent="0.25">
      <c r="A31" s="16" t="s">
        <v>17</v>
      </c>
      <c r="B31" s="17" t="s">
        <v>18</v>
      </c>
      <c r="C31" s="17">
        <v>1</v>
      </c>
      <c r="D31" s="17">
        <v>800</v>
      </c>
      <c r="E31" s="17">
        <v>0.5</v>
      </c>
      <c r="F31" s="17">
        <v>20</v>
      </c>
      <c r="G31" s="17">
        <v>1.5</v>
      </c>
      <c r="H31" s="17">
        <f>MIN(F31,G31)</f>
        <v>1.5</v>
      </c>
      <c r="I31" s="17">
        <f>MAX(F31,G31)</f>
        <v>20</v>
      </c>
      <c r="J31" s="18">
        <f>(1.1*LN(D31)-0.7)*MIN(10,H31)-(1.56*LN(D31)-0.8)+MAX(0,20*LN(H31/10))</f>
        <v>0.35161505549011451</v>
      </c>
      <c r="K31" s="18">
        <f>MIN(0,20*LN(I31/30))</f>
        <v>-8.1093021621632886</v>
      </c>
      <c r="L31" s="17">
        <v>1</v>
      </c>
      <c r="M31" s="17"/>
      <c r="N31" s="15">
        <f>N34-2*POWER((LN((MIN(MAX(150,D31),2000))/28)),2)-5.4</f>
        <v>161.93221380642248</v>
      </c>
    </row>
    <row r="32" spans="1:14" x14ac:dyDescent="0.25">
      <c r="A32" s="16" t="s">
        <v>17</v>
      </c>
      <c r="B32" s="17" t="s">
        <v>18</v>
      </c>
      <c r="C32" s="17">
        <v>0</v>
      </c>
      <c r="D32" s="17">
        <v>800</v>
      </c>
      <c r="E32" s="17">
        <v>0.5</v>
      </c>
      <c r="F32" s="17">
        <v>20</v>
      </c>
      <c r="G32" s="17">
        <v>1.5</v>
      </c>
      <c r="H32" s="17">
        <f>MIN(F32,G32)</f>
        <v>1.5</v>
      </c>
      <c r="I32" s="17">
        <f>MAX(F32,G32)</f>
        <v>20</v>
      </c>
      <c r="J32" s="18">
        <f>(1.1*LN(D32)-0.7)*MIN(10,H32)-(1.56*LN(D32)-0.8)+MAX(0,20*LN(H32/10))</f>
        <v>0.35161505549011451</v>
      </c>
      <c r="K32" s="18">
        <f>MIN(0,20*LN(I32/30))</f>
        <v>-8.1093021621632886</v>
      </c>
      <c r="L32" s="17">
        <v>1</v>
      </c>
      <c r="M32" s="17"/>
      <c r="N32" s="15">
        <f>N35-2*POWER((LN((MIN(MAX(150,D32),2000))/28)),2)-5.4</f>
        <v>161.93221380642248</v>
      </c>
    </row>
    <row r="33" spans="1:25" x14ac:dyDescent="0.25">
      <c r="A33" s="16" t="s">
        <v>17</v>
      </c>
      <c r="B33" s="17" t="s">
        <v>19</v>
      </c>
      <c r="C33" s="17">
        <v>1</v>
      </c>
      <c r="D33" s="17">
        <v>1800</v>
      </c>
      <c r="E33" s="17">
        <v>0.2</v>
      </c>
      <c r="F33" s="17">
        <v>20</v>
      </c>
      <c r="G33" s="17">
        <v>1.5</v>
      </c>
      <c r="H33" s="17">
        <f>MIN(F33,G33)</f>
        <v>1.5</v>
      </c>
      <c r="I33" s="17">
        <f>MAX(F33,G33)</f>
        <v>20</v>
      </c>
      <c r="J33" s="18">
        <f>(1.1*LN(D33)-0.7)*MIN(10,H33)-(1.56*LN(D33)-0.8)+MAX(0,20*LN(H33/10))</f>
        <v>0.4245987749495832</v>
      </c>
      <c r="K33" s="18">
        <f>MIN(0,20*LN(I33/30))</f>
        <v>-8.1093021621632886</v>
      </c>
      <c r="L33" s="17">
        <v>1</v>
      </c>
      <c r="M33" s="17"/>
      <c r="N33" s="15">
        <f>N25-4.78*POWER(LN(   MIN( MAX(150, D33),2000) ),2)+18.33*LN(MIN(MAX(150,D33),2000))-40.94</f>
        <v>52.56790154779884</v>
      </c>
    </row>
    <row r="34" spans="1:25" x14ac:dyDescent="0.25">
      <c r="A34" s="16" t="s">
        <v>17</v>
      </c>
      <c r="B34" s="17" t="s">
        <v>16</v>
      </c>
      <c r="C34" s="17">
        <v>1</v>
      </c>
      <c r="D34" s="17">
        <v>800</v>
      </c>
      <c r="E34" s="17">
        <v>0.5</v>
      </c>
      <c r="F34" s="17">
        <v>20</v>
      </c>
      <c r="G34" s="17">
        <v>1.5</v>
      </c>
      <c r="H34" s="17">
        <f t="shared" ref="H34:H35" si="5">MIN(F34,G34)</f>
        <v>1.5</v>
      </c>
      <c r="I34" s="17">
        <f t="shared" ref="I34:I35" si="6">MAX(F34,G34)</f>
        <v>20</v>
      </c>
      <c r="J34" s="18">
        <f t="shared" ref="J34:J35" si="7">(1.1*LN(D34)-0.7)*MIN(10,H34)-(1.56*LN(D34)-0.8)+MAX(0,20*LN(H34/10))</f>
        <v>0.35161505549011451</v>
      </c>
      <c r="K34" s="18">
        <f t="shared" ref="K34:K35" si="8">MIN(0,20*LN(I34/30))</f>
        <v>-8.1093021621632886</v>
      </c>
      <c r="L34" s="17">
        <v>1</v>
      </c>
      <c r="M34" s="17"/>
      <c r="N34" s="15">
        <f>69.6+26.2*LN(D34)-13.82*LN(MAX(30,I34))+(44.9-6.55*LN(MAX(30,I34)))*POWER((LN(E34)),L34)-J34-K34</f>
        <v>189.80948211021709</v>
      </c>
    </row>
    <row r="35" spans="1:25" x14ac:dyDescent="0.25">
      <c r="A35" s="16" t="s">
        <v>17</v>
      </c>
      <c r="B35" s="17" t="s">
        <v>16</v>
      </c>
      <c r="C35" s="17">
        <v>0</v>
      </c>
      <c r="D35" s="17">
        <v>800</v>
      </c>
      <c r="E35" s="17">
        <v>0.5</v>
      </c>
      <c r="F35" s="17">
        <v>20</v>
      </c>
      <c r="G35" s="17">
        <v>1.5</v>
      </c>
      <c r="H35" s="17">
        <f t="shared" si="5"/>
        <v>1.5</v>
      </c>
      <c r="I35" s="17">
        <f t="shared" si="6"/>
        <v>20</v>
      </c>
      <c r="J35" s="18">
        <f t="shared" si="7"/>
        <v>0.35161505549011451</v>
      </c>
      <c r="K35" s="18">
        <f t="shared" si="8"/>
        <v>-8.1093021621632886</v>
      </c>
      <c r="L35" s="17">
        <v>1</v>
      </c>
      <c r="M35" s="17"/>
      <c r="N35" s="15">
        <f>69.6+26.2*LN(D35)-13.82*LN(MAX(30,I35))+(44.9-6.55*LN(MAX(30,I35)))*POWER((LN(E35)),L35)-J35-K35</f>
        <v>189.80948211021709</v>
      </c>
    </row>
    <row r="36" spans="1:25" x14ac:dyDescent="0.25">
      <c r="A36" s="16" t="s">
        <v>17</v>
      </c>
      <c r="B36" s="17" t="s">
        <v>16</v>
      </c>
      <c r="C36" s="17">
        <v>1</v>
      </c>
      <c r="D36" s="17">
        <v>1800</v>
      </c>
      <c r="E36" s="17">
        <v>0.5</v>
      </c>
      <c r="F36" s="17">
        <v>20</v>
      </c>
      <c r="G36" s="17">
        <v>1.5</v>
      </c>
      <c r="H36" s="17">
        <f t="shared" ref="H36:H37" si="9">MIN(F36,G36)</f>
        <v>1.5</v>
      </c>
      <c r="I36" s="17">
        <f t="shared" ref="I36:I37" si="10">MAX(F36,G36)</f>
        <v>20</v>
      </c>
      <c r="J36" s="18">
        <f t="shared" ref="J36:J37" si="11">(1.1*LN(D36)-0.7)*MIN(10,H36)-(1.56*LN(D36)-0.8)+MAX(0,20*LN(H36/10))</f>
        <v>0.4245987749495832</v>
      </c>
      <c r="K36" s="18">
        <f t="shared" ref="K36:K37" si="12">MIN(0,20*LN(I36/30))</f>
        <v>-8.1093021621632886</v>
      </c>
      <c r="L36" s="17">
        <v>1</v>
      </c>
      <c r="M36" s="17"/>
      <c r="N36" s="15">
        <f>46.3+33.9*LN(D36)-13.82*LN(MAX(30,I36))+(44.9-6.55*LN(MAX(30,I36)))*POWER((LN(E36)),L36)-J36-K36</f>
        <v>245.39854302353422</v>
      </c>
    </row>
    <row r="37" spans="1:25" x14ac:dyDescent="0.25">
      <c r="A37" s="16" t="s">
        <v>17</v>
      </c>
      <c r="B37" s="17" t="s">
        <v>16</v>
      </c>
      <c r="C37" s="17">
        <v>0</v>
      </c>
      <c r="D37" s="17">
        <v>1800</v>
      </c>
      <c r="E37" s="17">
        <v>0.5</v>
      </c>
      <c r="F37" s="17">
        <v>20</v>
      </c>
      <c r="G37" s="17">
        <v>1.5</v>
      </c>
      <c r="H37" s="17">
        <f t="shared" si="9"/>
        <v>1.5</v>
      </c>
      <c r="I37" s="17">
        <f t="shared" si="10"/>
        <v>20</v>
      </c>
      <c r="J37" s="18">
        <f t="shared" si="11"/>
        <v>0.4245987749495832</v>
      </c>
      <c r="K37" s="18">
        <f t="shared" si="12"/>
        <v>-8.1093021621632886</v>
      </c>
      <c r="L37" s="17">
        <v>1</v>
      </c>
      <c r="M37" s="17"/>
      <c r="N37" s="15">
        <f>46.3+33.9*LN(D37)-13.82*LN(MAX(30,I37))+(44.9-6.55*LN(MAX(30,I37)))*POWER((LN(E37)),L37)-J37-K37</f>
        <v>245.39854302353422</v>
      </c>
    </row>
    <row r="38" spans="1:25" x14ac:dyDescent="0.25">
      <c r="A38" s="20" t="s">
        <v>41</v>
      </c>
      <c r="B38" s="17" t="s">
        <v>16</v>
      </c>
      <c r="C38" s="17">
        <v>1</v>
      </c>
      <c r="D38" s="17">
        <v>1800</v>
      </c>
      <c r="E38" s="17">
        <v>0.1</v>
      </c>
      <c r="F38" s="17">
        <v>20</v>
      </c>
      <c r="G38" s="17">
        <v>1.5</v>
      </c>
      <c r="H38" s="17">
        <f t="shared" ref="H38" si="13">MIN(F38,G38)</f>
        <v>1.5</v>
      </c>
      <c r="I38" s="17">
        <f t="shared" ref="I38" si="14">MAX(F38,G38)</f>
        <v>20</v>
      </c>
      <c r="J38" s="18">
        <f t="shared" ref="J38" si="15">(1.1*LN(D38)-0.7)*MIN(10,H38)-(1.56*LN(D38)-0.8)+MAX(0,20*LN(H38/10))</f>
        <v>0.4245987749495832</v>
      </c>
      <c r="K38" s="18">
        <f t="shared" ref="K38" si="16">MIN(0,20*LN(I38/30))</f>
        <v>-8.1093021621632886</v>
      </c>
      <c r="L38" s="17">
        <v>1</v>
      </c>
      <c r="M38" s="17"/>
      <c r="N38" s="15">
        <f>32.4+(20*LN(D38))+(10*LN(POWER(E38,2)+POWER((I38-H38),2)/(POWER(10,6))))</f>
        <v>136.59566055742266</v>
      </c>
    </row>
    <row r="39" spans="1:25" x14ac:dyDescent="0.25">
      <c r="A39" s="20" t="s">
        <v>41</v>
      </c>
      <c r="B39" s="17" t="s">
        <v>16</v>
      </c>
      <c r="C39" s="17">
        <v>1</v>
      </c>
      <c r="D39" s="17">
        <v>1800</v>
      </c>
      <c r="E39" s="17">
        <v>0.04</v>
      </c>
      <c r="F39" s="17">
        <v>20</v>
      </c>
      <c r="G39" s="17">
        <v>1.5</v>
      </c>
      <c r="H39" s="17">
        <f t="shared" ref="H39" si="17">MIN(F39,G39)</f>
        <v>1.5</v>
      </c>
      <c r="I39" s="17">
        <f t="shared" ref="I39" si="18">MAX(F39,G39)</f>
        <v>20</v>
      </c>
      <c r="J39" s="18">
        <f t="shared" ref="J39" si="19">(1.1*LN(D39)-0.7)*MIN(10,H39)-(1.56*LN(D39)-0.8)+MAX(0,20*LN(H39/10))</f>
        <v>0.4245987749495832</v>
      </c>
      <c r="K39" s="18">
        <f t="shared" ref="K39" si="20">MIN(0,20*LN(I39/30))</f>
        <v>-8.1093021621632886</v>
      </c>
      <c r="L39" s="17">
        <v>1</v>
      </c>
      <c r="M39" s="17"/>
      <c r="N39" s="15">
        <f>32.4+(20*LN(D39))+(10*LN(POWER(E39,2)+POWER((I39-H39),2)/(POWER(10,6))))</f>
        <v>119.8717570363477</v>
      </c>
    </row>
    <row r="40" spans="1:25" x14ac:dyDescent="0.25">
      <c r="A40" s="20" t="s">
        <v>41</v>
      </c>
      <c r="B40" s="17" t="s">
        <v>16</v>
      </c>
      <c r="C40" s="17">
        <v>1</v>
      </c>
      <c r="D40" s="17">
        <v>1800</v>
      </c>
      <c r="E40" s="17">
        <v>0.09</v>
      </c>
      <c r="F40" s="17">
        <v>20</v>
      </c>
      <c r="G40" s="17">
        <v>1.5</v>
      </c>
      <c r="H40" s="17">
        <f>MIN(F40,G40)</f>
        <v>1.5</v>
      </c>
      <c r="I40" s="17">
        <f>MAX(F40,G40)</f>
        <v>20</v>
      </c>
      <c r="J40" s="18">
        <f>(1.1*LN(D40)-0.7)*MIN(10,H40)-(1.56*LN(D40)-0.8)+MAX(0,20*LN(H40/10))</f>
        <v>0.4245987749495832</v>
      </c>
      <c r="K40" s="18">
        <f>MIN(0,20*LN(I40/30))</f>
        <v>-8.1093021621632886</v>
      </c>
      <c r="L40" s="17">
        <v>1</v>
      </c>
      <c r="M40" s="17"/>
      <c r="N40" s="15">
        <f>N39+(LN(E40)-LN(0.04))/(LN(0.1)-LN(0.04))*(N38-N39)</f>
        <v>134.67264743778958</v>
      </c>
    </row>
    <row r="41" spans="1:25" x14ac:dyDescent="0.25">
      <c r="A41" s="20" t="s">
        <v>41</v>
      </c>
      <c r="B41" s="17" t="s">
        <v>16</v>
      </c>
      <c r="C41" s="17">
        <v>0</v>
      </c>
      <c r="D41" s="17">
        <v>1800</v>
      </c>
      <c r="E41" s="17">
        <v>0.09</v>
      </c>
      <c r="F41" s="17">
        <v>20</v>
      </c>
      <c r="G41" s="17">
        <v>1.5</v>
      </c>
      <c r="H41" s="17">
        <f>MIN(F41,G41)</f>
        <v>1.5</v>
      </c>
      <c r="I41" s="17">
        <f>MAX(F41,G41)</f>
        <v>20</v>
      </c>
      <c r="J41" s="18">
        <f>(1.1*LN(D41)-0.7)*MIN(10,H41)-(1.56*LN(D41)-0.8)+MAX(0,20*LN(H41/10))</f>
        <v>0.4245987749495832</v>
      </c>
      <c r="K41" s="18">
        <f>MIN(0,20*LN(I41/30))</f>
        <v>-8.1093021621632886</v>
      </c>
      <c r="L41" s="17">
        <v>1</v>
      </c>
      <c r="M41" s="17"/>
      <c r="N41" s="15">
        <f>N39+(LN(E41)-LN(0.04))/(LN(0.1)-LN(0.04))*(N38-N39)</f>
        <v>134.67264743778958</v>
      </c>
    </row>
    <row r="42" spans="1:25" s="5" customFormat="1" x14ac:dyDescent="0.25">
      <c r="A42" s="21" t="s">
        <v>17</v>
      </c>
      <c r="B42" s="22" t="s">
        <v>16</v>
      </c>
      <c r="C42" s="22">
        <v>1</v>
      </c>
      <c r="D42" s="22">
        <v>1800</v>
      </c>
      <c r="E42" s="22">
        <v>5</v>
      </c>
      <c r="F42" s="22">
        <v>20</v>
      </c>
      <c r="G42" s="22">
        <v>1.5</v>
      </c>
      <c r="H42" s="22">
        <f t="shared" ref="H42" si="21">MIN(F42,G42)</f>
        <v>1.5</v>
      </c>
      <c r="I42" s="22">
        <f t="shared" ref="I42" si="22">MAX(F42,G42)</f>
        <v>20</v>
      </c>
      <c r="J42" s="23">
        <f t="shared" ref="J42" si="23">(1.1*LN(D42)-0.7)*MIN(10,H42)-(1.56*LN(D42)-0.8)+MAX(0,20*LN(H42/10))</f>
        <v>0.4245987749495832</v>
      </c>
      <c r="K42" s="23">
        <f t="shared" ref="K42" si="24">MIN(0,20*LN(I42/30))</f>
        <v>-8.1093021621632886</v>
      </c>
      <c r="L42" s="22">
        <v>1</v>
      </c>
      <c r="M42" s="22"/>
      <c r="N42" s="24">
        <f>46.3+33.9*LN(D42)-13.82*LN(MAX(30,I42))+(44.9-6.55*LN(MAX(30,I42)))*POWER((LN(E42)),L42)-J42-K42</f>
        <v>297.48798484875283</v>
      </c>
      <c r="P42"/>
      <c r="Q42"/>
      <c r="R42"/>
      <c r="S42"/>
      <c r="T42"/>
      <c r="U42"/>
      <c r="V42"/>
      <c r="W42"/>
      <c r="X42"/>
      <c r="Y42"/>
    </row>
    <row r="43" spans="1:25" s="7" customFormat="1" x14ac:dyDescent="0.25">
      <c r="A43" s="16" t="s">
        <v>17</v>
      </c>
      <c r="B43" s="17" t="s">
        <v>19</v>
      </c>
      <c r="C43" s="17">
        <v>1</v>
      </c>
      <c r="D43" s="17">
        <v>1800</v>
      </c>
      <c r="E43" s="17">
        <v>5</v>
      </c>
      <c r="F43" s="17">
        <v>20</v>
      </c>
      <c r="G43" s="17">
        <v>1.5</v>
      </c>
      <c r="H43" s="17">
        <f>MIN(F43,G43)</f>
        <v>1.5</v>
      </c>
      <c r="I43" s="17">
        <f>MAX(F43,G43)</f>
        <v>20</v>
      </c>
      <c r="J43" s="18">
        <f>(1.1*LN(D43)-0.7)*MIN(10,H43)-(1.56*LN(D43)-0.8)+MAX(0,20*LN(H43/10))</f>
        <v>0.4245987749495832</v>
      </c>
      <c r="K43" s="18">
        <f>MIN(0,20*LN(I43/30))</f>
        <v>-8.1093021621632886</v>
      </c>
      <c r="L43" s="17">
        <v>1</v>
      </c>
      <c r="M43" s="17"/>
      <c r="N43" s="15">
        <f>N42-4.78*POWER(LN(   MIN( MAX(150, D43),2000)),2)+18.33*LN(MIN(MAX(150,D43),2000))-40.94</f>
        <v>125.38581630466652</v>
      </c>
      <c r="P43"/>
      <c r="Q43"/>
      <c r="R43"/>
      <c r="S43"/>
      <c r="T43"/>
      <c r="U43"/>
      <c r="V43"/>
      <c r="W43"/>
      <c r="X43"/>
      <c r="Y43"/>
    </row>
    <row r="44" spans="1:25" s="7" customFormat="1" x14ac:dyDescent="0.25">
      <c r="A44" s="25" t="s">
        <v>17</v>
      </c>
      <c r="B44" s="26" t="s">
        <v>16</v>
      </c>
      <c r="C44" s="26">
        <v>1</v>
      </c>
      <c r="D44" s="26">
        <v>700</v>
      </c>
      <c r="E44" s="26">
        <v>20</v>
      </c>
      <c r="F44" s="26">
        <v>20</v>
      </c>
      <c r="G44" s="26">
        <v>1.5</v>
      </c>
      <c r="H44" s="26">
        <f t="shared" ref="H44" si="25">MIN(F44,G44)</f>
        <v>1.5</v>
      </c>
      <c r="I44" s="26">
        <f t="shared" ref="I44" si="26">MAX(F44,G44)</f>
        <v>20</v>
      </c>
      <c r="J44" s="27">
        <f t="shared" ref="J44" si="27">(1.1*LN(D44)-0.7)*MIN(10,H44)-(1.56*LN(D44)-0.8)+MAX(0,20*LN(H44/10))</f>
        <v>0.33959723015390608</v>
      </c>
      <c r="K44" s="27">
        <f t="shared" ref="K44" si="28">MIN(0,20*LN(I44/30))</f>
        <v>-8.1093021621632886</v>
      </c>
      <c r="L44" s="26">
        <v>1</v>
      </c>
      <c r="M44" s="28"/>
      <c r="N44" s="29">
        <f>69.6+26.2*LN(D44)-13.82*LN(MAX(30,I44))+(44.9-6.55*LN(MAX(30,I44)))*POWER(LN(E44),L44)-J44-K44</f>
        <v>269.7733881675789</v>
      </c>
      <c r="P44"/>
      <c r="Q44"/>
      <c r="R44"/>
      <c r="S44"/>
      <c r="T44"/>
      <c r="U44"/>
      <c r="V44"/>
      <c r="W44"/>
      <c r="X44"/>
      <c r="Y44"/>
    </row>
    <row r="45" spans="1:25" s="7" customFormat="1" x14ac:dyDescent="0.25">
      <c r="A45" s="25" t="s">
        <v>17</v>
      </c>
      <c r="B45" s="26" t="s">
        <v>19</v>
      </c>
      <c r="C45" s="26">
        <v>1</v>
      </c>
      <c r="D45" s="26">
        <v>700</v>
      </c>
      <c r="E45" s="26">
        <v>20</v>
      </c>
      <c r="F45" s="26">
        <v>20</v>
      </c>
      <c r="G45" s="26">
        <v>1.5</v>
      </c>
      <c r="H45" s="26">
        <f>MIN(F45,G45)</f>
        <v>1.5</v>
      </c>
      <c r="I45" s="26">
        <f>MAX(F45,G45)</f>
        <v>20</v>
      </c>
      <c r="J45" s="27">
        <f>(1.1*LN(D45)-0.7)*MIN(10,H45)-(1.56*LN(D45)-0.8)+MAX(0,20*LN(H45/10))</f>
        <v>0.33959723015390608</v>
      </c>
      <c r="K45" s="27">
        <f>MIN(0,20*LN(I45/30))</f>
        <v>-8.1093021621632886</v>
      </c>
      <c r="L45" s="26">
        <v>1</v>
      </c>
      <c r="M45" s="28"/>
      <c r="N45" s="29">
        <f>N44-4.78*POWER(LN(   MIN( MAX(150, D45),2000) ),2)+18.33*LN(MIN(MAX(150,D45),2000))-40.94</f>
        <v>143.7730867103248</v>
      </c>
      <c r="P45"/>
      <c r="Q45"/>
      <c r="R45"/>
      <c r="S45"/>
      <c r="T45"/>
      <c r="U45"/>
      <c r="V45"/>
      <c r="W45"/>
      <c r="X45"/>
      <c r="Y45"/>
    </row>
    <row r="46" spans="1:25" s="7" customFormat="1" x14ac:dyDescent="0.25">
      <c r="A46" s="25" t="s">
        <v>17</v>
      </c>
      <c r="B46" s="26" t="s">
        <v>16</v>
      </c>
      <c r="C46" s="26">
        <v>1</v>
      </c>
      <c r="D46" s="26">
        <v>700</v>
      </c>
      <c r="E46" s="26">
        <v>21</v>
      </c>
      <c r="F46" s="26">
        <v>20</v>
      </c>
      <c r="G46" s="26">
        <v>1.5</v>
      </c>
      <c r="H46" s="26">
        <f t="shared" ref="H46" si="29">MIN(F46,G46)</f>
        <v>1.5</v>
      </c>
      <c r="I46" s="26">
        <f t="shared" ref="I46" si="30">MAX(F46,G46)</f>
        <v>20</v>
      </c>
      <c r="J46" s="27">
        <f t="shared" ref="J46" si="31">(1.1*LN(D46)-0.7)*MIN(10,H46)-(1.56*LN(D46)-0.8)+MAX(0,20*LN(H46/10))</f>
        <v>0.33959723015390608</v>
      </c>
      <c r="K46" s="27">
        <f t="shared" ref="K46" si="32">MIN(0,20*LN(I46/30))</f>
        <v>-8.1093021621632886</v>
      </c>
      <c r="L46" s="26"/>
      <c r="M46" s="28">
        <f>1+(0.14+0.000187*D46+0.00107*I46)*POWER(LN(E46/20),0.8)</f>
        <v>1.0260912351479503</v>
      </c>
      <c r="N46" s="29">
        <f>69.6+26.2*LN(D46)-13.82*LN(MAX(30,I46))+(44.9-6.55*LN(MAX(30,I46)))*POWER(LN(E46),M46)-J46-K46</f>
        <v>272.90714686298634</v>
      </c>
      <c r="P46"/>
      <c r="Q46"/>
      <c r="R46"/>
      <c r="S46"/>
      <c r="T46"/>
      <c r="U46"/>
      <c r="V46"/>
      <c r="W46"/>
      <c r="X46"/>
      <c r="Y46"/>
    </row>
    <row r="47" spans="1:25" s="7" customFormat="1" x14ac:dyDescent="0.25">
      <c r="A47" s="25" t="s">
        <v>17</v>
      </c>
      <c r="B47" s="26" t="s">
        <v>19</v>
      </c>
      <c r="C47" s="26">
        <v>1</v>
      </c>
      <c r="D47" s="26">
        <v>700</v>
      </c>
      <c r="E47" s="26">
        <v>21</v>
      </c>
      <c r="F47" s="26">
        <v>20</v>
      </c>
      <c r="G47" s="26">
        <v>1.5</v>
      </c>
      <c r="H47" s="26">
        <f>MIN(F47,G47)</f>
        <v>1.5</v>
      </c>
      <c r="I47" s="26">
        <f>MAX(F47,G47)</f>
        <v>20</v>
      </c>
      <c r="J47" s="27">
        <f>(1.1*LN(D47)-0.7)*MIN(10,H47)-(1.56*LN(D47)-0.8)+MAX(0,20*LN(H47/10))</f>
        <v>0.33959723015390608</v>
      </c>
      <c r="K47" s="27">
        <f>MIN(0,20*LN(I47/30))</f>
        <v>-8.1093021621632886</v>
      </c>
      <c r="L47" s="26"/>
      <c r="M47" s="28">
        <f>1+(0.14+0.000187*D47+0.00107*I47)*POWER(LN(E47/20),0.8)</f>
        <v>1.0260912351479503</v>
      </c>
      <c r="N47" s="29">
        <f>N46-4.78*POWER(LN(   MIN( MAX(150, D47),2000) ),2)+18.33*LN(MIN(MAX(150,D47),2000))-40.94</f>
        <v>146.90684540573224</v>
      </c>
      <c r="P47"/>
      <c r="Q47"/>
      <c r="R47"/>
      <c r="S47"/>
      <c r="T47"/>
      <c r="U47"/>
      <c r="V47"/>
      <c r="W47"/>
      <c r="X47"/>
      <c r="Y47"/>
    </row>
    <row r="48" spans="1:25" s="7" customFormat="1" x14ac:dyDescent="0.25">
      <c r="A48" s="25" t="s">
        <v>17</v>
      </c>
      <c r="B48" s="26" t="s">
        <v>16</v>
      </c>
      <c r="C48" s="26">
        <v>1</v>
      </c>
      <c r="D48" s="26">
        <v>700</v>
      </c>
      <c r="E48" s="26">
        <v>25</v>
      </c>
      <c r="F48" s="26">
        <v>20</v>
      </c>
      <c r="G48" s="26">
        <v>1.5</v>
      </c>
      <c r="H48" s="26">
        <f t="shared" ref="H48" si="33">MIN(F48,G48)</f>
        <v>1.5</v>
      </c>
      <c r="I48" s="26">
        <f t="shared" ref="I48" si="34">MAX(F48,G48)</f>
        <v>20</v>
      </c>
      <c r="J48" s="27">
        <f t="shared" ref="J48" si="35">(1.1*LN(D48)-0.7)*MIN(10,H48)-(1.56*LN(D48)-0.8)+MAX(0,20*LN(H48/10))</f>
        <v>0.33959723015390608</v>
      </c>
      <c r="K48" s="27">
        <f t="shared" ref="K48" si="36">MIN(0,20*LN(I48/30))</f>
        <v>-8.1093021621632886</v>
      </c>
      <c r="L48" s="26"/>
      <c r="M48" s="28">
        <f>1+(0.14+0.000187*D48+0.00107*I48)*POWER(LN(E48/20),0.8)</f>
        <v>1.0880432950512189</v>
      </c>
      <c r="N48" s="29">
        <f>69.6+26.2*LN(D48)-13.82*LN(MAX(30,I48))+(44.9-6.55*LN(MAX(30,I48)))*POWER(LN(E48),M48)-J48-K48</f>
        <v>282.71547710450182</v>
      </c>
      <c r="P48"/>
      <c r="Q48"/>
      <c r="R48"/>
      <c r="S48"/>
      <c r="T48"/>
      <c r="U48"/>
      <c r="V48"/>
      <c r="W48"/>
      <c r="X48"/>
      <c r="Y48"/>
    </row>
    <row r="49" spans="1:14" s="7" customFormat="1" x14ac:dyDescent="0.25">
      <c r="A49" s="25" t="s">
        <v>17</v>
      </c>
      <c r="B49" s="26" t="s">
        <v>19</v>
      </c>
      <c r="C49" s="26">
        <v>1</v>
      </c>
      <c r="D49" s="26">
        <v>700</v>
      </c>
      <c r="E49" s="26">
        <v>25</v>
      </c>
      <c r="F49" s="26">
        <v>20</v>
      </c>
      <c r="G49" s="26">
        <v>1.5</v>
      </c>
      <c r="H49" s="26">
        <f>MIN(F49,G49)</f>
        <v>1.5</v>
      </c>
      <c r="I49" s="26">
        <f>MAX(F49,G49)</f>
        <v>20</v>
      </c>
      <c r="J49" s="27">
        <f>(1.1*LN(D49)-0.7)*MIN(10,H49)-(1.56*LN(D49)-0.8)+MAX(0,20*LN(H49/10))</f>
        <v>0.33959723015390608</v>
      </c>
      <c r="K49" s="27">
        <f>MIN(0,20*LN(I49/30))</f>
        <v>-8.1093021621632886</v>
      </c>
      <c r="L49" s="26"/>
      <c r="M49" s="28">
        <f>1+(0.14+0.000187*D49+0.00107*I49)*POWER(LN(E49/20),0.8)</f>
        <v>1.0880432950512189</v>
      </c>
      <c r="N49" s="29">
        <f>N48-4.78*POWER(LN(   MIN( MAX(150, D49),2000) ),2)+18.33*LN(MIN(MAX(150,D49),2000))-40.94</f>
        <v>156.71517564724772</v>
      </c>
    </row>
    <row r="50" spans="1:14" s="7" customFormat="1" x14ac:dyDescent="0.25">
      <c r="A50" s="25" t="s">
        <v>17</v>
      </c>
      <c r="B50" s="26" t="s">
        <v>16</v>
      </c>
      <c r="C50" s="26">
        <v>1</v>
      </c>
      <c r="D50" s="26">
        <v>700</v>
      </c>
      <c r="E50" s="26">
        <v>50</v>
      </c>
      <c r="F50" s="26">
        <v>20</v>
      </c>
      <c r="G50" s="26">
        <v>1.5</v>
      </c>
      <c r="H50" s="26">
        <f t="shared" ref="H50" si="37">MIN(F50,G50)</f>
        <v>1.5</v>
      </c>
      <c r="I50" s="26">
        <f t="shared" ref="I50" si="38">MAX(F50,G50)</f>
        <v>20</v>
      </c>
      <c r="J50" s="27">
        <f t="shared" ref="J50" si="39">(1.1*LN(D50)-0.7)*MIN(10,H50)-(1.56*LN(D50)-0.8)+MAX(0,20*LN(H50/10))</f>
        <v>0.33959723015390608</v>
      </c>
      <c r="K50" s="27">
        <f t="shared" ref="K50" si="40">MIN(0,20*LN(I50/30))</f>
        <v>-8.1093021621632886</v>
      </c>
      <c r="L50" s="26"/>
      <c r="M50" s="28">
        <f t="shared" ref="M50:M51" si="41">1+(0.14+0.000187*D50+0.00107*I50)*POWER(LN(E50/20),0.8)</f>
        <v>1.2725558138735653</v>
      </c>
      <c r="N50" s="29">
        <f>69.6+26.2*LN(D50)-13.82*LN(MAX(30,I50))+(44.9-6.55*LN(MAX(30,I50)))*POWER(LN(E50),M50)-J50-K50</f>
        <v>330.35404936433417</v>
      </c>
    </row>
    <row r="51" spans="1:14" s="7" customFormat="1" ht="15.75" thickBot="1" x14ac:dyDescent="0.3">
      <c r="A51" s="30" t="s">
        <v>17</v>
      </c>
      <c r="B51" s="31" t="s">
        <v>19</v>
      </c>
      <c r="C51" s="31">
        <v>1</v>
      </c>
      <c r="D51" s="31">
        <v>700</v>
      </c>
      <c r="E51" s="31">
        <v>50</v>
      </c>
      <c r="F51" s="31">
        <v>20</v>
      </c>
      <c r="G51" s="31">
        <v>1.5</v>
      </c>
      <c r="H51" s="31">
        <f>MIN(F51,G51)</f>
        <v>1.5</v>
      </c>
      <c r="I51" s="31">
        <f>MAX(F51,G51)</f>
        <v>20</v>
      </c>
      <c r="J51" s="32">
        <f>(1.1*LN(D51)-0.7)*MIN(10,H51)-(1.56*LN(D51)-0.8)+MAX(0,20*LN(H51/10))</f>
        <v>0.33959723015390608</v>
      </c>
      <c r="K51" s="32">
        <f>MIN(0,20*LN(I51/30))</f>
        <v>-8.1093021621632886</v>
      </c>
      <c r="L51" s="31"/>
      <c r="M51" s="33">
        <f t="shared" si="41"/>
        <v>1.2725558138735653</v>
      </c>
      <c r="N51" s="34">
        <f>N50-4.78*POWER(LN(   MIN( MAX(150, D51),2000) ),2)+18.33*LN(MIN(MAX(150,D51),2000))-40.94</f>
        <v>204.35374790708008</v>
      </c>
    </row>
    <row r="52" spans="1:14" s="7" customFormat="1" ht="15.75" thickBot="1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 s="7" customFormat="1" ht="60" x14ac:dyDescent="0.25">
      <c r="A53" s="8" t="s">
        <v>20</v>
      </c>
      <c r="B53" s="9" t="s">
        <v>21</v>
      </c>
      <c r="C53" s="9" t="s">
        <v>22</v>
      </c>
      <c r="D53" s="9" t="s">
        <v>23</v>
      </c>
      <c r="E53" s="9" t="s">
        <v>24</v>
      </c>
      <c r="F53" s="9" t="s">
        <v>25</v>
      </c>
      <c r="G53" s="9" t="s">
        <v>26</v>
      </c>
      <c r="H53" s="9" t="s">
        <v>27</v>
      </c>
      <c r="I53" s="9" t="s">
        <v>28</v>
      </c>
      <c r="J53" s="9" t="s">
        <v>29</v>
      </c>
      <c r="K53" s="9" t="s">
        <v>30</v>
      </c>
      <c r="L53" s="9" t="s">
        <v>31</v>
      </c>
      <c r="M53" s="10" t="s">
        <v>32</v>
      </c>
      <c r="N53" s="5"/>
    </row>
    <row r="54" spans="1:14" x14ac:dyDescent="0.25">
      <c r="A54" s="40">
        <f>4*G54*M54*E54/(300000000)</f>
        <v>700</v>
      </c>
      <c r="B54" s="41"/>
      <c r="C54" s="42">
        <f>22*LOG10(F54)+28+20*LOG10(E54/1000000000)</f>
        <v>98.258700982397926</v>
      </c>
      <c r="D54" s="43"/>
      <c r="E54" s="44">
        <v>3500000000</v>
      </c>
      <c r="F54" s="41">
        <v>500</v>
      </c>
      <c r="G54" s="41">
        <v>10</v>
      </c>
      <c r="H54" s="41" t="s">
        <v>33</v>
      </c>
      <c r="I54" s="41" t="s">
        <v>34</v>
      </c>
      <c r="J54" s="41" t="s">
        <v>34</v>
      </c>
      <c r="K54" s="41" t="s">
        <v>35</v>
      </c>
      <c r="L54" s="41" t="s">
        <v>36</v>
      </c>
      <c r="M54" s="45">
        <v>1.5</v>
      </c>
      <c r="N54" s="7"/>
    </row>
    <row r="55" spans="1:14" x14ac:dyDescent="0.25">
      <c r="A55" s="40">
        <f>4*G55*M55*E55/(300000000)</f>
        <v>700</v>
      </c>
      <c r="B55" s="41"/>
      <c r="C55" s="42">
        <f>40*LOG10(F55)+7.8-18*LOG10(G55)-18*LOG10(M55)+2*LOG10(E55/1000000000)</f>
        <v>107.71849342569828</v>
      </c>
      <c r="D55" s="43"/>
      <c r="E55" s="44">
        <v>3500000000</v>
      </c>
      <c r="F55" s="41">
        <v>1000</v>
      </c>
      <c r="G55" s="41">
        <v>10</v>
      </c>
      <c r="H55" s="41" t="s">
        <v>33</v>
      </c>
      <c r="I55" s="41" t="s">
        <v>34</v>
      </c>
      <c r="J55" s="41" t="s">
        <v>34</v>
      </c>
      <c r="K55" s="41" t="s">
        <v>35</v>
      </c>
      <c r="L55" s="41" t="s">
        <v>36</v>
      </c>
      <c r="M55" s="45">
        <v>1.5</v>
      </c>
      <c r="N55" s="7"/>
    </row>
    <row r="56" spans="1:14" x14ac:dyDescent="0.25">
      <c r="A56" s="40" t="s">
        <v>34</v>
      </c>
      <c r="B56" s="41"/>
      <c r="C56" s="42">
        <f>(36.7*LOG10(F56)+22.7+26*LOG10(E56/1000000000))</f>
        <v>135.89796831223907</v>
      </c>
      <c r="D56" s="43"/>
      <c r="E56" s="44">
        <v>3500000000</v>
      </c>
      <c r="F56" s="41">
        <v>500</v>
      </c>
      <c r="G56" s="41">
        <v>10</v>
      </c>
      <c r="H56" s="41" t="s">
        <v>33</v>
      </c>
      <c r="I56" s="41" t="s">
        <v>34</v>
      </c>
      <c r="J56" s="41" t="s">
        <v>34</v>
      </c>
      <c r="K56" s="41" t="s">
        <v>35</v>
      </c>
      <c r="L56" s="41" t="s">
        <v>37</v>
      </c>
      <c r="M56" s="45">
        <v>1.5</v>
      </c>
      <c r="N56" s="7"/>
    </row>
    <row r="57" spans="1:14" x14ac:dyDescent="0.25">
      <c r="A57" s="40">
        <f t="shared" ref="A57:A65" si="42">4*G57*M57*E57/(300000000)</f>
        <v>1750</v>
      </c>
      <c r="B57" s="41"/>
      <c r="C57" s="42">
        <f>22*LOG10(F57)+28+20*LOG10(E57/1000000000)</f>
        <v>98.258700982397926</v>
      </c>
      <c r="D57" s="43"/>
      <c r="E57" s="44">
        <v>3500000000</v>
      </c>
      <c r="F57" s="41">
        <v>500</v>
      </c>
      <c r="G57" s="41">
        <v>25</v>
      </c>
      <c r="H57" s="41" t="s">
        <v>38</v>
      </c>
      <c r="I57" s="41">
        <v>20</v>
      </c>
      <c r="J57" s="41">
        <v>20</v>
      </c>
      <c r="K57" s="41" t="s">
        <v>35</v>
      </c>
      <c r="L57" s="41" t="s">
        <v>36</v>
      </c>
      <c r="M57" s="45">
        <v>1.5</v>
      </c>
      <c r="N57" s="7"/>
    </row>
    <row r="58" spans="1:14" x14ac:dyDescent="0.25">
      <c r="A58" s="40">
        <f t="shared" si="42"/>
        <v>1750</v>
      </c>
      <c r="B58" s="41"/>
      <c r="C58" s="42">
        <f>40*LOG10(F58)+7.8-18*LOG10(G58)-18*LOG10(M58)+2*LOG10(E58/1000000000)</f>
        <v>112.59677309616087</v>
      </c>
      <c r="D58" s="43"/>
      <c r="E58" s="44">
        <v>3500000000</v>
      </c>
      <c r="F58" s="41">
        <v>2000</v>
      </c>
      <c r="G58" s="41">
        <v>25</v>
      </c>
      <c r="H58" s="41" t="s">
        <v>38</v>
      </c>
      <c r="I58" s="41">
        <v>20</v>
      </c>
      <c r="J58" s="41">
        <v>20</v>
      </c>
      <c r="K58" s="41" t="s">
        <v>35</v>
      </c>
      <c r="L58" s="41" t="s">
        <v>36</v>
      </c>
      <c r="M58" s="45">
        <v>1.5</v>
      </c>
      <c r="N58" s="7"/>
    </row>
    <row r="59" spans="1:14" x14ac:dyDescent="0.25">
      <c r="A59" s="40">
        <f t="shared" si="42"/>
        <v>1750</v>
      </c>
      <c r="B59" s="41"/>
      <c r="C59" s="42">
        <f>161.04-7.1*LOG(J59)+7.5*LOG10(I59)-(24.37-3.7*(I59/G59)^2)*LOG10(G59)+(43.42-3.1*LOG10(G59))*(LOG10(F59)-3)+20*LOG10(E59/1000000000)-(3.2*(LOG10(11.75*M59))^2-4.97)</f>
        <v>141.68521586142342</v>
      </c>
      <c r="D59" s="43"/>
      <c r="E59" s="44">
        <v>3500000000</v>
      </c>
      <c r="F59" s="41">
        <v>1000</v>
      </c>
      <c r="G59" s="41">
        <v>25</v>
      </c>
      <c r="H59" s="41" t="s">
        <v>38</v>
      </c>
      <c r="I59" s="41">
        <v>20</v>
      </c>
      <c r="J59" s="41">
        <v>20</v>
      </c>
      <c r="K59" s="41" t="s">
        <v>35</v>
      </c>
      <c r="L59" s="41" t="s">
        <v>37</v>
      </c>
      <c r="M59" s="45">
        <v>1.5</v>
      </c>
      <c r="N59" s="7"/>
    </row>
    <row r="60" spans="1:14" x14ac:dyDescent="0.25">
      <c r="A60" s="40">
        <f t="shared" si="42"/>
        <v>2450</v>
      </c>
      <c r="B60" s="43">
        <f>2*PI()*G60*M60*E60/(300000000)</f>
        <v>3848.4510006474966</v>
      </c>
      <c r="C60" s="42">
        <f>20*LOG10(40*PI()*F60*(E60/1000000000)/3)+MIN(0.03*I60^1.72, 10)*LOG10(F60)-MIN(0.044*I60^1.72,14.77)+0.002*LOG10(I60)*F60</f>
        <v>107.73724739020315</v>
      </c>
      <c r="D60" s="43"/>
      <c r="E60" s="44">
        <v>3500000000</v>
      </c>
      <c r="F60" s="41">
        <v>1000</v>
      </c>
      <c r="G60" s="41">
        <v>35</v>
      </c>
      <c r="H60" s="41" t="s">
        <v>38</v>
      </c>
      <c r="I60" s="41">
        <v>10</v>
      </c>
      <c r="J60" s="41">
        <v>20</v>
      </c>
      <c r="K60" s="41" t="s">
        <v>39</v>
      </c>
      <c r="L60" s="41" t="s">
        <v>36</v>
      </c>
      <c r="M60" s="45">
        <v>1.5</v>
      </c>
      <c r="N60" s="7"/>
    </row>
    <row r="61" spans="1:14" x14ac:dyDescent="0.25">
      <c r="A61" s="40">
        <f t="shared" si="42"/>
        <v>2450</v>
      </c>
      <c r="B61" s="43">
        <f>2*PI()*G61*M61*E61/(300000000)</f>
        <v>3848.4510006474966</v>
      </c>
      <c r="C61" s="42">
        <f>(20*LOG10(40*PI()*B61*(E61/1000000000)/3)+MIN(0.03*I61^1.72, 10)*LOG10(B61)-MIN(0.044*I61^1.72,14.77)+0.002*LOG10(I61)*B61)</f>
        <v>126.06135593614999</v>
      </c>
      <c r="D61" s="42">
        <f>C61+40*LOG10(F61/B61)</f>
        <v>126.73231713348109</v>
      </c>
      <c r="E61" s="44">
        <v>3500000000</v>
      </c>
      <c r="F61" s="41">
        <v>4000</v>
      </c>
      <c r="G61" s="41">
        <v>35</v>
      </c>
      <c r="H61" s="41" t="s">
        <v>38</v>
      </c>
      <c r="I61" s="41">
        <v>10</v>
      </c>
      <c r="J61" s="41">
        <v>20</v>
      </c>
      <c r="K61" s="46" t="s">
        <v>39</v>
      </c>
      <c r="L61" s="41" t="s">
        <v>36</v>
      </c>
      <c r="M61" s="45">
        <v>1.5</v>
      </c>
      <c r="N61" s="7"/>
    </row>
    <row r="62" spans="1:14" x14ac:dyDescent="0.25">
      <c r="A62" s="40">
        <f t="shared" si="42"/>
        <v>2450</v>
      </c>
      <c r="B62" s="41"/>
      <c r="C62" s="42">
        <f>161.04-7.1*LOG10(J62)+7.5*LOG10(I62)-(24.37-3.7*(I62/G62)^2)*LOG10(G62)+(43.42-3.1*LOG10(G62))*(LOG10(F62)-3)+20*LOG10(E62/1000000000)-(3.2*(LOG10(11.75*M62))^2-4.97)</f>
        <v>121.39259135453526</v>
      </c>
      <c r="D62" s="42"/>
      <c r="E62" s="44">
        <v>3500000000</v>
      </c>
      <c r="F62" s="41">
        <v>500</v>
      </c>
      <c r="G62" s="41">
        <v>35</v>
      </c>
      <c r="H62" s="41" t="s">
        <v>38</v>
      </c>
      <c r="I62" s="41">
        <v>10</v>
      </c>
      <c r="J62" s="41">
        <v>20</v>
      </c>
      <c r="K62" s="41" t="s">
        <v>39</v>
      </c>
      <c r="L62" s="41" t="s">
        <v>37</v>
      </c>
      <c r="M62" s="45">
        <v>1.5</v>
      </c>
      <c r="N62" s="7"/>
    </row>
    <row r="63" spans="1:14" x14ac:dyDescent="0.25">
      <c r="A63" s="40">
        <f t="shared" si="42"/>
        <v>2450</v>
      </c>
      <c r="B63" s="43">
        <f>2*PI()*G63*M63*E63/(300000000)</f>
        <v>3848.4510006474966</v>
      </c>
      <c r="C63" s="42">
        <f>20*LOG10(40*PI()*F63*(E63/1000000000)/3)+MIN(0.03*I63^1.72, 10)*LOG10(F63)-MIN(0.044*I63^1.72,14.77)+0.002*LOG10(I63)*F63</f>
        <v>107.73724739020315</v>
      </c>
      <c r="D63" s="42"/>
      <c r="E63" s="44">
        <v>3500000000</v>
      </c>
      <c r="F63" s="41">
        <v>1000</v>
      </c>
      <c r="G63" s="41">
        <v>35</v>
      </c>
      <c r="H63" s="41" t="s">
        <v>38</v>
      </c>
      <c r="I63" s="41">
        <v>10</v>
      </c>
      <c r="J63" s="41">
        <v>20</v>
      </c>
      <c r="K63" s="41" t="s">
        <v>40</v>
      </c>
      <c r="L63" s="41" t="s">
        <v>36</v>
      </c>
      <c r="M63" s="45">
        <v>1.5</v>
      </c>
      <c r="N63" s="7"/>
    </row>
    <row r="64" spans="1:14" x14ac:dyDescent="0.25">
      <c r="A64" s="40">
        <f t="shared" si="42"/>
        <v>2450</v>
      </c>
      <c r="B64" s="43">
        <f>2*PI()*G64*M64*E64/(300000000)</f>
        <v>3848.4510006474966</v>
      </c>
      <c r="C64" s="42">
        <f>(20*LOG10(40*PI()*B64*(E64/1000000000)/3)+MIN(0.03*I64^1.72, 10)*LOG10(B64)-MIN(0.044*I64^1.72,14.77)+0.002*LOG10(I64)*B64)</f>
        <v>126.06135593614999</v>
      </c>
      <c r="D64" s="42">
        <f>C64+40*LOG10(F64/B64)</f>
        <v>126.73231713348109</v>
      </c>
      <c r="E64" s="44">
        <v>3500000000</v>
      </c>
      <c r="F64" s="41">
        <v>4000</v>
      </c>
      <c r="G64" s="41">
        <v>35</v>
      </c>
      <c r="H64" s="41" t="s">
        <v>38</v>
      </c>
      <c r="I64" s="41">
        <v>10</v>
      </c>
      <c r="J64" s="41">
        <v>20</v>
      </c>
      <c r="K64" s="46" t="s">
        <v>40</v>
      </c>
      <c r="L64" s="41" t="s">
        <v>36</v>
      </c>
      <c r="M64" s="45">
        <v>1.5</v>
      </c>
      <c r="N64" s="7"/>
    </row>
    <row r="65" spans="1:14" ht="15.75" thickBot="1" x14ac:dyDescent="0.3">
      <c r="A65" s="47">
        <f t="shared" si="42"/>
        <v>2450</v>
      </c>
      <c r="B65" s="48"/>
      <c r="C65" s="49">
        <f>161.04-7.1*LOG10(J65)+7.5*LOG10(I65)-(24.37-3.7*(I65/G65)^2)*LOG10(G65)+(43.42-3.1*LOG10(G65))*(LOG10(F65)-3)+20*LOG10(E65/1000000000)-(3.2*(LOG10(11.75*M65))^2-4.97)</f>
        <v>121.39259135453526</v>
      </c>
      <c r="D65" s="50"/>
      <c r="E65" s="51">
        <v>3500000000</v>
      </c>
      <c r="F65" s="48">
        <v>500</v>
      </c>
      <c r="G65" s="48">
        <v>35</v>
      </c>
      <c r="H65" s="48" t="s">
        <v>38</v>
      </c>
      <c r="I65" s="48">
        <v>10</v>
      </c>
      <c r="J65" s="48">
        <v>20</v>
      </c>
      <c r="K65" s="48" t="s">
        <v>40</v>
      </c>
      <c r="L65" s="48" t="s">
        <v>37</v>
      </c>
      <c r="M65" s="52">
        <v>1.5</v>
      </c>
      <c r="N65" s="7"/>
    </row>
  </sheetData>
  <conditionalFormatting sqref="E3:E1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{FC74279D-61A8-4B2A-9724-44FCF11F49F9}</x14:id>
        </ext>
      </extLst>
    </cfRule>
  </conditionalFormatting>
  <conditionalFormatting sqref="N3:N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{BCD5E0A1-327C-444E-9CCD-1F53B65D867B}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74279D-61A8-4B2A-9724-44FCF11F49F9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E3:E17</xm:sqref>
        </x14:conditionalFormatting>
        <x14:conditionalFormatting xmlns:xm="http://schemas.microsoft.com/office/excel/2006/main">
          <x14:cfRule type="dataBar" id="{BCD5E0A1-327C-444E-9CCD-1F53B65D867B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N3:N7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Edward Oughton</cp:lastModifiedBy>
  <cp:revision>28</cp:revision>
  <dcterms:created xsi:type="dcterms:W3CDTF">2015-06-05T18:17:20Z</dcterms:created>
  <dcterms:modified xsi:type="dcterms:W3CDTF">2019-04-16T18:02:48Z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