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GitHub\digital_comms\tests\mobile_network\"/>
    </mc:Choice>
  </mc:AlternateContent>
  <xr:revisionPtr revIDLastSave="0" documentId="13_ncr:1_{4430D3D6-0F3C-4E95-8B25-1B283A24503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3" i="1" l="1"/>
  <c r="K42" i="1"/>
  <c r="J42" i="1"/>
  <c r="N42" i="1" s="1"/>
  <c r="I42" i="1"/>
  <c r="H42" i="1"/>
  <c r="M43" i="1"/>
  <c r="K43" i="1"/>
  <c r="I43" i="1"/>
  <c r="H43" i="1"/>
  <c r="J43" i="1" s="1"/>
  <c r="I40" i="1"/>
  <c r="K40" i="1" s="1"/>
  <c r="H40" i="1"/>
  <c r="J40" i="1" s="1"/>
  <c r="I41" i="1"/>
  <c r="K41" i="1" s="1"/>
  <c r="H41" i="1"/>
  <c r="J41" i="1" s="1"/>
  <c r="I39" i="1"/>
  <c r="K39" i="1" s="1"/>
  <c r="H39" i="1"/>
  <c r="J39" i="1" s="1"/>
  <c r="I38" i="1"/>
  <c r="K38" i="1" s="1"/>
  <c r="H38" i="1"/>
  <c r="J38" i="1" s="1"/>
  <c r="I37" i="1"/>
  <c r="H37" i="1"/>
  <c r="J37" i="1" s="1"/>
  <c r="I36" i="1"/>
  <c r="H36" i="1"/>
  <c r="J36" i="1" s="1"/>
  <c r="I35" i="1"/>
  <c r="K35" i="1" s="1"/>
  <c r="H35" i="1"/>
  <c r="J35" i="1" s="1"/>
  <c r="H30" i="1"/>
  <c r="J30" i="1" s="1"/>
  <c r="I30" i="1"/>
  <c r="K30" i="1" s="1"/>
  <c r="I34" i="1"/>
  <c r="K34" i="1" s="1"/>
  <c r="H34" i="1"/>
  <c r="J34" i="1" s="1"/>
  <c r="C64" i="1"/>
  <c r="A64" i="1"/>
  <c r="B63" i="1"/>
  <c r="C63" i="1" s="1"/>
  <c r="D63" i="1" s="1"/>
  <c r="A63" i="1"/>
  <c r="C62" i="1"/>
  <c r="B62" i="1"/>
  <c r="A62" i="1"/>
  <c r="C61" i="1"/>
  <c r="A61" i="1"/>
  <c r="B60" i="1"/>
  <c r="C60" i="1" s="1"/>
  <c r="D60" i="1" s="1"/>
  <c r="A60" i="1"/>
  <c r="C59" i="1"/>
  <c r="B59" i="1"/>
  <c r="A59" i="1"/>
  <c r="C58" i="1"/>
  <c r="A58" i="1"/>
  <c r="C57" i="1"/>
  <c r="A57" i="1"/>
  <c r="C56" i="1"/>
  <c r="A56" i="1"/>
  <c r="C55" i="1"/>
  <c r="C54" i="1"/>
  <c r="A54" i="1"/>
  <c r="C53" i="1"/>
  <c r="A53" i="1"/>
  <c r="I32" i="1"/>
  <c r="K32" i="1" s="1"/>
  <c r="H32" i="1"/>
  <c r="J32" i="1" s="1"/>
  <c r="I31" i="1"/>
  <c r="K31" i="1" s="1"/>
  <c r="H31" i="1"/>
  <c r="J31" i="1" s="1"/>
  <c r="I33" i="1"/>
  <c r="K33" i="1" s="1"/>
  <c r="H33" i="1"/>
  <c r="J33" i="1" s="1"/>
  <c r="I29" i="1"/>
  <c r="K29" i="1" s="1"/>
  <c r="H29" i="1"/>
  <c r="J29" i="1" s="1"/>
  <c r="I28" i="1"/>
  <c r="K28" i="1" s="1"/>
  <c r="H28" i="1"/>
  <c r="J28" i="1" s="1"/>
  <c r="I27" i="1"/>
  <c r="K27" i="1" s="1"/>
  <c r="H27" i="1"/>
  <c r="J27" i="1" s="1"/>
  <c r="I26" i="1"/>
  <c r="K26" i="1" s="1"/>
  <c r="H26" i="1"/>
  <c r="J26" i="1" s="1"/>
  <c r="N26" i="1" s="1"/>
  <c r="P26" i="1" s="1"/>
  <c r="I25" i="1"/>
  <c r="K25" i="1" s="1"/>
  <c r="H25" i="1"/>
  <c r="J25" i="1" s="1"/>
  <c r="N25" i="1" s="1"/>
  <c r="I24" i="1"/>
  <c r="K24" i="1" s="1"/>
  <c r="H24" i="1"/>
  <c r="J24" i="1" s="1"/>
  <c r="I23" i="1"/>
  <c r="K23" i="1" s="1"/>
  <c r="H23" i="1"/>
  <c r="J23" i="1" s="1"/>
  <c r="I22" i="1"/>
  <c r="K22" i="1" s="1"/>
  <c r="H22" i="1"/>
  <c r="J22" i="1" s="1"/>
  <c r="I21" i="1"/>
  <c r="K21" i="1" s="1"/>
  <c r="H21" i="1"/>
  <c r="J21" i="1" s="1"/>
  <c r="N21" i="1" s="1"/>
  <c r="P21" i="1" s="1"/>
  <c r="I20" i="1"/>
  <c r="H20" i="1"/>
  <c r="N20" i="1" s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N43" i="1" l="1"/>
  <c r="P42" i="1"/>
  <c r="N40" i="1"/>
  <c r="N41" i="1" s="1"/>
  <c r="P41" i="1" s="1"/>
  <c r="N22" i="1"/>
  <c r="P22" i="1" s="1"/>
  <c r="N28" i="1"/>
  <c r="P28" i="1" s="1"/>
  <c r="N37" i="1"/>
  <c r="N34" i="1"/>
  <c r="P34" i="1" s="1"/>
  <c r="N36" i="1"/>
  <c r="N27" i="1"/>
  <c r="P27" i="1" s="1"/>
  <c r="K36" i="1"/>
  <c r="N24" i="1"/>
  <c r="N30" i="1" s="1"/>
  <c r="P30" i="1" s="1"/>
  <c r="K37" i="1"/>
  <c r="N23" i="1"/>
  <c r="N29" i="1" s="1"/>
  <c r="P29" i="1" s="1"/>
  <c r="J20" i="1"/>
  <c r="K20" i="1"/>
  <c r="N35" i="1"/>
  <c r="P35" i="1" s="1"/>
  <c r="P25" i="1"/>
  <c r="N33" i="1"/>
  <c r="P33" i="1" s="1"/>
  <c r="N38" i="1" l="1"/>
  <c r="P38" i="1" s="1"/>
  <c r="N39" i="1"/>
  <c r="P39" i="1" s="1"/>
  <c r="P23" i="1"/>
  <c r="P24" i="1"/>
  <c r="N32" i="1"/>
  <c r="P32" i="1" s="1"/>
  <c r="N31" i="1"/>
  <c r="P31" i="1" s="1"/>
</calcChain>
</file>

<file path=xl/sharedStrings.xml><?xml version="1.0" encoding="utf-8"?>
<sst xmlns="http://schemas.openxmlformats.org/spreadsheetml/2006/main" count="131" uniqueCount="44">
  <si>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</si>
  <si>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</si>
  <si>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</si>
  <si>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</si>
  <si>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</si>
  <si>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</si>
  <si>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</si>
  <si>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</si>
  <si>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</si>
  <si>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</si>
  <si>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</si>
  <si>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</si>
  <si>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</si>
  <si>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</si>
  <si>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</si>
  <si>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stochastic</t>
  </si>
  <si>
    <t>&lt;0.04</t>
  </si>
  <si>
    <t>Urban</t>
  </si>
  <si>
    <t>n/a</t>
  </si>
  <si>
    <t>&gt;0.1</t>
  </si>
  <si>
    <t>Suburban</t>
  </si>
  <si>
    <t>Rural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</si>
  <si>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</si>
  <si>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</si>
  <si>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</si>
  <si>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</si>
  <si>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</si>
  <si>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</si>
  <si>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</si>
  <si>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</si>
  <si>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</si>
  <si>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</si>
  <si>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</si>
  <si>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</si>
  <si>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</si>
  <si>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</si>
  <si>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</si>
  <si>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</si>
  <si>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</si>
  <si>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</si>
  <si>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</si>
  <si>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</si>
  <si>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</si>
  <si>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0.04 &lt;= d &lt;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</si>
</sst>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right" indent="2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1" fillId="5" borderId="0" xfId="0" applyFont="1" applyFill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 applyAlignment="1">
      <alignment horizontal="left" indent="2"/>
    </xf>
    <xf numFmtId="3" fontId="0" fillId="0" borderId="2" xfId="0" quotePrefix="1" applyNumberFormat="1" applyBorder="1" applyAlignment="1">
      <alignment horizontal="left" indent="2"/>
    </xf>
    <xf numFmtId="3" fontId="0" fillId="0" borderId="3" xfId="0" quotePrefix="1" applyNumberFormat="1" applyBorder="1" applyAlignment="1">
      <alignment horizontal="left" indent="2"/>
    </xf>
    <xf numFmtId="0" fontId="0" fillId="0" borderId="4" xfId="0" applyBorder="1"/>
    <xf numFmtId="0" fontId="0" fillId="0" borderId="5" xfId="0" applyBorder="1"/>
    <xf numFmtId="4" fontId="0" fillId="0" borderId="5" xfId="0" applyNumberFormat="1" applyBorder="1"/>
    <xf numFmtId="3" fontId="0" fillId="0" borderId="5" xfId="0" applyNumberFormat="1" applyBorder="1" applyAlignment="1">
      <alignment horizontal="left" indent="2"/>
    </xf>
    <xf numFmtId="3" fontId="0" fillId="0" borderId="6" xfId="0" applyNumberFormat="1" applyBorder="1" applyAlignment="1">
      <alignment horizontal="right" indent="2"/>
    </xf>
    <xf numFmtId="0" fontId="2" fillId="0" borderId="1" xfId="0" applyFont="1" applyBorder="1"/>
    <xf numFmtId="0" fontId="2" fillId="0" borderId="7" xfId="0" applyFont="1" applyBorder="1"/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 applyAlignment="1">
      <alignment horizontal="left" indent="2"/>
    </xf>
    <xf numFmtId="3" fontId="0" fillId="0" borderId="0" xfId="0" quotePrefix="1" applyNumberFormat="1" applyBorder="1" applyAlignment="1">
      <alignment horizontal="left" indent="2"/>
    </xf>
    <xf numFmtId="3" fontId="0" fillId="0" borderId="8" xfId="0" quotePrefix="1" applyNumberFormat="1" applyBorder="1" applyAlignment="1">
      <alignment horizontal="left" indent="2"/>
    </xf>
    <xf numFmtId="1" fontId="0" fillId="0" borderId="0" xfId="0" applyNumberFormat="1" applyBorder="1"/>
    <xf numFmtId="1" fontId="0" fillId="0" borderId="8" xfId="0" applyNumberFormat="1" applyBorder="1"/>
    <xf numFmtId="0" fontId="2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3" fontId="0" fillId="0" borderId="8" xfId="0" applyNumberFormat="1" applyBorder="1" applyAlignment="1">
      <alignment horizontal="right" indent="2"/>
    </xf>
    <xf numFmtId="3" fontId="0" fillId="0" borderId="3" xfId="0" applyNumberFormat="1" applyBorder="1" applyAlignment="1">
      <alignment horizontal="right" indent="2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J13" zoomScaleNormal="100" workbookViewId="0">
      <selection activeCell="Q43" sqref="Q43"/>
    </sheetView>
  </sheetViews>
  <sheetFormatPr defaultRowHeight="15" x14ac:dyDescent="0.25"/>
  <cols>
    <col min="1" max="1" width="11.42578125" customWidth="1"/>
    <col min="2" max="2" width="9.42578125" bestFit="1" customWidth="1"/>
    <col min="3" max="3" width="8.140625" customWidth="1"/>
    <col min="4" max="4" width="9.5703125" customWidth="1"/>
    <col min="5" max="5" width="5.5703125" customWidth="1"/>
    <col min="6" max="6" width="10.42578125" customWidth="1"/>
    <col min="7" max="7" width="8.5703125" customWidth="1"/>
    <col min="8" max="8" width="6.28515625" customWidth="1"/>
    <col min="9" max="9" width="6.140625" customWidth="1"/>
    <col min="10" max="10" width="6.5703125" customWidth="1"/>
    <col min="11" max="11" width="5.7109375" customWidth="1"/>
    <col min="12" max="12" width="10.5703125" customWidth="1"/>
    <col min="13" max="13" width="11" customWidth="1"/>
    <col min="14" max="14" width="8.5703125" customWidth="1"/>
    <col min="15" max="15" width="9.5703125" customWidth="1"/>
    <col min="16" max="16" width="8.85546875" customWidth="1"/>
    <col min="17" max="1025" width="8.5703125" customWidth="1"/>
  </cols>
  <sheetData>
    <row r="1" spans="1:16" x14ac:dyDescent="0.25">
      <c r="A1" t="s">
        <v>0</v>
      </c>
    </row>
    <row r="2" spans="1:16" ht="45" x14ac:dyDescent="0.25">
      <c r="A2" s="1" t="s">
        <v>1</v>
      </c>
      <c r="B2" s="1" t="s">
        <v>2</v>
      </c>
      <c r="C2" s="1" t="s">
        <v>3</v>
      </c>
      <c r="D2" s="1" t="s">
        <v>4</v>
      </c>
      <c r="K2" s="1"/>
      <c r="L2" s="1"/>
      <c r="M2" s="1"/>
      <c r="N2" s="1"/>
      <c r="O2" s="1"/>
      <c r="P2" s="1"/>
    </row>
    <row r="3" spans="1:16" x14ac:dyDescent="0.25">
      <c r="A3">
        <v>800</v>
      </c>
      <c r="B3">
        <v>1</v>
      </c>
      <c r="C3">
        <v>20</v>
      </c>
      <c r="D3">
        <v>1.5</v>
      </c>
      <c r="E3" s="2">
        <f t="shared" ref="E3:E17" si="0">32.4+10*LOG10(POWER(((C3-D3)/1000),2)+POWER(B3,2))+20*LOG10(A3)</f>
        <v>90.463285858405655</v>
      </c>
      <c r="N3" s="2"/>
      <c r="O3" s="2"/>
      <c r="P3" s="2"/>
    </row>
    <row r="4" spans="1:16" x14ac:dyDescent="0.25">
      <c r="A4">
        <v>800</v>
      </c>
      <c r="B4">
        <v>2</v>
      </c>
      <c r="C4">
        <v>20</v>
      </c>
      <c r="D4">
        <v>1.5</v>
      </c>
      <c r="E4" s="2">
        <f t="shared" si="0"/>
        <v>96.48277123043826</v>
      </c>
      <c r="N4" s="2"/>
      <c r="O4" s="2"/>
      <c r="P4" s="2"/>
    </row>
    <row r="5" spans="1:16" x14ac:dyDescent="0.25">
      <c r="A5">
        <v>800</v>
      </c>
      <c r="B5">
        <v>3</v>
      </c>
      <c r="C5">
        <v>20</v>
      </c>
      <c r="D5">
        <v>1.5</v>
      </c>
      <c r="E5" s="2">
        <f t="shared" si="0"/>
        <v>100.00438998363249</v>
      </c>
      <c r="N5" s="2"/>
      <c r="O5" s="2"/>
      <c r="P5" s="2"/>
    </row>
    <row r="6" spans="1:16" x14ac:dyDescent="0.25">
      <c r="A6">
        <v>800</v>
      </c>
      <c r="B6">
        <v>4</v>
      </c>
      <c r="C6">
        <v>20</v>
      </c>
      <c r="D6">
        <v>1.5</v>
      </c>
      <c r="E6" s="2">
        <f t="shared" si="0"/>
        <v>102.50309246370858</v>
      </c>
      <c r="N6" s="2"/>
      <c r="O6" s="2"/>
      <c r="P6" s="2"/>
    </row>
    <row r="7" spans="1:16" x14ac:dyDescent="0.25">
      <c r="A7">
        <v>800</v>
      </c>
      <c r="B7">
        <v>5</v>
      </c>
      <c r="C7">
        <v>20</v>
      </c>
      <c r="D7">
        <v>1.5</v>
      </c>
      <c r="E7" s="2">
        <f t="shared" si="0"/>
        <v>104.44125928106686</v>
      </c>
      <c r="N7" s="2"/>
      <c r="O7" s="2"/>
      <c r="P7" s="2"/>
    </row>
    <row r="8" spans="1:16" x14ac:dyDescent="0.25">
      <c r="A8">
        <v>1800</v>
      </c>
      <c r="B8">
        <v>1</v>
      </c>
      <c r="C8">
        <v>20</v>
      </c>
      <c r="D8">
        <v>1.5</v>
      </c>
      <c r="E8" s="2">
        <f t="shared" si="0"/>
        <v>97.506936220632895</v>
      </c>
    </row>
    <row r="9" spans="1:16" x14ac:dyDescent="0.25">
      <c r="A9">
        <v>1800</v>
      </c>
      <c r="B9">
        <v>2</v>
      </c>
      <c r="C9">
        <v>20</v>
      </c>
      <c r="D9">
        <v>1.5</v>
      </c>
      <c r="E9" s="2">
        <f t="shared" si="0"/>
        <v>103.5264215926655</v>
      </c>
    </row>
    <row r="10" spans="1:16" x14ac:dyDescent="0.25">
      <c r="A10">
        <v>1800</v>
      </c>
      <c r="B10">
        <v>3</v>
      </c>
      <c r="C10">
        <v>20</v>
      </c>
      <c r="D10">
        <v>1.5</v>
      </c>
      <c r="E10" s="2">
        <f t="shared" si="0"/>
        <v>107.04804034585973</v>
      </c>
    </row>
    <row r="11" spans="1:16" x14ac:dyDescent="0.25">
      <c r="A11">
        <v>1800</v>
      </c>
      <c r="B11">
        <v>4</v>
      </c>
      <c r="C11">
        <v>20</v>
      </c>
      <c r="D11">
        <v>1.5</v>
      </c>
      <c r="E11" s="2">
        <f t="shared" si="0"/>
        <v>109.54674282593582</v>
      </c>
    </row>
    <row r="12" spans="1:16" x14ac:dyDescent="0.25">
      <c r="A12">
        <v>1800</v>
      </c>
      <c r="B12">
        <v>5</v>
      </c>
      <c r="C12">
        <v>20</v>
      </c>
      <c r="D12">
        <v>1.5</v>
      </c>
      <c r="E12" s="2">
        <f t="shared" si="0"/>
        <v>111.48490964329409</v>
      </c>
    </row>
    <row r="13" spans="1:16" x14ac:dyDescent="0.25">
      <c r="A13">
        <v>2600</v>
      </c>
      <c r="B13">
        <v>1</v>
      </c>
      <c r="C13">
        <v>20</v>
      </c>
      <c r="D13">
        <v>1.5</v>
      </c>
      <c r="E13" s="2">
        <f t="shared" si="0"/>
        <v>100.70095307798313</v>
      </c>
    </row>
    <row r="14" spans="1:16" x14ac:dyDescent="0.25">
      <c r="A14">
        <v>2600</v>
      </c>
      <c r="B14">
        <v>2</v>
      </c>
      <c r="C14">
        <v>20</v>
      </c>
      <c r="D14">
        <v>1.5</v>
      </c>
      <c r="E14" s="2">
        <f t="shared" si="0"/>
        <v>106.72043845001573</v>
      </c>
      <c r="G14" s="3"/>
      <c r="H14" s="3"/>
      <c r="I14" s="3"/>
      <c r="J14" s="3"/>
      <c r="K14" s="3"/>
      <c r="L14" s="3"/>
      <c r="M14" s="3"/>
      <c r="N14" s="3"/>
    </row>
    <row r="15" spans="1:16" x14ac:dyDescent="0.25">
      <c r="A15">
        <v>2600</v>
      </c>
      <c r="B15">
        <v>3</v>
      </c>
      <c r="C15">
        <v>20</v>
      </c>
      <c r="D15">
        <v>1.5</v>
      </c>
      <c r="E15" s="2">
        <f t="shared" si="0"/>
        <v>110.24205720320997</v>
      </c>
      <c r="L15" s="4"/>
    </row>
    <row r="16" spans="1:16" x14ac:dyDescent="0.25">
      <c r="A16">
        <v>2600</v>
      </c>
      <c r="B16">
        <v>4</v>
      </c>
      <c r="C16">
        <v>20</v>
      </c>
      <c r="D16">
        <v>1.5</v>
      </c>
      <c r="E16" s="2">
        <f t="shared" si="0"/>
        <v>112.74075968328606</v>
      </c>
    </row>
    <row r="17" spans="1:16" s="5" customFormat="1" x14ac:dyDescent="0.25">
      <c r="A17" s="5">
        <v>2600</v>
      </c>
      <c r="B17" s="5">
        <v>5</v>
      </c>
      <c r="C17" s="5">
        <v>20</v>
      </c>
      <c r="D17" s="5">
        <v>1.5</v>
      </c>
      <c r="E17" s="2">
        <f t="shared" si="0"/>
        <v>114.67892650064434</v>
      </c>
    </row>
    <row r="19" spans="1:16" s="23" customFormat="1" ht="45" x14ac:dyDescent="0.25">
      <c r="A19" s="1" t="s">
        <v>2</v>
      </c>
      <c r="B19" s="1" t="s">
        <v>5</v>
      </c>
      <c r="C19" s="23" t="s">
        <v>6</v>
      </c>
      <c r="D19" s="1" t="s">
        <v>1</v>
      </c>
      <c r="E19" s="1" t="s">
        <v>7</v>
      </c>
      <c r="F19" s="1" t="s">
        <v>3</v>
      </c>
      <c r="G19" s="1" t="s">
        <v>4</v>
      </c>
      <c r="H19" s="1" t="s">
        <v>8</v>
      </c>
      <c r="I19" s="1" t="s">
        <v>9</v>
      </c>
      <c r="J19" s="23" t="s">
        <v>10</v>
      </c>
      <c r="K19" s="23" t="s">
        <v>11</v>
      </c>
      <c r="L19" s="23" t="s">
        <v>12</v>
      </c>
      <c r="M19" s="23" t="s">
        <v>13</v>
      </c>
      <c r="N19" s="1" t="s">
        <v>14</v>
      </c>
      <c r="O19" s="23" t="s">
        <v>15</v>
      </c>
    </row>
    <row r="20" spans="1:16" x14ac:dyDescent="0.25">
      <c r="A20" t="s">
        <v>16</v>
      </c>
      <c r="B20" t="s">
        <v>17</v>
      </c>
      <c r="C20" t="s">
        <v>18</v>
      </c>
      <c r="D20">
        <v>800</v>
      </c>
      <c r="E20">
        <v>0.02</v>
      </c>
      <c r="F20">
        <v>20</v>
      </c>
      <c r="G20">
        <v>1.5</v>
      </c>
      <c r="H20">
        <f t="shared" ref="H20:H28" si="1">MIN(F20,G20)</f>
        <v>1.5</v>
      </c>
      <c r="I20">
        <f t="shared" ref="I20:I28" si="2">MAX(F20,G20)</f>
        <v>20</v>
      </c>
      <c r="J20" s="6">
        <f t="shared" ref="J20:J28" si="3">(1.1*LN(D20)-0.7)*MIN(10,H20)-(1.56*LN(D20)-0.8)+MAX(0,20*LN(H20/10))</f>
        <v>0.35161505549011451</v>
      </c>
      <c r="K20" s="6">
        <f t="shared" ref="K20:K28" si="4">MIN(0,20*LN(I20/30))</f>
        <v>-8.1093021621632886</v>
      </c>
      <c r="L20">
        <v>1</v>
      </c>
      <c r="N20" s="7">
        <f>32.4+(20*LN(D20))+(10*LN(POWER(E20,2)+POWER((I20-H20),2)/(POWER(10,6))))</f>
        <v>94.033990110154491</v>
      </c>
      <c r="O20" s="7">
        <v>6</v>
      </c>
      <c r="P20" s="7"/>
    </row>
    <row r="21" spans="1:16" x14ac:dyDescent="0.25">
      <c r="A21" t="s">
        <v>19</v>
      </c>
      <c r="B21" t="s">
        <v>17</v>
      </c>
      <c r="C21">
        <v>1</v>
      </c>
      <c r="D21">
        <v>100</v>
      </c>
      <c r="E21">
        <v>0.2</v>
      </c>
      <c r="F21">
        <v>20</v>
      </c>
      <c r="G21">
        <v>1.5</v>
      </c>
      <c r="H21">
        <f t="shared" si="1"/>
        <v>1.5</v>
      </c>
      <c r="I21">
        <f t="shared" si="2"/>
        <v>20</v>
      </c>
      <c r="J21" s="6">
        <f t="shared" si="3"/>
        <v>0.16446531673892828</v>
      </c>
      <c r="K21" s="6">
        <f t="shared" si="4"/>
        <v>-8.1093021621632886</v>
      </c>
      <c r="L21">
        <v>1</v>
      </c>
      <c r="N21" s="7">
        <f>69.6+26.2*LN(150)-20*LN(150/D21)-13.82*LN(MAX(30,I21))+(44.9-6.55*LN(MAX(30,I21)))*POWER((LN(E21)),L21)-J21-K21</f>
        <v>117.30067419557813</v>
      </c>
      <c r="O21" s="7">
        <v>388</v>
      </c>
      <c r="P21" s="8">
        <f>SUM(N21,O21)</f>
        <v>505.30067419557815</v>
      </c>
    </row>
    <row r="22" spans="1:16" x14ac:dyDescent="0.25">
      <c r="A22" t="s">
        <v>19</v>
      </c>
      <c r="B22" t="s">
        <v>17</v>
      </c>
      <c r="C22">
        <v>0</v>
      </c>
      <c r="D22">
        <v>100</v>
      </c>
      <c r="E22">
        <v>0.2</v>
      </c>
      <c r="F22">
        <v>20</v>
      </c>
      <c r="G22">
        <v>1.5</v>
      </c>
      <c r="H22">
        <f t="shared" si="1"/>
        <v>1.5</v>
      </c>
      <c r="I22">
        <f t="shared" si="2"/>
        <v>20</v>
      </c>
      <c r="J22" s="6">
        <f t="shared" si="3"/>
        <v>0.16446531673892828</v>
      </c>
      <c r="K22" s="6">
        <f t="shared" si="4"/>
        <v>-8.1093021621632886</v>
      </c>
      <c r="L22">
        <v>1</v>
      </c>
      <c r="N22" s="7">
        <f>69.6+26.2*LN(150)-20*LN(150/D22)-13.82*LN(MAX(30,I22))+(44.9-6.55*LN(MAX(30,I22)))*POWER((LN(E22)),L22)-J22-K22</f>
        <v>117.30067419557813</v>
      </c>
      <c r="O22" s="7">
        <v>4648</v>
      </c>
      <c r="P22" s="8">
        <f>SUM(N22:O22)</f>
        <v>4765.3006741955778</v>
      </c>
    </row>
    <row r="23" spans="1:16" x14ac:dyDescent="0.25">
      <c r="A23" t="s">
        <v>19</v>
      </c>
      <c r="B23" t="s">
        <v>17</v>
      </c>
      <c r="C23">
        <v>1</v>
      </c>
      <c r="D23">
        <v>800</v>
      </c>
      <c r="E23">
        <v>0.2</v>
      </c>
      <c r="F23">
        <v>20</v>
      </c>
      <c r="G23">
        <v>1.5</v>
      </c>
      <c r="H23">
        <f t="shared" si="1"/>
        <v>1.5</v>
      </c>
      <c r="I23">
        <f t="shared" si="2"/>
        <v>20</v>
      </c>
      <c r="J23" s="6">
        <f t="shared" si="3"/>
        <v>0.35161505549011451</v>
      </c>
      <c r="K23" s="6">
        <f t="shared" si="4"/>
        <v>-8.1093021621632886</v>
      </c>
      <c r="L23">
        <v>1</v>
      </c>
      <c r="N23" s="7">
        <f>69.6+26.2*LN(D23)-13.82*LN(MAX(30,I23))+(44.9-6.55*LN(MAX(30,I23)))*POWER((LN(E23)),L23)-J23-K23</f>
        <v>169.08100917856805</v>
      </c>
      <c r="O23" s="7">
        <v>388</v>
      </c>
      <c r="P23" s="8">
        <f>SUM(N23,O23)</f>
        <v>557.08100917856802</v>
      </c>
    </row>
    <row r="24" spans="1:16" x14ac:dyDescent="0.25">
      <c r="A24" t="s">
        <v>19</v>
      </c>
      <c r="B24" t="s">
        <v>17</v>
      </c>
      <c r="C24">
        <v>0</v>
      </c>
      <c r="D24">
        <v>800</v>
      </c>
      <c r="E24">
        <v>0.2</v>
      </c>
      <c r="F24">
        <v>20</v>
      </c>
      <c r="G24">
        <v>1.5</v>
      </c>
      <c r="H24">
        <f t="shared" si="1"/>
        <v>1.5</v>
      </c>
      <c r="I24">
        <f t="shared" si="2"/>
        <v>20</v>
      </c>
      <c r="J24" s="6">
        <f t="shared" si="3"/>
        <v>0.35161505549011451</v>
      </c>
      <c r="K24" s="6">
        <f t="shared" si="4"/>
        <v>-8.1093021621632886</v>
      </c>
      <c r="L24">
        <v>1</v>
      </c>
      <c r="N24" s="7">
        <f>69.6+26.2*LN(D24)-13.82*LN(MAX(30,I24))+(44.9-6.55*LN(MAX(30,I24)))*POWER((LN(E24)),L24)-J24-K24</f>
        <v>169.08100917856805</v>
      </c>
      <c r="O24" s="7">
        <v>4648</v>
      </c>
      <c r="P24" s="8">
        <f>SUM(N24:O24)</f>
        <v>4817.0810091785679</v>
      </c>
    </row>
    <row r="25" spans="1:16" x14ac:dyDescent="0.25">
      <c r="A25" t="s">
        <v>19</v>
      </c>
      <c r="B25" t="s">
        <v>17</v>
      </c>
      <c r="C25">
        <v>1</v>
      </c>
      <c r="D25">
        <v>1800</v>
      </c>
      <c r="E25">
        <v>0.2</v>
      </c>
      <c r="F25">
        <v>20</v>
      </c>
      <c r="G25">
        <v>1.5</v>
      </c>
      <c r="H25">
        <f t="shared" si="1"/>
        <v>1.5</v>
      </c>
      <c r="I25">
        <f t="shared" si="2"/>
        <v>20</v>
      </c>
      <c r="J25" s="6">
        <f t="shared" si="3"/>
        <v>0.4245987749495832</v>
      </c>
      <c r="K25" s="6">
        <f t="shared" si="4"/>
        <v>-8.1093021621632886</v>
      </c>
      <c r="L25">
        <v>1</v>
      </c>
      <c r="N25" s="7">
        <f>46.3+33.9*LN(D25)-13.82*LN(MAX(30,I25))+(44.9-6.55*LN(MAX(30,I25)))*POWER((LN(E25)),L25)-J25-K25</f>
        <v>224.67007009188515</v>
      </c>
      <c r="O25" s="7">
        <v>388</v>
      </c>
      <c r="P25" s="8">
        <f>SUM(N25,O25)</f>
        <v>612.67007009188512</v>
      </c>
    </row>
    <row r="26" spans="1:16" x14ac:dyDescent="0.25">
      <c r="A26" t="s">
        <v>19</v>
      </c>
      <c r="B26" t="s">
        <v>17</v>
      </c>
      <c r="C26">
        <v>0</v>
      </c>
      <c r="D26">
        <v>1800</v>
      </c>
      <c r="E26">
        <v>0.2</v>
      </c>
      <c r="F26">
        <v>20</v>
      </c>
      <c r="G26">
        <v>1.5</v>
      </c>
      <c r="H26">
        <f t="shared" si="1"/>
        <v>1.5</v>
      </c>
      <c r="I26">
        <f t="shared" si="2"/>
        <v>20</v>
      </c>
      <c r="J26" s="6">
        <f t="shared" si="3"/>
        <v>0.4245987749495832</v>
      </c>
      <c r="K26" s="6">
        <f t="shared" si="4"/>
        <v>-8.1093021621632886</v>
      </c>
      <c r="L26">
        <v>1</v>
      </c>
      <c r="N26" s="7">
        <f>46.3+33.9*LN(D26)-13.82*LN(MAX(30,I26))+(44.9-6.55*LN(MAX(30,I26)))*POWER((LN(E26)),L26)-J26-K26</f>
        <v>224.67007009188515</v>
      </c>
      <c r="O26" s="7">
        <v>4648</v>
      </c>
      <c r="P26" s="8">
        <f>SUM(N26:O26)</f>
        <v>4872.6700700918855</v>
      </c>
    </row>
    <row r="27" spans="1:16" x14ac:dyDescent="0.25">
      <c r="A27" t="s">
        <v>19</v>
      </c>
      <c r="B27" t="s">
        <v>17</v>
      </c>
      <c r="C27">
        <v>1</v>
      </c>
      <c r="D27">
        <v>2100</v>
      </c>
      <c r="E27">
        <v>0.2</v>
      </c>
      <c r="F27">
        <v>20</v>
      </c>
      <c r="G27">
        <v>1.5</v>
      </c>
      <c r="H27">
        <f t="shared" si="1"/>
        <v>1.5</v>
      </c>
      <c r="I27">
        <f t="shared" si="2"/>
        <v>20</v>
      </c>
      <c r="J27" s="6">
        <f t="shared" si="3"/>
        <v>0.43847233613403525</v>
      </c>
      <c r="K27" s="6">
        <f t="shared" si="4"/>
        <v>-8.1093021621632886</v>
      </c>
      <c r="L27">
        <v>1</v>
      </c>
      <c r="N27" s="7">
        <f>46.3+33.9*LN(2000)+10*LN(D27/2000)-13.82*LN(MAX(30,I27))+(44.9-6.55*LN(MAX(30,I27)))*POWER((LN(E27)),L27)-J27-K27</f>
        <v>228.71581965319533</v>
      </c>
      <c r="O27" s="7">
        <v>388</v>
      </c>
      <c r="P27" s="8">
        <f>SUM(N27,O27)</f>
        <v>616.71581965319535</v>
      </c>
    </row>
    <row r="28" spans="1:16" x14ac:dyDescent="0.25">
      <c r="A28" t="s">
        <v>19</v>
      </c>
      <c r="B28" t="s">
        <v>17</v>
      </c>
      <c r="C28">
        <v>0</v>
      </c>
      <c r="D28">
        <v>2100</v>
      </c>
      <c r="E28">
        <v>0.2</v>
      </c>
      <c r="F28">
        <v>20</v>
      </c>
      <c r="G28">
        <v>1.5</v>
      </c>
      <c r="H28">
        <f t="shared" si="1"/>
        <v>1.5</v>
      </c>
      <c r="I28">
        <f t="shared" si="2"/>
        <v>20</v>
      </c>
      <c r="J28" s="6">
        <f t="shared" si="3"/>
        <v>0.43847233613403525</v>
      </c>
      <c r="K28" s="6">
        <f t="shared" si="4"/>
        <v>-8.1093021621632886</v>
      </c>
      <c r="L28">
        <v>1</v>
      </c>
      <c r="N28" s="7">
        <f>46.3+33.9*LN(D28)-13.82*LN(MAX(30,I28))+(44.9-6.55*LN(MAX(30,I28)))*POWER((LN(E28)),L28)-J28-K28</f>
        <v>229.88190457684479</v>
      </c>
      <c r="O28" s="7">
        <v>4648</v>
      </c>
      <c r="P28" s="8">
        <f>SUM(N28:O28)</f>
        <v>4877.881904576845</v>
      </c>
    </row>
    <row r="29" spans="1:16" x14ac:dyDescent="0.25">
      <c r="A29" t="s">
        <v>19</v>
      </c>
      <c r="B29" t="s">
        <v>20</v>
      </c>
      <c r="C29">
        <v>1</v>
      </c>
      <c r="D29">
        <v>800</v>
      </c>
      <c r="E29">
        <v>0.2</v>
      </c>
      <c r="F29">
        <v>20</v>
      </c>
      <c r="G29">
        <v>1.5</v>
      </c>
      <c r="H29">
        <f>MIN(F29,G29)</f>
        <v>1.5</v>
      </c>
      <c r="I29">
        <f>MAX(F29,G29)</f>
        <v>20</v>
      </c>
      <c r="J29" s="6">
        <f>(1.1*LN(D29)-0.7)*MIN(10,H29)-(1.56*LN(D29)-0.8)+MAX(0,20*LN(H29/10))</f>
        <v>0.35161505549011451</v>
      </c>
      <c r="K29" s="6">
        <f>MIN(0,20*LN(I29/30))</f>
        <v>-8.1093021621632886</v>
      </c>
      <c r="L29">
        <v>1</v>
      </c>
      <c r="N29" s="7">
        <f>N23-2*POWER((LN((MIN(MAX(150,D29),2000))/28)),2)-5.4</f>
        <v>141.20374087477344</v>
      </c>
      <c r="O29" s="7">
        <v>388</v>
      </c>
      <c r="P29" s="8">
        <f>SUM(N29:O29)</f>
        <v>529.20374087477342</v>
      </c>
    </row>
    <row r="30" spans="1:16" x14ac:dyDescent="0.25">
      <c r="A30" t="s">
        <v>19</v>
      </c>
      <c r="B30" t="s">
        <v>20</v>
      </c>
      <c r="C30">
        <v>0</v>
      </c>
      <c r="D30">
        <v>800</v>
      </c>
      <c r="E30">
        <v>0.2</v>
      </c>
      <c r="F30">
        <v>20</v>
      </c>
      <c r="G30">
        <v>1.5</v>
      </c>
      <c r="H30">
        <f>MIN(F30,G30)</f>
        <v>1.5</v>
      </c>
      <c r="I30">
        <f>MAX(F30,G30)</f>
        <v>20</v>
      </c>
      <c r="J30" s="6">
        <f>(1.1*LN(D30)-0.7)*MIN(10,H30)-(1.56*LN(D30)-0.8)+MAX(0,20*LN(H30/10))</f>
        <v>0.35161505549011451</v>
      </c>
      <c r="K30" s="6">
        <f>MIN(0,20*LN(I30/30))</f>
        <v>-8.1093021621632886</v>
      </c>
      <c r="L30">
        <v>1</v>
      </c>
      <c r="N30" s="7">
        <f>N24-2*POWER((LN((MIN(MAX(150,D30),2000))/28)),2)-5.4</f>
        <v>141.20374087477344</v>
      </c>
      <c r="O30" s="7">
        <v>4648</v>
      </c>
      <c r="P30" s="8">
        <f>SUM(N30:O30)</f>
        <v>4789.2037408747738</v>
      </c>
    </row>
    <row r="31" spans="1:16" x14ac:dyDescent="0.25">
      <c r="A31" t="s">
        <v>19</v>
      </c>
      <c r="B31" t="s">
        <v>20</v>
      </c>
      <c r="C31">
        <v>1</v>
      </c>
      <c r="D31">
        <v>800</v>
      </c>
      <c r="E31">
        <v>0.5</v>
      </c>
      <c r="F31">
        <v>20</v>
      </c>
      <c r="G31">
        <v>1.5</v>
      </c>
      <c r="H31">
        <f>MIN(F31,G31)</f>
        <v>1.5</v>
      </c>
      <c r="I31">
        <f>MAX(F31,G31)</f>
        <v>20</v>
      </c>
      <c r="J31" s="6">
        <f>(1.1*LN(D31)-0.7)*MIN(10,H31)-(1.56*LN(D31)-0.8)+MAX(0,20*LN(H31/10))</f>
        <v>0.35161505549011451</v>
      </c>
      <c r="K31" s="6">
        <f>MIN(0,20*LN(I31/30))</f>
        <v>-8.1093021621632886</v>
      </c>
      <c r="L31">
        <v>1</v>
      </c>
      <c r="N31" s="7">
        <f>N35-2*POWER((LN((MIN(MAX(150,D31),2000))/28)),2)-5.4</f>
        <v>217.52127471973961</v>
      </c>
      <c r="O31" s="7">
        <v>112</v>
      </c>
      <c r="P31" s="8">
        <f>SUM(N31:O31)</f>
        <v>329.52127471973961</v>
      </c>
    </row>
    <row r="32" spans="1:16" x14ac:dyDescent="0.25">
      <c r="A32" t="s">
        <v>19</v>
      </c>
      <c r="B32" t="s">
        <v>20</v>
      </c>
      <c r="C32">
        <v>0</v>
      </c>
      <c r="D32">
        <v>800</v>
      </c>
      <c r="E32">
        <v>0.5</v>
      </c>
      <c r="F32">
        <v>20</v>
      </c>
      <c r="G32">
        <v>1.5</v>
      </c>
      <c r="H32">
        <f>MIN(F32,G32)</f>
        <v>1.5</v>
      </c>
      <c r="I32">
        <f>MAX(F32,G32)</f>
        <v>20</v>
      </c>
      <c r="J32" s="6">
        <f>(1.1*LN(D32)-0.7)*MIN(10,H32)-(1.56*LN(D32)-0.8)+MAX(0,20*LN(H32/10))</f>
        <v>0.35161505549011451</v>
      </c>
      <c r="K32" s="6">
        <f>MIN(0,20*LN(I32/30))</f>
        <v>-8.1093021621632886</v>
      </c>
      <c r="L32">
        <v>1</v>
      </c>
      <c r="N32" s="7">
        <f>N35-2*POWER((LN((MIN(MAX(150,D32),2000))/28)),2)-5.4</f>
        <v>217.52127471973961</v>
      </c>
      <c r="O32" s="7">
        <v>184</v>
      </c>
      <c r="P32" s="8">
        <f>SUM(N32:O32)</f>
        <v>401.52127471973961</v>
      </c>
    </row>
    <row r="33" spans="1:16" x14ac:dyDescent="0.25">
      <c r="A33" t="s">
        <v>19</v>
      </c>
      <c r="B33" t="s">
        <v>21</v>
      </c>
      <c r="C33">
        <v>1</v>
      </c>
      <c r="D33">
        <v>1800</v>
      </c>
      <c r="E33">
        <v>0.2</v>
      </c>
      <c r="F33">
        <v>20</v>
      </c>
      <c r="G33">
        <v>1.5</v>
      </c>
      <c r="H33">
        <f>MIN(F33,G33)</f>
        <v>1.5</v>
      </c>
      <c r="I33">
        <f>MAX(F33,G33)</f>
        <v>20</v>
      </c>
      <c r="J33" s="6">
        <f>(1.1*LN(D33)-0.7)*MIN(10,H33)-(1.56*LN(D33)-0.8)+MAX(0,20*LN(H33/10))</f>
        <v>0.4245987749495832</v>
      </c>
      <c r="K33" s="6">
        <f>MIN(0,20*LN(I33/30))</f>
        <v>-8.1093021621632886</v>
      </c>
      <c r="L33">
        <v>1</v>
      </c>
      <c r="N33" s="7">
        <f>N25-4.78*POWER(LN(   MIN( MAX(150, D33),2000) ),2)+18.33*LN(MIN(MAX(150,D33),2000))-40.94</f>
        <v>52.56790154779884</v>
      </c>
      <c r="O33" s="7">
        <v>388</v>
      </c>
      <c r="P33" s="8">
        <f>SUM(N33:O33)</f>
        <v>440.56790154779884</v>
      </c>
    </row>
    <row r="34" spans="1:16" x14ac:dyDescent="0.25">
      <c r="A34" t="s">
        <v>19</v>
      </c>
      <c r="B34" t="s">
        <v>17</v>
      </c>
      <c r="C34">
        <v>1</v>
      </c>
      <c r="D34">
        <v>1800</v>
      </c>
      <c r="E34">
        <v>0.5</v>
      </c>
      <c r="F34">
        <v>20</v>
      </c>
      <c r="G34">
        <v>1.5</v>
      </c>
      <c r="H34">
        <f t="shared" ref="H34:H35" si="5">MIN(F34,G34)</f>
        <v>1.5</v>
      </c>
      <c r="I34">
        <f t="shared" ref="I34:I35" si="6">MAX(F34,G34)</f>
        <v>20</v>
      </c>
      <c r="J34" s="6">
        <f t="shared" ref="J34:J35" si="7">(1.1*LN(D34)-0.7)*MIN(10,H34)-(1.56*LN(D34)-0.8)+MAX(0,20*LN(H34/10))</f>
        <v>0.4245987749495832</v>
      </c>
      <c r="K34" s="6">
        <f t="shared" ref="K34:K35" si="8">MIN(0,20*LN(I34/30))</f>
        <v>-8.1093021621632886</v>
      </c>
      <c r="L34">
        <v>1</v>
      </c>
      <c r="N34" s="7">
        <f>46.3+33.9*LN(D34)-13.82*LN(MAX(30,I34))+(44.9-6.55*LN(MAX(30,I34)))*POWER((LN(E34)),L34)-J34-K34</f>
        <v>245.39854302353422</v>
      </c>
      <c r="O34" s="7">
        <v>112</v>
      </c>
      <c r="P34" s="8">
        <f>SUM(N34,O34)</f>
        <v>357.39854302353422</v>
      </c>
    </row>
    <row r="35" spans="1:16" ht="15.75" thickBot="1" x14ac:dyDescent="0.3">
      <c r="A35" t="s">
        <v>19</v>
      </c>
      <c r="B35" t="s">
        <v>17</v>
      </c>
      <c r="C35">
        <v>0</v>
      </c>
      <c r="D35">
        <v>1800</v>
      </c>
      <c r="E35">
        <v>0.5</v>
      </c>
      <c r="F35">
        <v>20</v>
      </c>
      <c r="G35">
        <v>1.5</v>
      </c>
      <c r="H35">
        <f t="shared" si="5"/>
        <v>1.5</v>
      </c>
      <c r="I35">
        <f t="shared" si="6"/>
        <v>20</v>
      </c>
      <c r="J35" s="6">
        <f t="shared" si="7"/>
        <v>0.4245987749495832</v>
      </c>
      <c r="K35" s="6">
        <f t="shared" si="8"/>
        <v>-8.1093021621632886</v>
      </c>
      <c r="L35">
        <v>1</v>
      </c>
      <c r="N35" s="7">
        <f>46.3+33.9*LN(D35)-13.82*LN(MAX(30,I35))+(44.9-6.55*LN(MAX(30,I35)))*POWER((LN(E35)),L35)-J35-K35</f>
        <v>245.39854302353422</v>
      </c>
      <c r="O35" s="7">
        <v>184</v>
      </c>
      <c r="P35" s="8">
        <f>SUM(N35:O35)</f>
        <v>429.39854302353422</v>
      </c>
    </row>
    <row r="36" spans="1:16" x14ac:dyDescent="0.25">
      <c r="A36" s="35" t="s">
        <v>43</v>
      </c>
      <c r="B36" s="25" t="s">
        <v>17</v>
      </c>
      <c r="C36" s="25">
        <v>1</v>
      </c>
      <c r="D36" s="25">
        <v>1800</v>
      </c>
      <c r="E36" s="25">
        <v>0.1</v>
      </c>
      <c r="F36" s="25">
        <v>20</v>
      </c>
      <c r="G36" s="25">
        <v>1.5</v>
      </c>
      <c r="H36" s="25">
        <f t="shared" ref="H36" si="9">MIN(F36,G36)</f>
        <v>1.5</v>
      </c>
      <c r="I36" s="25">
        <f t="shared" ref="I36" si="10">MAX(F36,G36)</f>
        <v>20</v>
      </c>
      <c r="J36" s="26">
        <f t="shared" ref="J36" si="11">(1.1*LN(D36)-0.7)*MIN(10,H36)-(1.56*LN(D36)-0.8)+MAX(0,20*LN(H36/10))</f>
        <v>0.4245987749495832</v>
      </c>
      <c r="K36" s="26">
        <f t="shared" ref="K36" si="12">MIN(0,20*LN(I36/30))</f>
        <v>-8.1093021621632886</v>
      </c>
      <c r="L36" s="25">
        <v>1</v>
      </c>
      <c r="M36" s="25"/>
      <c r="N36" s="27">
        <f>32.4+(20*LN(D36))+(10*LN(POWER(E36,2)+POWER((I36-H36),2)/(POWER(10,6))))</f>
        <v>136.59566055742266</v>
      </c>
      <c r="O36" s="28" t="s">
        <v>36</v>
      </c>
      <c r="P36" s="29" t="s">
        <v>36</v>
      </c>
    </row>
    <row r="37" spans="1:16" x14ac:dyDescent="0.25">
      <c r="A37" s="36" t="s">
        <v>43</v>
      </c>
      <c r="B37" s="37" t="s">
        <v>17</v>
      </c>
      <c r="C37" s="37">
        <v>1</v>
      </c>
      <c r="D37" s="37">
        <v>1800</v>
      </c>
      <c r="E37" s="37">
        <v>0.04</v>
      </c>
      <c r="F37" s="37">
        <v>20</v>
      </c>
      <c r="G37" s="37">
        <v>1.5</v>
      </c>
      <c r="H37" s="37">
        <f t="shared" ref="H37" si="13">MIN(F37,G37)</f>
        <v>1.5</v>
      </c>
      <c r="I37" s="37">
        <f t="shared" ref="I37" si="14">MAX(F37,G37)</f>
        <v>20</v>
      </c>
      <c r="J37" s="38">
        <f t="shared" ref="J37" si="15">(1.1*LN(D37)-0.7)*MIN(10,H37)-(1.56*LN(D37)-0.8)+MAX(0,20*LN(H37/10))</f>
        <v>0.4245987749495832</v>
      </c>
      <c r="K37" s="38">
        <f t="shared" ref="K37" si="16">MIN(0,20*LN(I37/30))</f>
        <v>-8.1093021621632886</v>
      </c>
      <c r="L37" s="37">
        <v>1</v>
      </c>
      <c r="M37" s="37"/>
      <c r="N37" s="39">
        <f>32.4+(20*LN(D37))+(10*LN(POWER(E37,2)+POWER((I37-H37),2)/(POWER(10,6))))</f>
        <v>119.8717570363477</v>
      </c>
      <c r="O37" s="40" t="s">
        <v>36</v>
      </c>
      <c r="P37" s="41" t="s">
        <v>36</v>
      </c>
    </row>
    <row r="38" spans="1:16" x14ac:dyDescent="0.25">
      <c r="A38" s="36" t="s">
        <v>43</v>
      </c>
      <c r="B38" s="37" t="s">
        <v>17</v>
      </c>
      <c r="C38" s="37">
        <v>1</v>
      </c>
      <c r="D38" s="37">
        <v>1800</v>
      </c>
      <c r="E38" s="37">
        <v>0.09</v>
      </c>
      <c r="F38" s="37">
        <v>20</v>
      </c>
      <c r="G38" s="37">
        <v>1.5</v>
      </c>
      <c r="H38" s="37">
        <f>MIN(F38,G38)</f>
        <v>1.5</v>
      </c>
      <c r="I38" s="37">
        <f>MAX(F38,G38)</f>
        <v>20</v>
      </c>
      <c r="J38" s="38">
        <f>(1.1*LN(D38)-0.7)*MIN(10,H38)-(1.56*LN(D38)-0.8)+MAX(0,20*LN(H38/10))</f>
        <v>0.4245987749495832</v>
      </c>
      <c r="K38" s="38">
        <f>MIN(0,20*LN(I38/30))</f>
        <v>-8.1093021621632886</v>
      </c>
      <c r="L38" s="37">
        <v>1</v>
      </c>
      <c r="M38" s="37"/>
      <c r="N38" s="42">
        <f>N37+(LN(E38)-LN(0.04))/(LN(0.1)-LN(0.04))*(N36-N37)</f>
        <v>134.67264743778958</v>
      </c>
      <c r="O38" s="37">
        <v>53</v>
      </c>
      <c r="P38" s="43">
        <f>SUM(N38:O38)</f>
        <v>187.67264743778958</v>
      </c>
    </row>
    <row r="39" spans="1:16" ht="15.75" thickBot="1" x14ac:dyDescent="0.3">
      <c r="A39" s="44" t="s">
        <v>43</v>
      </c>
      <c r="B39" s="31" t="s">
        <v>17</v>
      </c>
      <c r="C39" s="31">
        <v>0</v>
      </c>
      <c r="D39" s="31">
        <v>1800</v>
      </c>
      <c r="E39" s="31">
        <v>0.09</v>
      </c>
      <c r="F39" s="31">
        <v>20</v>
      </c>
      <c r="G39" s="31">
        <v>1.5</v>
      </c>
      <c r="H39" s="31">
        <f>MIN(F39,G39)</f>
        <v>1.5</v>
      </c>
      <c r="I39" s="31">
        <f>MAX(F39,G39)</f>
        <v>20</v>
      </c>
      <c r="J39" s="32">
        <f>(1.1*LN(D39)-0.7)*MIN(10,H39)-(1.56*LN(D39)-0.8)+MAX(0,20*LN(H39/10))</f>
        <v>0.4245987749495832</v>
      </c>
      <c r="K39" s="32">
        <f>MIN(0,20*LN(I39/30))</f>
        <v>-8.1093021621632886</v>
      </c>
      <c r="L39" s="31">
        <v>1</v>
      </c>
      <c r="M39" s="31"/>
      <c r="N39" s="45">
        <f>N37+(LN(E39)-LN(0.04))/(LN(0.1)-LN(0.04))*(N36-N37)</f>
        <v>134.67264743778958</v>
      </c>
      <c r="O39" s="31">
        <v>162</v>
      </c>
      <c r="P39" s="46">
        <f>SUM(N39:O39)</f>
        <v>296.67264743778958</v>
      </c>
    </row>
    <row r="40" spans="1:16" x14ac:dyDescent="0.25">
      <c r="A40" s="24" t="s">
        <v>19</v>
      </c>
      <c r="B40" s="25" t="s">
        <v>17</v>
      </c>
      <c r="C40" s="25">
        <v>1</v>
      </c>
      <c r="D40" s="25">
        <v>1800</v>
      </c>
      <c r="E40" s="25">
        <v>5</v>
      </c>
      <c r="F40" s="25">
        <v>20</v>
      </c>
      <c r="G40" s="25">
        <v>1.5</v>
      </c>
      <c r="H40" s="25">
        <f t="shared" ref="H40" si="17">MIN(F40,G40)</f>
        <v>1.5</v>
      </c>
      <c r="I40" s="25">
        <f t="shared" ref="I40" si="18">MAX(F40,G40)</f>
        <v>20</v>
      </c>
      <c r="J40" s="26">
        <f t="shared" ref="J40" si="19">(1.1*LN(D40)-0.7)*MIN(10,H40)-(1.56*LN(D40)-0.8)+MAX(0,20*LN(H40/10))</f>
        <v>0.4245987749495832</v>
      </c>
      <c r="K40" s="26">
        <f t="shared" ref="K40" si="20">MIN(0,20*LN(I40/30))</f>
        <v>-8.1093021621632886</v>
      </c>
      <c r="L40" s="25">
        <v>1</v>
      </c>
      <c r="M40" s="25"/>
      <c r="N40" s="27">
        <f>46.3+33.9*LN(D40)-13.82*LN(MAX(30,I40))+(44.9-6.55*LN(MAX(30,I40)))*POWER((LN(E40)),L40)-J40-K40</f>
        <v>297.48798484875283</v>
      </c>
      <c r="O40" s="28" t="s">
        <v>36</v>
      </c>
      <c r="P40" s="29" t="s">
        <v>36</v>
      </c>
    </row>
    <row r="41" spans="1:16" ht="15.75" thickBot="1" x14ac:dyDescent="0.3">
      <c r="A41" s="47" t="s">
        <v>19</v>
      </c>
      <c r="B41" s="37" t="s">
        <v>21</v>
      </c>
      <c r="C41" s="37">
        <v>1</v>
      </c>
      <c r="D41" s="37">
        <v>1800</v>
      </c>
      <c r="E41" s="37">
        <v>5</v>
      </c>
      <c r="F41" s="37">
        <v>20</v>
      </c>
      <c r="G41" s="37">
        <v>1.5</v>
      </c>
      <c r="H41" s="37">
        <f>MIN(F41,G41)</f>
        <v>1.5</v>
      </c>
      <c r="I41" s="37">
        <f>MAX(F41,G41)</f>
        <v>20</v>
      </c>
      <c r="J41" s="38">
        <f>(1.1*LN(D41)-0.7)*MIN(10,H41)-(1.56*LN(D41)-0.8)+MAX(0,20*LN(H41/10))</f>
        <v>0.4245987749495832</v>
      </c>
      <c r="K41" s="38">
        <f>MIN(0,20*LN(I41/30))</f>
        <v>-8.1093021621632886</v>
      </c>
      <c r="L41" s="37">
        <v>1</v>
      </c>
      <c r="M41" s="37"/>
      <c r="N41" s="39">
        <f>N40-4.78*POWER(LN(   MIN( MAX(150, D41),2000)),2)+18.33*LN(MIN(MAX(150,D41),2000))-40.94</f>
        <v>125.38581630466652</v>
      </c>
      <c r="O41" s="39">
        <v>388</v>
      </c>
      <c r="P41" s="48">
        <f>SUM(N41:O41)</f>
        <v>513.38581630466649</v>
      </c>
    </row>
    <row r="42" spans="1:16" x14ac:dyDescent="0.25">
      <c r="A42" s="24" t="s">
        <v>19</v>
      </c>
      <c r="B42" s="25" t="s">
        <v>17</v>
      </c>
      <c r="C42" s="25">
        <v>1</v>
      </c>
      <c r="D42" s="25">
        <v>700</v>
      </c>
      <c r="E42" s="25">
        <v>25</v>
      </c>
      <c r="F42" s="25">
        <v>20</v>
      </c>
      <c r="G42" s="25">
        <v>1.5</v>
      </c>
      <c r="H42" s="25">
        <f t="shared" ref="H42" si="21">MIN(F42,G42)</f>
        <v>1.5</v>
      </c>
      <c r="I42" s="25">
        <f t="shared" ref="I42" si="22">MAX(F42,G42)</f>
        <v>20</v>
      </c>
      <c r="J42" s="26">
        <f t="shared" ref="J42" si="23">(1.1*LN(D42)-0.7)*MIN(10,H42)-(1.56*LN(D42)-0.8)+MAX(0,20*LN(H42/10))</f>
        <v>0.33959723015390608</v>
      </c>
      <c r="K42" s="26">
        <f t="shared" ref="K42" si="24">MIN(0,20*LN(I42/30))</f>
        <v>-8.1093021621632886</v>
      </c>
      <c r="L42" s="25">
        <v>1</v>
      </c>
      <c r="M42" s="25"/>
      <c r="N42" s="27">
        <f>69.6+26.2*LN(D42)-13.82*LN(MAX(30,I42))+(44.9-6.55*LN(MAX(30,I42)))*POWER((LN(E42)),L42)-J42-K42</f>
        <v>274.82137665244318</v>
      </c>
      <c r="O42" s="27">
        <v>388</v>
      </c>
      <c r="P42" s="49">
        <f>SUM(N42,O42)</f>
        <v>662.82137665244318</v>
      </c>
    </row>
    <row r="43" spans="1:16" ht="15.75" thickBot="1" x14ac:dyDescent="0.3">
      <c r="A43" s="30" t="s">
        <v>19</v>
      </c>
      <c r="B43" s="31" t="s">
        <v>21</v>
      </c>
      <c r="C43" s="31">
        <v>1</v>
      </c>
      <c r="D43" s="31">
        <v>700</v>
      </c>
      <c r="E43" s="31">
        <v>25</v>
      </c>
      <c r="F43" s="31">
        <v>20</v>
      </c>
      <c r="G43" s="31">
        <v>1.5</v>
      </c>
      <c r="H43" s="31">
        <f>MIN(F43,G43)</f>
        <v>1.5</v>
      </c>
      <c r="I43" s="31">
        <f>MAX(F43,G43)</f>
        <v>20</v>
      </c>
      <c r="J43" s="32">
        <f>(1.1*LN(D43)-0.7)*MIN(10,H43)-(1.56*LN(D43)-0.8)+MAX(0,20*LN(H43/10))</f>
        <v>0.33959723015390608</v>
      </c>
      <c r="K43" s="32">
        <f>MIN(0,20*LN(I43/30))</f>
        <v>-8.1093021621632886</v>
      </c>
      <c r="L43" s="31"/>
      <c r="M43" s="45">
        <f>1+(0.14+(POWER(1.87*10,-4))*D43+(POWER(1.07*10,-3)*I43))*POWER(LOG(E43/20),0.8)</f>
        <v>1.0250463804426595</v>
      </c>
      <c r="N43" s="33">
        <f>N42-4.78*POWER(LN(   MIN( MAX(150, D43),2000) ),2)+18.33*LN(MIN(MAX(150,D43),2000))-40.94</f>
        <v>148.82107519518908</v>
      </c>
      <c r="O43" s="33">
        <v>388</v>
      </c>
      <c r="P43" s="34">
        <f>SUM(N43,O43)</f>
        <v>536.82107519518911</v>
      </c>
    </row>
    <row r="52" spans="1:13" s="5" customFormat="1" ht="60" x14ac:dyDescent="0.25">
      <c r="A52" s="5" t="s">
        <v>22</v>
      </c>
      <c r="B52" s="5" t="s">
        <v>23</v>
      </c>
      <c r="C52" s="5" t="s">
        <v>24</v>
      </c>
      <c r="D52" s="5" t="s">
        <v>25</v>
      </c>
      <c r="E52" s="5" t="s">
        <v>26</v>
      </c>
      <c r="F52" s="5" t="s">
        <v>27</v>
      </c>
      <c r="G52" s="5" t="s">
        <v>28</v>
      </c>
      <c r="H52" s="5" t="s">
        <v>29</v>
      </c>
      <c r="I52" s="5" t="s">
        <v>30</v>
      </c>
      <c r="J52" s="5" t="s">
        <v>31</v>
      </c>
      <c r="K52" s="5" t="s">
        <v>32</v>
      </c>
      <c r="L52" s="5" t="s">
        <v>33</v>
      </c>
      <c r="M52" s="5" t="s">
        <v>34</v>
      </c>
    </row>
    <row r="53" spans="1:13" s="9" customFormat="1" x14ac:dyDescent="0.25">
      <c r="A53" s="9">
        <f>4*G53*M53*E53/(300000000)</f>
        <v>700</v>
      </c>
      <c r="C53" s="10">
        <f>22*LOG10(F53)+28+20*LOG10(E53/1000000000)</f>
        <v>98.258700982397926</v>
      </c>
      <c r="D53" s="10"/>
      <c r="E53" s="11">
        <v>3500000000</v>
      </c>
      <c r="F53" s="9">
        <v>500</v>
      </c>
      <c r="G53" s="9">
        <v>10</v>
      </c>
      <c r="H53" s="9" t="s">
        <v>35</v>
      </c>
      <c r="I53" s="9" t="s">
        <v>36</v>
      </c>
      <c r="J53" s="9" t="s">
        <v>36</v>
      </c>
      <c r="K53" s="9" t="s">
        <v>37</v>
      </c>
      <c r="L53" s="9" t="s">
        <v>38</v>
      </c>
      <c r="M53" s="9">
        <v>1.5</v>
      </c>
    </row>
    <row r="54" spans="1:13" s="9" customFormat="1" x14ac:dyDescent="0.25">
      <c r="A54" s="9">
        <f>4*G54*M54*E54/(300000000)</f>
        <v>700</v>
      </c>
      <c r="C54" s="10">
        <f>40*LOG10(F54)+7.8-18*LOG10(G54)-18*LOG10(M54)+2*LOG10(E54/1000000000)</f>
        <v>107.71849342569828</v>
      </c>
      <c r="D54" s="10"/>
      <c r="E54" s="11">
        <v>3500000000</v>
      </c>
      <c r="F54" s="9">
        <v>1000</v>
      </c>
      <c r="G54" s="9">
        <v>10</v>
      </c>
      <c r="H54" s="9" t="s">
        <v>35</v>
      </c>
      <c r="I54" s="9" t="s">
        <v>36</v>
      </c>
      <c r="J54" s="9" t="s">
        <v>36</v>
      </c>
      <c r="K54" s="9" t="s">
        <v>37</v>
      </c>
      <c r="L54" s="9" t="s">
        <v>38</v>
      </c>
      <c r="M54" s="9">
        <v>1.5</v>
      </c>
    </row>
    <row r="55" spans="1:13" s="9" customFormat="1" x14ac:dyDescent="0.25">
      <c r="A55" s="9" t="s">
        <v>36</v>
      </c>
      <c r="C55" s="10">
        <f>(36.7*LOG10(F55)+22.7+26*LOG10(E55/1000000000))</f>
        <v>135.89796831223907</v>
      </c>
      <c r="D55" s="10"/>
      <c r="E55" s="11">
        <v>3500000000</v>
      </c>
      <c r="F55" s="9">
        <v>500</v>
      </c>
      <c r="G55" s="9">
        <v>10</v>
      </c>
      <c r="H55" s="9" t="s">
        <v>35</v>
      </c>
      <c r="I55" s="9" t="s">
        <v>36</v>
      </c>
      <c r="J55" s="9" t="s">
        <v>36</v>
      </c>
      <c r="K55" s="9" t="s">
        <v>37</v>
      </c>
      <c r="L55" s="9" t="s">
        <v>39</v>
      </c>
      <c r="M55" s="9">
        <v>1.5</v>
      </c>
    </row>
    <row r="56" spans="1:13" s="12" customFormat="1" x14ac:dyDescent="0.25">
      <c r="A56" s="12">
        <f t="shared" ref="A56:A64" si="25">4*G56*M56*E56/(300000000)</f>
        <v>1750</v>
      </c>
      <c r="C56" s="13">
        <f>22*LOG10(F56)+28+20*LOG10(E56/1000000000)</f>
        <v>98.258700982397926</v>
      </c>
      <c r="D56" s="13"/>
      <c r="E56" s="14">
        <v>3500000000</v>
      </c>
      <c r="F56" s="12">
        <v>500</v>
      </c>
      <c r="G56" s="12">
        <v>25</v>
      </c>
      <c r="H56" s="12" t="s">
        <v>40</v>
      </c>
      <c r="I56" s="12">
        <v>20</v>
      </c>
      <c r="J56" s="12">
        <v>20</v>
      </c>
      <c r="K56" s="12" t="s">
        <v>37</v>
      </c>
      <c r="L56" s="12" t="s">
        <v>38</v>
      </c>
      <c r="M56" s="12">
        <v>1.5</v>
      </c>
    </row>
    <row r="57" spans="1:13" s="12" customFormat="1" x14ac:dyDescent="0.25">
      <c r="A57" s="12">
        <f t="shared" si="25"/>
        <v>1750</v>
      </c>
      <c r="C57" s="13">
        <f>40*LOG10(F57)+7.8-18*LOG10(G57)-18*LOG10(M57)+2*LOG10(E57/1000000000)</f>
        <v>112.59677309616087</v>
      </c>
      <c r="D57" s="13"/>
      <c r="E57" s="14">
        <v>3500000000</v>
      </c>
      <c r="F57" s="12">
        <v>2000</v>
      </c>
      <c r="G57" s="12">
        <v>25</v>
      </c>
      <c r="H57" s="12" t="s">
        <v>40</v>
      </c>
      <c r="I57" s="12">
        <v>20</v>
      </c>
      <c r="J57" s="12">
        <v>20</v>
      </c>
      <c r="K57" s="12" t="s">
        <v>37</v>
      </c>
      <c r="L57" s="12" t="s">
        <v>38</v>
      </c>
      <c r="M57" s="12">
        <v>1.5</v>
      </c>
    </row>
    <row r="58" spans="1:13" s="12" customFormat="1" x14ac:dyDescent="0.25">
      <c r="A58" s="12">
        <f t="shared" si="25"/>
        <v>1750</v>
      </c>
      <c r="C58" s="13">
        <f>161.04-7.1*LOG(J58)+7.5*LOG10(I58)-(24.37-3.7*(I58/G58)^2)*LOG10(G58)+(43.42-3.1*LOG10(G58))*(LOG10(F58)-3)+20*LOG10(E58/1000000000)-(3.2*(LOG10(11.75*M58))^2-4.97)</f>
        <v>141.68521586142342</v>
      </c>
      <c r="D58" s="13"/>
      <c r="E58" s="14">
        <v>3500000000</v>
      </c>
      <c r="F58" s="12">
        <v>1000</v>
      </c>
      <c r="G58" s="12">
        <v>25</v>
      </c>
      <c r="H58" s="12" t="s">
        <v>40</v>
      </c>
      <c r="I58" s="12">
        <v>20</v>
      </c>
      <c r="J58" s="12">
        <v>20</v>
      </c>
      <c r="K58" s="12" t="s">
        <v>37</v>
      </c>
      <c r="L58" s="12" t="s">
        <v>39</v>
      </c>
      <c r="M58" s="12">
        <v>1.5</v>
      </c>
    </row>
    <row r="59" spans="1:13" s="15" customFormat="1" x14ac:dyDescent="0.25">
      <c r="A59" s="15">
        <f t="shared" si="25"/>
        <v>2450</v>
      </c>
      <c r="B59" s="16">
        <f>2*PI()*G59*M59*E59/(300000000)</f>
        <v>3848.4510006474966</v>
      </c>
      <c r="C59" s="16">
        <f>20*LOG10(40*PI()*F59*(E59/1000000000)/3)+MIN(0.03*I59^1.72, 10)*LOG10(F59)-MIN(0.044*I59^1.72,14.77)+0.002*LOG10(I59)*F59</f>
        <v>107.73724739020315</v>
      </c>
      <c r="D59" s="16"/>
      <c r="E59" s="17">
        <v>3500000000</v>
      </c>
      <c r="F59" s="15">
        <v>1000</v>
      </c>
      <c r="G59" s="15">
        <v>35</v>
      </c>
      <c r="H59" s="15" t="s">
        <v>40</v>
      </c>
      <c r="I59" s="15">
        <v>10</v>
      </c>
      <c r="J59" s="15">
        <v>20</v>
      </c>
      <c r="K59" s="15" t="s">
        <v>41</v>
      </c>
      <c r="L59" s="15" t="s">
        <v>38</v>
      </c>
      <c r="M59" s="15">
        <v>1.5</v>
      </c>
    </row>
    <row r="60" spans="1:13" s="15" customFormat="1" x14ac:dyDescent="0.25">
      <c r="A60" s="15">
        <f t="shared" si="25"/>
        <v>2450</v>
      </c>
      <c r="B60" s="16">
        <f>2*PI()*G60*M60*E60/(300000000)</f>
        <v>3848.4510006474966</v>
      </c>
      <c r="C60" s="16">
        <f>(20*LOG10(40*PI()*B60*(E60/1000000000)/3)+MIN(0.03*I60^1.72, 10)*LOG10(B60)-MIN(0.044*I60^1.72,14.77)+0.002*LOG10(I60)*B60)</f>
        <v>126.06135593614999</v>
      </c>
      <c r="D60" s="16">
        <f>C60+40*LOG10(F60/B60)</f>
        <v>126.73231713348109</v>
      </c>
      <c r="E60" s="17">
        <v>3500000000</v>
      </c>
      <c r="F60" s="15">
        <v>4000</v>
      </c>
      <c r="G60" s="15">
        <v>35</v>
      </c>
      <c r="H60" s="15" t="s">
        <v>40</v>
      </c>
      <c r="I60" s="15">
        <v>10</v>
      </c>
      <c r="J60" s="15">
        <v>20</v>
      </c>
      <c r="K60" s="18" t="s">
        <v>41</v>
      </c>
      <c r="L60" s="15" t="s">
        <v>38</v>
      </c>
      <c r="M60" s="15">
        <v>1.5</v>
      </c>
    </row>
    <row r="61" spans="1:13" s="15" customFormat="1" x14ac:dyDescent="0.25">
      <c r="A61" s="15">
        <f t="shared" si="25"/>
        <v>2450</v>
      </c>
      <c r="C61" s="16">
        <f>161.04-7.1*LOG10(J61)+7.5*LOG10(I61)-(24.37-3.7*(I61/G61)^2)*LOG10(G61)+(43.42-3.1*LOG10(G61))*(LOG10(F61)-3)+20*LOG10(E61/1000000000)-(3.2*(LOG10(11.75*M61))^2-4.97)</f>
        <v>121.39259135453526</v>
      </c>
      <c r="D61" s="16"/>
      <c r="E61" s="17">
        <v>3500000000</v>
      </c>
      <c r="F61" s="15">
        <v>500</v>
      </c>
      <c r="G61" s="15">
        <v>35</v>
      </c>
      <c r="H61" s="15" t="s">
        <v>40</v>
      </c>
      <c r="I61" s="15">
        <v>10</v>
      </c>
      <c r="J61" s="15">
        <v>20</v>
      </c>
      <c r="K61" s="15" t="s">
        <v>41</v>
      </c>
      <c r="L61" s="15" t="s">
        <v>39</v>
      </c>
      <c r="M61" s="15">
        <v>1.5</v>
      </c>
    </row>
    <row r="62" spans="1:13" s="19" customFormat="1" x14ac:dyDescent="0.25">
      <c r="A62" s="19">
        <f t="shared" si="25"/>
        <v>2450</v>
      </c>
      <c r="B62" s="20">
        <f>2*PI()*G62*M62*E62/(300000000)</f>
        <v>3848.4510006474966</v>
      </c>
      <c r="C62" s="20">
        <f>20*LOG10(40*PI()*F62*(E62/1000000000)/3)+MIN(0.03*I62^1.72, 10)*LOG10(F62)-MIN(0.044*I62^1.72,14.77)+0.002*LOG10(I62)*F62</f>
        <v>107.73724739020315</v>
      </c>
      <c r="D62" s="20"/>
      <c r="E62" s="21">
        <v>3500000000</v>
      </c>
      <c r="F62" s="19">
        <v>1000</v>
      </c>
      <c r="G62" s="19">
        <v>35</v>
      </c>
      <c r="H62" s="19" t="s">
        <v>40</v>
      </c>
      <c r="I62" s="19">
        <v>10</v>
      </c>
      <c r="J62" s="19">
        <v>20</v>
      </c>
      <c r="K62" s="19" t="s">
        <v>42</v>
      </c>
      <c r="L62" s="19" t="s">
        <v>38</v>
      </c>
      <c r="M62" s="19">
        <v>1.5</v>
      </c>
    </row>
    <row r="63" spans="1:13" s="19" customFormat="1" x14ac:dyDescent="0.25">
      <c r="A63" s="19">
        <f t="shared" si="25"/>
        <v>2450</v>
      </c>
      <c r="B63" s="20">
        <f>2*PI()*G63*M63*E63/(300000000)</f>
        <v>3848.4510006474966</v>
      </c>
      <c r="C63" s="20">
        <f>(20*LOG10(40*PI()*B63*(E63/1000000000)/3)+MIN(0.03*I63^1.72, 10)*LOG10(B63)-MIN(0.044*I63^1.72,14.77)+0.002*LOG10(I63)*B63)</f>
        <v>126.06135593614999</v>
      </c>
      <c r="D63" s="20">
        <f>C63+40*LOG10(F63/B63)</f>
        <v>126.73231713348109</v>
      </c>
      <c r="E63" s="21">
        <v>3500000000</v>
      </c>
      <c r="F63" s="19">
        <v>4000</v>
      </c>
      <c r="G63" s="19">
        <v>35</v>
      </c>
      <c r="H63" s="19" t="s">
        <v>40</v>
      </c>
      <c r="I63" s="19">
        <v>10</v>
      </c>
      <c r="J63" s="19">
        <v>20</v>
      </c>
      <c r="K63" s="22" t="s">
        <v>42</v>
      </c>
      <c r="L63" s="19" t="s">
        <v>38</v>
      </c>
      <c r="M63" s="19">
        <v>1.5</v>
      </c>
    </row>
    <row r="64" spans="1:13" s="19" customFormat="1" x14ac:dyDescent="0.25">
      <c r="A64" s="19">
        <f t="shared" si="25"/>
        <v>2450</v>
      </c>
      <c r="C64" s="20">
        <f>161.04-7.1*LOG10(J64)+7.5*LOG10(I64)-(24.37-3.7*(I64/G64)^2)*LOG10(G64)+(43.42-3.1*LOG10(G64))*(LOG10(F64)-3)+20*LOG10(E64/1000000000)-(3.2*(LOG10(11.75*M64))^2-4.97)</f>
        <v>121.39259135453526</v>
      </c>
      <c r="D64" s="20"/>
      <c r="E64" s="21">
        <v>3500000000</v>
      </c>
      <c r="F64" s="19">
        <v>500</v>
      </c>
      <c r="G64" s="19">
        <v>35</v>
      </c>
      <c r="H64" s="19" t="s">
        <v>40</v>
      </c>
      <c r="I64" s="19">
        <v>10</v>
      </c>
      <c r="J64" s="19">
        <v>20</v>
      </c>
      <c r="K64" s="19" t="s">
        <v>42</v>
      </c>
      <c r="L64" s="19" t="s">
        <v>39</v>
      </c>
      <c r="M64" s="19">
        <v>1.5</v>
      </c>
    </row>
  </sheetData>
  <conditionalFormatting sqref="E3:E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{FC74279D-61A8-4B2A-9724-44FCF11F49F9}</x14:id>
        </ext>
      </extLst>
    </cfRule>
  </conditionalFormatting>
  <conditionalFormatting sqref="N3:N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{BCD5E0A1-327C-444E-9CCD-1F53B65D867B}</x14:id>
        </ext>
      </extLst>
    </cfRule>
  </conditionalFormatting>
  <conditionalFormatting sqref="O3:O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{40DC46E8-51A0-46A9-9C91-B03AB1F77DEE}</x14:id>
        </ext>
      </extLst>
    </cfRule>
  </conditionalFormatting>
  <conditionalFormatting sqref="P3:P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{E0A3FE89-8044-4735-81A6-91559B1AC2AD}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4279D-61A8-4B2A-9724-44FCF11F49F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BCD5E0A1-327C-444E-9CCD-1F53B65D867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40DC46E8-51A0-46A9-9C91-B03AB1F77DE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E0A3FE89-8044-4735-81A6-91559B1AC2A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P3:P7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Oughton</cp:lastModifiedBy>
  <cp:revision>28</cp:revision>
  <dcterms:created xsi:type="dcterms:W3CDTF">2015-06-05T18:17:20Z</dcterms:created>
  <dcterms:modified xsi:type="dcterms:W3CDTF">2019-03-29T11:03:07Z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