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玉藻\Dropbox\各種\自然科学実験\物理\3B インダクタンスと静電容量\実験データ\"/>
    </mc:Choice>
  </mc:AlternateContent>
  <bookViews>
    <workbookView xWindow="240" yWindow="110" windowWidth="11700" windowHeight="8330" activeTab="2"/>
  </bookViews>
  <sheets>
    <sheet name="自作コイル＋4．89nFコンデンサ" sheetId="1" r:id="rId1"/>
    <sheet name="自作コイル＋自作コンデンサー" sheetId="2" r:id="rId2"/>
    <sheet name="理論値算出" sheetId="3" r:id="rId3"/>
  </sheets>
  <calcPr calcId="152511"/>
</workbook>
</file>

<file path=xl/calcChain.xml><?xml version="1.0" encoding="utf-8"?>
<calcChain xmlns="http://schemas.openxmlformats.org/spreadsheetml/2006/main">
  <c r="F3" i="1" l="1"/>
  <c r="A3" i="2"/>
  <c r="F3" i="2" s="1"/>
  <c r="H3" i="2" s="1"/>
  <c r="H18" i="3"/>
  <c r="H17" i="3"/>
  <c r="H16" i="3"/>
  <c r="H15" i="3"/>
  <c r="H22" i="3" s="1"/>
  <c r="C9" i="3"/>
  <c r="F9" i="3"/>
  <c r="I6" i="3" s="1"/>
  <c r="I8" i="3" s="1"/>
  <c r="B3" i="3"/>
  <c r="C3" i="3" s="1"/>
  <c r="C19" i="2"/>
  <c r="F12" i="2"/>
  <c r="B6" i="2" s="1"/>
  <c r="D6" i="2"/>
  <c r="E6" i="2"/>
  <c r="E12" i="2"/>
  <c r="C6" i="2" s="1"/>
  <c r="D12" i="2"/>
  <c r="C12" i="2"/>
  <c r="B12" i="2"/>
  <c r="F6" i="2" s="1"/>
  <c r="A12" i="2"/>
  <c r="G6" i="2" s="1"/>
  <c r="I13" i="2"/>
  <c r="I14" i="1"/>
  <c r="I7" i="1"/>
  <c r="J7" i="1"/>
  <c r="K7" i="1"/>
  <c r="L7" i="1"/>
  <c r="M7" i="1"/>
  <c r="N7" i="1"/>
  <c r="H19" i="3" l="1"/>
  <c r="H21" i="3"/>
  <c r="H25" i="3" l="1"/>
  <c r="H28" i="3" s="1"/>
  <c r="H23" i="3"/>
  <c r="H26" i="3" s="1"/>
</calcChain>
</file>

<file path=xl/sharedStrings.xml><?xml version="1.0" encoding="utf-8"?>
<sst xmlns="http://schemas.openxmlformats.org/spreadsheetml/2006/main" count="114" uniqueCount="58">
  <si>
    <t>f_0</t>
    <phoneticPr fontId="1"/>
  </si>
  <si>
    <t>kHz</t>
    <phoneticPr fontId="1"/>
  </si>
  <si>
    <t>V_0</t>
    <phoneticPr fontId="1"/>
  </si>
  <si>
    <t>V</t>
    <phoneticPr fontId="1"/>
  </si>
  <si>
    <t>V_0/Sqrt2</t>
    <phoneticPr fontId="1"/>
  </si>
  <si>
    <t>f_1</t>
    <phoneticPr fontId="1"/>
  </si>
  <si>
    <t>f_2</t>
    <phoneticPr fontId="1"/>
  </si>
  <si>
    <t>v/2</t>
    <phoneticPr fontId="1"/>
  </si>
  <si>
    <t>v/4</t>
    <phoneticPr fontId="1"/>
  </si>
  <si>
    <t>v/8</t>
    <phoneticPr fontId="1"/>
  </si>
  <si>
    <t>v/sqrt3</t>
    <phoneticPr fontId="1"/>
  </si>
  <si>
    <t>v/sqrt5</t>
    <phoneticPr fontId="1"/>
  </si>
  <si>
    <t>L_exp</t>
    <phoneticPr fontId="1"/>
  </si>
  <si>
    <t>Q</t>
    <phoneticPr fontId="1"/>
  </si>
  <si>
    <t>C_exp</t>
    <phoneticPr fontId="1"/>
  </si>
  <si>
    <t>r</t>
    <phoneticPr fontId="1"/>
  </si>
  <si>
    <t>mm</t>
    <phoneticPr fontId="1"/>
  </si>
  <si>
    <t>l</t>
    <phoneticPr fontId="1"/>
  </si>
  <si>
    <t>r/l</t>
    <phoneticPr fontId="1"/>
  </si>
  <si>
    <t>K</t>
    <phoneticPr fontId="1"/>
  </si>
  <si>
    <t>長岡係数</t>
    <rPh sb="0" eb="2">
      <t>ナガオカ</t>
    </rPh>
    <rPh sb="2" eb="4">
      <t>ケイスウ</t>
    </rPh>
    <phoneticPr fontId="1"/>
  </si>
  <si>
    <t>3次近似</t>
    <rPh sb="1" eb="2">
      <t>ジ</t>
    </rPh>
    <rPh sb="2" eb="4">
      <t>キンジ</t>
    </rPh>
    <phoneticPr fontId="1"/>
  </si>
  <si>
    <t>N</t>
    <phoneticPr fontId="1"/>
  </si>
  <si>
    <t>巻</t>
    <rPh sb="0" eb="1">
      <t>マキ</t>
    </rPh>
    <phoneticPr fontId="1"/>
  </si>
  <si>
    <t>L_theory</t>
    <phoneticPr fontId="1"/>
  </si>
  <si>
    <t>R_L</t>
    <phoneticPr fontId="1"/>
  </si>
  <si>
    <t>幅</t>
    <rPh sb="0" eb="1">
      <t>ハバ</t>
    </rPh>
    <phoneticPr fontId="1"/>
  </si>
  <si>
    <t>厚み</t>
    <rPh sb="0" eb="1">
      <t>アツ</t>
    </rPh>
    <phoneticPr fontId="1"/>
  </si>
  <si>
    <t>k_e</t>
    <phoneticPr fontId="1"/>
  </si>
  <si>
    <t>C_throry</t>
    <phoneticPr fontId="1"/>
  </si>
  <si>
    <t>長さ</t>
    <rPh sb="0" eb="1">
      <t>ナガ</t>
    </rPh>
    <phoneticPr fontId="1"/>
  </si>
  <si>
    <t>R_C</t>
    <phoneticPr fontId="1"/>
  </si>
  <si>
    <t>電位差(V)</t>
    <rPh sb="0" eb="3">
      <t>デンイサ</t>
    </rPh>
    <phoneticPr fontId="1"/>
  </si>
  <si>
    <t>入力周波数(Hz)</t>
    <rPh sb="0" eb="2">
      <t>ニュウリョク</t>
    </rPh>
    <rPh sb="2" eb="5">
      <t>シュウハスウ</t>
    </rPh>
    <phoneticPr fontId="1"/>
  </si>
  <si>
    <t>$V_0/\sqrt2$</t>
    <phoneticPr fontId="1"/>
  </si>
  <si>
    <t>$V_0/\sqrt3$</t>
    <phoneticPr fontId="1"/>
  </si>
  <si>
    <t>$V_0$</t>
    <phoneticPr fontId="1"/>
  </si>
  <si>
    <t>$V_0/2$</t>
    <phoneticPr fontId="1"/>
  </si>
  <si>
    <t>$V_0/\sqrt5$</t>
    <phoneticPr fontId="1"/>
  </si>
  <si>
    <t>$V_0/4$</t>
    <phoneticPr fontId="1"/>
  </si>
  <si>
    <t>$V_0/8$</t>
    <phoneticPr fontId="1"/>
  </si>
  <si>
    <t>s</t>
    <phoneticPr fontId="1"/>
  </si>
  <si>
    <t>実験値</t>
    <rPh sb="0" eb="2">
      <t>ジッケン</t>
    </rPh>
    <rPh sb="2" eb="3">
      <t>チ</t>
    </rPh>
    <phoneticPr fontId="1"/>
  </si>
  <si>
    <t>理論値</t>
    <rPh sb="0" eb="3">
      <t>リロンチ</t>
    </rPh>
    <phoneticPr fontId="1"/>
  </si>
  <si>
    <t>インダクタンス(H)</t>
    <phoneticPr fontId="1"/>
  </si>
  <si>
    <t>静電容量(nF)</t>
    <rPh sb="0" eb="2">
      <t>セイデン</t>
    </rPh>
    <rPh sb="2" eb="4">
      <t>ヨウリョウ</t>
    </rPh>
    <phoneticPr fontId="1"/>
  </si>
  <si>
    <t>$1.89\times 10^{-4}$</t>
    <phoneticPr fontId="1"/>
  </si>
  <si>
    <t>$1.65 \times 10^{-4}$</t>
    <phoneticPr fontId="1"/>
  </si>
  <si>
    <t>m</t>
    <phoneticPr fontId="1"/>
  </si>
  <si>
    <t>あまり部分</t>
    <rPh sb="3" eb="5">
      <t>ブブン</t>
    </rPh>
    <phoneticPr fontId="1"/>
  </si>
  <si>
    <t>m^2</t>
    <phoneticPr fontId="1"/>
  </si>
  <si>
    <t>F</t>
    <phoneticPr fontId="1"/>
  </si>
  <si>
    <t>%</t>
    <phoneticPr fontId="1"/>
  </si>
  <si>
    <t>H</t>
    <phoneticPr fontId="1"/>
  </si>
  <si>
    <t>2s-out-in</t>
    <phoneticPr fontId="1"/>
  </si>
  <si>
    <t>in</t>
    <phoneticPr fontId="1"/>
  </si>
  <si>
    <t>out</t>
    <phoneticPr fontId="1"/>
  </si>
  <si>
    <t>C_throry-strict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</si>
</sst>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E+00"/>
    <numFmt numFmtId="177" formatCode="0.00_ "/>
    <numFmt numFmtId="178" formatCode="0.0_ "/>
  </numFmts>
  <fonts count="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78" fontId="0" fillId="0" borderId="2" xfId="0" applyNumberFormat="1" applyBorder="1">
      <alignment vertical="center"/>
    </xf>
    <xf numFmtId="178" fontId="0" fillId="0" borderId="1" xfId="0" applyNumberFormat="1" applyBorder="1">
      <alignment vertical="center"/>
    </xf>
    <xf numFmtId="11" fontId="0" fillId="0" borderId="0" xfId="0" applyNumberFormat="1">
      <alignment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8" fontId="0" fillId="0" borderId="7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436517836079837"/>
          <c:y val="8.7403763538376283E-2"/>
          <c:w val="0.74404797946892609"/>
          <c:h val="0.69408871045181164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'自作コイル＋4．89nFコンデンサ'!$B$8:$N$8</c:f>
              <c:numCache>
                <c:formatCode>General</c:formatCode>
                <c:ptCount val="13"/>
                <c:pt idx="0">
                  <c:v>139.19999999999999</c:v>
                </c:pt>
                <c:pt idx="1">
                  <c:v>153</c:v>
                </c:pt>
                <c:pt idx="2">
                  <c:v>158.80000000000001</c:v>
                </c:pt>
                <c:pt idx="3">
                  <c:v>159.80000000000001</c:v>
                </c:pt>
                <c:pt idx="4">
                  <c:v>160.80000000000001</c:v>
                </c:pt>
                <c:pt idx="5">
                  <c:v>162.4</c:v>
                </c:pt>
                <c:pt idx="6">
                  <c:v>165.7</c:v>
                </c:pt>
                <c:pt idx="7">
                  <c:v>169.8</c:v>
                </c:pt>
                <c:pt idx="8">
                  <c:v>171.4</c:v>
                </c:pt>
                <c:pt idx="9">
                  <c:v>172.4</c:v>
                </c:pt>
                <c:pt idx="10">
                  <c:v>173.6</c:v>
                </c:pt>
                <c:pt idx="11">
                  <c:v>180.2</c:v>
                </c:pt>
                <c:pt idx="12">
                  <c:v>198.6</c:v>
                </c:pt>
              </c:numCache>
            </c:numRef>
          </c:xVal>
          <c:yVal>
            <c:numRef>
              <c:f>'自作コイル＋4．89nFコンデンサ'!$B$7:$N$7</c:f>
              <c:numCache>
                <c:formatCode>General</c:formatCode>
                <c:ptCount val="13"/>
                <c:pt idx="0">
                  <c:v>4.0500000000000001E-2</c:v>
                </c:pt>
                <c:pt idx="1">
                  <c:v>8.1000000000000003E-2</c:v>
                </c:pt>
                <c:pt idx="2">
                  <c:v>0.14489720494198638</c:v>
                </c:pt>
                <c:pt idx="3">
                  <c:v>0.16200000000000001</c:v>
                </c:pt>
                <c:pt idx="4">
                  <c:v>0.18706148721743876</c:v>
                </c:pt>
                <c:pt idx="5">
                  <c:v>0.22910259710444139</c:v>
                </c:pt>
                <c:pt idx="6">
                  <c:v>0.32400000000000001</c:v>
                </c:pt>
                <c:pt idx="7">
                  <c:v>0.22910259710444139</c:v>
                </c:pt>
                <c:pt idx="8">
                  <c:v>0.18706148721743876</c:v>
                </c:pt>
                <c:pt idx="9">
                  <c:v>0.16200000000000001</c:v>
                </c:pt>
                <c:pt idx="10">
                  <c:v>0.14489720494198638</c:v>
                </c:pt>
                <c:pt idx="11">
                  <c:v>8.1000000000000003E-2</c:v>
                </c:pt>
                <c:pt idx="12">
                  <c:v>4.0500000000000001E-2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2549568"/>
        <c:axId val="219970136"/>
      </c:scatterChart>
      <c:valAx>
        <c:axId val="282549568"/>
        <c:scaling>
          <c:orientation val="minMax"/>
          <c:max val="210"/>
          <c:min val="130"/>
        </c:scaling>
        <c:delete val="0"/>
        <c:axPos val="b"/>
        <c:title>
          <c:tx>
            <c:rich>
              <a:bodyPr/>
              <a:lstStyle/>
              <a:p>
                <a:pPr>
                  <a:defRPr sz="975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ja-JP" altLang="en-US" sz="975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入力周波数</a:t>
                </a:r>
                <a:r>
                  <a:rPr lang="ja-JP" altLang="en-US" sz="975" b="0" i="0" u="none" strike="noStrike" baseline="0">
                    <a:solidFill>
                      <a:srgbClr val="000000"/>
                    </a:solidFill>
                    <a:latin typeface="cmmi10"/>
                    <a:ea typeface="ＭＳ Ｐゴシック"/>
                  </a:rPr>
                  <a:t>f</a:t>
                </a:r>
                <a:r>
                  <a:rPr lang="ja-JP" altLang="en-US" sz="975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 </a:t>
                </a:r>
                <a:r>
                  <a:rPr lang="ja-JP" altLang="en-US" sz="975" b="0" i="0" u="none" strike="noStrike" baseline="0">
                    <a:solidFill>
                      <a:srgbClr val="000000"/>
                    </a:solidFill>
                    <a:latin typeface="cmr10"/>
                    <a:ea typeface="ＭＳ Ｐゴシック"/>
                  </a:rPr>
                  <a:t>Hz</a:t>
                </a:r>
                <a:endParaRPr lang="ja-JP" altLang="en-US" sz="975" b="0" i="0" u="none" strike="noStrike" baseline="0">
                  <a:solidFill>
                    <a:srgbClr val="000000"/>
                  </a:solidFill>
                  <a:latin typeface="cmr10"/>
                </a:endParaRPr>
              </a:p>
            </c:rich>
          </c:tx>
          <c:layout>
            <c:manualLayout>
              <c:xMode val="edge"/>
              <c:yMode val="edge"/>
              <c:x val="0.43253989206460236"/>
              <c:y val="0.9023153235873551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19970136"/>
        <c:crosses val="autoZero"/>
        <c:crossBetween val="midCat"/>
        <c:majorUnit val="10"/>
      </c:valAx>
      <c:valAx>
        <c:axId val="2199701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975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ja-JP" altLang="en-US" sz="975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電位差</a:t>
                </a:r>
                <a:r>
                  <a:rPr lang="ja-JP" altLang="en-US" sz="975" b="0" i="0" u="none" strike="noStrike" baseline="0">
                    <a:solidFill>
                      <a:srgbClr val="000000"/>
                    </a:solidFill>
                    <a:latin typeface="cmmi10"/>
                    <a:ea typeface="ＭＳ Ｐゴシック"/>
                  </a:rPr>
                  <a:t>V</a:t>
                </a:r>
                <a:r>
                  <a:rPr lang="ja-JP" altLang="en-US" sz="975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 </a:t>
                </a:r>
                <a:r>
                  <a:rPr lang="ja-JP" altLang="en-US" sz="975" b="0" i="0" u="none" strike="noStrike" baseline="0">
                    <a:solidFill>
                      <a:srgbClr val="000000"/>
                    </a:solidFill>
                    <a:latin typeface="cmr10"/>
                    <a:ea typeface="ＭＳ Ｐゴシック"/>
                  </a:rPr>
                  <a:t>V</a:t>
                </a:r>
                <a:endParaRPr lang="ja-JP" altLang="en-US" sz="975" b="0" i="0" u="none" strike="noStrike" baseline="0">
                  <a:solidFill>
                    <a:srgbClr val="000000"/>
                  </a:solidFill>
                  <a:latin typeface="cmr10"/>
                </a:endParaRPr>
              </a:p>
            </c:rich>
          </c:tx>
          <c:layout>
            <c:manualLayout>
              <c:xMode val="edge"/>
              <c:yMode val="edge"/>
              <c:x val="2.1825407397755164E-2"/>
              <c:y val="0.3033424734567176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82549568"/>
        <c:crosses val="autoZero"/>
        <c:crossBetween val="midCat"/>
      </c:valAx>
      <c:spPr>
        <a:solidFill>
          <a:srgbClr val="FFFFCC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1" l="0.75" r="0.75" t="1" header="0.51200000000000001" footer="0.512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799666669332307"/>
          <c:y val="6.4102724616197454E-2"/>
          <c:w val="0.78998333346661542"/>
          <c:h val="0.75897625945577785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'自作コイル＋自作コンデンサー'!$B$7:$N$7</c:f>
              <c:numCache>
                <c:formatCode>General</c:formatCode>
                <c:ptCount val="13"/>
                <c:pt idx="0">
                  <c:v>153.6</c:v>
                </c:pt>
                <c:pt idx="1">
                  <c:v>181.4</c:v>
                </c:pt>
                <c:pt idx="2">
                  <c:v>198.1</c:v>
                </c:pt>
                <c:pt idx="3">
                  <c:v>202.8</c:v>
                </c:pt>
                <c:pt idx="4">
                  <c:v>206.7</c:v>
                </c:pt>
                <c:pt idx="5">
                  <c:v>210.2</c:v>
                </c:pt>
                <c:pt idx="6">
                  <c:v>220.4</c:v>
                </c:pt>
                <c:pt idx="7">
                  <c:v>232.4</c:v>
                </c:pt>
                <c:pt idx="8">
                  <c:v>237</c:v>
                </c:pt>
                <c:pt idx="9">
                  <c:v>241.3</c:v>
                </c:pt>
                <c:pt idx="10">
                  <c:v>245.3</c:v>
                </c:pt>
                <c:pt idx="11">
                  <c:v>270.3</c:v>
                </c:pt>
                <c:pt idx="12">
                  <c:v>333.2</c:v>
                </c:pt>
              </c:numCache>
            </c:numRef>
          </c:xVal>
          <c:yVal>
            <c:numRef>
              <c:f>'自作コイル＋自作コンデンサー'!$B$6:$N$6</c:f>
              <c:numCache>
                <c:formatCode>General</c:formatCode>
                <c:ptCount val="13"/>
                <c:pt idx="0">
                  <c:v>2.6249999999999999E-2</c:v>
                </c:pt>
                <c:pt idx="1">
                  <c:v>5.2499999999999998E-2</c:v>
                </c:pt>
                <c:pt idx="2">
                  <c:v>9.3914855054991156E-2</c:v>
                </c:pt>
                <c:pt idx="3">
                  <c:v>0.105</c:v>
                </c:pt>
                <c:pt idx="4">
                  <c:v>0.12124355652982141</c:v>
                </c:pt>
                <c:pt idx="5">
                  <c:v>0.14849242404917495</c:v>
                </c:pt>
                <c:pt idx="6">
                  <c:v>0.21</c:v>
                </c:pt>
                <c:pt idx="7">
                  <c:v>0.14849242404917495</c:v>
                </c:pt>
                <c:pt idx="8">
                  <c:v>0.12124355652982141</c:v>
                </c:pt>
                <c:pt idx="9">
                  <c:v>0.105</c:v>
                </c:pt>
                <c:pt idx="10">
                  <c:v>9.3914855054991156E-2</c:v>
                </c:pt>
                <c:pt idx="11">
                  <c:v>5.2499999999999998E-2</c:v>
                </c:pt>
                <c:pt idx="12">
                  <c:v>2.6249999999999999E-2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970528"/>
        <c:axId val="219972096"/>
      </c:scatterChart>
      <c:valAx>
        <c:axId val="219970528"/>
        <c:scaling>
          <c:orientation val="minMax"/>
          <c:max val="350"/>
          <c:min val="150"/>
        </c:scaling>
        <c:delete val="0"/>
        <c:axPos val="b"/>
        <c:title>
          <c:tx>
            <c:rich>
              <a:bodyPr/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入力周波数</a:t>
                </a: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cmmi10"/>
                    <a:ea typeface="ＭＳ Ｐゴシック"/>
                  </a:rPr>
                  <a:t>f</a:t>
                </a: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 </a:t>
                </a: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cmr10"/>
                    <a:ea typeface="ＭＳ Ｐゴシック"/>
                  </a:rPr>
                  <a:t>Hz</a:t>
                </a:r>
                <a:endParaRPr lang="ja-JP" altLang="en-US" sz="900" b="0" i="0" u="none" strike="noStrike" baseline="0">
                  <a:solidFill>
                    <a:srgbClr val="000000"/>
                  </a:solidFill>
                  <a:latin typeface="cmr10"/>
                </a:endParaRPr>
              </a:p>
            </c:rich>
          </c:tx>
          <c:layout>
            <c:manualLayout>
              <c:xMode val="edge"/>
              <c:yMode val="edge"/>
              <c:x val="0.43160065047932161"/>
              <c:y val="0.9076945805653560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19972096"/>
        <c:crosses val="autoZero"/>
        <c:crossBetween val="midCat"/>
        <c:majorUnit val="50"/>
        <c:minorUnit val="10"/>
      </c:valAx>
      <c:valAx>
        <c:axId val="2199720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電位差</a:t>
                </a: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cmmi10"/>
                    <a:ea typeface="ＭＳ Ｐゴシック"/>
                  </a:rPr>
                  <a:t>V</a:t>
                </a: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 </a:t>
                </a: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cmr10"/>
                    <a:ea typeface="ＭＳ Ｐゴシック"/>
                  </a:rPr>
                  <a:t>V</a:t>
                </a:r>
                <a:endParaRPr lang="ja-JP" altLang="en-US" sz="900" b="0" i="0" u="none" strike="noStrike" baseline="0">
                  <a:solidFill>
                    <a:srgbClr val="000000"/>
                  </a:solidFill>
                  <a:latin typeface="cmr10"/>
                </a:endParaRPr>
              </a:p>
            </c:rich>
          </c:tx>
          <c:layout>
            <c:manualLayout>
              <c:xMode val="edge"/>
              <c:yMode val="edge"/>
              <c:x val="1.5414308945690057E-2"/>
              <c:y val="0.3333341680042267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19970528"/>
        <c:crosses val="autoZero"/>
        <c:crossBetween val="midCat"/>
      </c:valAx>
      <c:spPr>
        <a:solidFill>
          <a:srgbClr val="FFFFCC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1" l="0.75" r="0.75" t="1" header="0.51200000000000001" footer="0.512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34392195074902"/>
          <c:y val="9.5115860321174181E-2"/>
          <c:w val="0.79894214295279387"/>
          <c:h val="0.68380591474141439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poly"/>
            <c:order val="3"/>
            <c:dispRSqr val="0"/>
            <c:dispEq val="1"/>
            <c:trendlineLbl>
              <c:layout>
                <c:manualLayout>
                  <c:x val="5.9737910793073334E-2"/>
                  <c:y val="5.3439076442319933E-2"/>
                </c:manualLayout>
              </c:layout>
              <c:tx>
                <c:rich>
                  <a:bodyPr/>
                  <a:lstStyle/>
                  <a:p>
                    <a:pPr>
                      <a:defRPr sz="900" b="0" i="1" u="none" strike="noStrike" baseline="0">
                        <a:solidFill>
                          <a:srgbClr val="000000"/>
                        </a:solidFill>
                        <a:latin typeface="cmmi10"/>
                        <a:ea typeface="cmmi10"/>
                        <a:cs typeface="cmmi10"/>
                      </a:defRPr>
                    </a:pPr>
                    <a:r>
                      <a:rPr lang="ja-JP" altLang="en-US" sz="900" b="0" i="1" u="none" strike="noStrike" baseline="0">
                        <a:solidFill>
                          <a:srgbClr val="000000"/>
                        </a:solidFill>
                        <a:latin typeface="cmmi10"/>
                      </a:rPr>
                      <a:t>K</a:t>
                    </a:r>
                    <a:r>
                      <a:rPr lang="ja-JP" altLang="en-US" sz="900" b="0" i="0" u="none" strike="noStrike" baseline="0">
                        <a:solidFill>
                          <a:srgbClr val="000000"/>
                        </a:solidFill>
                        <a:latin typeface="ＭＳ Ｐゴシック"/>
                        <a:ea typeface="ＭＳ Ｐゴシック"/>
                      </a:rPr>
                      <a:t> = -0.0942(</a:t>
                    </a:r>
                    <a:r>
                      <a:rPr lang="ja-JP" altLang="en-US" sz="900" b="0" i="1" u="none" strike="noStrike" baseline="0">
                        <a:solidFill>
                          <a:srgbClr val="000000"/>
                        </a:solidFill>
                        <a:latin typeface="cmmi10"/>
                        <a:ea typeface="ＭＳ Ｐゴシック"/>
                      </a:rPr>
                      <a:t>r</a:t>
                    </a:r>
                    <a:r>
                      <a:rPr lang="ja-JP" altLang="en-US" sz="900" b="0" i="0" u="none" strike="noStrike" baseline="0">
                        <a:solidFill>
                          <a:srgbClr val="000000"/>
                        </a:solidFill>
                        <a:latin typeface="ＭＳ Ｐゴシック"/>
                        <a:ea typeface="ＭＳ Ｐゴシック"/>
                      </a:rPr>
                      <a:t>/</a:t>
                    </a:r>
                    <a:r>
                      <a:rPr lang="ja-JP" altLang="en-US" sz="900" b="0" i="0" u="none" strike="noStrike" baseline="0">
                        <a:solidFill>
                          <a:srgbClr val="000000"/>
                        </a:solidFill>
                        <a:latin typeface="cmmi10"/>
                        <a:ea typeface="ＭＳ Ｐゴシック"/>
                      </a:rPr>
                      <a:t>l</a:t>
                    </a:r>
                    <a:r>
                      <a:rPr lang="ja-JP" altLang="en-US" sz="900" b="0" i="0" u="none" strike="noStrike" baseline="0">
                        <a:solidFill>
                          <a:srgbClr val="000000"/>
                        </a:solidFill>
                        <a:latin typeface="ＭＳ Ｐゴシック"/>
                        <a:ea typeface="ＭＳ Ｐゴシック"/>
                      </a:rPr>
                      <a:t>)</a:t>
                    </a:r>
                    <a:r>
                      <a:rPr lang="ja-JP" altLang="en-US" sz="900" b="0" i="0" u="none" strike="noStrike" baseline="30000">
                        <a:solidFill>
                          <a:srgbClr val="000000"/>
                        </a:solidFill>
                        <a:latin typeface="ＭＳ Ｐゴシック"/>
                        <a:ea typeface="ＭＳ Ｐゴシック"/>
                      </a:rPr>
                      <a:t>3</a:t>
                    </a:r>
                    <a:r>
                      <a:rPr lang="ja-JP" altLang="en-US" sz="900" b="0" i="0" u="none" strike="noStrike" baseline="0">
                        <a:solidFill>
                          <a:srgbClr val="000000"/>
                        </a:solidFill>
                        <a:latin typeface="ＭＳ Ｐゴシック"/>
                        <a:ea typeface="ＭＳ Ｐゴシック"/>
                      </a:rPr>
                      <a:t> + 0.4373(</a:t>
                    </a:r>
                    <a:r>
                      <a:rPr lang="ja-JP" altLang="en-US" sz="900" b="0" i="0" u="none" strike="noStrike" baseline="0">
                        <a:solidFill>
                          <a:srgbClr val="000000"/>
                        </a:solidFill>
                        <a:latin typeface="cmmi10"/>
                        <a:ea typeface="ＭＳ Ｐゴシック"/>
                      </a:rPr>
                      <a:t>r</a:t>
                    </a:r>
                    <a:r>
                      <a:rPr lang="ja-JP" altLang="en-US" sz="900" b="0" i="0" u="none" strike="noStrike" baseline="0">
                        <a:solidFill>
                          <a:srgbClr val="000000"/>
                        </a:solidFill>
                        <a:latin typeface="ＭＳ Ｐゴシック"/>
                        <a:ea typeface="ＭＳ Ｐゴシック"/>
                      </a:rPr>
                      <a:t>/</a:t>
                    </a:r>
                    <a:r>
                      <a:rPr lang="ja-JP" altLang="en-US" sz="900" b="0" i="0" u="none" strike="noStrike" baseline="0">
                        <a:solidFill>
                          <a:srgbClr val="000000"/>
                        </a:solidFill>
                        <a:latin typeface="cmmi10"/>
                        <a:ea typeface="ＭＳ Ｐゴシック"/>
                      </a:rPr>
                      <a:t>l</a:t>
                    </a:r>
                    <a:r>
                      <a:rPr lang="ja-JP" altLang="en-US" sz="900" b="0" i="0" u="none" strike="noStrike" baseline="0">
                        <a:solidFill>
                          <a:srgbClr val="000000"/>
                        </a:solidFill>
                        <a:latin typeface="ＭＳ Ｐゴシック"/>
                        <a:ea typeface="ＭＳ Ｐゴシック"/>
                      </a:rPr>
                      <a:t>)</a:t>
                    </a:r>
                    <a:r>
                      <a:rPr lang="ja-JP" altLang="en-US" sz="900" b="0" i="0" u="none" strike="noStrike" baseline="30000">
                        <a:solidFill>
                          <a:srgbClr val="000000"/>
                        </a:solidFill>
                        <a:latin typeface="ＭＳ Ｐゴシック"/>
                        <a:ea typeface="ＭＳ Ｐゴシック"/>
                      </a:rPr>
                      <a:t>2</a:t>
                    </a:r>
                    <a:r>
                      <a:rPr lang="ja-JP" altLang="en-US" sz="900" b="0" i="0" u="none" strike="noStrike" baseline="0">
                        <a:solidFill>
                          <a:srgbClr val="000000"/>
                        </a:solidFill>
                        <a:latin typeface="ＭＳ Ｐゴシック"/>
                        <a:ea typeface="ＭＳ Ｐゴシック"/>
                      </a:rPr>
                      <a:t> - 0.8135(</a:t>
                    </a:r>
                    <a:r>
                      <a:rPr lang="ja-JP" altLang="en-US" sz="900" b="0" i="0" u="none" strike="noStrike" baseline="0">
                        <a:solidFill>
                          <a:srgbClr val="000000"/>
                        </a:solidFill>
                        <a:latin typeface="cmmi10"/>
                        <a:ea typeface="ＭＳ Ｐゴシック"/>
                      </a:rPr>
                      <a:t>r</a:t>
                    </a:r>
                    <a:r>
                      <a:rPr lang="ja-JP" altLang="en-US" sz="900" b="0" i="0" u="none" strike="noStrike" baseline="0">
                        <a:solidFill>
                          <a:srgbClr val="000000"/>
                        </a:solidFill>
                        <a:latin typeface="ＭＳ Ｐゴシック"/>
                        <a:ea typeface="ＭＳ Ｐゴシック"/>
                      </a:rPr>
                      <a:t>/</a:t>
                    </a:r>
                    <a:r>
                      <a:rPr lang="ja-JP" altLang="en-US" sz="900" b="0" i="0" u="none" strike="noStrike" baseline="0">
                        <a:solidFill>
                          <a:srgbClr val="000000"/>
                        </a:solidFill>
                        <a:latin typeface="cmmi10"/>
                        <a:ea typeface="ＭＳ Ｐゴシック"/>
                      </a:rPr>
                      <a:t>l</a:t>
                    </a:r>
                    <a:r>
                      <a:rPr lang="ja-JP" altLang="en-US" sz="900" b="0" i="0" u="none" strike="noStrike" baseline="0">
                        <a:solidFill>
                          <a:srgbClr val="000000"/>
                        </a:solidFill>
                        <a:latin typeface="ＭＳ Ｐゴシック"/>
                        <a:ea typeface="ＭＳ Ｐゴシック"/>
                      </a:rPr>
                      <a:t>) + 0.9966</a:t>
                    </a:r>
                  </a:p>
                </c:rich>
              </c:tx>
              <c:numFmt formatCode="General" sourceLinked="0"/>
              <c:spPr>
                <a:noFill/>
                <a:ln w="25400">
                  <a:noFill/>
                </a:ln>
              </c:spPr>
            </c:trendlineLbl>
          </c:trendline>
          <c:xVal>
            <c:numRef>
              <c:f>理論値算出!$C$11:$I$11</c:f>
              <c:numCache>
                <c:formatCode>General</c:formatCode>
                <c:ptCount val="7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1</c:v>
                </c:pt>
                <c:pt idx="6">
                  <c:v>2</c:v>
                </c:pt>
              </c:numCache>
            </c:numRef>
          </c:xVal>
          <c:yVal>
            <c:numRef>
              <c:f>理論値算出!$C$12:$I$12</c:f>
              <c:numCache>
                <c:formatCode>General</c:formatCode>
                <c:ptCount val="7"/>
                <c:pt idx="0">
                  <c:v>0.92</c:v>
                </c:pt>
                <c:pt idx="1">
                  <c:v>0.85</c:v>
                </c:pt>
                <c:pt idx="2">
                  <c:v>0.78900000000000003</c:v>
                </c:pt>
                <c:pt idx="3">
                  <c:v>0.73499999999999999</c:v>
                </c:pt>
                <c:pt idx="4">
                  <c:v>0.68799999999999994</c:v>
                </c:pt>
                <c:pt idx="5">
                  <c:v>0.52600000000000002</c:v>
                </c:pt>
                <c:pt idx="6">
                  <c:v>0.36499999999999999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968960"/>
        <c:axId val="219969744"/>
      </c:scatterChart>
      <c:valAx>
        <c:axId val="219968960"/>
        <c:scaling>
          <c:orientation val="minMax"/>
          <c:max val="2.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mmi10"/>
                    <a:ea typeface="cmmi10"/>
                    <a:cs typeface="cmmi10"/>
                  </a:defRPr>
                </a:pPr>
                <a:r>
                  <a:rPr lang="ja-JP" altLang="en-US" sz="1000" b="0" i="0" u="none" strike="noStrike" baseline="0">
                    <a:solidFill>
                      <a:srgbClr val="000000"/>
                    </a:solidFill>
                    <a:latin typeface="cmmi10"/>
                  </a:rPr>
                  <a:t>r</a:t>
                </a:r>
                <a:r>
                  <a:rPr lang="ja-JP" altLang="en-US" sz="10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/</a:t>
                </a:r>
                <a:r>
                  <a:rPr lang="ja-JP" altLang="en-US" sz="1000" b="0" i="0" u="none" strike="noStrike" baseline="0">
                    <a:solidFill>
                      <a:srgbClr val="000000"/>
                    </a:solidFill>
                    <a:latin typeface="cmmi10"/>
                    <a:ea typeface="ＭＳ Ｐゴシック"/>
                  </a:rPr>
                  <a:t>l</a:t>
                </a:r>
                <a:endParaRPr lang="ja-JP" altLang="en-US" sz="1000" b="0" i="0" u="none" strike="noStrike" baseline="0">
                  <a:solidFill>
                    <a:srgbClr val="000000"/>
                  </a:solidFill>
                  <a:latin typeface="cmmi10"/>
                </a:endParaRPr>
              </a:p>
            </c:rich>
          </c:tx>
          <c:layout>
            <c:manualLayout>
              <c:xMode val="edge"/>
              <c:yMode val="edge"/>
              <c:x val="0.51499140340444993"/>
              <c:y val="0.8766083343113620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19969744"/>
        <c:crosses val="autoZero"/>
        <c:crossBetween val="midCat"/>
      </c:valAx>
      <c:valAx>
        <c:axId val="2199697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ja-JP" altLang="en-US" sz="10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長岡係数</a:t>
                </a:r>
                <a:r>
                  <a:rPr lang="ja-JP" altLang="en-US" sz="1000" b="0" i="0" u="none" strike="noStrike" baseline="0">
                    <a:solidFill>
                      <a:srgbClr val="000000"/>
                    </a:solidFill>
                    <a:latin typeface="cmmi10"/>
                    <a:ea typeface="ＭＳ Ｐゴシック"/>
                  </a:rPr>
                  <a:t>K</a:t>
                </a:r>
                <a:endParaRPr lang="ja-JP" altLang="en-US" sz="1000" b="0" i="0" u="none" strike="noStrike" baseline="0">
                  <a:solidFill>
                    <a:srgbClr val="000000"/>
                  </a:solidFill>
                  <a:latin typeface="cmmi10"/>
                </a:endParaRPr>
              </a:p>
            </c:rich>
          </c:tx>
          <c:layout>
            <c:manualLayout>
              <c:xMode val="edge"/>
              <c:yMode val="edge"/>
              <c:x val="1.7636691897412668E-2"/>
              <c:y val="0.311054570239515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19968960"/>
        <c:crosses val="autoZero"/>
        <c:crossBetween val="midCat"/>
      </c:valAx>
      <c:spPr>
        <a:solidFill>
          <a:srgbClr val="FFFFCC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1" l="0.75" r="0.75" t="1" header="0.51200000000000001" footer="0.51200000000000001"/>
    <c:pageSetup paperSize="9" orientation="landscape" horizontalDpi="0" verticalDpi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20</xdr:row>
      <xdr:rowOff>63500</xdr:rowOff>
    </xdr:from>
    <xdr:to>
      <xdr:col>6</xdr:col>
      <xdr:colOff>133350</xdr:colOff>
      <xdr:row>35</xdr:row>
      <xdr:rowOff>57150</xdr:rowOff>
    </xdr:to>
    <xdr:graphicFrame macro="">
      <xdr:nvGraphicFramePr>
        <xdr:cNvPr id="1026" name="グラフ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215900</xdr:colOff>
      <xdr:row>31</xdr:row>
      <xdr:rowOff>19050</xdr:rowOff>
    </xdr:from>
    <xdr:to>
      <xdr:col>4</xdr:col>
      <xdr:colOff>844550</xdr:colOff>
      <xdr:row>46</xdr:row>
      <xdr:rowOff>19050</xdr:rowOff>
    </xdr:to>
    <xdr:graphicFrame macro="">
      <xdr:nvGraphicFramePr>
        <xdr:cNvPr id="2049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107950</xdr:colOff>
      <xdr:row>14</xdr:row>
      <xdr:rowOff>0</xdr:rowOff>
    </xdr:from>
    <xdr:to>
      <xdr:col>5</xdr:col>
      <xdr:colOff>285750</xdr:colOff>
      <xdr:row>28</xdr:row>
      <xdr:rowOff>158750</xdr:rowOff>
    </xdr:to>
    <xdr:graphicFrame macro="">
      <xdr:nvGraphicFramePr>
        <xdr:cNvPr id="3073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9"/>
  <sheetViews>
    <sheetView workbookViewId="0">
      <selection activeCell="F3" sqref="F3"/>
    </sheetView>
  </sheetViews>
  <sheetFormatPr defaultRowHeight="13"/>
  <sheetData>
    <row r="2" spans="1:14">
      <c r="F2" t="s">
        <v>12</v>
      </c>
    </row>
    <row r="3" spans="1:14">
      <c r="B3" t="s">
        <v>0</v>
      </c>
      <c r="C3">
        <v>165.7</v>
      </c>
      <c r="D3" t="s">
        <v>1</v>
      </c>
      <c r="F3" s="11">
        <f>1/(4*PI()^2*4.89*10^(-9)*(C3*1000)^2)</f>
        <v>1.8866284851473919E-4</v>
      </c>
    </row>
    <row r="4" spans="1:14">
      <c r="B4" t="s">
        <v>2</v>
      </c>
      <c r="C4">
        <v>0.32400000000000001</v>
      </c>
      <c r="D4" t="s">
        <v>3</v>
      </c>
    </row>
    <row r="6" spans="1:14">
      <c r="I6" t="s">
        <v>4</v>
      </c>
      <c r="J6" t="s">
        <v>10</v>
      </c>
      <c r="K6" t="s">
        <v>7</v>
      </c>
      <c r="L6" t="s">
        <v>11</v>
      </c>
      <c r="M6" t="s">
        <v>8</v>
      </c>
      <c r="N6" t="s">
        <v>9</v>
      </c>
    </row>
    <row r="7" spans="1:14">
      <c r="B7">
        <v>4.0500000000000001E-2</v>
      </c>
      <c r="C7">
        <v>8.1000000000000003E-2</v>
      </c>
      <c r="D7">
        <v>0.14489720494198638</v>
      </c>
      <c r="E7">
        <v>0.16200000000000001</v>
      </c>
      <c r="F7">
        <v>0.18706148721743876</v>
      </c>
      <c r="G7">
        <v>0.22910259710444139</v>
      </c>
      <c r="H7">
        <v>0.32400000000000001</v>
      </c>
      <c r="I7">
        <f>C4/SQRT(2)</f>
        <v>0.22910259710444139</v>
      </c>
      <c r="J7">
        <f>C4/SQRT(3)</f>
        <v>0.18706148721743876</v>
      </c>
      <c r="K7">
        <f>C4/2</f>
        <v>0.16200000000000001</v>
      </c>
      <c r="L7">
        <f>C4/SQRT(5)</f>
        <v>0.14489720494198638</v>
      </c>
      <c r="M7">
        <f>C4/4</f>
        <v>8.1000000000000003E-2</v>
      </c>
      <c r="N7">
        <f>C4/8</f>
        <v>4.0500000000000001E-2</v>
      </c>
    </row>
    <row r="8" spans="1:14">
      <c r="A8" t="s">
        <v>5</v>
      </c>
      <c r="B8">
        <v>139.19999999999999</v>
      </c>
      <c r="C8">
        <v>153</v>
      </c>
      <c r="D8">
        <v>158.80000000000001</v>
      </c>
      <c r="E8">
        <v>159.80000000000001</v>
      </c>
      <c r="F8">
        <v>160.80000000000001</v>
      </c>
      <c r="G8">
        <v>162.4</v>
      </c>
      <c r="H8">
        <v>165.7</v>
      </c>
      <c r="I8">
        <v>169.8</v>
      </c>
      <c r="J8">
        <v>171.4</v>
      </c>
      <c r="K8">
        <v>172.4</v>
      </c>
      <c r="L8">
        <v>173.6</v>
      </c>
      <c r="M8">
        <v>180.2</v>
      </c>
      <c r="N8">
        <v>198.6</v>
      </c>
    </row>
    <row r="9" spans="1:14">
      <c r="A9" t="s">
        <v>6</v>
      </c>
      <c r="I9">
        <v>162.4</v>
      </c>
      <c r="J9">
        <v>160.80000000000001</v>
      </c>
      <c r="K9">
        <v>159.80000000000001</v>
      </c>
      <c r="L9">
        <v>158.80000000000001</v>
      </c>
      <c r="M9">
        <v>153</v>
      </c>
      <c r="N9">
        <v>139.19999999999999</v>
      </c>
    </row>
    <row r="12" spans="1:14">
      <c r="A12" t="s">
        <v>4</v>
      </c>
      <c r="B12" t="s">
        <v>10</v>
      </c>
      <c r="C12" t="s">
        <v>7</v>
      </c>
      <c r="D12" t="s">
        <v>11</v>
      </c>
      <c r="E12" t="s">
        <v>8</v>
      </c>
      <c r="F12" t="s">
        <v>9</v>
      </c>
      <c r="H12" t="s">
        <v>5</v>
      </c>
      <c r="I12">
        <v>169.8</v>
      </c>
    </row>
    <row r="13" spans="1:14">
      <c r="A13">
        <v>0.22910259710444139</v>
      </c>
      <c r="B13">
        <v>0.18706148721743876</v>
      </c>
      <c r="C13">
        <v>0.16200000000000001</v>
      </c>
      <c r="D13">
        <v>0.14489720494198638</v>
      </c>
      <c r="E13">
        <v>8.1000000000000003E-2</v>
      </c>
      <c r="F13">
        <v>4.0500000000000001E-2</v>
      </c>
      <c r="H13" t="s">
        <v>6</v>
      </c>
      <c r="I13">
        <v>162.4</v>
      </c>
    </row>
    <row r="14" spans="1:14">
      <c r="A14">
        <v>169.8</v>
      </c>
      <c r="B14">
        <v>171.4</v>
      </c>
      <c r="C14">
        <v>172.4</v>
      </c>
      <c r="D14">
        <v>173.6</v>
      </c>
      <c r="E14">
        <v>180.2</v>
      </c>
      <c r="F14">
        <v>198.6</v>
      </c>
      <c r="H14" t="s">
        <v>13</v>
      </c>
      <c r="I14">
        <f>C3/(ABS(I12-I13))</f>
        <v>22.391891891891873</v>
      </c>
    </row>
    <row r="16" spans="1:14">
      <c r="A16" s="4"/>
      <c r="B16" s="4"/>
      <c r="C16" s="4"/>
      <c r="D16" s="4"/>
      <c r="E16" s="4"/>
      <c r="F16" s="4"/>
      <c r="G16" s="4"/>
      <c r="H16" s="4"/>
    </row>
    <row r="17" spans="1:8">
      <c r="A17" s="7" t="s">
        <v>32</v>
      </c>
      <c r="B17" s="4" t="s">
        <v>36</v>
      </c>
      <c r="C17" s="4" t="s">
        <v>34</v>
      </c>
      <c r="D17" s="4" t="s">
        <v>35</v>
      </c>
      <c r="E17" s="4" t="s">
        <v>37</v>
      </c>
      <c r="F17" s="4" t="s">
        <v>38</v>
      </c>
      <c r="G17" s="4" t="s">
        <v>39</v>
      </c>
      <c r="H17" s="4" t="s">
        <v>40</v>
      </c>
    </row>
    <row r="18" spans="1:8">
      <c r="A18" s="12" t="s">
        <v>33</v>
      </c>
      <c r="B18" s="14">
        <v>165.7</v>
      </c>
      <c r="C18" s="9">
        <v>169.8</v>
      </c>
      <c r="D18" s="9">
        <v>171.4</v>
      </c>
      <c r="E18" s="9">
        <v>172.4</v>
      </c>
      <c r="F18" s="9">
        <v>173.6</v>
      </c>
      <c r="G18" s="9">
        <v>180.2</v>
      </c>
      <c r="H18" s="9">
        <v>198.6</v>
      </c>
    </row>
    <row r="19" spans="1:8">
      <c r="A19" s="13"/>
      <c r="B19" s="15"/>
      <c r="C19" s="10">
        <v>162.4</v>
      </c>
      <c r="D19" s="10">
        <v>160.80000000000001</v>
      </c>
      <c r="E19" s="10">
        <v>159.80000000000001</v>
      </c>
      <c r="F19" s="10">
        <v>158.80000000000001</v>
      </c>
      <c r="G19" s="10">
        <v>153</v>
      </c>
      <c r="H19" s="10">
        <v>139.19999999999999</v>
      </c>
    </row>
  </sheetData>
  <mergeCells count="2">
    <mergeCell ref="A18:A19"/>
    <mergeCell ref="B18:B19"/>
  </mergeCells>
  <phoneticPr fontId="1"/>
  <pageMargins left="0.75" right="0.75" top="1" bottom="1" header="0.51200000000000001" footer="0.51200000000000001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5"/>
  <sheetViews>
    <sheetView workbookViewId="0">
      <selection activeCell="D31" sqref="D31"/>
    </sheetView>
  </sheetViews>
  <sheetFormatPr defaultRowHeight="13"/>
  <cols>
    <col min="1" max="1" width="14.7265625" bestFit="1" customWidth="1"/>
    <col min="2" max="4" width="12.7265625" bestFit="1" customWidth="1"/>
    <col min="5" max="5" width="12.453125" bestFit="1" customWidth="1"/>
    <col min="6" max="8" width="12.7265625" bestFit="1" customWidth="1"/>
  </cols>
  <sheetData>
    <row r="2" spans="1:14">
      <c r="A2" t="s">
        <v>0</v>
      </c>
      <c r="B2" t="s">
        <v>0</v>
      </c>
      <c r="C2">
        <v>220.4</v>
      </c>
      <c r="D2" t="s">
        <v>1</v>
      </c>
      <c r="F2" t="s">
        <v>12</v>
      </c>
      <c r="H2" t="s">
        <v>14</v>
      </c>
    </row>
    <row r="3" spans="1:14">
      <c r="A3">
        <f>'自作コイル＋4．89nFコンデンサ'!C3</f>
        <v>165.7</v>
      </c>
      <c r="B3" t="s">
        <v>2</v>
      </c>
      <c r="C3">
        <v>0.21</v>
      </c>
      <c r="D3" t="s">
        <v>3</v>
      </c>
      <c r="F3" s="11">
        <f>1/(4*PI()^2*4.89*10^(-9)*(A3*1000)^2)</f>
        <v>1.8866284851473919E-4</v>
      </c>
      <c r="H3" s="11">
        <f>1/(4*PI()^2*(220.4*1000)^2*F3)</f>
        <v>2.763953266375934E-9</v>
      </c>
    </row>
    <row r="5" spans="1:14">
      <c r="I5" t="s">
        <v>4</v>
      </c>
      <c r="J5" t="s">
        <v>10</v>
      </c>
      <c r="K5" t="s">
        <v>7</v>
      </c>
      <c r="L5" t="s">
        <v>11</v>
      </c>
      <c r="M5" t="s">
        <v>8</v>
      </c>
      <c r="N5" t="s">
        <v>9</v>
      </c>
    </row>
    <row r="6" spans="1:14">
      <c r="B6">
        <f>F12</f>
        <v>2.6249999999999999E-2</v>
      </c>
      <c r="C6">
        <f>E12</f>
        <v>5.2499999999999998E-2</v>
      </c>
      <c r="D6">
        <f>D12</f>
        <v>9.3914855054991156E-2</v>
      </c>
      <c r="E6">
        <f>C12</f>
        <v>0.105</v>
      </c>
      <c r="F6">
        <f>B12</f>
        <v>0.12124355652982141</v>
      </c>
      <c r="G6">
        <f>A12</f>
        <v>0.14849242404917495</v>
      </c>
      <c r="H6">
        <v>0.21</v>
      </c>
      <c r="I6">
        <v>0.14849242404917495</v>
      </c>
      <c r="J6">
        <v>0.12124355652982141</v>
      </c>
      <c r="K6">
        <v>0.105</v>
      </c>
      <c r="L6">
        <v>9.3914855054991156E-2</v>
      </c>
      <c r="M6">
        <v>5.2499999999999998E-2</v>
      </c>
      <c r="N6">
        <v>2.6249999999999999E-2</v>
      </c>
    </row>
    <row r="7" spans="1:14">
      <c r="A7" t="s">
        <v>5</v>
      </c>
      <c r="B7">
        <v>153.6</v>
      </c>
      <c r="C7">
        <v>181.4</v>
      </c>
      <c r="D7">
        <v>198.1</v>
      </c>
      <c r="E7">
        <v>202.8</v>
      </c>
      <c r="F7">
        <v>206.7</v>
      </c>
      <c r="G7">
        <v>210.2</v>
      </c>
      <c r="H7">
        <v>220.4</v>
      </c>
      <c r="I7">
        <v>232.4</v>
      </c>
      <c r="J7">
        <v>237</v>
      </c>
      <c r="K7">
        <v>241.3</v>
      </c>
      <c r="L7">
        <v>245.3</v>
      </c>
      <c r="M7">
        <v>270.3</v>
      </c>
      <c r="N7">
        <v>333.2</v>
      </c>
    </row>
    <row r="8" spans="1:14">
      <c r="A8" t="s">
        <v>6</v>
      </c>
    </row>
    <row r="11" spans="1:14">
      <c r="A11" t="s">
        <v>4</v>
      </c>
      <c r="B11" t="s">
        <v>10</v>
      </c>
      <c r="C11" t="s">
        <v>7</v>
      </c>
      <c r="D11" t="s">
        <v>11</v>
      </c>
      <c r="E11" t="s">
        <v>8</v>
      </c>
      <c r="F11" t="s">
        <v>9</v>
      </c>
      <c r="H11" t="s">
        <v>5</v>
      </c>
      <c r="I11">
        <v>232.4</v>
      </c>
    </row>
    <row r="12" spans="1:14">
      <c r="A12">
        <f>C3/SQRT(2)</f>
        <v>0.14849242404917495</v>
      </c>
      <c r="B12">
        <f>C3/SQRT(3)</f>
        <v>0.12124355652982141</v>
      </c>
      <c r="C12">
        <f>C3/2</f>
        <v>0.105</v>
      </c>
      <c r="D12">
        <f>C3/SQRT(5)</f>
        <v>9.3914855054991156E-2</v>
      </c>
      <c r="E12">
        <f>C3/4</f>
        <v>5.2499999999999998E-2</v>
      </c>
      <c r="F12">
        <f>C3/8</f>
        <v>2.6249999999999999E-2</v>
      </c>
      <c r="H12" t="s">
        <v>6</v>
      </c>
      <c r="I12">
        <v>210.2</v>
      </c>
    </row>
    <row r="13" spans="1:14">
      <c r="A13">
        <v>232.4</v>
      </c>
      <c r="B13">
        <v>237</v>
      </c>
      <c r="C13">
        <v>241.3</v>
      </c>
      <c r="D13">
        <v>245.3</v>
      </c>
      <c r="E13">
        <v>270.3</v>
      </c>
      <c r="F13">
        <v>333.2</v>
      </c>
      <c r="H13" t="s">
        <v>13</v>
      </c>
      <c r="I13">
        <f>C2/(ABS(I11-I12))</f>
        <v>9.9279279279279198</v>
      </c>
    </row>
    <row r="14" spans="1:14">
      <c r="A14">
        <v>210.2</v>
      </c>
      <c r="B14">
        <v>206.7</v>
      </c>
      <c r="C14">
        <v>202.8</v>
      </c>
      <c r="D14">
        <v>198.1</v>
      </c>
      <c r="E14">
        <v>181.4</v>
      </c>
      <c r="F14">
        <v>153.6</v>
      </c>
    </row>
    <row r="17" spans="1:8">
      <c r="B17" t="s">
        <v>5</v>
      </c>
      <c r="C17">
        <v>232.4</v>
      </c>
    </row>
    <row r="18" spans="1:8">
      <c r="B18" t="s">
        <v>6</v>
      </c>
      <c r="C18">
        <v>210.2</v>
      </c>
    </row>
    <row r="19" spans="1:8">
      <c r="B19" t="s">
        <v>13</v>
      </c>
      <c r="C19">
        <f>C2/(C17-C18)</f>
        <v>9.9279279279279198</v>
      </c>
    </row>
    <row r="22" spans="1:8">
      <c r="A22" s="4"/>
      <c r="B22" s="4"/>
      <c r="C22" s="4"/>
      <c r="D22" s="4"/>
      <c r="E22" s="4"/>
      <c r="F22" s="4"/>
      <c r="G22" s="4"/>
      <c r="H22" s="4"/>
    </row>
    <row r="23" spans="1:8">
      <c r="A23" s="6" t="s">
        <v>32</v>
      </c>
      <c r="B23" s="4" t="s">
        <v>36</v>
      </c>
      <c r="C23" s="4" t="s">
        <v>34</v>
      </c>
      <c r="D23" s="4" t="s">
        <v>35</v>
      </c>
      <c r="E23" s="4" t="s">
        <v>37</v>
      </c>
      <c r="F23" s="4" t="s">
        <v>38</v>
      </c>
      <c r="G23" s="4" t="s">
        <v>39</v>
      </c>
      <c r="H23" s="4" t="s">
        <v>40</v>
      </c>
    </row>
    <row r="24" spans="1:8">
      <c r="A24" s="12" t="s">
        <v>33</v>
      </c>
      <c r="B24" s="16">
        <v>220.4</v>
      </c>
      <c r="C24" s="5">
        <v>232.4</v>
      </c>
      <c r="D24" s="5">
        <v>237</v>
      </c>
      <c r="E24" s="5">
        <v>241.3</v>
      </c>
      <c r="F24" s="5">
        <v>245.3</v>
      </c>
      <c r="G24" s="5">
        <v>270.3</v>
      </c>
      <c r="H24" s="5">
        <v>333.2</v>
      </c>
    </row>
    <row r="25" spans="1:8">
      <c r="A25" s="13"/>
      <c r="B25" s="17"/>
      <c r="C25" s="4">
        <v>210.2</v>
      </c>
      <c r="D25" s="4">
        <v>206.7</v>
      </c>
      <c r="E25" s="4">
        <v>202.8</v>
      </c>
      <c r="F25" s="4">
        <v>198.1</v>
      </c>
      <c r="G25" s="4">
        <v>181.4</v>
      </c>
      <c r="H25" s="4">
        <v>153.6</v>
      </c>
    </row>
  </sheetData>
  <mergeCells count="2">
    <mergeCell ref="A24:A25"/>
    <mergeCell ref="B24:B25"/>
  </mergeCells>
  <phoneticPr fontId="1"/>
  <pageMargins left="0.75" right="0.75" top="1" bottom="1" header="0.51200000000000001" footer="0.51200000000000001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2"/>
  <sheetViews>
    <sheetView tabSelected="1" topLeftCell="B1" workbookViewId="0">
      <selection activeCell="H26" sqref="H26"/>
    </sheetView>
  </sheetViews>
  <sheetFormatPr defaultRowHeight="13"/>
  <cols>
    <col min="2" max="2" width="11" bestFit="1" customWidth="1"/>
    <col min="3" max="3" width="12.7265625" bestFit="1" customWidth="1"/>
    <col min="4" max="4" width="11" bestFit="1" customWidth="1"/>
    <col min="5" max="5" width="14.26953125" bestFit="1" customWidth="1"/>
    <col min="7" max="7" width="15.6328125" bestFit="1" customWidth="1"/>
    <col min="8" max="8" width="19.36328125" bestFit="1" customWidth="1"/>
    <col min="9" max="9" width="20.08984375" bestFit="1" customWidth="1"/>
    <col min="12" max="12" width="11" bestFit="1" customWidth="1"/>
  </cols>
  <sheetData>
    <row r="2" spans="2:10">
      <c r="B2" t="s">
        <v>12</v>
      </c>
      <c r="C2" t="s">
        <v>14</v>
      </c>
    </row>
    <row r="3" spans="2:10">
      <c r="B3" s="1">
        <f>1/(4*PI()^2*4.89*10^(-9)*(165.5*1000)^2)</f>
        <v>1.8911910674843969E-4</v>
      </c>
      <c r="C3" s="1">
        <f>1/(4*PI()^2*(220.4*1000)^2*B3)</f>
        <v>2.7572851065213887E-9</v>
      </c>
    </row>
    <row r="6" spans="2:10">
      <c r="B6" t="s">
        <v>22</v>
      </c>
      <c r="C6">
        <v>100</v>
      </c>
      <c r="D6" t="s">
        <v>23</v>
      </c>
      <c r="H6" t="s">
        <v>24</v>
      </c>
      <c r="I6" s="1">
        <f>3.95*10^(-6)*F9*(C7*10^(-3))^2*C6^2/(C8*10^(-3))</f>
        <v>1.6449788238145026E-4</v>
      </c>
      <c r="J6" t="s">
        <v>53</v>
      </c>
    </row>
    <row r="7" spans="2:10">
      <c r="B7" t="s">
        <v>15</v>
      </c>
      <c r="C7">
        <v>11.55</v>
      </c>
      <c r="D7" t="s">
        <v>16</v>
      </c>
    </row>
    <row r="8" spans="2:10">
      <c r="B8" t="s">
        <v>17</v>
      </c>
      <c r="C8">
        <v>21.5</v>
      </c>
      <c r="D8" t="s">
        <v>16</v>
      </c>
      <c r="E8" t="s">
        <v>20</v>
      </c>
      <c r="F8" t="s">
        <v>21</v>
      </c>
      <c r="H8" t="s">
        <v>25</v>
      </c>
      <c r="I8" s="2">
        <f>ABS(I6-B3)/B3*100</f>
        <v>13.018898402338486</v>
      </c>
    </row>
    <row r="9" spans="2:10">
      <c r="B9" t="s">
        <v>18</v>
      </c>
      <c r="C9">
        <f>C7/C8</f>
        <v>0.53720930232558139</v>
      </c>
      <c r="E9" t="s">
        <v>19</v>
      </c>
      <c r="F9">
        <f xml:space="preserve"> -0.0942*C9^3 + 0.4373*C9^2 - 0.8135*C9 + 0.9966</f>
        <v>0.6711779918346813</v>
      </c>
      <c r="J9" t="s">
        <v>52</v>
      </c>
    </row>
    <row r="11" spans="2:10">
      <c r="B11" t="s">
        <v>18</v>
      </c>
      <c r="C11">
        <v>0.1</v>
      </c>
      <c r="D11">
        <v>0.2</v>
      </c>
      <c r="E11">
        <v>0.3</v>
      </c>
      <c r="F11">
        <v>0.4</v>
      </c>
      <c r="G11">
        <v>0.5</v>
      </c>
      <c r="H11">
        <v>1</v>
      </c>
      <c r="I11">
        <v>2</v>
      </c>
    </row>
    <row r="12" spans="2:10">
      <c r="B12" t="s">
        <v>19</v>
      </c>
      <c r="C12">
        <v>0.92</v>
      </c>
      <c r="D12">
        <v>0.85</v>
      </c>
      <c r="E12">
        <v>0.78900000000000003</v>
      </c>
      <c r="F12">
        <v>0.73499999999999999</v>
      </c>
      <c r="G12">
        <v>0.68799999999999994</v>
      </c>
      <c r="H12">
        <v>0.52600000000000002</v>
      </c>
      <c r="I12">
        <v>0.36499999999999999</v>
      </c>
    </row>
    <row r="15" spans="2:10">
      <c r="G15" t="s">
        <v>26</v>
      </c>
      <c r="H15" s="1">
        <f>2.525*10^(-2)</f>
        <v>2.5249999999999998E-2</v>
      </c>
      <c r="I15" t="s">
        <v>48</v>
      </c>
    </row>
    <row r="16" spans="2:10">
      <c r="G16" t="s">
        <v>30</v>
      </c>
      <c r="H16" s="1">
        <f>29*10^(-2)</f>
        <v>0.28999999999999998</v>
      </c>
      <c r="I16" t="s">
        <v>48</v>
      </c>
    </row>
    <row r="17" spans="7:9">
      <c r="G17" t="s">
        <v>27</v>
      </c>
      <c r="H17" s="1">
        <f>9.8*10^(-5)</f>
        <v>9.800000000000001E-5</v>
      </c>
      <c r="I17" t="s">
        <v>48</v>
      </c>
    </row>
    <row r="18" spans="7:9">
      <c r="G18" t="s">
        <v>49</v>
      </c>
      <c r="H18" s="1">
        <f>2.45*10^(-2)</f>
        <v>2.4500000000000001E-2</v>
      </c>
      <c r="I18" t="s">
        <v>48</v>
      </c>
    </row>
    <row r="19" spans="7:9">
      <c r="G19" t="s">
        <v>41</v>
      </c>
      <c r="H19" s="1">
        <f>H15*(H16-H18)</f>
        <v>6.703874999999998E-3</v>
      </c>
      <c r="I19" t="s">
        <v>50</v>
      </c>
    </row>
    <row r="20" spans="7:9">
      <c r="G20" t="s">
        <v>28</v>
      </c>
      <c r="H20" s="1">
        <v>3.5</v>
      </c>
    </row>
    <row r="21" spans="7:9">
      <c r="G21" t="s">
        <v>55</v>
      </c>
      <c r="H21" s="1">
        <f>H15*2*PI()*0.54*10^(-3)</f>
        <v>8.5671231663393655E-5</v>
      </c>
      <c r="I21" t="s">
        <v>50</v>
      </c>
    </row>
    <row r="22" spans="7:9">
      <c r="G22" t="s">
        <v>56</v>
      </c>
      <c r="H22" s="1">
        <f>H15*2*PI()*3.12*10^(-3)</f>
        <v>4.9498933849960783E-4</v>
      </c>
      <c r="I22" t="s">
        <v>50</v>
      </c>
    </row>
    <row r="23" spans="7:9">
      <c r="G23" t="s">
        <v>54</v>
      </c>
      <c r="H23" s="1">
        <f>2*H19 - H21 - H22</f>
        <v>1.2827089429836994E-2</v>
      </c>
      <c r="I23" t="s">
        <v>50</v>
      </c>
    </row>
    <row r="24" spans="7:9">
      <c r="H24" s="1"/>
    </row>
    <row r="25" spans="7:9">
      <c r="G25" t="s">
        <v>29</v>
      </c>
      <c r="H25" s="1">
        <f>8.85*10^(-12)*2*H20*H19/H17</f>
        <v>4.2378066964285692E-9</v>
      </c>
      <c r="I25" t="s">
        <v>51</v>
      </c>
    </row>
    <row r="26" spans="7:9">
      <c r="G26" t="s">
        <v>57</v>
      </c>
      <c r="H26">
        <f>8.85*10^(-12)*H20*H23/H17</f>
        <v>4.0542764805020484E-9</v>
      </c>
      <c r="I26" t="s">
        <v>51</v>
      </c>
    </row>
    <row r="28" spans="7:9">
      <c r="G28" t="s">
        <v>31</v>
      </c>
      <c r="H28" s="3">
        <f>ABS(H25 - $C3)/H25 *100</f>
        <v>34.936034037486813</v>
      </c>
      <c r="I28" t="s">
        <v>52</v>
      </c>
    </row>
    <row r="29" spans="7:9">
      <c r="H29" s="3"/>
    </row>
    <row r="30" spans="7:9">
      <c r="G30" s="5"/>
      <c r="H30" s="8" t="s">
        <v>42</v>
      </c>
      <c r="I30" s="8" t="s">
        <v>43</v>
      </c>
    </row>
    <row r="31" spans="7:9">
      <c r="G31" s="5" t="s">
        <v>44</v>
      </c>
      <c r="H31" s="5" t="s">
        <v>46</v>
      </c>
      <c r="I31" s="5" t="s">
        <v>47</v>
      </c>
    </row>
    <row r="32" spans="7:9">
      <c r="G32" s="4" t="s">
        <v>45</v>
      </c>
      <c r="H32" s="4">
        <v>2.76</v>
      </c>
      <c r="I32" s="4">
        <v>4.24</v>
      </c>
    </row>
  </sheetData>
  <phoneticPr fontId="1"/>
  <pageMargins left="0.75" right="0.75" top="1" bottom="1" header="0.51200000000000001" footer="0.51200000000000001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自作コイル＋4．89nFコンデンサ</vt:lpstr>
      <vt:lpstr>自作コイル＋自作コンデンサー</vt:lpstr>
      <vt:lpstr>理論値算出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小泉和也</dc:creator>
  <cp:lastModifiedBy>桜庭玉藻</cp:lastModifiedBy>
  <dcterms:created xsi:type="dcterms:W3CDTF">2006-10-26T03:24:43Z</dcterms:created>
  <dcterms:modified xsi:type="dcterms:W3CDTF">2014-08-09T08:20:20Z</dcterms:modified>
</cp:coreProperties>
</file>