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240" yWindow="20" windowWidth="9210" windowHeight="8330" activeTab="3"/>
  </bookViews>
  <sheets>
    <sheet name="①偏光" sheetId="1" r:id="rId1"/>
    <sheet name="②反射" sheetId="2" r:id="rId2"/>
    <sheet name="③波長" sheetId="3" r:id="rId3"/>
    <sheet name="③波長２" sheetId="4" r:id="rId4"/>
  </sheets>
  <calcPr calcId="152511"/>
</workbook>
</file>

<file path=xl/calcChain.xml><?xml version="1.0" encoding="utf-8"?>
<calcChain xmlns="http://schemas.openxmlformats.org/spreadsheetml/2006/main">
  <c r="E32" i="4" l="1"/>
  <c r="AB15" i="4"/>
  <c r="AC15" i="4"/>
  <c r="AD15" i="4"/>
  <c r="AA15" i="4"/>
  <c r="C4" i="4"/>
  <c r="D4" i="3"/>
  <c r="E4" i="3" s="1"/>
  <c r="D5" i="3"/>
  <c r="E5" i="3"/>
  <c r="D6" i="3"/>
  <c r="E6" i="3" s="1"/>
  <c r="D7" i="3"/>
  <c r="E7" i="3"/>
  <c r="D8" i="3"/>
  <c r="E8" i="3" s="1"/>
  <c r="D9" i="3"/>
  <c r="E9" i="3"/>
  <c r="D10" i="3"/>
  <c r="E10" i="3" s="1"/>
  <c r="D11" i="3"/>
  <c r="E11" i="3"/>
  <c r="D12" i="3"/>
  <c r="E12" i="3" s="1"/>
  <c r="D13" i="3"/>
  <c r="E13" i="3"/>
  <c r="U6" i="4"/>
  <c r="U4" i="4"/>
  <c r="O4" i="4"/>
  <c r="I6" i="4"/>
  <c r="I4" i="4"/>
  <c r="U11" i="2"/>
  <c r="V11" i="2" s="1"/>
  <c r="U7" i="2"/>
  <c r="V7" i="2" s="1"/>
  <c r="U8" i="2"/>
  <c r="V8" i="2" s="1"/>
  <c r="U9" i="2"/>
  <c r="V9" i="2" s="1"/>
  <c r="U10" i="2"/>
  <c r="V10" i="2" s="1"/>
  <c r="U12" i="2"/>
  <c r="V12" i="2" s="1"/>
  <c r="U13" i="2"/>
  <c r="V13" i="2" s="1"/>
  <c r="U14" i="2"/>
  <c r="V14" i="2" s="1"/>
  <c r="U15" i="2"/>
  <c r="V15" i="2" s="1"/>
  <c r="V6" i="2"/>
  <c r="R7" i="2"/>
  <c r="R10" i="2"/>
  <c r="R11" i="2"/>
  <c r="R14" i="2"/>
  <c r="Q6" i="2"/>
  <c r="R6" i="2" s="1"/>
  <c r="U6" i="2"/>
  <c r="Q7" i="2"/>
  <c r="Q8" i="2"/>
  <c r="R8" i="2" s="1"/>
  <c r="Q9" i="2"/>
  <c r="R9" i="2" s="1"/>
  <c r="Q10" i="2"/>
  <c r="Q11" i="2"/>
  <c r="Q12" i="2"/>
  <c r="R12" i="2" s="1"/>
  <c r="Q13" i="2"/>
  <c r="R13" i="2" s="1"/>
  <c r="Q14" i="2"/>
  <c r="AE27" i="3"/>
  <c r="AE26" i="3"/>
  <c r="AE25" i="3"/>
  <c r="AE24" i="3"/>
  <c r="AE23" i="3"/>
  <c r="AE22" i="3"/>
  <c r="AE21" i="3"/>
  <c r="AE20" i="3"/>
  <c r="AE19" i="3"/>
  <c r="AE18" i="3"/>
  <c r="AB27" i="3"/>
  <c r="AB26" i="3"/>
  <c r="AB25" i="3"/>
  <c r="AB24" i="3"/>
  <c r="AB23" i="3"/>
  <c r="AB22" i="3"/>
  <c r="AB21" i="3"/>
  <c r="AB20" i="3"/>
  <c r="AB19" i="3"/>
  <c r="AB18" i="3"/>
  <c r="AE14" i="3"/>
  <c r="AE13" i="3"/>
  <c r="AE12" i="3"/>
  <c r="AE11" i="3"/>
  <c r="AE10" i="3"/>
  <c r="AE9" i="3"/>
  <c r="AE8" i="3"/>
  <c r="AE7" i="3"/>
  <c r="AE6" i="3"/>
  <c r="AE5" i="3"/>
  <c r="AB14" i="3"/>
  <c r="AB13" i="3"/>
  <c r="AB12" i="3"/>
  <c r="AB11" i="3"/>
  <c r="AB10" i="3"/>
  <c r="AB9" i="3"/>
  <c r="AB8" i="3"/>
  <c r="AB7" i="3"/>
  <c r="AB6" i="3"/>
  <c r="AB5" i="3"/>
  <c r="M27" i="2"/>
  <c r="M26" i="2"/>
  <c r="M25" i="2"/>
  <c r="M24" i="2"/>
  <c r="M23" i="2"/>
  <c r="M22" i="2"/>
  <c r="M21" i="2"/>
  <c r="M20" i="2"/>
  <c r="M19" i="2"/>
  <c r="M18" i="2"/>
  <c r="K27" i="2"/>
  <c r="K26" i="2"/>
  <c r="K25" i="2"/>
  <c r="K24" i="2"/>
  <c r="K23" i="2"/>
  <c r="K22" i="2"/>
  <c r="K21" i="2"/>
  <c r="K20" i="2"/>
  <c r="K19" i="2"/>
  <c r="K18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R28" i="1"/>
  <c r="R27" i="1"/>
  <c r="R26" i="1"/>
  <c r="R25" i="1"/>
  <c r="R24" i="1"/>
  <c r="R23" i="1"/>
  <c r="R22" i="1"/>
  <c r="R21" i="1"/>
  <c r="R20" i="1"/>
  <c r="R19" i="1"/>
  <c r="N28" i="1"/>
  <c r="N27" i="1"/>
  <c r="N26" i="1"/>
  <c r="N25" i="1"/>
  <c r="N24" i="1"/>
  <c r="N23" i="1"/>
  <c r="N22" i="1"/>
  <c r="N21" i="1"/>
  <c r="N20" i="1"/>
  <c r="N19" i="1"/>
  <c r="P28" i="1"/>
  <c r="P27" i="1"/>
  <c r="P26" i="1"/>
  <c r="P25" i="1"/>
  <c r="P24" i="1"/>
  <c r="P23" i="1"/>
  <c r="P22" i="1"/>
  <c r="P21" i="1"/>
  <c r="P20" i="1"/>
  <c r="P19" i="1"/>
  <c r="I19" i="4"/>
  <c r="C19" i="4"/>
  <c r="F4" i="3"/>
  <c r="C6" i="4" s="1"/>
  <c r="J4" i="3"/>
  <c r="K4" i="3"/>
  <c r="I3" i="4" s="1"/>
  <c r="L4" i="3"/>
  <c r="P4" i="3"/>
  <c r="Q4" i="3"/>
  <c r="R4" i="3"/>
  <c r="O6" i="4" s="1"/>
  <c r="V4" i="3"/>
  <c r="U5" i="4" s="1"/>
  <c r="W4" i="3"/>
  <c r="U3" i="4" s="1"/>
  <c r="X4" i="3"/>
  <c r="F5" i="3"/>
  <c r="J5" i="3"/>
  <c r="K5" i="3"/>
  <c r="L5" i="3"/>
  <c r="P5" i="3"/>
  <c r="Q5" i="3" s="1"/>
  <c r="R5" i="3"/>
  <c r="V5" i="3"/>
  <c r="W5" i="3"/>
  <c r="X5" i="3"/>
  <c r="F6" i="3"/>
  <c r="J6" i="3"/>
  <c r="K6" i="3"/>
  <c r="L6" i="3"/>
  <c r="P6" i="3"/>
  <c r="Q6" i="3"/>
  <c r="R6" i="3"/>
  <c r="V6" i="3"/>
  <c r="W6" i="3"/>
  <c r="X6" i="3"/>
  <c r="F7" i="3"/>
  <c r="J7" i="3"/>
  <c r="K7" i="3"/>
  <c r="L7" i="3"/>
  <c r="P7" i="3"/>
  <c r="Q7" i="3" s="1"/>
  <c r="R7" i="3"/>
  <c r="V7" i="3"/>
  <c r="W7" i="3"/>
  <c r="X7" i="3"/>
  <c r="F8" i="3"/>
  <c r="J8" i="3"/>
  <c r="K8" i="3"/>
  <c r="L8" i="3"/>
  <c r="P8" i="3"/>
  <c r="Q8" i="3"/>
  <c r="R8" i="3"/>
  <c r="V8" i="3"/>
  <c r="W8" i="3"/>
  <c r="X8" i="3"/>
  <c r="F9" i="3"/>
  <c r="J9" i="3"/>
  <c r="K9" i="3"/>
  <c r="L9" i="3"/>
  <c r="P9" i="3"/>
  <c r="Q9" i="3" s="1"/>
  <c r="R9" i="3"/>
  <c r="V9" i="3"/>
  <c r="W9" i="3"/>
  <c r="X9" i="3"/>
  <c r="F10" i="3"/>
  <c r="J10" i="3"/>
  <c r="K10" i="3"/>
  <c r="L10" i="3"/>
  <c r="P10" i="3"/>
  <c r="Q10" i="3"/>
  <c r="R10" i="3"/>
  <c r="V10" i="3"/>
  <c r="W10" i="3"/>
  <c r="X10" i="3"/>
  <c r="F11" i="3"/>
  <c r="J11" i="3"/>
  <c r="K11" i="3"/>
  <c r="L11" i="3"/>
  <c r="P11" i="3"/>
  <c r="Q11" i="3" s="1"/>
  <c r="R11" i="3"/>
  <c r="V11" i="3"/>
  <c r="W11" i="3"/>
  <c r="X11" i="3"/>
  <c r="F12" i="3"/>
  <c r="J12" i="3"/>
  <c r="K12" i="3"/>
  <c r="L12" i="3"/>
  <c r="P12" i="3"/>
  <c r="Q12" i="3"/>
  <c r="R12" i="3"/>
  <c r="V12" i="3"/>
  <c r="W12" i="3"/>
  <c r="X12" i="3"/>
  <c r="F13" i="3"/>
  <c r="J13" i="3"/>
  <c r="K13" i="3"/>
  <c r="L13" i="3"/>
  <c r="P13" i="3"/>
  <c r="Q13" i="3" s="1"/>
  <c r="R13" i="3"/>
  <c r="V13" i="3"/>
  <c r="W13" i="3"/>
  <c r="X13" i="3"/>
  <c r="J14" i="3"/>
  <c r="K14" i="3"/>
  <c r="L14" i="3"/>
  <c r="P14" i="3"/>
  <c r="Q14" i="3"/>
  <c r="R14" i="3"/>
  <c r="V14" i="3"/>
  <c r="W14" i="3" s="1"/>
  <c r="X14" i="3"/>
  <c r="D19" i="3"/>
  <c r="C20" i="4" s="1"/>
  <c r="E19" i="3"/>
  <c r="C18" i="4" s="1"/>
  <c r="F19" i="3"/>
  <c r="J19" i="3"/>
  <c r="K19" i="3"/>
  <c r="L19" i="3"/>
  <c r="I21" i="4" s="1"/>
  <c r="D20" i="3"/>
  <c r="E20" i="3"/>
  <c r="F20" i="3"/>
  <c r="C21" i="4" s="1"/>
  <c r="C24" i="4" s="1"/>
  <c r="J20" i="3"/>
  <c r="K20" i="3" s="1"/>
  <c r="L20" i="3"/>
  <c r="D21" i="3"/>
  <c r="E21" i="3"/>
  <c r="F21" i="3"/>
  <c r="J21" i="3"/>
  <c r="K21" i="3"/>
  <c r="L21" i="3"/>
  <c r="D22" i="3"/>
  <c r="E22" i="3"/>
  <c r="F22" i="3"/>
  <c r="J22" i="3"/>
  <c r="K22" i="3" s="1"/>
  <c r="L22" i="3"/>
  <c r="D23" i="3"/>
  <c r="E23" i="3"/>
  <c r="F23" i="3"/>
  <c r="J23" i="3"/>
  <c r="K23" i="3"/>
  <c r="L23" i="3"/>
  <c r="D24" i="3"/>
  <c r="E24" i="3"/>
  <c r="F24" i="3"/>
  <c r="J24" i="3"/>
  <c r="K24" i="3" s="1"/>
  <c r="L24" i="3"/>
  <c r="D25" i="3"/>
  <c r="E25" i="3"/>
  <c r="F25" i="3"/>
  <c r="J25" i="3"/>
  <c r="K25" i="3"/>
  <c r="L25" i="3"/>
  <c r="D26" i="3"/>
  <c r="E26" i="3"/>
  <c r="F26" i="3"/>
  <c r="J26" i="3"/>
  <c r="K26" i="3" s="1"/>
  <c r="L26" i="3"/>
  <c r="D27" i="3"/>
  <c r="E27" i="3"/>
  <c r="F27" i="3"/>
  <c r="J27" i="3"/>
  <c r="K27" i="3"/>
  <c r="L27" i="3"/>
  <c r="D28" i="3"/>
  <c r="E28" i="3"/>
  <c r="F28" i="3"/>
  <c r="J28" i="3"/>
  <c r="K28" i="3" s="1"/>
  <c r="L28" i="3"/>
  <c r="D29" i="3"/>
  <c r="E29" i="3"/>
  <c r="F29" i="3"/>
  <c r="J29" i="3"/>
  <c r="K29" i="3"/>
  <c r="L29" i="3"/>
  <c r="D30" i="3"/>
  <c r="E30" i="3"/>
  <c r="F30" i="3"/>
  <c r="J30" i="3"/>
  <c r="K30" i="3" s="1"/>
  <c r="L30" i="3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C4" i="1"/>
  <c r="E4" i="1"/>
  <c r="G4" i="1"/>
  <c r="I4" i="1"/>
  <c r="J4" i="1"/>
  <c r="C5" i="1"/>
  <c r="E5" i="1"/>
  <c r="G5" i="1"/>
  <c r="I5" i="1"/>
  <c r="J5" i="1"/>
  <c r="C6" i="1"/>
  <c r="J6" i="1" s="1"/>
  <c r="E6" i="1"/>
  <c r="G6" i="1"/>
  <c r="I6" i="1"/>
  <c r="C7" i="1"/>
  <c r="J7" i="1" s="1"/>
  <c r="E7" i="1"/>
  <c r="G7" i="1"/>
  <c r="I7" i="1"/>
  <c r="C8" i="1"/>
  <c r="E8" i="1"/>
  <c r="G8" i="1"/>
  <c r="I8" i="1"/>
  <c r="J8" i="1"/>
  <c r="C9" i="1"/>
  <c r="J9" i="1" s="1"/>
  <c r="E9" i="1"/>
  <c r="G9" i="1"/>
  <c r="I9" i="1"/>
  <c r="C10" i="1"/>
  <c r="J10" i="1" s="1"/>
  <c r="E10" i="1"/>
  <c r="G10" i="1"/>
  <c r="I10" i="1"/>
  <c r="C11" i="1"/>
  <c r="J11" i="1" s="1"/>
  <c r="E11" i="1"/>
  <c r="G11" i="1"/>
  <c r="I11" i="1"/>
  <c r="C12" i="1"/>
  <c r="E12" i="1"/>
  <c r="G12" i="1"/>
  <c r="I12" i="1"/>
  <c r="J12" i="1"/>
  <c r="C13" i="1"/>
  <c r="J13" i="1" s="1"/>
  <c r="E13" i="1"/>
  <c r="G13" i="1"/>
  <c r="I13" i="1"/>
  <c r="I18" i="4" l="1"/>
  <c r="C3" i="4"/>
  <c r="O3" i="4"/>
  <c r="U9" i="4"/>
  <c r="I24" i="4"/>
  <c r="C23" i="4"/>
  <c r="C26" i="4" s="1"/>
  <c r="V9" i="4"/>
  <c r="U8" i="4"/>
  <c r="V5" i="4" s="1"/>
  <c r="V3" i="4"/>
  <c r="I20" i="4"/>
  <c r="I5" i="4"/>
  <c r="I9" i="4" s="1"/>
  <c r="O5" i="4"/>
  <c r="O9" i="4" s="1"/>
  <c r="C5" i="4"/>
  <c r="C9" i="4" s="1"/>
  <c r="V8" i="4" l="1"/>
  <c r="V4" i="4"/>
  <c r="V13" i="4" s="1"/>
  <c r="X7" i="4" s="1"/>
  <c r="X8" i="4" s="1"/>
  <c r="X11" i="4" s="1"/>
  <c r="X12" i="4" s="1"/>
  <c r="O8" i="4"/>
  <c r="C8" i="4"/>
  <c r="U11" i="4"/>
  <c r="U12" i="4" s="1"/>
  <c r="V6" i="4"/>
  <c r="V10" i="4"/>
  <c r="V12" i="4"/>
  <c r="V11" i="4"/>
  <c r="V7" i="4"/>
  <c r="I8" i="4"/>
  <c r="I23" i="4"/>
  <c r="I26" i="4" s="1"/>
  <c r="J8" i="4" l="1"/>
  <c r="J4" i="4"/>
  <c r="I11" i="4"/>
  <c r="I12" i="4" s="1"/>
  <c r="J12" i="4"/>
  <c r="J6" i="4"/>
  <c r="J5" i="4"/>
  <c r="J3" i="4"/>
  <c r="J10" i="4"/>
  <c r="J9" i="4"/>
  <c r="J7" i="4"/>
  <c r="J11" i="4"/>
  <c r="O11" i="4"/>
  <c r="O12" i="4" s="1"/>
  <c r="P7" i="4"/>
  <c r="P9" i="4"/>
  <c r="P8" i="4"/>
  <c r="P5" i="4"/>
  <c r="P6" i="4"/>
  <c r="P3" i="4"/>
  <c r="P10" i="4"/>
  <c r="P11" i="4"/>
  <c r="P12" i="4"/>
  <c r="P4" i="4"/>
  <c r="D4" i="4"/>
  <c r="D6" i="4"/>
  <c r="D10" i="4"/>
  <c r="C11" i="4"/>
  <c r="C12" i="4" s="1"/>
  <c r="D8" i="4"/>
  <c r="D12" i="4"/>
  <c r="D11" i="4"/>
  <c r="D9" i="4"/>
  <c r="D5" i="4"/>
  <c r="D3" i="4"/>
  <c r="D13" i="4" s="1"/>
  <c r="F7" i="4" s="1"/>
  <c r="F8" i="4" s="1"/>
  <c r="F11" i="4" s="1"/>
  <c r="F12" i="4" s="1"/>
  <c r="D7" i="4"/>
  <c r="J13" i="4" l="1"/>
  <c r="L7" i="4" s="1"/>
  <c r="L8" i="4" s="1"/>
  <c r="L11" i="4" s="1"/>
  <c r="L12" i="4" s="1"/>
  <c r="P13" i="4"/>
  <c r="R7" i="4" s="1"/>
  <c r="R8" i="4" s="1"/>
  <c r="R11" i="4" s="1"/>
  <c r="R12" i="4" s="1"/>
</calcChain>
</file>

<file path=xl/sharedStrings.xml><?xml version="1.0" encoding="utf-8"?>
<sst xmlns="http://schemas.openxmlformats.org/spreadsheetml/2006/main" count="294" uniqueCount="91">
  <si>
    <t>偏光角</t>
    <rPh sb="0" eb="2">
      <t>ヘンコウ</t>
    </rPh>
    <rPh sb="2" eb="3">
      <t>カク</t>
    </rPh>
    <phoneticPr fontId="1"/>
  </si>
  <si>
    <t>透過率</t>
    <rPh sb="0" eb="3">
      <t>トウカリツ</t>
    </rPh>
    <phoneticPr fontId="1"/>
  </si>
  <si>
    <t>理論値</t>
    <rPh sb="0" eb="3">
      <t>リロンチ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</si>
  <si>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</si>
  <si>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</si>
  <si>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</si>
  <si>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°</t>
    <phoneticPr fontId="1"/>
  </si>
  <si>
    <t>rad</t>
    <phoneticPr fontId="1"/>
  </si>
  <si>
    <t>光センサーの出力(V)</t>
    <rPh sb="0" eb="1">
      <t>ヒカリ</t>
    </rPh>
    <rPh sb="6" eb="8">
      <t>シュツリョク</t>
    </rPh>
    <phoneticPr fontId="1"/>
  </si>
  <si>
    <t>S波</t>
    <rPh sb="1" eb="2">
      <t>ナミ</t>
    </rPh>
    <phoneticPr fontId="1"/>
  </si>
  <si>
    <t>入射角(°)</t>
    <rPh sb="0" eb="3">
      <t>ニュウシャカク</t>
    </rPh>
    <phoneticPr fontId="1"/>
  </si>
  <si>
    <t>反射率</t>
    <rPh sb="0" eb="2">
      <t>ハンシャ</t>
    </rPh>
    <rPh sb="2" eb="3">
      <t>リツ</t>
    </rPh>
    <phoneticPr fontId="1"/>
  </si>
  <si>
    <t>P波</t>
    <rPh sb="1" eb="2">
      <t>ナミ</t>
    </rPh>
    <phoneticPr fontId="1"/>
  </si>
  <si>
    <t>d=</t>
    <phoneticPr fontId="1"/>
  </si>
  <si>
    <t>m</t>
    <phoneticPr fontId="1"/>
  </si>
  <si>
    <t>lm</t>
    <phoneticPr fontId="1"/>
  </si>
  <si>
    <t>lm(lm-l1)</t>
    <phoneticPr fontId="1"/>
  </si>
  <si>
    <t>①L=</t>
    <phoneticPr fontId="1"/>
  </si>
  <si>
    <t>②L=</t>
    <phoneticPr fontId="1"/>
  </si>
  <si>
    <t>③L=</t>
    <phoneticPr fontId="1"/>
  </si>
  <si>
    <t>④L=</t>
    <phoneticPr fontId="1"/>
  </si>
  <si>
    <t>⑤L=</t>
    <phoneticPr fontId="1"/>
  </si>
  <si>
    <t>⑥L=</t>
    <phoneticPr fontId="1"/>
  </si>
  <si>
    <t>①</t>
    <phoneticPr fontId="1"/>
  </si>
  <si>
    <t>∑xy</t>
    <phoneticPr fontId="1"/>
  </si>
  <si>
    <t>∑x</t>
    <phoneticPr fontId="1"/>
  </si>
  <si>
    <t>∑y</t>
    <phoneticPr fontId="1"/>
  </si>
  <si>
    <t>∑x^2</t>
    <phoneticPr fontId="1"/>
  </si>
  <si>
    <t>xy</t>
    <phoneticPr fontId="1"/>
  </si>
  <si>
    <t>x^2</t>
    <phoneticPr fontId="1"/>
  </si>
  <si>
    <t>a=</t>
    <phoneticPr fontId="1"/>
  </si>
  <si>
    <t>b=</t>
    <phoneticPr fontId="1"/>
  </si>
  <si>
    <t>④</t>
    <phoneticPr fontId="1"/>
  </si>
  <si>
    <t>⑥</t>
    <phoneticPr fontId="1"/>
  </si>
  <si>
    <t>⑤</t>
    <phoneticPr fontId="1"/>
  </si>
  <si>
    <t>λ=</t>
    <phoneticPr fontId="1"/>
  </si>
  <si>
    <t>出力/V</t>
    <rPh sb="0" eb="2">
      <t>シュツリョク</t>
    </rPh>
    <phoneticPr fontId="1"/>
  </si>
  <si>
    <t>0°</t>
    <phoneticPr fontId="1"/>
  </si>
  <si>
    <t>10°</t>
    <phoneticPr fontId="1"/>
  </si>
  <si>
    <t>20°</t>
    <phoneticPr fontId="1"/>
  </si>
  <si>
    <t>30°</t>
    <phoneticPr fontId="1"/>
  </si>
  <si>
    <t>40°</t>
    <phoneticPr fontId="1"/>
  </si>
  <si>
    <t>50°</t>
    <phoneticPr fontId="1"/>
  </si>
  <si>
    <t>60°</t>
    <phoneticPr fontId="1"/>
  </si>
  <si>
    <t>70°</t>
    <phoneticPr fontId="1"/>
  </si>
  <si>
    <t>80°</t>
    <phoneticPr fontId="1"/>
  </si>
  <si>
    <t>90°</t>
    <phoneticPr fontId="1"/>
  </si>
  <si>
    <t>入射角</t>
    <rPh sb="0" eb="3">
      <t>ニュウシャカク</t>
    </rPh>
    <phoneticPr fontId="1"/>
  </si>
  <si>
    <t>55°</t>
    <phoneticPr fontId="1"/>
  </si>
  <si>
    <t>d=0.5mm</t>
    <phoneticPr fontId="1"/>
  </si>
  <si>
    <t>d=1.0mm</t>
    <phoneticPr fontId="1"/>
  </si>
  <si>
    <t>実験値</t>
    <rPh sb="0" eb="3">
      <t>ジッケンチ</t>
    </rPh>
    <phoneticPr fontId="1"/>
  </si>
  <si>
    <t>★理論値</t>
    <rPh sb="1" eb="4">
      <t>リロンチ</t>
    </rPh>
    <phoneticPr fontId="1"/>
  </si>
  <si>
    <t>n=</t>
    <phoneticPr fontId="1"/>
  </si>
  <si>
    <t>実験値</t>
    <rPh sb="0" eb="2">
      <t>ジッケン</t>
    </rPh>
    <rPh sb="2" eb="3">
      <t>チ</t>
    </rPh>
    <phoneticPr fontId="1"/>
  </si>
  <si>
    <r>
      <t>50</t>
    </r>
    <r>
      <rPr>
        <sz val="10.5"/>
        <rFont val="ＭＳ 明朝"/>
        <family val="1"/>
        <charset val="128"/>
      </rPr>
      <t>～</t>
    </r>
    <r>
      <rPr>
        <sz val="10.5"/>
        <rFont val="Century"/>
        <family val="1"/>
      </rPr>
      <t>55</t>
    </r>
    <r>
      <rPr>
        <sz val="10.5"/>
        <rFont val="ＭＳ 明朝"/>
        <family val="1"/>
        <charset val="128"/>
      </rPr>
      <t>°</t>
    </r>
  </si>
  <si>
    <r>
      <t>55</t>
    </r>
    <r>
      <rPr>
        <sz val="10.5"/>
        <rFont val="ＭＳ 明朝"/>
        <family val="1"/>
        <charset val="128"/>
      </rPr>
      <t>°</t>
    </r>
  </si>
  <si>
    <r>
      <t>55</t>
    </r>
    <r>
      <rPr>
        <sz val="10.5"/>
        <rFont val="ＭＳ 明朝"/>
        <family val="1"/>
        <charset val="128"/>
      </rPr>
      <t>～</t>
    </r>
    <r>
      <rPr>
        <sz val="10.5"/>
        <rFont val="Century"/>
        <family val="1"/>
      </rPr>
      <t>56</t>
    </r>
    <r>
      <rPr>
        <sz val="10.5"/>
        <rFont val="ＭＳ 明朝"/>
        <family val="1"/>
        <charset val="128"/>
      </rPr>
      <t>°</t>
    </r>
  </si>
  <si>
    <t>55°</t>
    <phoneticPr fontId="1"/>
  </si>
  <si>
    <t>&lt;a&gt;</t>
    <phoneticPr fontId="1"/>
  </si>
  <si>
    <t>d/mm</t>
    <phoneticPr fontId="1"/>
  </si>
  <si>
    <t>L/mm</t>
    <phoneticPr fontId="1"/>
  </si>
  <si>
    <t>λ/nm</t>
    <phoneticPr fontId="1"/>
  </si>
  <si>
    <t>-</t>
    <phoneticPr fontId="1"/>
  </si>
  <si>
    <t>精度/％</t>
    <rPh sb="0" eb="2">
      <t>セイド</t>
    </rPh>
    <phoneticPr fontId="1"/>
  </si>
  <si>
    <t>②</t>
    <phoneticPr fontId="1"/>
  </si>
  <si>
    <t>③</t>
    <phoneticPr fontId="1"/>
  </si>
  <si>
    <t>④</t>
    <phoneticPr fontId="1"/>
  </si>
  <si>
    <t>①</t>
    <phoneticPr fontId="1"/>
  </si>
  <si>
    <t>①L=855mm</t>
    <phoneticPr fontId="1"/>
  </si>
  <si>
    <t>②L=905mm</t>
    <phoneticPr fontId="1"/>
  </si>
  <si>
    <t>③L=870mm</t>
    <phoneticPr fontId="1"/>
  </si>
  <si>
    <t>④L=920mm</t>
    <phoneticPr fontId="1"/>
  </si>
  <si>
    <t>(y-ax)^2</t>
    <phoneticPr fontId="1"/>
  </si>
  <si>
    <t>Σ</t>
    <phoneticPr fontId="1"/>
  </si>
  <si>
    <t>σy=</t>
    <phoneticPr fontId="1"/>
  </si>
  <si>
    <t>σa=</t>
    <phoneticPr fontId="1"/>
  </si>
  <si>
    <t>σλ＝</t>
    <phoneticPr fontId="1"/>
  </si>
  <si>
    <t>σ&lt;a&gt;</t>
    <phoneticPr fontId="1"/>
  </si>
  <si>
    <t>σλ/nm</t>
    <phoneticPr fontId="1"/>
  </si>
  <si>
    <t>③</t>
    <phoneticPr fontId="1"/>
  </si>
  <si>
    <t>②</t>
    <phoneticPr fontId="1"/>
  </si>
  <si>
    <t>635.8±5.0</t>
    <phoneticPr fontId="1"/>
  </si>
  <si>
    <t>637.0±4.9</t>
    <phoneticPr fontId="1"/>
  </si>
  <si>
    <t>669.5±2.6</t>
    <phoneticPr fontId="1"/>
  </si>
  <si>
    <t>665.6±4.3</t>
    <phoneticPr fontId="1"/>
  </si>
  <si>
    <t>λ</t>
    <phoneticPr fontId="1"/>
  </si>
  <si>
    <t>σλ</t>
    <phoneticPr fontId="1"/>
  </si>
  <si>
    <t>lm</t>
    <phoneticPr fontId="1"/>
  </si>
  <si>
    <t>L</t>
    <phoneticPr fontId="1"/>
  </si>
  <si>
    <t>l0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</si>
</sst>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.00_ "/>
    <numFmt numFmtId="178" formatCode="0.000_);[Red]\(0.000\)"/>
    <numFmt numFmtId="179" formatCode="0.0000_ "/>
    <numFmt numFmtId="180" formatCode="0.00000_ "/>
    <numFmt numFmtId="186" formatCode="0.0_ 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Century"/>
      <family val="1"/>
    </font>
    <font>
      <sz val="10.5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6" xfId="0" applyNumberFormat="1" applyBorder="1">
      <alignment vertical="center"/>
    </xf>
    <xf numFmtId="178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79" fontId="0" fillId="0" borderId="1" xfId="0" applyNumberFormat="1" applyBorder="1">
      <alignment vertical="center"/>
    </xf>
    <xf numFmtId="180" fontId="0" fillId="0" borderId="3" xfId="0" applyNumberFormat="1" applyBorder="1">
      <alignment vertical="center"/>
    </xf>
    <xf numFmtId="179" fontId="0" fillId="0" borderId="3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179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right" vertical="center"/>
    </xf>
    <xf numFmtId="179" fontId="0" fillId="0" borderId="3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5" xfId="0" applyFill="1" applyBorder="1" applyAlignment="1">
      <alignment horizontal="right" vertical="center"/>
    </xf>
    <xf numFmtId="177" fontId="0" fillId="0" borderId="6" xfId="0" applyNumberFormat="1" applyFill="1" applyBorder="1">
      <alignment vertical="center"/>
    </xf>
    <xf numFmtId="177" fontId="0" fillId="0" borderId="7" xfId="0" applyNumberFormat="1" applyFill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79" fontId="0" fillId="0" borderId="0" xfId="0" applyNumberFormat="1" applyFill="1" applyBorder="1">
      <alignment vertical="center"/>
    </xf>
    <xf numFmtId="186" fontId="0" fillId="0" borderId="1" xfId="0" applyNumberFormat="1" applyBorder="1">
      <alignment vertical="center"/>
    </xf>
    <xf numFmtId="186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8248067397872"/>
          <c:y val="6.1588476851694308E-2"/>
          <c:w val="0.70879158910949791"/>
          <c:h val="0.76823521125534477"/>
        </c:manualLayout>
      </c:layout>
      <c:scatterChart>
        <c:scatterStyle val="lineMarker"/>
        <c:varyColors val="0"/>
        <c:ser>
          <c:idx val="0"/>
          <c:order val="0"/>
          <c:tx>
            <c:v>理論値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①偏光!$B$4:$B$13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①偏光!$J$4:$J$13</c:f>
              <c:numCache>
                <c:formatCode>General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yVal>
          <c:smooth val="0"/>
        </c:ser>
        <c:ser>
          <c:idx val="2"/>
          <c:order val="1"/>
          <c:tx>
            <c:v>1回目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①偏光!$B$4:$B$13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①偏光!$G$4:$G$13</c:f>
              <c:numCache>
                <c:formatCode>General</c:formatCode>
                <c:ptCount val="10"/>
                <c:pt idx="0">
                  <c:v>1</c:v>
                </c:pt>
                <c:pt idx="1">
                  <c:v>1.03125</c:v>
                </c:pt>
                <c:pt idx="2">
                  <c:v>1.0390625</c:v>
                </c:pt>
                <c:pt idx="3">
                  <c:v>1.0078125</c:v>
                </c:pt>
                <c:pt idx="4">
                  <c:v>0.89843749999999989</c:v>
                </c:pt>
                <c:pt idx="5">
                  <c:v>0.7421875</c:v>
                </c:pt>
                <c:pt idx="6">
                  <c:v>0.58437499999999998</c:v>
                </c:pt>
                <c:pt idx="7">
                  <c:v>0.38437499999999997</c:v>
                </c:pt>
                <c:pt idx="8">
                  <c:v>0.22578124999999999</c:v>
                </c:pt>
                <c:pt idx="9">
                  <c:v>0.13125000000000001</c:v>
                </c:pt>
              </c:numCache>
            </c:numRef>
          </c:yVal>
          <c:smooth val="0"/>
        </c:ser>
        <c:ser>
          <c:idx val="1"/>
          <c:order val="2"/>
          <c:tx>
            <c:v>2回目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①偏光!$B$4:$B$13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①偏光!$E$4:$E$13</c:f>
              <c:numCache>
                <c:formatCode>General</c:formatCode>
                <c:ptCount val="10"/>
                <c:pt idx="0">
                  <c:v>1</c:v>
                </c:pt>
                <c:pt idx="1">
                  <c:v>1.0944881889763778</c:v>
                </c:pt>
                <c:pt idx="2">
                  <c:v>1.110236220472441</c:v>
                </c:pt>
                <c:pt idx="3">
                  <c:v>1.0629921259842521</c:v>
                </c:pt>
                <c:pt idx="4">
                  <c:v>0.93700787401574792</c:v>
                </c:pt>
                <c:pt idx="5">
                  <c:v>0.7511811023622047</c:v>
                </c:pt>
                <c:pt idx="6">
                  <c:v>0.59763779527559058</c:v>
                </c:pt>
                <c:pt idx="7">
                  <c:v>0.37952755905511809</c:v>
                </c:pt>
                <c:pt idx="8">
                  <c:v>0.20866141732283466</c:v>
                </c:pt>
                <c:pt idx="9">
                  <c:v>0.1330708661417323</c:v>
                </c:pt>
              </c:numCache>
            </c:numRef>
          </c:yVal>
          <c:smooth val="0"/>
        </c:ser>
        <c:ser>
          <c:idx val="3"/>
          <c:order val="3"/>
          <c:tx>
            <c:v>3回目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①偏光!$B$4:$B$13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①偏光!$I$4:$I$13</c:f>
              <c:numCache>
                <c:formatCode>General</c:formatCode>
                <c:ptCount val="10"/>
                <c:pt idx="0">
                  <c:v>1</c:v>
                </c:pt>
                <c:pt idx="1">
                  <c:v>1.069767441860465</c:v>
                </c:pt>
                <c:pt idx="2">
                  <c:v>1.1085271317829457</c:v>
                </c:pt>
                <c:pt idx="3">
                  <c:v>1.054263565891473</c:v>
                </c:pt>
                <c:pt idx="4">
                  <c:v>0.93023255813953487</c:v>
                </c:pt>
                <c:pt idx="5">
                  <c:v>0.78294573643410847</c:v>
                </c:pt>
                <c:pt idx="6">
                  <c:v>0.5852713178294574</c:v>
                </c:pt>
                <c:pt idx="7">
                  <c:v>0.39147286821705424</c:v>
                </c:pt>
                <c:pt idx="8">
                  <c:v>0.22790697674418603</c:v>
                </c:pt>
                <c:pt idx="9">
                  <c:v>0.13178294573643412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6480"/>
        <c:axId val="245802952"/>
      </c:scatterChart>
      <c:valAx>
        <c:axId val="24580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偏光角</a:t>
                </a:r>
              </a:p>
            </c:rich>
          </c:tx>
          <c:layout>
            <c:manualLayout>
              <c:xMode val="edge"/>
              <c:yMode val="edge"/>
              <c:x val="0.42857165853132434"/>
              <c:y val="0.91086115764874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802952"/>
        <c:crosses val="autoZero"/>
        <c:crossBetween val="midCat"/>
      </c:valAx>
      <c:valAx>
        <c:axId val="24580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透過率</a:t>
                </a:r>
              </a:p>
            </c:rich>
          </c:tx>
          <c:layout>
            <c:manualLayout>
              <c:xMode val="edge"/>
              <c:yMode val="edge"/>
              <c:x val="2.4175837147920858E-2"/>
              <c:y val="0.38249685623683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806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03343225952534"/>
          <c:y val="0.3387366226843187"/>
          <c:w val="0.12087918573960429"/>
          <c:h val="0.21555966898093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28857953037446"/>
          <c:y val="5.8823707260144339E-2"/>
          <c:w val="0.64171894480734426"/>
          <c:h val="0.77864012504875268"/>
        </c:manualLayout>
      </c:layout>
      <c:scatterChart>
        <c:scatterStyle val="lineMarker"/>
        <c:varyColors val="0"/>
        <c:ser>
          <c:idx val="0"/>
          <c:order val="0"/>
          <c:tx>
            <c:v>S波-1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②反射!$B$5:$B$13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②反射!$D$5:$D$13</c:f>
              <c:numCache>
                <c:formatCode>General</c:formatCode>
                <c:ptCount val="9"/>
                <c:pt idx="0">
                  <c:v>2.3622047244094488E-2</c:v>
                </c:pt>
                <c:pt idx="1">
                  <c:v>4.6456692913385826E-2</c:v>
                </c:pt>
                <c:pt idx="2">
                  <c:v>5.7874015748031492E-2</c:v>
                </c:pt>
                <c:pt idx="3">
                  <c:v>6.8503937007874008E-2</c:v>
                </c:pt>
                <c:pt idx="4">
                  <c:v>0.10511811023622047</c:v>
                </c:pt>
                <c:pt idx="5">
                  <c:v>0.15039370078740158</c:v>
                </c:pt>
                <c:pt idx="6">
                  <c:v>0.27952755905511811</c:v>
                </c:pt>
                <c:pt idx="7">
                  <c:v>0.48818897637795272</c:v>
                </c:pt>
                <c:pt idx="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S波-2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②反射!$B$5:$B$13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②反射!$F$5:$F$13</c:f>
              <c:numCache>
                <c:formatCode>General</c:formatCode>
                <c:ptCount val="9"/>
                <c:pt idx="0">
                  <c:v>5.1181102362204724E-3</c:v>
                </c:pt>
                <c:pt idx="1">
                  <c:v>3.6220472440944881E-2</c:v>
                </c:pt>
                <c:pt idx="2">
                  <c:v>5.1968503937007873E-2</c:v>
                </c:pt>
                <c:pt idx="3">
                  <c:v>7.0078740157480307E-2</c:v>
                </c:pt>
                <c:pt idx="4">
                  <c:v>0.10118110236220472</c:v>
                </c:pt>
                <c:pt idx="5">
                  <c:v>0.15551181102362205</c:v>
                </c:pt>
                <c:pt idx="6">
                  <c:v>0.24015748031496062</c:v>
                </c:pt>
                <c:pt idx="7">
                  <c:v>0.46062992125984248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P波-1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②反射!$B$18:$B$27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②反射!$D$18:$D$27</c:f>
              <c:numCache>
                <c:formatCode>General</c:formatCode>
                <c:ptCount val="10"/>
                <c:pt idx="0">
                  <c:v>3.921568627450981E-2</c:v>
                </c:pt>
                <c:pt idx="1">
                  <c:v>3.5294117647058823E-2</c:v>
                </c:pt>
                <c:pt idx="2">
                  <c:v>2.9803921568627451E-2</c:v>
                </c:pt>
                <c:pt idx="3">
                  <c:v>2.1176470588235297E-2</c:v>
                </c:pt>
                <c:pt idx="4">
                  <c:v>1.3333333333333336E-2</c:v>
                </c:pt>
                <c:pt idx="5">
                  <c:v>1.3333333333333336E-2</c:v>
                </c:pt>
                <c:pt idx="6">
                  <c:v>1.8823529411764708E-2</c:v>
                </c:pt>
                <c:pt idx="7">
                  <c:v>6.1176470588235297E-2</c:v>
                </c:pt>
                <c:pt idx="8">
                  <c:v>0.22392156862745097</c:v>
                </c:pt>
                <c:pt idx="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P波-2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②反射!$B$18:$B$27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②反射!$F$18:$F$27</c:f>
              <c:numCache>
                <c:formatCode>General</c:formatCode>
                <c:ptCount val="10"/>
                <c:pt idx="0">
                  <c:v>3.4901960784313728E-2</c:v>
                </c:pt>
                <c:pt idx="1">
                  <c:v>3.607843137254902E-2</c:v>
                </c:pt>
                <c:pt idx="2">
                  <c:v>2.1960784313725491E-2</c:v>
                </c:pt>
                <c:pt idx="3">
                  <c:v>2.1960784313725491E-2</c:v>
                </c:pt>
                <c:pt idx="4">
                  <c:v>1.411764705882353E-2</c:v>
                </c:pt>
                <c:pt idx="5">
                  <c:v>1.3333333333333336E-2</c:v>
                </c:pt>
                <c:pt idx="6">
                  <c:v>1.7647058823529412E-2</c:v>
                </c:pt>
                <c:pt idx="7">
                  <c:v>5.6862745098039215E-2</c:v>
                </c:pt>
                <c:pt idx="8">
                  <c:v>0.24000000000000002</c:v>
                </c:pt>
                <c:pt idx="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P波-理論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②反射!$T$6:$T$15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②反射!$V$6:$V$15</c:f>
              <c:numCache>
                <c:formatCode>General</c:formatCode>
                <c:ptCount val="10"/>
                <c:pt idx="0">
                  <c:v>3.3074214083530458E-2</c:v>
                </c:pt>
                <c:pt idx="1">
                  <c:v>2.8701584191352474E-2</c:v>
                </c:pt>
                <c:pt idx="2">
                  <c:v>2.1420291500261378E-2</c:v>
                </c:pt>
                <c:pt idx="3">
                  <c:v>1.1763993732048155E-2</c:v>
                </c:pt>
                <c:pt idx="4">
                  <c:v>2.2987799140623127E-3</c:v>
                </c:pt>
                <c:pt idx="5">
                  <c:v>2.6306619584865701E-5</c:v>
                </c:pt>
                <c:pt idx="6">
                  <c:v>2.4471868739109203E-3</c:v>
                </c:pt>
                <c:pt idx="7">
                  <c:v>4.4379037945563922E-2</c:v>
                </c:pt>
                <c:pt idx="8">
                  <c:v>0.23901848049454419</c:v>
                </c:pt>
                <c:pt idx="9">
                  <c:v>0.99999999999999911</c:v>
                </c:pt>
              </c:numCache>
            </c:numRef>
          </c:yVal>
          <c:smooth val="0"/>
        </c:ser>
        <c:ser>
          <c:idx val="5"/>
          <c:order val="5"/>
          <c:tx>
            <c:v>S波-理論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②反射!$P$6:$P$14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②反射!$R$6:$R$14</c:f>
              <c:numCache>
                <c:formatCode>General</c:formatCode>
                <c:ptCount val="9"/>
                <c:pt idx="0">
                  <c:v>3.5998074401735733E-2</c:v>
                </c:pt>
                <c:pt idx="1">
                  <c:v>4.0837383567023454E-2</c:v>
                </c:pt>
                <c:pt idx="2">
                  <c:v>5.0469480852723306E-2</c:v>
                </c:pt>
                <c:pt idx="3">
                  <c:v>6.8070486779213998E-2</c:v>
                </c:pt>
                <c:pt idx="4">
                  <c:v>0.1003047669813609</c:v>
                </c:pt>
                <c:pt idx="5">
                  <c:v>0.16122998559995783</c:v>
                </c:pt>
                <c:pt idx="6">
                  <c:v>0.28066208057740233</c:v>
                </c:pt>
                <c:pt idx="7">
                  <c:v>0.52042973569452866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5696"/>
        <c:axId val="245803736"/>
      </c:scatterChart>
      <c:valAx>
        <c:axId val="2458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</a:t>
                </a:r>
              </a:p>
            </c:rich>
          </c:tx>
          <c:layout>
            <c:manualLayout>
              <c:xMode val="edge"/>
              <c:yMode val="edge"/>
              <c:x val="0.40368170715414198"/>
              <c:y val="0.91486344712487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803736"/>
        <c:crosses val="autoZero"/>
        <c:crossBetween val="midCat"/>
      </c:valAx>
      <c:valAx>
        <c:axId val="24580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</a:t>
                </a:r>
              </a:p>
            </c:rich>
          </c:tx>
          <c:layout>
            <c:manualLayout>
              <c:xMode val="edge"/>
              <c:yMode val="edge"/>
              <c:x val="2.6993913548301288E-2"/>
              <c:y val="0.38699807407989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805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40637894167989"/>
          <c:y val="0.29411853630072171"/>
          <c:w val="0.16809846164169437"/>
          <c:h val="0.308050466967597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</a:t>
            </a:r>
            <a:r>
              <a:rPr lang="en-US" altLang="ja-JP"/>
              <a:t>3</a:t>
            </a:r>
            <a:r>
              <a:rPr lang="ja-JP" altLang="en-US"/>
              <a:t>：入射角と反射率の関係</a:t>
            </a:r>
            <a:r>
              <a:rPr lang="en-US" altLang="ja-JP"/>
              <a:t>(</a:t>
            </a:r>
            <a:r>
              <a:rPr lang="ja-JP" altLang="en-US"/>
              <a:t>理論値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24109605167490614"/>
          <c:y val="0.9044279052402697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4530443687423"/>
          <c:y val="0.10265522212120479"/>
          <c:w val="0.69863060428523938"/>
          <c:h val="0.64778984993725786"/>
        </c:manualLayout>
      </c:layout>
      <c:scatterChart>
        <c:scatterStyle val="lineMarker"/>
        <c:varyColors val="0"/>
        <c:ser>
          <c:idx val="0"/>
          <c:order val="0"/>
          <c:tx>
            <c:v>S波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②反射!$P$6:$P$14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②反射!$R$6:$R$14</c:f>
              <c:numCache>
                <c:formatCode>General</c:formatCode>
                <c:ptCount val="9"/>
                <c:pt idx="0">
                  <c:v>3.5998074401735733E-2</c:v>
                </c:pt>
                <c:pt idx="1">
                  <c:v>4.0837383567023454E-2</c:v>
                </c:pt>
                <c:pt idx="2">
                  <c:v>5.0469480852723306E-2</c:v>
                </c:pt>
                <c:pt idx="3">
                  <c:v>6.8070486779213998E-2</c:v>
                </c:pt>
                <c:pt idx="4">
                  <c:v>0.1003047669813609</c:v>
                </c:pt>
                <c:pt idx="5">
                  <c:v>0.16122998559995783</c:v>
                </c:pt>
                <c:pt idx="6">
                  <c:v>0.28066208057740233</c:v>
                </c:pt>
                <c:pt idx="7">
                  <c:v>0.52042973569452866</c:v>
                </c:pt>
                <c:pt idx="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P波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②反射!$T$6:$T$15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②反射!$V$6:$V$15</c:f>
              <c:numCache>
                <c:formatCode>General</c:formatCode>
                <c:ptCount val="10"/>
                <c:pt idx="0">
                  <c:v>3.3074214083530458E-2</c:v>
                </c:pt>
                <c:pt idx="1">
                  <c:v>2.8701584191352474E-2</c:v>
                </c:pt>
                <c:pt idx="2">
                  <c:v>2.1420291500261378E-2</c:v>
                </c:pt>
                <c:pt idx="3">
                  <c:v>1.1763993732048155E-2</c:v>
                </c:pt>
                <c:pt idx="4">
                  <c:v>2.2987799140623127E-3</c:v>
                </c:pt>
                <c:pt idx="5">
                  <c:v>2.6306619584865701E-5</c:v>
                </c:pt>
                <c:pt idx="6">
                  <c:v>2.4471868739109203E-3</c:v>
                </c:pt>
                <c:pt idx="7">
                  <c:v>4.4379037945563922E-2</c:v>
                </c:pt>
                <c:pt idx="8">
                  <c:v>0.23901848049454419</c:v>
                </c:pt>
                <c:pt idx="9">
                  <c:v>0.99999999999999911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5304"/>
        <c:axId val="308848160"/>
      </c:scatterChart>
      <c:valAx>
        <c:axId val="24580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</a:t>
                </a:r>
                <a:r>
                  <a:rPr lang="en-US" altLang="ja-JP"/>
                  <a:t>/°</a:t>
                </a:r>
              </a:p>
            </c:rich>
          </c:tx>
          <c:layout>
            <c:manualLayout>
              <c:xMode val="edge"/>
              <c:yMode val="edge"/>
              <c:x val="0.4260276822209989"/>
              <c:y val="0.83186128270631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8848160"/>
        <c:crosses val="autoZero"/>
        <c:crossBetween val="midCat"/>
      </c:valAx>
      <c:valAx>
        <c:axId val="30884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</a:t>
                </a:r>
              </a:p>
            </c:rich>
          </c:tx>
          <c:layout>
            <c:manualLayout>
              <c:xMode val="edge"/>
              <c:yMode val="edge"/>
              <c:x val="4.109591789913173E-2"/>
              <c:y val="0.36283311266977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805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3430512515058"/>
          <c:y val="0.44070948807206883"/>
          <c:w val="9.7260339027945092E-2"/>
          <c:h val="0.111504810235101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0006377553563"/>
          <c:y val="5.7409935979029311E-2"/>
          <c:w val="0.66122475335808095"/>
          <c:h val="0.76502077479032082"/>
        </c:manualLayout>
      </c:layout>
      <c:scatterChart>
        <c:scatterStyle val="lineMarker"/>
        <c:varyColors val="0"/>
        <c:ser>
          <c:idx val="0"/>
          <c:order val="0"/>
          <c:tx>
            <c:v>d=1.0 ①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0"/>
                <c:pt idx="0">
                  <c:v>0</c:v>
                </c:pt>
                <c:pt idx="1">
                  <c:v>858</c:v>
                </c:pt>
                <c:pt idx="2">
                  <c:v>1848</c:v>
                </c:pt>
                <c:pt idx="3">
                  <c:v>2720</c:v>
                </c:pt>
                <c:pt idx="4">
                  <c:v>3720</c:v>
                </c:pt>
                <c:pt idx="5">
                  <c:v>4554</c:v>
                </c:pt>
                <c:pt idx="6">
                  <c:v>5618</c:v>
                </c:pt>
                <c:pt idx="7">
                  <c:v>6438</c:v>
                </c:pt>
                <c:pt idx="8">
                  <c:v>7308</c:v>
                </c:pt>
                <c:pt idx="9">
                  <c:v>8418</c:v>
                </c:pt>
              </c:numCache>
            </c:numRef>
          </c:yVal>
          <c:smooth val="0"/>
        </c:ser>
        <c:ser>
          <c:idx val="1"/>
          <c:order val="1"/>
          <c:tx>
            <c:v>d=0.5 ①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1"/>
                <c:pt idx="0">
                  <c:v>0</c:v>
                </c:pt>
                <c:pt idx="1">
                  <c:v>2040</c:v>
                </c:pt>
                <c:pt idx="2">
                  <c:v>3944</c:v>
                </c:pt>
                <c:pt idx="3">
                  <c:v>6063</c:v>
                </c:pt>
                <c:pt idx="4">
                  <c:v>8120</c:v>
                </c:pt>
                <c:pt idx="5">
                  <c:v>10200</c:v>
                </c:pt>
                <c:pt idx="6">
                  <c:v>12008</c:v>
                </c:pt>
                <c:pt idx="7">
                  <c:v>14195</c:v>
                </c:pt>
                <c:pt idx="8">
                  <c:v>16275</c:v>
                </c:pt>
                <c:pt idx="9">
                  <c:v>18200</c:v>
                </c:pt>
                <c:pt idx="10">
                  <c:v>20520</c:v>
                </c:pt>
              </c:numCache>
            </c:numRef>
          </c:yVal>
          <c:smooth val="0"/>
        </c:ser>
        <c:ser>
          <c:idx val="2"/>
          <c:order val="2"/>
          <c:tx>
            <c:v>d=1.0 ②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1"/>
                <c:pt idx="0">
                  <c:v>0</c:v>
                </c:pt>
                <c:pt idx="1">
                  <c:v>1036</c:v>
                </c:pt>
                <c:pt idx="2">
                  <c:v>2016</c:v>
                </c:pt>
                <c:pt idx="3">
                  <c:v>3196</c:v>
                </c:pt>
                <c:pt idx="4">
                  <c:v>4141</c:v>
                </c:pt>
                <c:pt idx="5">
                  <c:v>5184</c:v>
                </c:pt>
                <c:pt idx="6">
                  <c:v>6156</c:v>
                </c:pt>
                <c:pt idx="7">
                  <c:v>7200</c:v>
                </c:pt>
                <c:pt idx="8">
                  <c:v>8316</c:v>
                </c:pt>
                <c:pt idx="9">
                  <c:v>9504</c:v>
                </c:pt>
                <c:pt idx="10">
                  <c:v>10549</c:v>
                </c:pt>
              </c:numCache>
            </c:numRef>
          </c:yVal>
          <c:smooth val="0"/>
        </c:ser>
        <c:ser>
          <c:idx val="3"/>
          <c:order val="3"/>
          <c:tx>
            <c:v>d=0.5 ②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1"/>
                <c:pt idx="0">
                  <c:v>0</c:v>
                </c:pt>
                <c:pt idx="1">
                  <c:v>2058</c:v>
                </c:pt>
                <c:pt idx="2">
                  <c:v>4370</c:v>
                </c:pt>
                <c:pt idx="3">
                  <c:v>6708</c:v>
                </c:pt>
                <c:pt idx="4">
                  <c:v>8820</c:v>
                </c:pt>
                <c:pt idx="5">
                  <c:v>11174</c:v>
                </c:pt>
                <c:pt idx="6">
                  <c:v>13524</c:v>
                </c:pt>
                <c:pt idx="7">
                  <c:v>15548</c:v>
                </c:pt>
                <c:pt idx="8">
                  <c:v>17978</c:v>
                </c:pt>
                <c:pt idx="9">
                  <c:v>20274</c:v>
                </c:pt>
                <c:pt idx="10">
                  <c:v>22698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54432"/>
        <c:axId val="308853256"/>
      </c:scatterChart>
      <c:valAx>
        <c:axId val="3088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m</a:t>
                </a:r>
              </a:p>
            </c:rich>
          </c:tx>
          <c:layout>
            <c:manualLayout>
              <c:xMode val="edge"/>
              <c:yMode val="edge"/>
              <c:x val="0.47591855704661873"/>
              <c:y val="0.919894090454678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8853256"/>
        <c:crosses val="autoZero"/>
        <c:crossBetween val="midCat"/>
      </c:valAx>
      <c:valAx>
        <c:axId val="30885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lm(lm-l0)</a:t>
                </a:r>
              </a:p>
            </c:rich>
          </c:tx>
          <c:layout>
            <c:manualLayout>
              <c:xMode val="edge"/>
              <c:yMode val="edge"/>
              <c:x val="1.142857598396683E-2"/>
              <c:y val="0.3404542715035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885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81666167755964"/>
          <c:y val="0.30707640174829631"/>
          <c:w val="0.14938781464756642"/>
          <c:h val="0.25233669534968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101600</xdr:rowOff>
    </xdr:from>
    <xdr:to>
      <xdr:col>8</xdr:col>
      <xdr:colOff>533400</xdr:colOff>
      <xdr:row>53</xdr:row>
      <xdr:rowOff>57150</xdr:rowOff>
    </xdr:to>
    <xdr:graphicFrame macro="">
      <xdr:nvGraphicFramePr>
        <xdr:cNvPr id="1030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29</xdr:row>
      <xdr:rowOff>25400</xdr:rowOff>
    </xdr:from>
    <xdr:to>
      <xdr:col>7</xdr:col>
      <xdr:colOff>133350</xdr:colOff>
      <xdr:row>53</xdr:row>
      <xdr:rowOff>158750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349250</xdr:colOff>
      <xdr:row>30</xdr:row>
      <xdr:rowOff>25400</xdr:rowOff>
    </xdr:from>
    <xdr:to>
      <xdr:col>23</xdr:col>
      <xdr:colOff>438150</xdr:colOff>
      <xdr:row>51</xdr:row>
      <xdr:rowOff>139700</xdr:rowOff>
    </xdr:to>
    <xdr:graphicFrame macro="">
      <xdr:nvGraphicFramePr>
        <xdr:cNvPr id="205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34</xdr:row>
      <xdr:rowOff>25400</xdr:rowOff>
    </xdr:from>
    <xdr:to>
      <xdr:col>20</xdr:col>
      <xdr:colOff>514350</xdr:colOff>
      <xdr:row>62</xdr:row>
      <xdr:rowOff>158750</xdr:rowOff>
    </xdr:to>
    <xdr:graphicFrame macro="">
      <xdr:nvGraphicFramePr>
        <xdr:cNvPr id="3075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"/>
  <sheetViews>
    <sheetView topLeftCell="A25" workbookViewId="0">
      <selection activeCell="W16" sqref="W16"/>
    </sheetView>
  </sheetViews>
  <sheetFormatPr defaultRowHeight="13"/>
  <cols>
    <col min="1" max="1" width="3.26953125" customWidth="1"/>
    <col min="2" max="2" width="7.08984375" bestFit="1" customWidth="1"/>
    <col min="3" max="3" width="7.08984375" customWidth="1"/>
    <col min="4" max="4" width="19.26953125" bestFit="1" customWidth="1"/>
    <col min="5" max="5" width="12.7265625" bestFit="1" customWidth="1"/>
    <col min="6" max="6" width="19.26953125" bestFit="1" customWidth="1"/>
    <col min="7" max="7" width="11.6328125" bestFit="1" customWidth="1"/>
    <col min="8" max="8" width="19.26953125" bestFit="1" customWidth="1"/>
    <col min="9" max="10" width="12.7265625" bestFit="1" customWidth="1"/>
    <col min="12" max="18" width="8.7265625" customWidth="1"/>
  </cols>
  <sheetData>
    <row r="1" spans="2:24" ht="13.5" thickBot="1"/>
    <row r="2" spans="2:24">
      <c r="B2" s="52" t="s">
        <v>0</v>
      </c>
      <c r="C2" s="52"/>
      <c r="D2" s="52" t="s">
        <v>4</v>
      </c>
      <c r="E2" s="52"/>
      <c r="F2" s="52" t="s">
        <v>3</v>
      </c>
      <c r="G2" s="52"/>
      <c r="H2" s="52" t="s">
        <v>5</v>
      </c>
      <c r="I2" s="52"/>
      <c r="J2" s="52" t="s">
        <v>2</v>
      </c>
      <c r="L2" s="13"/>
      <c r="T2" s="53" t="s">
        <v>0</v>
      </c>
      <c r="U2" s="55" t="s">
        <v>51</v>
      </c>
      <c r="V2" s="55"/>
      <c r="W2" s="55"/>
      <c r="X2" s="50" t="s">
        <v>2</v>
      </c>
    </row>
    <row r="3" spans="2:24">
      <c r="B3" s="1" t="s">
        <v>6</v>
      </c>
      <c r="C3" s="1" t="s">
        <v>7</v>
      </c>
      <c r="D3" s="1" t="s">
        <v>8</v>
      </c>
      <c r="E3" s="1" t="s">
        <v>1</v>
      </c>
      <c r="F3" s="1" t="s">
        <v>8</v>
      </c>
      <c r="G3" s="1" t="s">
        <v>1</v>
      </c>
      <c r="H3" s="1" t="s">
        <v>8</v>
      </c>
      <c r="I3" s="1" t="s">
        <v>1</v>
      </c>
      <c r="J3" s="52"/>
      <c r="L3" s="13"/>
      <c r="T3" s="54"/>
      <c r="U3" s="1" t="s">
        <v>3</v>
      </c>
      <c r="V3" s="1" t="s">
        <v>4</v>
      </c>
      <c r="W3" s="32" t="s">
        <v>5</v>
      </c>
      <c r="X3" s="51"/>
    </row>
    <row r="4" spans="2:24">
      <c r="B4" s="2">
        <v>0</v>
      </c>
      <c r="C4" s="2">
        <f>B4/180*PI()</f>
        <v>0</v>
      </c>
      <c r="D4" s="2">
        <v>1.27</v>
      </c>
      <c r="E4" s="2">
        <f>D4/$D$4</f>
        <v>1</v>
      </c>
      <c r="F4" s="2">
        <v>1.28</v>
      </c>
      <c r="G4" s="2">
        <f>F4/$F$4</f>
        <v>1</v>
      </c>
      <c r="H4" s="2">
        <v>1.29</v>
      </c>
      <c r="I4" s="2">
        <f>H4/$H$4</f>
        <v>1</v>
      </c>
      <c r="J4" s="2">
        <f>(COS(C4))^2</f>
        <v>1</v>
      </c>
      <c r="L4" s="14"/>
      <c r="T4" s="23" t="s">
        <v>37</v>
      </c>
      <c r="U4" s="16">
        <v>1</v>
      </c>
      <c r="V4" s="16">
        <v>1</v>
      </c>
      <c r="W4" s="16">
        <v>1</v>
      </c>
      <c r="X4" s="18">
        <v>1</v>
      </c>
    </row>
    <row r="5" spans="2:24">
      <c r="B5" s="2">
        <v>10</v>
      </c>
      <c r="C5" s="2">
        <f t="shared" ref="C5:C13" si="0">B5/180*PI()</f>
        <v>0.17453292519943295</v>
      </c>
      <c r="D5" s="2">
        <v>1.39</v>
      </c>
      <c r="E5" s="2">
        <f t="shared" ref="E5:E13" si="1">D5/$D$4</f>
        <v>1.0944881889763778</v>
      </c>
      <c r="F5" s="2">
        <v>1.32</v>
      </c>
      <c r="G5" s="2">
        <f t="shared" ref="G5:G13" si="2">F5/$F$4</f>
        <v>1.03125</v>
      </c>
      <c r="H5" s="2">
        <v>1.38</v>
      </c>
      <c r="I5" s="2">
        <f t="shared" ref="I5:I13" si="3">H5/$H$4</f>
        <v>1.069767441860465</v>
      </c>
      <c r="J5" s="2">
        <f t="shared" ref="J5:J13" si="4">(COS(C5))^2</f>
        <v>0.9698463103929541</v>
      </c>
      <c r="L5" s="14"/>
      <c r="T5" s="23" t="s">
        <v>38</v>
      </c>
      <c r="U5" s="16">
        <v>1.03125</v>
      </c>
      <c r="V5" s="16">
        <v>1.0944881889763778</v>
      </c>
      <c r="W5" s="16">
        <v>1.069767441860465</v>
      </c>
      <c r="X5" s="19">
        <v>0.9698463103929541</v>
      </c>
    </row>
    <row r="6" spans="2:24">
      <c r="B6" s="2">
        <v>20</v>
      </c>
      <c r="C6" s="2">
        <f t="shared" si="0"/>
        <v>0.3490658503988659</v>
      </c>
      <c r="D6" s="2">
        <v>1.41</v>
      </c>
      <c r="E6" s="2">
        <f t="shared" si="1"/>
        <v>1.110236220472441</v>
      </c>
      <c r="F6" s="2">
        <v>1.33</v>
      </c>
      <c r="G6" s="2">
        <f t="shared" si="2"/>
        <v>1.0390625</v>
      </c>
      <c r="H6" s="2">
        <v>1.43</v>
      </c>
      <c r="I6" s="2">
        <f t="shared" si="3"/>
        <v>1.1085271317829457</v>
      </c>
      <c r="J6" s="2">
        <f t="shared" si="4"/>
        <v>0.88302222155948906</v>
      </c>
      <c r="L6" s="14"/>
      <c r="T6" s="23" t="s">
        <v>39</v>
      </c>
      <c r="U6" s="16">
        <v>1.0390625</v>
      </c>
      <c r="V6" s="16">
        <v>1.110236220472441</v>
      </c>
      <c r="W6" s="16">
        <v>1.1085271317829457</v>
      </c>
      <c r="X6" s="19">
        <v>0.88302222155948906</v>
      </c>
    </row>
    <row r="7" spans="2:24">
      <c r="B7" s="2">
        <v>30</v>
      </c>
      <c r="C7" s="2">
        <f t="shared" si="0"/>
        <v>0.52359877559829882</v>
      </c>
      <c r="D7" s="2">
        <v>1.35</v>
      </c>
      <c r="E7" s="2">
        <f t="shared" si="1"/>
        <v>1.0629921259842521</v>
      </c>
      <c r="F7" s="2">
        <v>1.29</v>
      </c>
      <c r="G7" s="2">
        <f t="shared" si="2"/>
        <v>1.0078125</v>
      </c>
      <c r="H7" s="2">
        <v>1.36</v>
      </c>
      <c r="I7" s="2">
        <f t="shared" si="3"/>
        <v>1.054263565891473</v>
      </c>
      <c r="J7" s="2">
        <f t="shared" si="4"/>
        <v>0.75000000000000011</v>
      </c>
      <c r="L7" s="14"/>
      <c r="T7" s="23" t="s">
        <v>40</v>
      </c>
      <c r="U7" s="16">
        <v>1.0078125</v>
      </c>
      <c r="V7" s="16">
        <v>1.0629921259842521</v>
      </c>
      <c r="W7" s="16">
        <v>1.054263565891473</v>
      </c>
      <c r="X7" s="19">
        <v>0.75</v>
      </c>
    </row>
    <row r="8" spans="2:24">
      <c r="B8" s="2">
        <v>40</v>
      </c>
      <c r="C8" s="2">
        <f t="shared" si="0"/>
        <v>0.69813170079773179</v>
      </c>
      <c r="D8" s="2">
        <v>1.19</v>
      </c>
      <c r="E8" s="2">
        <f t="shared" si="1"/>
        <v>0.93700787401574792</v>
      </c>
      <c r="F8" s="2">
        <v>1.1499999999999999</v>
      </c>
      <c r="G8" s="2">
        <f t="shared" si="2"/>
        <v>0.89843749999999989</v>
      </c>
      <c r="H8" s="2">
        <v>1.2</v>
      </c>
      <c r="I8" s="2">
        <f t="shared" si="3"/>
        <v>0.93023255813953487</v>
      </c>
      <c r="J8" s="2">
        <f t="shared" si="4"/>
        <v>0.58682408883346515</v>
      </c>
      <c r="L8" s="14"/>
      <c r="T8" s="23" t="s">
        <v>41</v>
      </c>
      <c r="U8" s="15">
        <v>0.8984375</v>
      </c>
      <c r="V8" s="15">
        <v>0.93700787401574792</v>
      </c>
      <c r="W8" s="15">
        <v>0.93023255813953487</v>
      </c>
      <c r="X8" s="19">
        <v>0.58682408883346515</v>
      </c>
    </row>
    <row r="9" spans="2:24">
      <c r="B9" s="2">
        <v>50</v>
      </c>
      <c r="C9" s="2">
        <f t="shared" si="0"/>
        <v>0.87266462599716477</v>
      </c>
      <c r="D9" s="2">
        <v>0.95399999999999996</v>
      </c>
      <c r="E9" s="2">
        <f t="shared" si="1"/>
        <v>0.7511811023622047</v>
      </c>
      <c r="F9" s="2">
        <v>0.95</v>
      </c>
      <c r="G9" s="2">
        <f t="shared" si="2"/>
        <v>0.7421875</v>
      </c>
      <c r="H9" s="2">
        <v>1.01</v>
      </c>
      <c r="I9" s="2">
        <f t="shared" si="3"/>
        <v>0.78294573643410847</v>
      </c>
      <c r="J9" s="2">
        <f t="shared" si="4"/>
        <v>0.41317591116653485</v>
      </c>
      <c r="L9" s="14"/>
      <c r="T9" s="23" t="s">
        <v>42</v>
      </c>
      <c r="U9" s="15">
        <v>0.7421875</v>
      </c>
      <c r="V9" s="15">
        <v>0.7511811023622047</v>
      </c>
      <c r="W9" s="15">
        <v>0.78294573643410847</v>
      </c>
      <c r="X9" s="19">
        <v>0.41317591116653485</v>
      </c>
    </row>
    <row r="10" spans="2:24">
      <c r="B10" s="2">
        <v>60</v>
      </c>
      <c r="C10" s="2">
        <f t="shared" si="0"/>
        <v>1.0471975511965976</v>
      </c>
      <c r="D10" s="2">
        <v>0.75900000000000001</v>
      </c>
      <c r="E10" s="2">
        <f t="shared" si="1"/>
        <v>0.59763779527559058</v>
      </c>
      <c r="F10" s="2">
        <v>0.748</v>
      </c>
      <c r="G10" s="2">
        <f t="shared" si="2"/>
        <v>0.58437499999999998</v>
      </c>
      <c r="H10" s="2">
        <v>0.755</v>
      </c>
      <c r="I10" s="2">
        <f t="shared" si="3"/>
        <v>0.5852713178294574</v>
      </c>
      <c r="J10" s="2">
        <f t="shared" si="4"/>
        <v>0.25000000000000011</v>
      </c>
      <c r="L10" s="14"/>
      <c r="T10" s="23" t="s">
        <v>43</v>
      </c>
      <c r="U10" s="15">
        <v>0.58437499999999998</v>
      </c>
      <c r="V10" s="15">
        <v>0.59763779527559058</v>
      </c>
      <c r="W10" s="15">
        <v>0.5852713178294574</v>
      </c>
      <c r="X10" s="19">
        <v>0.25</v>
      </c>
    </row>
    <row r="11" spans="2:24">
      <c r="B11" s="2">
        <v>70</v>
      </c>
      <c r="C11" s="2">
        <f t="shared" si="0"/>
        <v>1.2217304763960306</v>
      </c>
      <c r="D11" s="2">
        <v>0.48199999999999998</v>
      </c>
      <c r="E11" s="2">
        <f t="shared" si="1"/>
        <v>0.37952755905511809</v>
      </c>
      <c r="F11" s="2">
        <v>0.49199999999999999</v>
      </c>
      <c r="G11" s="2">
        <f t="shared" si="2"/>
        <v>0.38437499999999997</v>
      </c>
      <c r="H11" s="2">
        <v>0.505</v>
      </c>
      <c r="I11" s="2">
        <f t="shared" si="3"/>
        <v>0.39147286821705424</v>
      </c>
      <c r="J11" s="2">
        <f t="shared" si="4"/>
        <v>0.11697777844051105</v>
      </c>
      <c r="L11" s="14"/>
      <c r="T11" s="23" t="s">
        <v>44</v>
      </c>
      <c r="U11" s="15">
        <v>0.38437500000000002</v>
      </c>
      <c r="V11" s="15">
        <v>0.37952755905511809</v>
      </c>
      <c r="W11" s="15">
        <v>0.39147286821705424</v>
      </c>
      <c r="X11" s="19">
        <v>0.11697777844051105</v>
      </c>
    </row>
    <row r="12" spans="2:24">
      <c r="B12" s="2">
        <v>80</v>
      </c>
      <c r="C12" s="2">
        <f t="shared" si="0"/>
        <v>1.3962634015954636</v>
      </c>
      <c r="D12" s="2">
        <v>0.26500000000000001</v>
      </c>
      <c r="E12" s="2">
        <f t="shared" si="1"/>
        <v>0.20866141732283466</v>
      </c>
      <c r="F12" s="2">
        <v>0.28899999999999998</v>
      </c>
      <c r="G12" s="2">
        <f t="shared" si="2"/>
        <v>0.22578124999999999</v>
      </c>
      <c r="H12" s="2">
        <v>0.29399999999999998</v>
      </c>
      <c r="I12" s="2">
        <f t="shared" si="3"/>
        <v>0.22790697674418603</v>
      </c>
      <c r="J12" s="2">
        <f t="shared" si="4"/>
        <v>3.0153689607045831E-2</v>
      </c>
      <c r="L12" s="14"/>
      <c r="T12" s="23" t="s">
        <v>45</v>
      </c>
      <c r="U12" s="15">
        <v>0.22578124999999999</v>
      </c>
      <c r="V12" s="15">
        <v>0.20866141732283466</v>
      </c>
      <c r="W12" s="15">
        <v>0.22790697674418603</v>
      </c>
      <c r="X12" s="27">
        <v>3.0153689607045831E-2</v>
      </c>
    </row>
    <row r="13" spans="2:24" ht="13.5" thickBot="1">
      <c r="B13" s="2">
        <v>90</v>
      </c>
      <c r="C13" s="2">
        <f t="shared" si="0"/>
        <v>1.5707963267948966</v>
      </c>
      <c r="D13" s="2">
        <v>0.16900000000000001</v>
      </c>
      <c r="E13" s="2">
        <f t="shared" si="1"/>
        <v>0.1330708661417323</v>
      </c>
      <c r="F13" s="2">
        <v>0.16800000000000001</v>
      </c>
      <c r="G13" s="2">
        <f t="shared" si="2"/>
        <v>0.13125000000000001</v>
      </c>
      <c r="H13" s="2">
        <v>0.17</v>
      </c>
      <c r="I13" s="2">
        <f t="shared" si="3"/>
        <v>0.13178294573643412</v>
      </c>
      <c r="J13" s="2">
        <f t="shared" si="4"/>
        <v>3.7524718414124473E-33</v>
      </c>
      <c r="L13" s="14"/>
      <c r="T13" s="24" t="s">
        <v>46</v>
      </c>
      <c r="U13" s="20">
        <v>0.13125000000000001</v>
      </c>
      <c r="V13" s="20">
        <v>0.1330708661417323</v>
      </c>
      <c r="W13" s="20">
        <v>0.13178294573643412</v>
      </c>
      <c r="X13" s="40">
        <v>0</v>
      </c>
    </row>
    <row r="16" spans="2:24" ht="13.5" thickBot="1"/>
    <row r="17" spans="4:18">
      <c r="D17" s="13"/>
      <c r="E17" s="13"/>
      <c r="F17" s="14"/>
      <c r="G17" s="14"/>
      <c r="L17" s="53" t="s">
        <v>0</v>
      </c>
      <c r="M17" s="55" t="s">
        <v>3</v>
      </c>
      <c r="N17" s="55"/>
      <c r="O17" s="55" t="s">
        <v>4</v>
      </c>
      <c r="P17" s="55"/>
      <c r="Q17" s="55" t="s">
        <v>5</v>
      </c>
      <c r="R17" s="56"/>
    </row>
    <row r="18" spans="4:18">
      <c r="D18" s="14"/>
      <c r="E18" s="14"/>
      <c r="F18" s="14"/>
      <c r="G18" s="14"/>
      <c r="L18" s="54"/>
      <c r="M18" s="1" t="s">
        <v>36</v>
      </c>
      <c r="N18" s="1" t="s">
        <v>1</v>
      </c>
      <c r="O18" s="1" t="s">
        <v>36</v>
      </c>
      <c r="P18" s="1" t="s">
        <v>1</v>
      </c>
      <c r="Q18" s="1" t="s">
        <v>36</v>
      </c>
      <c r="R18" s="7" t="s">
        <v>1</v>
      </c>
    </row>
    <row r="19" spans="4:18">
      <c r="D19" s="14"/>
      <c r="E19" s="14"/>
      <c r="F19" s="14"/>
      <c r="G19" s="14"/>
      <c r="L19" s="23" t="s">
        <v>37</v>
      </c>
      <c r="M19" s="16">
        <v>1.28</v>
      </c>
      <c r="N19" s="16">
        <f t="shared" ref="N19:N28" si="5">M19/$F$4</f>
        <v>1</v>
      </c>
      <c r="O19" s="16">
        <v>1.27</v>
      </c>
      <c r="P19" s="16">
        <f t="shared" ref="P19:P28" si="6">O19/$D$4</f>
        <v>1</v>
      </c>
      <c r="Q19" s="16">
        <v>1.29</v>
      </c>
      <c r="R19" s="18">
        <f>Q19/$H$4</f>
        <v>1</v>
      </c>
    </row>
    <row r="20" spans="4:18">
      <c r="D20" s="14"/>
      <c r="E20" s="14"/>
      <c r="F20" s="14"/>
      <c r="G20" s="14"/>
      <c r="L20" s="23" t="s">
        <v>38</v>
      </c>
      <c r="M20" s="16">
        <v>1.32</v>
      </c>
      <c r="N20" s="16">
        <f t="shared" si="5"/>
        <v>1.03125</v>
      </c>
      <c r="O20" s="16">
        <v>1.39</v>
      </c>
      <c r="P20" s="16">
        <f t="shared" si="6"/>
        <v>1.0944881889763778</v>
      </c>
      <c r="Q20" s="16">
        <v>1.38</v>
      </c>
      <c r="R20" s="18">
        <f t="shared" ref="R20:R28" si="7">Q20/$H$4</f>
        <v>1.069767441860465</v>
      </c>
    </row>
    <row r="21" spans="4:18">
      <c r="D21" s="14"/>
      <c r="E21" s="14"/>
      <c r="F21" s="14"/>
      <c r="G21" s="14"/>
      <c r="L21" s="23" t="s">
        <v>39</v>
      </c>
      <c r="M21" s="16">
        <v>1.33</v>
      </c>
      <c r="N21" s="16">
        <f t="shared" si="5"/>
        <v>1.0390625</v>
      </c>
      <c r="O21" s="16">
        <v>1.41</v>
      </c>
      <c r="P21" s="16">
        <f t="shared" si="6"/>
        <v>1.110236220472441</v>
      </c>
      <c r="Q21" s="16">
        <v>1.43</v>
      </c>
      <c r="R21" s="18">
        <f t="shared" si="7"/>
        <v>1.1085271317829457</v>
      </c>
    </row>
    <row r="22" spans="4:18">
      <c r="D22" s="14"/>
      <c r="E22" s="14"/>
      <c r="F22" s="14"/>
      <c r="G22" s="14"/>
      <c r="L22" s="23" t="s">
        <v>40</v>
      </c>
      <c r="M22" s="16">
        <v>1.29</v>
      </c>
      <c r="N22" s="16">
        <f t="shared" si="5"/>
        <v>1.0078125</v>
      </c>
      <c r="O22" s="16">
        <v>1.35</v>
      </c>
      <c r="P22" s="16">
        <f t="shared" si="6"/>
        <v>1.0629921259842521</v>
      </c>
      <c r="Q22" s="16">
        <v>1.36</v>
      </c>
      <c r="R22" s="18">
        <f t="shared" si="7"/>
        <v>1.054263565891473</v>
      </c>
    </row>
    <row r="23" spans="4:18">
      <c r="D23" s="14"/>
      <c r="E23" s="14"/>
      <c r="F23" s="14"/>
      <c r="G23" s="14"/>
      <c r="L23" s="23" t="s">
        <v>41</v>
      </c>
      <c r="M23" s="16">
        <v>1.1499999999999999</v>
      </c>
      <c r="N23" s="15">
        <f t="shared" si="5"/>
        <v>0.89843749999999989</v>
      </c>
      <c r="O23" s="16">
        <v>1.19</v>
      </c>
      <c r="P23" s="15">
        <f t="shared" si="6"/>
        <v>0.93700787401574792</v>
      </c>
      <c r="Q23" s="16">
        <v>1.2</v>
      </c>
      <c r="R23" s="19">
        <f t="shared" si="7"/>
        <v>0.93023255813953487</v>
      </c>
    </row>
    <row r="24" spans="4:18">
      <c r="D24" s="14"/>
      <c r="E24" s="14"/>
      <c r="F24" s="14"/>
      <c r="G24" s="14"/>
      <c r="L24" s="23" t="s">
        <v>42</v>
      </c>
      <c r="M24" s="17">
        <v>0.95</v>
      </c>
      <c r="N24" s="15">
        <f t="shared" si="5"/>
        <v>0.7421875</v>
      </c>
      <c r="O24" s="15">
        <v>0.95399999999999996</v>
      </c>
      <c r="P24" s="15">
        <f t="shared" si="6"/>
        <v>0.7511811023622047</v>
      </c>
      <c r="Q24" s="16">
        <v>1.01</v>
      </c>
      <c r="R24" s="19">
        <f t="shared" si="7"/>
        <v>0.78294573643410847</v>
      </c>
    </row>
    <row r="25" spans="4:18">
      <c r="D25" s="14"/>
      <c r="E25" s="14"/>
      <c r="F25" s="14"/>
      <c r="G25" s="14"/>
      <c r="L25" s="23" t="s">
        <v>43</v>
      </c>
      <c r="M25" s="17">
        <v>0.748</v>
      </c>
      <c r="N25" s="15">
        <f t="shared" si="5"/>
        <v>0.58437499999999998</v>
      </c>
      <c r="O25" s="15">
        <v>0.75900000000000001</v>
      </c>
      <c r="P25" s="15">
        <f t="shared" si="6"/>
        <v>0.59763779527559058</v>
      </c>
      <c r="Q25" s="15">
        <v>0.755</v>
      </c>
      <c r="R25" s="19">
        <f t="shared" si="7"/>
        <v>0.5852713178294574</v>
      </c>
    </row>
    <row r="26" spans="4:18">
      <c r="D26" s="14"/>
      <c r="E26" s="14"/>
      <c r="F26" s="14"/>
      <c r="G26" s="14"/>
      <c r="L26" s="23" t="s">
        <v>44</v>
      </c>
      <c r="M26" s="17">
        <v>0.49199999999999999</v>
      </c>
      <c r="N26" s="15">
        <f t="shared" si="5"/>
        <v>0.38437499999999997</v>
      </c>
      <c r="O26" s="15">
        <v>0.48199999999999998</v>
      </c>
      <c r="P26" s="15">
        <f t="shared" si="6"/>
        <v>0.37952755905511809</v>
      </c>
      <c r="Q26" s="15">
        <v>0.505</v>
      </c>
      <c r="R26" s="19">
        <f t="shared" si="7"/>
        <v>0.39147286821705424</v>
      </c>
    </row>
    <row r="27" spans="4:18">
      <c r="D27" s="14"/>
      <c r="E27" s="14"/>
      <c r="F27" s="14"/>
      <c r="G27" s="14"/>
      <c r="L27" s="23" t="s">
        <v>45</v>
      </c>
      <c r="M27" s="17">
        <v>0.28899999999999998</v>
      </c>
      <c r="N27" s="15">
        <f t="shared" si="5"/>
        <v>0.22578124999999999</v>
      </c>
      <c r="O27" s="15">
        <v>0.26500000000000001</v>
      </c>
      <c r="P27" s="15">
        <f t="shared" si="6"/>
        <v>0.20866141732283466</v>
      </c>
      <c r="Q27" s="15">
        <v>0.29399999999999998</v>
      </c>
      <c r="R27" s="19">
        <f t="shared" si="7"/>
        <v>0.22790697674418603</v>
      </c>
    </row>
    <row r="28" spans="4:18" ht="13.5" thickBot="1">
      <c r="L28" s="24" t="s">
        <v>46</v>
      </c>
      <c r="M28" s="21">
        <v>0.16800000000000001</v>
      </c>
      <c r="N28" s="20">
        <f t="shared" si="5"/>
        <v>0.13125000000000001</v>
      </c>
      <c r="O28" s="20">
        <v>0.16900000000000001</v>
      </c>
      <c r="P28" s="20">
        <f t="shared" si="6"/>
        <v>0.1330708661417323</v>
      </c>
      <c r="Q28" s="20">
        <v>0.17</v>
      </c>
      <c r="R28" s="22">
        <f t="shared" si="7"/>
        <v>0.13178294573643412</v>
      </c>
    </row>
  </sheetData>
  <mergeCells count="12">
    <mergeCell ref="M17:N17"/>
    <mergeCell ref="O17:P17"/>
    <mergeCell ref="Q17:R17"/>
    <mergeCell ref="L17:L18"/>
    <mergeCell ref="X2:X3"/>
    <mergeCell ref="B2:C2"/>
    <mergeCell ref="J2:J3"/>
    <mergeCell ref="D2:E2"/>
    <mergeCell ref="F2:G2"/>
    <mergeCell ref="H2:I2"/>
    <mergeCell ref="T2:T3"/>
    <mergeCell ref="U2:W2"/>
  </mergeCells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3"/>
  <sheetViews>
    <sheetView topLeftCell="M25" workbookViewId="0">
      <selection activeCell="AC27" sqref="AC27"/>
    </sheetView>
  </sheetViews>
  <sheetFormatPr defaultRowHeight="13"/>
  <cols>
    <col min="1" max="1" width="3" customWidth="1"/>
    <col min="2" max="2" width="10.26953125" bestFit="1" customWidth="1"/>
    <col min="3" max="3" width="19.26953125" bestFit="1" customWidth="1"/>
    <col min="4" max="4" width="12.7265625" bestFit="1" customWidth="1"/>
    <col min="5" max="5" width="19.26953125" bestFit="1" customWidth="1"/>
    <col min="6" max="6" width="12.7265625" bestFit="1" customWidth="1"/>
    <col min="9" max="13" width="8.7265625" customWidth="1"/>
    <col min="14" max="15" width="3.36328125" customWidth="1"/>
    <col min="16" max="17" width="8.08984375" customWidth="1"/>
    <col min="19" max="19" width="2.90625" customWidth="1"/>
    <col min="20" max="20" width="7.08984375" bestFit="1" customWidth="1"/>
    <col min="21" max="21" width="12.7265625" bestFit="1" customWidth="1"/>
    <col min="28" max="28" width="1.453125" customWidth="1"/>
  </cols>
  <sheetData>
    <row r="2" spans="2:29" ht="13.5" thickBot="1">
      <c r="B2" t="s">
        <v>9</v>
      </c>
      <c r="P2" t="s">
        <v>52</v>
      </c>
      <c r="Q2" s="4" t="s">
        <v>53</v>
      </c>
      <c r="R2">
        <v>1.4563999999999999</v>
      </c>
    </row>
    <row r="3" spans="2:29">
      <c r="B3" s="52" t="s">
        <v>10</v>
      </c>
      <c r="C3" s="52" t="s">
        <v>3</v>
      </c>
      <c r="D3" s="52"/>
      <c r="E3" s="52" t="s">
        <v>4</v>
      </c>
      <c r="F3" s="52"/>
      <c r="I3" s="53" t="s">
        <v>47</v>
      </c>
      <c r="J3" s="55" t="s">
        <v>3</v>
      </c>
      <c r="K3" s="55"/>
      <c r="L3" s="55" t="s">
        <v>4</v>
      </c>
      <c r="M3" s="56"/>
      <c r="P3" t="s">
        <v>9</v>
      </c>
      <c r="T3" t="s">
        <v>12</v>
      </c>
      <c r="X3" s="53" t="s">
        <v>47</v>
      </c>
      <c r="Y3" s="55" t="s">
        <v>54</v>
      </c>
      <c r="Z3" s="55"/>
      <c r="AA3" s="56" t="s">
        <v>2</v>
      </c>
    </row>
    <row r="4" spans="2:29">
      <c r="B4" s="58"/>
      <c r="C4" s="1" t="s">
        <v>8</v>
      </c>
      <c r="D4" s="1" t="s">
        <v>11</v>
      </c>
      <c r="E4" s="1" t="s">
        <v>8</v>
      </c>
      <c r="F4" s="1" t="s">
        <v>11</v>
      </c>
      <c r="I4" s="54"/>
      <c r="J4" s="1" t="s">
        <v>36</v>
      </c>
      <c r="K4" s="1" t="s">
        <v>11</v>
      </c>
      <c r="L4" s="1" t="s">
        <v>36</v>
      </c>
      <c r="M4" s="7" t="s">
        <v>11</v>
      </c>
      <c r="P4" t="s">
        <v>47</v>
      </c>
      <c r="R4" t="s">
        <v>11</v>
      </c>
      <c r="T4" t="s">
        <v>47</v>
      </c>
      <c r="V4" t="s">
        <v>11</v>
      </c>
      <c r="X4" s="57"/>
      <c r="Y4" s="1" t="s">
        <v>3</v>
      </c>
      <c r="Z4" s="1" t="s">
        <v>4</v>
      </c>
      <c r="AA4" s="51"/>
    </row>
    <row r="5" spans="2:29">
      <c r="B5" s="2">
        <v>10</v>
      </c>
      <c r="C5" s="3">
        <v>0.06</v>
      </c>
      <c r="D5" s="2">
        <f>C5/$C$13</f>
        <v>2.3622047244094488E-2</v>
      </c>
      <c r="E5" s="2">
        <v>1.2999999999999999E-2</v>
      </c>
      <c r="F5" s="2">
        <f>E5/$E$13</f>
        <v>5.1181102362204724E-3</v>
      </c>
      <c r="I5" s="23" t="s">
        <v>38</v>
      </c>
      <c r="J5" s="15">
        <v>0.06</v>
      </c>
      <c r="K5" s="25">
        <f>J5/$C$13</f>
        <v>2.3622047244094488E-2</v>
      </c>
      <c r="L5" s="15">
        <v>1.2999999999999999E-2</v>
      </c>
      <c r="M5" s="26">
        <f>L5/$E$13</f>
        <v>5.1181102362204724E-3</v>
      </c>
      <c r="P5" t="s">
        <v>6</v>
      </c>
      <c r="Q5" t="s">
        <v>7</v>
      </c>
      <c r="T5" t="s">
        <v>6</v>
      </c>
      <c r="U5" t="s">
        <v>7</v>
      </c>
      <c r="X5" s="23" t="s">
        <v>38</v>
      </c>
      <c r="Y5" s="25">
        <v>2.3622047244094488E-2</v>
      </c>
      <c r="Z5" s="43">
        <v>5.1181102362204724E-3</v>
      </c>
      <c r="AA5" s="27">
        <v>3.5998074401735733E-2</v>
      </c>
      <c r="AC5">
        <v>1</v>
      </c>
    </row>
    <row r="6" spans="2:29">
      <c r="B6" s="2">
        <v>20</v>
      </c>
      <c r="C6" s="2">
        <v>0.11799999999999999</v>
      </c>
      <c r="D6" s="2">
        <f t="shared" ref="D6:D13" si="0">C6/$C$13</f>
        <v>4.6456692913385826E-2</v>
      </c>
      <c r="E6" s="2">
        <v>9.1999999999999998E-2</v>
      </c>
      <c r="F6" s="2">
        <f t="shared" ref="F6:F13" si="1">E6/$E$13</f>
        <v>3.6220472440944881E-2</v>
      </c>
      <c r="I6" s="23" t="s">
        <v>39</v>
      </c>
      <c r="J6" s="15">
        <v>0.11799999999999999</v>
      </c>
      <c r="K6" s="25">
        <f t="shared" ref="K6:K13" si="2">J6/$C$13</f>
        <v>4.6456692913385826E-2</v>
      </c>
      <c r="L6" s="15">
        <v>9.1999999999999998E-2</v>
      </c>
      <c r="M6" s="27">
        <f t="shared" ref="M6:M13" si="3">L6/$E$13</f>
        <v>3.6220472440944881E-2</v>
      </c>
      <c r="P6">
        <v>10</v>
      </c>
      <c r="Q6" s="2">
        <f>P6/180*PI()</f>
        <v>0.17453292519943295</v>
      </c>
      <c r="R6">
        <f>((COS(Q6)-($R$2^2-(SIN(Q6))^2)^(1/2))/(COS(Q6)+($R$2^2-(SIN(Q6))^2)^(1/2)))^2</f>
        <v>3.5998074401735733E-2</v>
      </c>
      <c r="T6">
        <v>10</v>
      </c>
      <c r="U6" s="2">
        <f t="shared" ref="U6:U15" si="4">T6/180*PI()</f>
        <v>0.17453292519943295</v>
      </c>
      <c r="V6">
        <f t="shared" ref="V6:V15" si="5">(($R$2^2*COS(U6)-($R$2^2-(SIN(U6))^2)^(1/2))/($R$2^2*COS(U6)+($R$2^2-(SIN(U6))^2)^(1/2)))^2</f>
        <v>3.3074214083530458E-2</v>
      </c>
      <c r="X6" s="23" t="s">
        <v>39</v>
      </c>
      <c r="Y6" s="25">
        <v>4.6456692913385826E-2</v>
      </c>
      <c r="Z6" s="25">
        <v>3.6220472440944881E-2</v>
      </c>
      <c r="AA6" s="27">
        <v>4.0837383567023454E-2</v>
      </c>
      <c r="AC6" s="44">
        <v>2</v>
      </c>
    </row>
    <row r="7" spans="2:29">
      <c r="B7" s="2">
        <v>30</v>
      </c>
      <c r="C7" s="2">
        <v>0.14699999999999999</v>
      </c>
      <c r="D7" s="2">
        <f t="shared" si="0"/>
        <v>5.7874015748031492E-2</v>
      </c>
      <c r="E7" s="2">
        <v>0.13200000000000001</v>
      </c>
      <c r="F7" s="2">
        <f t="shared" si="1"/>
        <v>5.1968503937007873E-2</v>
      </c>
      <c r="I7" s="23" t="s">
        <v>40</v>
      </c>
      <c r="J7" s="15">
        <v>0.14699999999999999</v>
      </c>
      <c r="K7" s="25">
        <f t="shared" si="2"/>
        <v>5.7874015748031492E-2</v>
      </c>
      <c r="L7" s="15">
        <v>0.13200000000000001</v>
      </c>
      <c r="M7" s="27">
        <f t="shared" si="3"/>
        <v>5.1968503937007873E-2</v>
      </c>
      <c r="P7">
        <v>20</v>
      </c>
      <c r="Q7" s="2">
        <f t="shared" ref="Q7:Q14" si="6">P7/180*PI()</f>
        <v>0.3490658503988659</v>
      </c>
      <c r="R7">
        <f>((COS(Q7)-($R$2^2-(SIN(Q7))^2)^(1/2))/(COS(Q7)+($R$2^2-(SIN(Q7))^2)^(1/2)))^2</f>
        <v>4.0837383567023454E-2</v>
      </c>
      <c r="T7">
        <v>20</v>
      </c>
      <c r="U7" s="2">
        <f t="shared" si="4"/>
        <v>0.3490658503988659</v>
      </c>
      <c r="V7">
        <f t="shared" si="5"/>
        <v>2.8701584191352474E-2</v>
      </c>
      <c r="X7" s="23" t="s">
        <v>40</v>
      </c>
      <c r="Y7" s="25">
        <v>5.7874015748031492E-2</v>
      </c>
      <c r="Z7" s="25">
        <v>5.1968503937007873E-2</v>
      </c>
      <c r="AA7" s="27">
        <v>5.0469480852723306E-2</v>
      </c>
      <c r="AC7" s="44">
        <v>2</v>
      </c>
    </row>
    <row r="8" spans="2:29">
      <c r="B8" s="2">
        <v>40</v>
      </c>
      <c r="C8" s="2">
        <v>0.17399999999999999</v>
      </c>
      <c r="D8" s="2">
        <f t="shared" si="0"/>
        <v>6.8503937007874008E-2</v>
      </c>
      <c r="E8" s="2">
        <v>0.17799999999999999</v>
      </c>
      <c r="F8" s="2">
        <f t="shared" si="1"/>
        <v>7.0078740157480307E-2</v>
      </c>
      <c r="I8" s="23" t="s">
        <v>41</v>
      </c>
      <c r="J8" s="15">
        <v>0.17399999999999999</v>
      </c>
      <c r="K8" s="25">
        <f t="shared" si="2"/>
        <v>6.8503937007874008E-2</v>
      </c>
      <c r="L8" s="15">
        <v>0.17799999999999999</v>
      </c>
      <c r="M8" s="27">
        <f t="shared" si="3"/>
        <v>7.0078740157480307E-2</v>
      </c>
      <c r="P8">
        <v>30</v>
      </c>
      <c r="Q8" s="2">
        <f t="shared" si="6"/>
        <v>0.52359877559829882</v>
      </c>
      <c r="R8">
        <f>((COS(Q8)-($R$2^2-(SIN(Q8))^2)^(1/2))/(COS(Q8)+($R$2^2-(SIN(Q8))^2)^(1/2)))^2</f>
        <v>5.0469480852723306E-2</v>
      </c>
      <c r="T8">
        <v>30</v>
      </c>
      <c r="U8" s="2">
        <f t="shared" si="4"/>
        <v>0.52359877559829882</v>
      </c>
      <c r="V8">
        <f t="shared" si="5"/>
        <v>2.1420291500261378E-2</v>
      </c>
      <c r="X8" s="23" t="s">
        <v>41</v>
      </c>
      <c r="Y8" s="25">
        <v>6.8503937007874008E-2</v>
      </c>
      <c r="Z8" s="25">
        <v>7.0078740157480307E-2</v>
      </c>
      <c r="AA8" s="27">
        <v>6.8070486779213998E-2</v>
      </c>
      <c r="AC8" s="44">
        <v>1</v>
      </c>
    </row>
    <row r="9" spans="2:29">
      <c r="B9" s="2">
        <v>50</v>
      </c>
      <c r="C9" s="2">
        <v>0.26700000000000002</v>
      </c>
      <c r="D9" s="2">
        <f t="shared" si="0"/>
        <v>0.10511811023622047</v>
      </c>
      <c r="E9" s="2">
        <v>0.25700000000000001</v>
      </c>
      <c r="F9" s="2">
        <f t="shared" si="1"/>
        <v>0.10118110236220472</v>
      </c>
      <c r="I9" s="23" t="s">
        <v>42</v>
      </c>
      <c r="J9" s="15">
        <v>0.26700000000000002</v>
      </c>
      <c r="K9" s="15">
        <f t="shared" si="2"/>
        <v>0.10511811023622047</v>
      </c>
      <c r="L9" s="15">
        <v>0.25700000000000001</v>
      </c>
      <c r="M9" s="19">
        <f t="shared" si="3"/>
        <v>0.10118110236220472</v>
      </c>
      <c r="P9">
        <v>40</v>
      </c>
      <c r="Q9" s="2">
        <f t="shared" si="6"/>
        <v>0.69813170079773179</v>
      </c>
      <c r="R9">
        <f t="shared" ref="R9:R14" si="7">((COS(Q9)-($R$2^2-(SIN(Q9))^2)^(1/2))/(COS(Q9)+($R$2^2-(SIN(Q9))^2)^(1/2)))^2</f>
        <v>6.8070486779213998E-2</v>
      </c>
      <c r="T9">
        <v>40</v>
      </c>
      <c r="U9" s="2">
        <f t="shared" si="4"/>
        <v>0.69813170079773179</v>
      </c>
      <c r="V9">
        <f t="shared" si="5"/>
        <v>1.1763993732048155E-2</v>
      </c>
      <c r="X9" s="23" t="s">
        <v>42</v>
      </c>
      <c r="Y9" s="15">
        <v>0.10511811023622047</v>
      </c>
      <c r="Z9" s="15">
        <v>0.10118110236220472</v>
      </c>
      <c r="AA9" s="19">
        <v>0.1003047669813609</v>
      </c>
      <c r="AC9" s="44">
        <v>2</v>
      </c>
    </row>
    <row r="10" spans="2:29">
      <c r="B10" s="2">
        <v>60</v>
      </c>
      <c r="C10" s="2">
        <v>0.38200000000000001</v>
      </c>
      <c r="D10" s="2">
        <f t="shared" si="0"/>
        <v>0.15039370078740158</v>
      </c>
      <c r="E10" s="2">
        <v>0.39500000000000002</v>
      </c>
      <c r="F10" s="2">
        <f t="shared" si="1"/>
        <v>0.15551181102362205</v>
      </c>
      <c r="I10" s="23" t="s">
        <v>43</v>
      </c>
      <c r="J10" s="15">
        <v>0.38200000000000001</v>
      </c>
      <c r="K10" s="15">
        <f t="shared" si="2"/>
        <v>0.15039370078740158</v>
      </c>
      <c r="L10" s="15">
        <v>0.39500000000000002</v>
      </c>
      <c r="M10" s="19">
        <f t="shared" si="3"/>
        <v>0.15551181102362205</v>
      </c>
      <c r="P10">
        <v>50</v>
      </c>
      <c r="Q10" s="2">
        <f t="shared" si="6"/>
        <v>0.87266462599716477</v>
      </c>
      <c r="R10">
        <f t="shared" si="7"/>
        <v>0.1003047669813609</v>
      </c>
      <c r="T10">
        <v>50</v>
      </c>
      <c r="U10" s="2">
        <f t="shared" si="4"/>
        <v>0.87266462599716477</v>
      </c>
      <c r="V10">
        <f t="shared" si="5"/>
        <v>2.2987799140623127E-3</v>
      </c>
      <c r="X10" s="23" t="s">
        <v>43</v>
      </c>
      <c r="Y10" s="15">
        <v>0.15039370078740158</v>
      </c>
      <c r="Z10" s="15">
        <v>0.15551181102362205</v>
      </c>
      <c r="AA10" s="19">
        <v>0.16122998559995783</v>
      </c>
      <c r="AC10" s="44">
        <v>2</v>
      </c>
    </row>
    <row r="11" spans="2:29">
      <c r="B11" s="2">
        <v>70</v>
      </c>
      <c r="C11" s="2">
        <v>0.71</v>
      </c>
      <c r="D11" s="2">
        <f t="shared" si="0"/>
        <v>0.27952755905511811</v>
      </c>
      <c r="E11" s="2">
        <v>0.61</v>
      </c>
      <c r="F11" s="2">
        <f t="shared" si="1"/>
        <v>0.24015748031496062</v>
      </c>
      <c r="I11" s="23" t="s">
        <v>44</v>
      </c>
      <c r="J11" s="15">
        <v>0.71</v>
      </c>
      <c r="K11" s="15">
        <f t="shared" si="2"/>
        <v>0.27952755905511811</v>
      </c>
      <c r="L11" s="15">
        <v>0.61</v>
      </c>
      <c r="M11" s="19">
        <f t="shared" si="3"/>
        <v>0.24015748031496062</v>
      </c>
      <c r="P11">
        <v>60</v>
      </c>
      <c r="Q11" s="2">
        <f t="shared" si="6"/>
        <v>1.0471975511965976</v>
      </c>
      <c r="R11">
        <f t="shared" si="7"/>
        <v>0.16122998559995783</v>
      </c>
      <c r="T11">
        <v>55</v>
      </c>
      <c r="U11" s="41">
        <f t="shared" si="4"/>
        <v>0.95993108859688125</v>
      </c>
      <c r="V11">
        <f t="shared" si="5"/>
        <v>2.6306619584865701E-5</v>
      </c>
      <c r="X11" s="23" t="s">
        <v>44</v>
      </c>
      <c r="Y11" s="15">
        <v>0.27952755905511811</v>
      </c>
      <c r="Z11" s="15">
        <v>0.24015748031496062</v>
      </c>
      <c r="AA11" s="19">
        <v>0.28066208057740233</v>
      </c>
      <c r="AC11" s="44">
        <v>1</v>
      </c>
    </row>
    <row r="12" spans="2:29">
      <c r="B12" s="2">
        <v>80</v>
      </c>
      <c r="C12" s="2">
        <v>1.24</v>
      </c>
      <c r="D12" s="2">
        <f t="shared" si="0"/>
        <v>0.48818897637795272</v>
      </c>
      <c r="E12" s="2">
        <v>1.17</v>
      </c>
      <c r="F12" s="2">
        <f t="shared" si="1"/>
        <v>0.46062992125984248</v>
      </c>
      <c r="I12" s="23" t="s">
        <v>45</v>
      </c>
      <c r="J12" s="16">
        <v>1.24</v>
      </c>
      <c r="K12" s="15">
        <f t="shared" si="2"/>
        <v>0.48818897637795272</v>
      </c>
      <c r="L12" s="16">
        <v>1.17</v>
      </c>
      <c r="M12" s="19">
        <f t="shared" si="3"/>
        <v>0.46062992125984248</v>
      </c>
      <c r="P12">
        <v>70</v>
      </c>
      <c r="Q12" s="2">
        <f t="shared" si="6"/>
        <v>1.2217304763960306</v>
      </c>
      <c r="R12">
        <f t="shared" si="7"/>
        <v>0.28066208057740233</v>
      </c>
      <c r="T12">
        <v>60</v>
      </c>
      <c r="U12" s="2">
        <f t="shared" si="4"/>
        <v>1.0471975511965976</v>
      </c>
      <c r="V12">
        <f t="shared" si="5"/>
        <v>2.4471868739109203E-3</v>
      </c>
      <c r="X12" s="23" t="s">
        <v>45</v>
      </c>
      <c r="Y12" s="15">
        <v>0.48818897637795272</v>
      </c>
      <c r="Z12" s="15">
        <v>0.46062992125984248</v>
      </c>
      <c r="AA12" s="19">
        <v>0.52042973569452866</v>
      </c>
      <c r="AC12" s="44">
        <v>1</v>
      </c>
    </row>
    <row r="13" spans="2:29" ht="13.5" thickBot="1">
      <c r="B13" s="2">
        <v>90</v>
      </c>
      <c r="C13" s="2">
        <v>2.54</v>
      </c>
      <c r="D13" s="2">
        <f t="shared" si="0"/>
        <v>1</v>
      </c>
      <c r="E13" s="2">
        <v>2.54</v>
      </c>
      <c r="F13" s="2">
        <f t="shared" si="1"/>
        <v>1</v>
      </c>
      <c r="I13" s="24" t="s">
        <v>46</v>
      </c>
      <c r="J13" s="28">
        <v>2.54</v>
      </c>
      <c r="K13" s="28">
        <f t="shared" si="2"/>
        <v>1</v>
      </c>
      <c r="L13" s="28">
        <v>2.54</v>
      </c>
      <c r="M13" s="29">
        <f t="shared" si="3"/>
        <v>1</v>
      </c>
      <c r="P13">
        <v>80</v>
      </c>
      <c r="Q13" s="2">
        <f t="shared" si="6"/>
        <v>1.3962634015954636</v>
      </c>
      <c r="R13">
        <f t="shared" si="7"/>
        <v>0.52042973569452866</v>
      </c>
      <c r="T13">
        <v>70</v>
      </c>
      <c r="U13" s="2">
        <f t="shared" si="4"/>
        <v>1.2217304763960306</v>
      </c>
      <c r="V13">
        <f t="shared" si="5"/>
        <v>4.4379037945563922E-2</v>
      </c>
      <c r="X13" s="24" t="s">
        <v>46</v>
      </c>
      <c r="Y13" s="28">
        <v>1</v>
      </c>
      <c r="Z13" s="28">
        <v>1</v>
      </c>
      <c r="AA13" s="29">
        <v>1</v>
      </c>
    </row>
    <row r="14" spans="2:29">
      <c r="P14">
        <v>90</v>
      </c>
      <c r="Q14" s="2">
        <f t="shared" si="6"/>
        <v>1.5707963267948966</v>
      </c>
      <c r="R14">
        <f t="shared" si="7"/>
        <v>1</v>
      </c>
      <c r="T14">
        <v>80</v>
      </c>
      <c r="U14" s="2">
        <f t="shared" si="4"/>
        <v>1.3962634015954636</v>
      </c>
      <c r="V14">
        <f t="shared" si="5"/>
        <v>0.23901848049454419</v>
      </c>
    </row>
    <row r="15" spans="2:29" ht="13.5" thickBot="1">
      <c r="B15" t="s">
        <v>12</v>
      </c>
      <c r="T15">
        <v>90</v>
      </c>
      <c r="U15" s="2">
        <f t="shared" si="4"/>
        <v>1.5707963267948966</v>
      </c>
      <c r="V15">
        <f t="shared" si="5"/>
        <v>0.99999999999999911</v>
      </c>
    </row>
    <row r="16" spans="2:29">
      <c r="B16" s="52" t="s">
        <v>10</v>
      </c>
      <c r="C16" s="52" t="s">
        <v>3</v>
      </c>
      <c r="D16" s="52"/>
      <c r="E16" s="52" t="s">
        <v>4</v>
      </c>
      <c r="F16" s="52"/>
      <c r="I16" s="59" t="s">
        <v>47</v>
      </c>
      <c r="J16" s="61" t="s">
        <v>3</v>
      </c>
      <c r="K16" s="61"/>
      <c r="L16" s="61" t="s">
        <v>4</v>
      </c>
      <c r="M16" s="50"/>
      <c r="X16" s="53" t="s">
        <v>47</v>
      </c>
      <c r="Y16" s="55" t="s">
        <v>54</v>
      </c>
      <c r="Z16" s="55"/>
      <c r="AA16" s="56" t="s">
        <v>2</v>
      </c>
    </row>
    <row r="17" spans="2:29">
      <c r="B17" s="58"/>
      <c r="C17" s="1" t="s">
        <v>8</v>
      </c>
      <c r="D17" s="1" t="s">
        <v>11</v>
      </c>
      <c r="E17" s="1" t="s">
        <v>8</v>
      </c>
      <c r="F17" s="1" t="s">
        <v>11</v>
      </c>
      <c r="I17" s="60"/>
      <c r="J17" s="32" t="s">
        <v>36</v>
      </c>
      <c r="K17" s="32" t="s">
        <v>11</v>
      </c>
      <c r="L17" s="32" t="s">
        <v>36</v>
      </c>
      <c r="M17" s="33" t="s">
        <v>11</v>
      </c>
      <c r="X17" s="57"/>
      <c r="Y17" s="1" t="s">
        <v>3</v>
      </c>
      <c r="Z17" s="1" t="s">
        <v>4</v>
      </c>
      <c r="AA17" s="51"/>
    </row>
    <row r="18" spans="2:29">
      <c r="B18" s="2">
        <v>10</v>
      </c>
      <c r="C18" s="3">
        <v>0.1</v>
      </c>
      <c r="D18" s="2">
        <f>C18/$C$27</f>
        <v>3.921568627450981E-2</v>
      </c>
      <c r="E18" s="2">
        <v>8.8999999999999996E-2</v>
      </c>
      <c r="F18" s="2">
        <f>E18/$E$27</f>
        <v>3.4901960784313728E-2</v>
      </c>
      <c r="I18" s="34" t="s">
        <v>38</v>
      </c>
      <c r="J18" s="30">
        <v>0.1</v>
      </c>
      <c r="K18" s="31">
        <f>J18/$C$27</f>
        <v>3.921568627450981E-2</v>
      </c>
      <c r="L18" s="30">
        <v>8.8999999999999996E-2</v>
      </c>
      <c r="M18" s="35">
        <f>L18/$E$27</f>
        <v>3.4901960784313728E-2</v>
      </c>
      <c r="X18" s="23" t="s">
        <v>38</v>
      </c>
      <c r="Y18" s="25">
        <v>3.921568627450981E-2</v>
      </c>
      <c r="Z18" s="25">
        <v>3.4901960784313728E-2</v>
      </c>
      <c r="AA18" s="27">
        <v>3.3074214083530458E-2</v>
      </c>
      <c r="AC18" s="44">
        <v>2</v>
      </c>
    </row>
    <row r="19" spans="2:29">
      <c r="B19" s="2">
        <v>20</v>
      </c>
      <c r="C19" s="2">
        <v>0.09</v>
      </c>
      <c r="D19" s="2">
        <f t="shared" ref="D19:D27" si="8">C19/$C$27</f>
        <v>3.5294117647058823E-2</v>
      </c>
      <c r="E19" s="2">
        <v>9.1999999999999998E-2</v>
      </c>
      <c r="F19" s="2">
        <f t="shared" ref="F19:F27" si="9">E19/$E$27</f>
        <v>3.607843137254902E-2</v>
      </c>
      <c r="I19" s="34" t="s">
        <v>39</v>
      </c>
      <c r="J19" s="30">
        <v>0.09</v>
      </c>
      <c r="K19" s="31">
        <f t="shared" ref="K19:K27" si="10">J19/$C$27</f>
        <v>3.5294117647058823E-2</v>
      </c>
      <c r="L19" s="30">
        <v>9.1999999999999998E-2</v>
      </c>
      <c r="M19" s="35">
        <f t="shared" ref="M19:M27" si="11">L19/$E$27</f>
        <v>3.607843137254902E-2</v>
      </c>
      <c r="X19" s="23" t="s">
        <v>39</v>
      </c>
      <c r="Y19" s="25">
        <v>3.5294117647058823E-2</v>
      </c>
      <c r="Z19" s="25">
        <v>3.607843137254902E-2</v>
      </c>
      <c r="AA19" s="27">
        <v>2.8701584191352474E-2</v>
      </c>
      <c r="AC19" s="44">
        <v>1</v>
      </c>
    </row>
    <row r="20" spans="2:29">
      <c r="B20" s="2">
        <v>30</v>
      </c>
      <c r="C20" s="2">
        <v>7.5999999999999998E-2</v>
      </c>
      <c r="D20" s="2">
        <f t="shared" si="8"/>
        <v>2.9803921568627451E-2</v>
      </c>
      <c r="E20" s="2">
        <v>5.6000000000000001E-2</v>
      </c>
      <c r="F20" s="2">
        <f t="shared" si="9"/>
        <v>2.1960784313725491E-2</v>
      </c>
      <c r="I20" s="34" t="s">
        <v>40</v>
      </c>
      <c r="J20" s="30">
        <v>7.5999999999999998E-2</v>
      </c>
      <c r="K20" s="31">
        <f t="shared" si="10"/>
        <v>2.9803921568627451E-2</v>
      </c>
      <c r="L20" s="30">
        <v>5.6000000000000001E-2</v>
      </c>
      <c r="M20" s="35">
        <f t="shared" si="11"/>
        <v>2.1960784313725491E-2</v>
      </c>
      <c r="X20" s="23" t="s">
        <v>40</v>
      </c>
      <c r="Y20" s="25">
        <v>2.9803921568627451E-2</v>
      </c>
      <c r="Z20" s="25">
        <v>2.1960784313725491E-2</v>
      </c>
      <c r="AA20" s="27">
        <v>2.1420291500261378E-2</v>
      </c>
      <c r="AC20" s="44">
        <v>2</v>
      </c>
    </row>
    <row r="21" spans="2:29">
      <c r="B21" s="2">
        <v>40</v>
      </c>
      <c r="C21" s="2">
        <v>5.3999999999999999E-2</v>
      </c>
      <c r="D21" s="2">
        <f t="shared" si="8"/>
        <v>2.1176470588235297E-2</v>
      </c>
      <c r="E21" s="2">
        <v>5.6000000000000001E-2</v>
      </c>
      <c r="F21" s="2">
        <f t="shared" si="9"/>
        <v>2.1960784313725491E-2</v>
      </c>
      <c r="I21" s="34" t="s">
        <v>41</v>
      </c>
      <c r="J21" s="30">
        <v>5.3999999999999999E-2</v>
      </c>
      <c r="K21" s="31">
        <f t="shared" si="10"/>
        <v>2.1176470588235297E-2</v>
      </c>
      <c r="L21" s="30">
        <v>5.6000000000000001E-2</v>
      </c>
      <c r="M21" s="35">
        <f t="shared" si="11"/>
        <v>2.1960784313725491E-2</v>
      </c>
      <c r="X21" s="23" t="s">
        <v>41</v>
      </c>
      <c r="Y21" s="25">
        <v>2.1176470588235297E-2</v>
      </c>
      <c r="Z21" s="25">
        <v>2.1960784313725491E-2</v>
      </c>
      <c r="AA21" s="27">
        <v>1.1763993732048155E-2</v>
      </c>
      <c r="AC21" s="44">
        <v>1</v>
      </c>
    </row>
    <row r="22" spans="2:29">
      <c r="B22" s="2">
        <v>50</v>
      </c>
      <c r="C22" s="2">
        <v>3.4000000000000002E-2</v>
      </c>
      <c r="D22" s="2">
        <f t="shared" si="8"/>
        <v>1.3333333333333336E-2</v>
      </c>
      <c r="E22" s="2">
        <v>3.5999999999999997E-2</v>
      </c>
      <c r="F22" s="2">
        <f t="shared" si="9"/>
        <v>1.411764705882353E-2</v>
      </c>
      <c r="I22" s="34" t="s">
        <v>42</v>
      </c>
      <c r="J22" s="30">
        <v>3.4000000000000002E-2</v>
      </c>
      <c r="K22" s="31">
        <f t="shared" si="10"/>
        <v>1.3333333333333336E-2</v>
      </c>
      <c r="L22" s="30">
        <v>3.5999999999999997E-2</v>
      </c>
      <c r="M22" s="35">
        <f t="shared" si="11"/>
        <v>1.411764705882353E-2</v>
      </c>
      <c r="X22" s="23" t="s">
        <v>42</v>
      </c>
      <c r="Y22" s="25">
        <v>1.3333333333333336E-2</v>
      </c>
      <c r="Z22" s="25">
        <v>1.411764705882353E-2</v>
      </c>
      <c r="AA22" s="26">
        <v>2.2987799140623127E-3</v>
      </c>
      <c r="AC22" s="44">
        <v>2</v>
      </c>
    </row>
    <row r="23" spans="2:29">
      <c r="B23" s="2">
        <v>55</v>
      </c>
      <c r="C23" s="2">
        <v>3.4000000000000002E-2</v>
      </c>
      <c r="D23" s="2">
        <f t="shared" si="8"/>
        <v>1.3333333333333336E-2</v>
      </c>
      <c r="E23" s="2">
        <v>3.4000000000000002E-2</v>
      </c>
      <c r="F23" s="2">
        <f t="shared" si="9"/>
        <v>1.3333333333333336E-2</v>
      </c>
      <c r="I23" s="34" t="s">
        <v>48</v>
      </c>
      <c r="J23" s="30">
        <v>3.4000000000000002E-2</v>
      </c>
      <c r="K23" s="31">
        <f t="shared" si="10"/>
        <v>1.3333333333333336E-2</v>
      </c>
      <c r="L23" s="30">
        <v>3.4000000000000002E-2</v>
      </c>
      <c r="M23" s="35">
        <f t="shared" si="11"/>
        <v>1.3333333333333336E-2</v>
      </c>
      <c r="X23" s="34" t="s">
        <v>58</v>
      </c>
      <c r="Y23" s="25">
        <v>1.3333333333333336E-2</v>
      </c>
      <c r="Z23" s="25">
        <v>1.3333333333333336E-2</v>
      </c>
      <c r="AA23" s="26">
        <v>2.6306619584865701E-5</v>
      </c>
    </row>
    <row r="24" spans="2:29">
      <c r="B24" s="2">
        <v>60</v>
      </c>
      <c r="C24" s="2">
        <v>4.8000000000000001E-2</v>
      </c>
      <c r="D24" s="2">
        <f t="shared" si="8"/>
        <v>1.8823529411764708E-2</v>
      </c>
      <c r="E24" s="2">
        <v>4.4999999999999998E-2</v>
      </c>
      <c r="F24" s="2">
        <f t="shared" si="9"/>
        <v>1.7647058823529412E-2</v>
      </c>
      <c r="I24" s="34" t="s">
        <v>43</v>
      </c>
      <c r="J24" s="30">
        <v>4.8000000000000001E-2</v>
      </c>
      <c r="K24" s="31">
        <f t="shared" si="10"/>
        <v>1.8823529411764708E-2</v>
      </c>
      <c r="L24" s="30">
        <v>4.4999999999999998E-2</v>
      </c>
      <c r="M24" s="35">
        <f t="shared" si="11"/>
        <v>1.7647058823529412E-2</v>
      </c>
      <c r="X24" s="23" t="s">
        <v>43</v>
      </c>
      <c r="Y24" s="25">
        <v>1.8823529411764708E-2</v>
      </c>
      <c r="Z24" s="25">
        <v>1.7647058823529412E-2</v>
      </c>
      <c r="AA24" s="26">
        <v>2.4471868739109203E-3</v>
      </c>
      <c r="AC24" s="44">
        <v>2</v>
      </c>
    </row>
    <row r="25" spans="2:29">
      <c r="B25" s="2">
        <v>70</v>
      </c>
      <c r="C25" s="2">
        <v>0.156</v>
      </c>
      <c r="D25" s="2">
        <f t="shared" si="8"/>
        <v>6.1176470588235297E-2</v>
      </c>
      <c r="E25" s="2">
        <v>0.14499999999999999</v>
      </c>
      <c r="F25" s="2">
        <f t="shared" si="9"/>
        <v>5.6862745098039215E-2</v>
      </c>
      <c r="I25" s="34" t="s">
        <v>44</v>
      </c>
      <c r="J25" s="30">
        <v>0.156</v>
      </c>
      <c r="K25" s="31">
        <f t="shared" si="10"/>
        <v>6.1176470588235297E-2</v>
      </c>
      <c r="L25" s="30">
        <v>0.14499999999999999</v>
      </c>
      <c r="M25" s="35">
        <f t="shared" si="11"/>
        <v>5.6862745098039215E-2</v>
      </c>
      <c r="X25" s="23" t="s">
        <v>44</v>
      </c>
      <c r="Y25" s="25">
        <v>6.1176470588235297E-2</v>
      </c>
      <c r="Z25" s="25">
        <v>5.6862745098039215E-2</v>
      </c>
      <c r="AA25" s="27">
        <v>4.4379037945563922E-2</v>
      </c>
      <c r="AC25" s="44">
        <v>2</v>
      </c>
    </row>
    <row r="26" spans="2:29">
      <c r="B26" s="2">
        <v>80</v>
      </c>
      <c r="C26" s="2">
        <v>0.57099999999999995</v>
      </c>
      <c r="D26" s="2">
        <f t="shared" si="8"/>
        <v>0.22392156862745097</v>
      </c>
      <c r="E26" s="2">
        <v>0.61199999999999999</v>
      </c>
      <c r="F26" s="2">
        <f t="shared" si="9"/>
        <v>0.24000000000000002</v>
      </c>
      <c r="I26" s="34" t="s">
        <v>45</v>
      </c>
      <c r="J26" s="30">
        <v>0.57099999999999995</v>
      </c>
      <c r="K26" s="30">
        <f t="shared" si="10"/>
        <v>0.22392156862745097</v>
      </c>
      <c r="L26" s="30">
        <v>0.61199999999999999</v>
      </c>
      <c r="M26" s="36">
        <f t="shared" si="11"/>
        <v>0.24000000000000002</v>
      </c>
      <c r="X26" s="23" t="s">
        <v>45</v>
      </c>
      <c r="Y26" s="15">
        <v>0.22392156862745097</v>
      </c>
      <c r="Z26" s="15">
        <v>0.24</v>
      </c>
      <c r="AA26" s="19">
        <v>0.23901848049454419</v>
      </c>
      <c r="AC26" s="44">
        <v>2</v>
      </c>
    </row>
    <row r="27" spans="2:29" ht="13.5" thickBot="1">
      <c r="B27" s="2">
        <v>90</v>
      </c>
      <c r="C27" s="2">
        <v>2.5499999999999998</v>
      </c>
      <c r="D27" s="2">
        <f t="shared" si="8"/>
        <v>1</v>
      </c>
      <c r="E27" s="2">
        <v>2.5499999999999998</v>
      </c>
      <c r="F27" s="2">
        <f t="shared" si="9"/>
        <v>1</v>
      </c>
      <c r="I27" s="37" t="s">
        <v>46</v>
      </c>
      <c r="J27" s="38">
        <v>2.5499999999999998</v>
      </c>
      <c r="K27" s="38">
        <f t="shared" si="10"/>
        <v>1</v>
      </c>
      <c r="L27" s="38">
        <v>2.5499999999999998</v>
      </c>
      <c r="M27" s="39">
        <f t="shared" si="11"/>
        <v>1</v>
      </c>
      <c r="X27" s="24" t="s">
        <v>46</v>
      </c>
      <c r="Y27" s="28">
        <v>1</v>
      </c>
      <c r="Z27" s="28">
        <v>1</v>
      </c>
      <c r="AA27" s="29">
        <v>1</v>
      </c>
    </row>
    <row r="31" spans="2:29">
      <c r="J31" s="52" t="s">
        <v>54</v>
      </c>
      <c r="K31" s="52"/>
      <c r="L31" s="52" t="s">
        <v>2</v>
      </c>
    </row>
    <row r="32" spans="2:29">
      <c r="J32" s="1" t="s">
        <v>3</v>
      </c>
      <c r="K32" s="1" t="s">
        <v>4</v>
      </c>
      <c r="L32" s="52"/>
    </row>
    <row r="33" spans="10:12" ht="13.5">
      <c r="J33" s="42" t="s">
        <v>55</v>
      </c>
      <c r="K33" s="42" t="s">
        <v>56</v>
      </c>
      <c r="L33" s="42" t="s">
        <v>57</v>
      </c>
    </row>
  </sheetData>
  <mergeCells count="20">
    <mergeCell ref="I3:I4"/>
    <mergeCell ref="I16:I17"/>
    <mergeCell ref="J16:K16"/>
    <mergeCell ref="L16:M16"/>
    <mergeCell ref="J31:K31"/>
    <mergeCell ref="L31:L32"/>
    <mergeCell ref="J3:K3"/>
    <mergeCell ref="L3:M3"/>
    <mergeCell ref="B3:B4"/>
    <mergeCell ref="C3:D3"/>
    <mergeCell ref="E3:F3"/>
    <mergeCell ref="B16:B17"/>
    <mergeCell ref="C16:D16"/>
    <mergeCell ref="E16:F16"/>
    <mergeCell ref="X3:X4"/>
    <mergeCell ref="Y3:Z3"/>
    <mergeCell ref="AA3:AA4"/>
    <mergeCell ref="X16:X17"/>
    <mergeCell ref="Y16:Z16"/>
    <mergeCell ref="AA16:AA17"/>
  </mergeCells>
  <phoneticPr fontId="1"/>
  <pageMargins left="0.75" right="0.75" top="1" bottom="1" header="0.51200000000000001" footer="0.51200000000000001"/>
  <pageSetup paperSize="9" orientation="portrait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"/>
  <sheetViews>
    <sheetView topLeftCell="A34" workbookViewId="0">
      <selection activeCell="C5" sqref="C5"/>
    </sheetView>
  </sheetViews>
  <sheetFormatPr defaultRowHeight="13"/>
  <cols>
    <col min="1" max="1" width="3.08984375" customWidth="1"/>
    <col min="2" max="2" width="3.453125" bestFit="1" customWidth="1"/>
    <col min="5" max="5" width="7.453125" bestFit="1" customWidth="1"/>
    <col min="6" max="6" width="4.08984375" bestFit="1" customWidth="1"/>
    <col min="7" max="7" width="3.08984375" customWidth="1"/>
    <col min="8" max="8" width="3.453125" bestFit="1" customWidth="1"/>
    <col min="11" max="11" width="7.453125" bestFit="1" customWidth="1"/>
    <col min="12" max="12" width="4.08984375" bestFit="1" customWidth="1"/>
    <col min="13" max="13" width="3.08984375" customWidth="1"/>
    <col min="14" max="14" width="3.453125" bestFit="1" customWidth="1"/>
    <col min="17" max="17" width="7.453125" bestFit="1" customWidth="1"/>
    <col min="18" max="18" width="4.08984375" bestFit="1" customWidth="1"/>
    <col min="19" max="19" width="3.08984375" customWidth="1"/>
    <col min="20" max="20" width="3.453125" bestFit="1" customWidth="1"/>
    <col min="23" max="23" width="7.453125" bestFit="1" customWidth="1"/>
    <col min="24" max="24" width="4.453125" bestFit="1" customWidth="1"/>
    <col min="26" max="37" width="6.90625" customWidth="1"/>
  </cols>
  <sheetData>
    <row r="1" spans="2:31" ht="13.5" thickBot="1"/>
    <row r="2" spans="2:31">
      <c r="B2" s="4" t="s">
        <v>17</v>
      </c>
      <c r="C2" s="5">
        <v>855</v>
      </c>
      <c r="D2" s="4" t="s">
        <v>13</v>
      </c>
      <c r="E2" s="5">
        <v>1</v>
      </c>
      <c r="F2" s="5"/>
      <c r="H2" s="4" t="s">
        <v>19</v>
      </c>
      <c r="I2" s="5">
        <v>870</v>
      </c>
      <c r="J2" s="4" t="s">
        <v>13</v>
      </c>
      <c r="K2" s="5">
        <v>0.5</v>
      </c>
      <c r="L2" s="5"/>
      <c r="N2" s="4" t="s">
        <v>18</v>
      </c>
      <c r="O2" s="5">
        <v>905</v>
      </c>
      <c r="P2" s="4" t="s">
        <v>13</v>
      </c>
      <c r="Q2" s="5">
        <v>1</v>
      </c>
      <c r="R2" s="5"/>
      <c r="T2" s="4" t="s">
        <v>20</v>
      </c>
      <c r="U2" s="5">
        <v>920</v>
      </c>
      <c r="V2" s="4" t="s">
        <v>13</v>
      </c>
      <c r="W2" s="5">
        <v>0.5</v>
      </c>
      <c r="Z2" s="53" t="s">
        <v>50</v>
      </c>
      <c r="AA2" s="55"/>
      <c r="AB2" s="55"/>
      <c r="AC2" s="55"/>
      <c r="AD2" s="55"/>
      <c r="AE2" s="56"/>
    </row>
    <row r="3" spans="2:31">
      <c r="B3" s="2" t="s">
        <v>14</v>
      </c>
      <c r="C3" s="2" t="s">
        <v>88</v>
      </c>
      <c r="D3" s="2" t="s">
        <v>16</v>
      </c>
      <c r="E3" s="6" t="s">
        <v>28</v>
      </c>
      <c r="F3" s="6" t="s">
        <v>29</v>
      </c>
      <c r="H3" s="2" t="s">
        <v>14</v>
      </c>
      <c r="I3" s="2" t="s">
        <v>15</v>
      </c>
      <c r="J3" s="2" t="s">
        <v>16</v>
      </c>
      <c r="K3" s="6" t="s">
        <v>28</v>
      </c>
      <c r="L3" s="6" t="s">
        <v>29</v>
      </c>
      <c r="N3" s="2" t="s">
        <v>14</v>
      </c>
      <c r="O3" s="2" t="s">
        <v>15</v>
      </c>
      <c r="P3" s="2" t="s">
        <v>16</v>
      </c>
      <c r="Q3" s="6" t="s">
        <v>28</v>
      </c>
      <c r="R3" s="6" t="s">
        <v>29</v>
      </c>
      <c r="T3" s="2" t="s">
        <v>14</v>
      </c>
      <c r="U3" s="2" t="s">
        <v>15</v>
      </c>
      <c r="V3" s="2" t="s">
        <v>16</v>
      </c>
      <c r="W3" s="6" t="s">
        <v>28</v>
      </c>
      <c r="X3" s="6" t="s">
        <v>29</v>
      </c>
      <c r="Z3" s="57" t="s">
        <v>69</v>
      </c>
      <c r="AA3" s="52"/>
      <c r="AB3" s="52"/>
      <c r="AC3" s="52" t="s">
        <v>70</v>
      </c>
      <c r="AD3" s="52"/>
      <c r="AE3" s="51"/>
    </row>
    <row r="4" spans="2:31">
      <c r="B4" s="2">
        <v>0</v>
      </c>
      <c r="C4" s="2">
        <v>55</v>
      </c>
      <c r="D4" s="2">
        <f>C4*(C4-$C$4)</f>
        <v>0</v>
      </c>
      <c r="E4">
        <f>B4*D4</f>
        <v>0</v>
      </c>
      <c r="F4">
        <f>B4^2</f>
        <v>0</v>
      </c>
      <c r="H4" s="2">
        <v>0</v>
      </c>
      <c r="I4" s="2">
        <v>82</v>
      </c>
      <c r="J4" s="2">
        <f>I4*(I4-$I$4)</f>
        <v>0</v>
      </c>
      <c r="K4">
        <f>H4*J4</f>
        <v>0</v>
      </c>
      <c r="L4">
        <f>H4^2</f>
        <v>0</v>
      </c>
      <c r="N4" s="2">
        <v>0</v>
      </c>
      <c r="O4" s="2">
        <v>60</v>
      </c>
      <c r="P4" s="2">
        <f>O4*(O4-$O$4)</f>
        <v>0</v>
      </c>
      <c r="Q4">
        <f>N4*P4</f>
        <v>0</v>
      </c>
      <c r="R4">
        <f>N4^2</f>
        <v>0</v>
      </c>
      <c r="T4" s="2">
        <v>0</v>
      </c>
      <c r="U4" s="2">
        <v>77</v>
      </c>
      <c r="V4" s="2">
        <f>U4*(U4-$U$4)</f>
        <v>0</v>
      </c>
      <c r="W4">
        <f>T4*V4</f>
        <v>0</v>
      </c>
      <c r="X4">
        <f>T4^2</f>
        <v>0</v>
      </c>
      <c r="Z4" s="8"/>
      <c r="AA4" s="2"/>
      <c r="AB4" s="2"/>
      <c r="AC4" s="2"/>
      <c r="AD4" s="2"/>
      <c r="AE4" s="9"/>
    </row>
    <row r="5" spans="2:31">
      <c r="B5" s="2">
        <v>1</v>
      </c>
      <c r="C5" s="2">
        <v>66</v>
      </c>
      <c r="D5" s="2">
        <f t="shared" ref="D5:D13" si="0">C5*(C5-$C$4)</f>
        <v>726</v>
      </c>
      <c r="E5">
        <f t="shared" ref="E5:E13" si="1">B5*D5</f>
        <v>726</v>
      </c>
      <c r="F5">
        <f t="shared" ref="F5:F13" si="2">B5^2</f>
        <v>1</v>
      </c>
      <c r="H5" s="2">
        <v>1</v>
      </c>
      <c r="I5" s="2">
        <v>102</v>
      </c>
      <c r="J5" s="2">
        <f t="shared" ref="J5:J14" si="3">I5*(I5-$I$4)</f>
        <v>2040</v>
      </c>
      <c r="K5">
        <f t="shared" ref="K5:K13" si="4">H5*J5</f>
        <v>2040</v>
      </c>
      <c r="L5">
        <f t="shared" ref="L5:L13" si="5">H5^2</f>
        <v>1</v>
      </c>
      <c r="N5" s="2">
        <v>1</v>
      </c>
      <c r="O5" s="2">
        <v>74</v>
      </c>
      <c r="P5" s="2">
        <f t="shared" ref="P5:P14" si="6">O5*(O5-$O$4)</f>
        <v>1036</v>
      </c>
      <c r="Q5">
        <f t="shared" ref="Q5:Q13" si="7">N5*P5</f>
        <v>1036</v>
      </c>
      <c r="R5">
        <f t="shared" ref="R5:R13" si="8">N5^2</f>
        <v>1</v>
      </c>
      <c r="T5" s="2">
        <v>1</v>
      </c>
      <c r="U5" s="2">
        <v>98</v>
      </c>
      <c r="V5" s="2">
        <f t="shared" ref="V5:V14" si="9">U5*(U5-$U$4)</f>
        <v>2058</v>
      </c>
      <c r="W5">
        <f t="shared" ref="W5:W14" si="10">T5*V5</f>
        <v>2058</v>
      </c>
      <c r="X5">
        <f t="shared" ref="X5:X14" si="11">T5^2</f>
        <v>1</v>
      </c>
      <c r="Z5" s="8">
        <v>0</v>
      </c>
      <c r="AA5" s="2">
        <v>53</v>
      </c>
      <c r="AB5" s="2">
        <f>AA5*(AA5-$C$4)</f>
        <v>-106</v>
      </c>
      <c r="AC5" s="2">
        <v>0</v>
      </c>
      <c r="AD5" s="2">
        <v>60</v>
      </c>
      <c r="AE5" s="9">
        <f>AD5*(AD5-$O$4)</f>
        <v>0</v>
      </c>
    </row>
    <row r="6" spans="2:31">
      <c r="B6" s="2">
        <v>2</v>
      </c>
      <c r="C6" s="2">
        <v>77</v>
      </c>
      <c r="D6" s="2">
        <f t="shared" si="0"/>
        <v>1694</v>
      </c>
      <c r="E6">
        <f t="shared" si="1"/>
        <v>3388</v>
      </c>
      <c r="F6">
        <f t="shared" si="2"/>
        <v>4</v>
      </c>
      <c r="H6" s="2">
        <v>2</v>
      </c>
      <c r="I6" s="2">
        <v>116</v>
      </c>
      <c r="J6" s="2">
        <f t="shared" si="3"/>
        <v>3944</v>
      </c>
      <c r="K6">
        <f t="shared" si="4"/>
        <v>7888</v>
      </c>
      <c r="L6">
        <f t="shared" si="5"/>
        <v>4</v>
      </c>
      <c r="N6" s="2">
        <v>2</v>
      </c>
      <c r="O6" s="2">
        <v>84</v>
      </c>
      <c r="P6" s="2">
        <f t="shared" si="6"/>
        <v>2016</v>
      </c>
      <c r="Q6">
        <f t="shared" si="7"/>
        <v>4032</v>
      </c>
      <c r="R6">
        <f t="shared" si="8"/>
        <v>4</v>
      </c>
      <c r="T6" s="2">
        <v>2</v>
      </c>
      <c r="U6" s="2">
        <v>115</v>
      </c>
      <c r="V6" s="2">
        <f t="shared" si="9"/>
        <v>4370</v>
      </c>
      <c r="W6">
        <f t="shared" si="10"/>
        <v>8740</v>
      </c>
      <c r="X6">
        <f t="shared" si="11"/>
        <v>4</v>
      </c>
      <c r="Z6" s="8">
        <v>1</v>
      </c>
      <c r="AA6" s="2">
        <v>66</v>
      </c>
      <c r="AB6" s="2">
        <f t="shared" ref="AB6:AB14" si="12">AA6*(AA6-$C$4)</f>
        <v>726</v>
      </c>
      <c r="AC6" s="2">
        <v>1</v>
      </c>
      <c r="AD6" s="2">
        <v>74</v>
      </c>
      <c r="AE6" s="9">
        <f t="shared" ref="AE6:AE14" si="13">AD6*(AD6-$O$4)</f>
        <v>1036</v>
      </c>
    </row>
    <row r="7" spans="2:31">
      <c r="B7" s="2">
        <v>3</v>
      </c>
      <c r="C7" s="2">
        <v>85</v>
      </c>
      <c r="D7" s="2">
        <f t="shared" si="0"/>
        <v>2550</v>
      </c>
      <c r="E7">
        <f t="shared" si="1"/>
        <v>7650</v>
      </c>
      <c r="F7">
        <f t="shared" si="2"/>
        <v>9</v>
      </c>
      <c r="H7" s="2">
        <v>3</v>
      </c>
      <c r="I7" s="2">
        <v>129</v>
      </c>
      <c r="J7" s="2">
        <f t="shared" si="3"/>
        <v>6063</v>
      </c>
      <c r="K7">
        <f t="shared" si="4"/>
        <v>18189</v>
      </c>
      <c r="L7">
        <f t="shared" si="5"/>
        <v>9</v>
      </c>
      <c r="N7" s="2">
        <v>3</v>
      </c>
      <c r="O7" s="2">
        <v>94</v>
      </c>
      <c r="P7" s="2">
        <f t="shared" si="6"/>
        <v>3196</v>
      </c>
      <c r="Q7">
        <f t="shared" si="7"/>
        <v>9588</v>
      </c>
      <c r="R7">
        <f t="shared" si="8"/>
        <v>9</v>
      </c>
      <c r="T7" s="2">
        <v>3</v>
      </c>
      <c r="U7" s="2">
        <v>129</v>
      </c>
      <c r="V7" s="2">
        <f t="shared" si="9"/>
        <v>6708</v>
      </c>
      <c r="W7">
        <f t="shared" si="10"/>
        <v>20124</v>
      </c>
      <c r="X7">
        <f t="shared" si="11"/>
        <v>9</v>
      </c>
      <c r="Z7" s="8">
        <v>2</v>
      </c>
      <c r="AA7" s="2">
        <v>77</v>
      </c>
      <c r="AB7" s="2">
        <f t="shared" si="12"/>
        <v>1694</v>
      </c>
      <c r="AC7" s="2">
        <v>2</v>
      </c>
      <c r="AD7" s="2">
        <v>84</v>
      </c>
      <c r="AE7" s="9">
        <f t="shared" si="13"/>
        <v>2016</v>
      </c>
    </row>
    <row r="8" spans="2:31">
      <c r="B8" s="2">
        <v>4</v>
      </c>
      <c r="C8" s="2">
        <v>93</v>
      </c>
      <c r="D8" s="2">
        <f t="shared" si="0"/>
        <v>3534</v>
      </c>
      <c r="E8">
        <f t="shared" si="1"/>
        <v>14136</v>
      </c>
      <c r="F8">
        <f t="shared" si="2"/>
        <v>16</v>
      </c>
      <c r="H8" s="2">
        <v>4</v>
      </c>
      <c r="I8" s="2">
        <v>140</v>
      </c>
      <c r="J8" s="2">
        <f t="shared" si="3"/>
        <v>8120</v>
      </c>
      <c r="K8">
        <f t="shared" si="4"/>
        <v>32480</v>
      </c>
      <c r="L8">
        <f t="shared" si="5"/>
        <v>16</v>
      </c>
      <c r="N8" s="2">
        <v>4</v>
      </c>
      <c r="O8" s="2">
        <v>101</v>
      </c>
      <c r="P8" s="2">
        <f t="shared" si="6"/>
        <v>4141</v>
      </c>
      <c r="Q8">
        <f t="shared" si="7"/>
        <v>16564</v>
      </c>
      <c r="R8">
        <f t="shared" si="8"/>
        <v>16</v>
      </c>
      <c r="T8" s="2">
        <v>4</v>
      </c>
      <c r="U8" s="2">
        <v>140</v>
      </c>
      <c r="V8" s="2">
        <f t="shared" si="9"/>
        <v>8820</v>
      </c>
      <c r="W8">
        <f t="shared" si="10"/>
        <v>35280</v>
      </c>
      <c r="X8">
        <f t="shared" si="11"/>
        <v>16</v>
      </c>
      <c r="Z8" s="8">
        <v>3</v>
      </c>
      <c r="AA8" s="2">
        <v>85</v>
      </c>
      <c r="AB8" s="2">
        <f t="shared" si="12"/>
        <v>2550</v>
      </c>
      <c r="AC8" s="2">
        <v>3</v>
      </c>
      <c r="AD8" s="2">
        <v>94</v>
      </c>
      <c r="AE8" s="9">
        <f t="shared" si="13"/>
        <v>3196</v>
      </c>
    </row>
    <row r="9" spans="2:31">
      <c r="B9" s="2">
        <v>5</v>
      </c>
      <c r="C9" s="2">
        <v>99</v>
      </c>
      <c r="D9" s="2">
        <f t="shared" si="0"/>
        <v>4356</v>
      </c>
      <c r="E9">
        <f t="shared" si="1"/>
        <v>21780</v>
      </c>
      <c r="F9">
        <f t="shared" si="2"/>
        <v>25</v>
      </c>
      <c r="H9" s="2">
        <v>5</v>
      </c>
      <c r="I9" s="2">
        <v>150</v>
      </c>
      <c r="J9" s="2">
        <f t="shared" si="3"/>
        <v>10200</v>
      </c>
      <c r="K9">
        <f t="shared" si="4"/>
        <v>51000</v>
      </c>
      <c r="L9">
        <f t="shared" si="5"/>
        <v>25</v>
      </c>
      <c r="N9" s="2">
        <v>5</v>
      </c>
      <c r="O9" s="2">
        <v>108</v>
      </c>
      <c r="P9" s="2">
        <f t="shared" si="6"/>
        <v>5184</v>
      </c>
      <c r="Q9">
        <f t="shared" si="7"/>
        <v>25920</v>
      </c>
      <c r="R9">
        <f t="shared" si="8"/>
        <v>25</v>
      </c>
      <c r="T9" s="2">
        <v>5</v>
      </c>
      <c r="U9" s="2">
        <v>151</v>
      </c>
      <c r="V9" s="2">
        <f t="shared" si="9"/>
        <v>11174</v>
      </c>
      <c r="W9">
        <f t="shared" si="10"/>
        <v>55870</v>
      </c>
      <c r="X9">
        <f t="shared" si="11"/>
        <v>25</v>
      </c>
      <c r="Z9" s="8">
        <v>4</v>
      </c>
      <c r="AA9" s="2">
        <v>93</v>
      </c>
      <c r="AB9" s="2">
        <f t="shared" si="12"/>
        <v>3534</v>
      </c>
      <c r="AC9" s="2">
        <v>4</v>
      </c>
      <c r="AD9" s="2">
        <v>101</v>
      </c>
      <c r="AE9" s="9">
        <f t="shared" si="13"/>
        <v>4141</v>
      </c>
    </row>
    <row r="10" spans="2:31">
      <c r="B10" s="2">
        <v>6</v>
      </c>
      <c r="C10" s="2">
        <v>106</v>
      </c>
      <c r="D10" s="2">
        <f t="shared" si="0"/>
        <v>5406</v>
      </c>
      <c r="E10">
        <f t="shared" si="1"/>
        <v>32436</v>
      </c>
      <c r="F10">
        <f t="shared" si="2"/>
        <v>36</v>
      </c>
      <c r="H10" s="2">
        <v>6</v>
      </c>
      <c r="I10" s="2">
        <v>158</v>
      </c>
      <c r="J10" s="2">
        <f t="shared" si="3"/>
        <v>12008</v>
      </c>
      <c r="K10">
        <f t="shared" si="4"/>
        <v>72048</v>
      </c>
      <c r="L10">
        <f t="shared" si="5"/>
        <v>36</v>
      </c>
      <c r="N10" s="2">
        <v>6</v>
      </c>
      <c r="O10" s="2">
        <v>114</v>
      </c>
      <c r="P10" s="2">
        <f t="shared" si="6"/>
        <v>6156</v>
      </c>
      <c r="Q10">
        <f t="shared" si="7"/>
        <v>36936</v>
      </c>
      <c r="R10">
        <f t="shared" si="8"/>
        <v>36</v>
      </c>
      <c r="T10" s="2">
        <v>6</v>
      </c>
      <c r="U10" s="2">
        <v>161</v>
      </c>
      <c r="V10" s="2">
        <f t="shared" si="9"/>
        <v>13524</v>
      </c>
      <c r="W10">
        <f t="shared" si="10"/>
        <v>81144</v>
      </c>
      <c r="X10">
        <f t="shared" si="11"/>
        <v>36</v>
      </c>
      <c r="Z10" s="8">
        <v>5</v>
      </c>
      <c r="AA10" s="2">
        <v>99</v>
      </c>
      <c r="AB10" s="2">
        <f t="shared" si="12"/>
        <v>4356</v>
      </c>
      <c r="AC10" s="2">
        <v>5</v>
      </c>
      <c r="AD10" s="2">
        <v>108</v>
      </c>
      <c r="AE10" s="9">
        <f t="shared" si="13"/>
        <v>5184</v>
      </c>
    </row>
    <row r="11" spans="2:31">
      <c r="B11" s="2">
        <v>7</v>
      </c>
      <c r="C11" s="2">
        <v>111</v>
      </c>
      <c r="D11" s="2">
        <f t="shared" si="0"/>
        <v>6216</v>
      </c>
      <c r="E11">
        <f t="shared" si="1"/>
        <v>43512</v>
      </c>
      <c r="F11">
        <f t="shared" si="2"/>
        <v>49</v>
      </c>
      <c r="H11" s="2">
        <v>7</v>
      </c>
      <c r="I11" s="2">
        <v>167</v>
      </c>
      <c r="J11" s="2">
        <f t="shared" si="3"/>
        <v>14195</v>
      </c>
      <c r="K11">
        <f t="shared" si="4"/>
        <v>99365</v>
      </c>
      <c r="L11">
        <f t="shared" si="5"/>
        <v>49</v>
      </c>
      <c r="N11" s="2">
        <v>7</v>
      </c>
      <c r="O11" s="2">
        <v>120</v>
      </c>
      <c r="P11" s="2">
        <f t="shared" si="6"/>
        <v>7200</v>
      </c>
      <c r="Q11">
        <f t="shared" si="7"/>
        <v>50400</v>
      </c>
      <c r="R11">
        <f t="shared" si="8"/>
        <v>49</v>
      </c>
      <c r="T11" s="2">
        <v>7</v>
      </c>
      <c r="U11" s="2">
        <v>169</v>
      </c>
      <c r="V11" s="2">
        <f t="shared" si="9"/>
        <v>15548</v>
      </c>
      <c r="W11">
        <f t="shared" si="10"/>
        <v>108836</v>
      </c>
      <c r="X11">
        <f t="shared" si="11"/>
        <v>49</v>
      </c>
      <c r="Z11" s="8">
        <v>6</v>
      </c>
      <c r="AA11" s="2">
        <v>106</v>
      </c>
      <c r="AB11" s="2">
        <f t="shared" si="12"/>
        <v>5406</v>
      </c>
      <c r="AC11" s="2">
        <v>6</v>
      </c>
      <c r="AD11" s="2">
        <v>114</v>
      </c>
      <c r="AE11" s="9">
        <f t="shared" si="13"/>
        <v>6156</v>
      </c>
    </row>
    <row r="12" spans="2:31">
      <c r="B12" s="2">
        <v>8</v>
      </c>
      <c r="C12" s="2">
        <v>116</v>
      </c>
      <c r="D12" s="2">
        <f t="shared" si="0"/>
        <v>7076</v>
      </c>
      <c r="E12">
        <f t="shared" si="1"/>
        <v>56608</v>
      </c>
      <c r="F12">
        <f t="shared" si="2"/>
        <v>64</v>
      </c>
      <c r="H12" s="2">
        <v>8</v>
      </c>
      <c r="I12" s="2">
        <v>175</v>
      </c>
      <c r="J12" s="2">
        <f t="shared" si="3"/>
        <v>16275</v>
      </c>
      <c r="K12">
        <f t="shared" si="4"/>
        <v>130200</v>
      </c>
      <c r="L12">
        <f t="shared" si="5"/>
        <v>64</v>
      </c>
      <c r="N12" s="2">
        <v>8</v>
      </c>
      <c r="O12" s="2">
        <v>126</v>
      </c>
      <c r="P12" s="2">
        <f t="shared" si="6"/>
        <v>8316</v>
      </c>
      <c r="Q12">
        <f t="shared" si="7"/>
        <v>66528</v>
      </c>
      <c r="R12">
        <f t="shared" si="8"/>
        <v>64</v>
      </c>
      <c r="T12" s="2">
        <v>8</v>
      </c>
      <c r="U12" s="2">
        <v>178</v>
      </c>
      <c r="V12" s="2">
        <f t="shared" si="9"/>
        <v>17978</v>
      </c>
      <c r="W12">
        <f t="shared" si="10"/>
        <v>143824</v>
      </c>
      <c r="X12">
        <f t="shared" si="11"/>
        <v>64</v>
      </c>
      <c r="Z12" s="8">
        <v>7</v>
      </c>
      <c r="AA12" s="2">
        <v>111</v>
      </c>
      <c r="AB12" s="2">
        <f t="shared" si="12"/>
        <v>6216</v>
      </c>
      <c r="AC12" s="2">
        <v>7</v>
      </c>
      <c r="AD12" s="2">
        <v>120</v>
      </c>
      <c r="AE12" s="9">
        <f t="shared" si="13"/>
        <v>7200</v>
      </c>
    </row>
    <row r="13" spans="2:31">
      <c r="B13" s="2">
        <v>9</v>
      </c>
      <c r="C13" s="2">
        <v>122</v>
      </c>
      <c r="D13" s="2">
        <f t="shared" si="0"/>
        <v>8174</v>
      </c>
      <c r="E13">
        <f t="shared" si="1"/>
        <v>73566</v>
      </c>
      <c r="F13">
        <f t="shared" si="2"/>
        <v>81</v>
      </c>
      <c r="H13" s="2">
        <v>9</v>
      </c>
      <c r="I13" s="2">
        <v>182</v>
      </c>
      <c r="J13" s="2">
        <f t="shared" si="3"/>
        <v>18200</v>
      </c>
      <c r="K13">
        <f t="shared" si="4"/>
        <v>163800</v>
      </c>
      <c r="L13">
        <f t="shared" si="5"/>
        <v>81</v>
      </c>
      <c r="N13" s="2">
        <v>9</v>
      </c>
      <c r="O13" s="2">
        <v>132</v>
      </c>
      <c r="P13" s="2">
        <f t="shared" si="6"/>
        <v>9504</v>
      </c>
      <c r="Q13">
        <f t="shared" si="7"/>
        <v>85536</v>
      </c>
      <c r="R13">
        <f t="shared" si="8"/>
        <v>81</v>
      </c>
      <c r="T13" s="2">
        <v>9</v>
      </c>
      <c r="U13" s="2">
        <v>186</v>
      </c>
      <c r="V13" s="2">
        <f t="shared" si="9"/>
        <v>20274</v>
      </c>
      <c r="W13">
        <f t="shared" si="10"/>
        <v>182466</v>
      </c>
      <c r="X13">
        <f t="shared" si="11"/>
        <v>81</v>
      </c>
      <c r="Z13" s="8">
        <v>8</v>
      </c>
      <c r="AA13" s="2">
        <v>116</v>
      </c>
      <c r="AB13" s="2">
        <f t="shared" si="12"/>
        <v>7076</v>
      </c>
      <c r="AC13" s="2">
        <v>8</v>
      </c>
      <c r="AD13" s="2">
        <v>126</v>
      </c>
      <c r="AE13" s="9">
        <f t="shared" si="13"/>
        <v>8316</v>
      </c>
    </row>
    <row r="14" spans="2:31" ht="13.5" thickBot="1">
      <c r="H14" s="2">
        <v>10</v>
      </c>
      <c r="I14" s="2">
        <v>190</v>
      </c>
      <c r="J14" s="2">
        <f t="shared" si="3"/>
        <v>20520</v>
      </c>
      <c r="K14">
        <f>H14*J14</f>
        <v>205200</v>
      </c>
      <c r="L14">
        <f>H14^2</f>
        <v>100</v>
      </c>
      <c r="N14" s="2">
        <v>10</v>
      </c>
      <c r="O14" s="2">
        <v>137</v>
      </c>
      <c r="P14" s="2">
        <f t="shared" si="6"/>
        <v>10549</v>
      </c>
      <c r="Q14">
        <f>N14*P14</f>
        <v>105490</v>
      </c>
      <c r="R14">
        <f>N14^2</f>
        <v>100</v>
      </c>
      <c r="T14" s="2">
        <v>10</v>
      </c>
      <c r="U14" s="2">
        <v>194</v>
      </c>
      <c r="V14" s="2">
        <f t="shared" si="9"/>
        <v>22698</v>
      </c>
      <c r="W14">
        <f t="shared" si="10"/>
        <v>226980</v>
      </c>
      <c r="X14">
        <f t="shared" si="11"/>
        <v>100</v>
      </c>
      <c r="Z14" s="10">
        <v>9</v>
      </c>
      <c r="AA14" s="11">
        <v>122</v>
      </c>
      <c r="AB14" s="11">
        <f t="shared" si="12"/>
        <v>8174</v>
      </c>
      <c r="AC14" s="11">
        <v>9</v>
      </c>
      <c r="AD14" s="11">
        <v>132</v>
      </c>
      <c r="AE14" s="12">
        <f t="shared" si="13"/>
        <v>9504</v>
      </c>
    </row>
    <row r="15" spans="2:31">
      <c r="Z15" s="53" t="s">
        <v>49</v>
      </c>
      <c r="AA15" s="55"/>
      <c r="AB15" s="55"/>
      <c r="AC15" s="55"/>
      <c r="AD15" s="55"/>
      <c r="AE15" s="56"/>
    </row>
    <row r="16" spans="2:31">
      <c r="Z16" s="57" t="s">
        <v>71</v>
      </c>
      <c r="AA16" s="52"/>
      <c r="AB16" s="52"/>
      <c r="AC16" s="52" t="s">
        <v>72</v>
      </c>
      <c r="AD16" s="52"/>
      <c r="AE16" s="51"/>
    </row>
    <row r="17" spans="2:31">
      <c r="B17" s="4" t="s">
        <v>22</v>
      </c>
      <c r="C17" s="5">
        <v>970</v>
      </c>
      <c r="D17" s="4" t="s">
        <v>13</v>
      </c>
      <c r="E17" s="5">
        <v>0.5</v>
      </c>
      <c r="F17" s="5"/>
      <c r="H17" s="4" t="s">
        <v>21</v>
      </c>
      <c r="I17" s="5">
        <v>865</v>
      </c>
      <c r="J17" s="4" t="s">
        <v>13</v>
      </c>
      <c r="K17" s="5">
        <v>1</v>
      </c>
      <c r="L17" s="5"/>
      <c r="Z17" s="8"/>
      <c r="AA17" s="2"/>
      <c r="AB17" s="2"/>
      <c r="AC17" s="2"/>
      <c r="AD17" s="2"/>
      <c r="AE17" s="9"/>
    </row>
    <row r="18" spans="2:31">
      <c r="B18" s="2" t="s">
        <v>14</v>
      </c>
      <c r="C18" s="2" t="s">
        <v>15</v>
      </c>
      <c r="D18" s="2" t="s">
        <v>16</v>
      </c>
      <c r="E18" s="6" t="s">
        <v>28</v>
      </c>
      <c r="F18" s="6" t="s">
        <v>29</v>
      </c>
      <c r="H18" s="2" t="s">
        <v>14</v>
      </c>
      <c r="I18" s="2" t="s">
        <v>15</v>
      </c>
      <c r="J18" s="2" t="s">
        <v>16</v>
      </c>
      <c r="K18" s="6" t="s">
        <v>28</v>
      </c>
      <c r="L18" s="6" t="s">
        <v>29</v>
      </c>
      <c r="Z18" s="8">
        <v>0</v>
      </c>
      <c r="AA18" s="2">
        <v>82</v>
      </c>
      <c r="AB18" s="2">
        <f>AA18*(AA18-$I$4)</f>
        <v>0</v>
      </c>
      <c r="AC18" s="2">
        <v>0</v>
      </c>
      <c r="AD18" s="2">
        <v>77</v>
      </c>
      <c r="AE18" s="9">
        <f>AD18*(AD18-$U$4)</f>
        <v>0</v>
      </c>
    </row>
    <row r="19" spans="2:31">
      <c r="B19" s="2">
        <v>0</v>
      </c>
      <c r="C19" s="2">
        <v>88</v>
      </c>
      <c r="D19" s="2">
        <f>C19*(C19-$C$19)</f>
        <v>0</v>
      </c>
      <c r="E19">
        <f>B19*D19</f>
        <v>0</v>
      </c>
      <c r="F19">
        <f>B19^2</f>
        <v>0</v>
      </c>
      <c r="H19" s="2">
        <v>0</v>
      </c>
      <c r="I19" s="2">
        <v>60</v>
      </c>
      <c r="J19" s="2">
        <f>I19*(I19-$I$19)</f>
        <v>0</v>
      </c>
      <c r="K19">
        <f>H19*J19</f>
        <v>0</v>
      </c>
      <c r="L19">
        <f>H19^2</f>
        <v>0</v>
      </c>
      <c r="Z19" s="8">
        <v>1</v>
      </c>
      <c r="AA19" s="2">
        <v>102</v>
      </c>
      <c r="AB19" s="2">
        <f t="shared" ref="AB19:AB27" si="14">AA19*(AA19-$I$4)</f>
        <v>2040</v>
      </c>
      <c r="AC19" s="2">
        <v>1</v>
      </c>
      <c r="AD19" s="2">
        <v>98</v>
      </c>
      <c r="AE19" s="9">
        <f t="shared" ref="AE19:AE27" si="15">AD19*(AD19-$U$4)</f>
        <v>2058</v>
      </c>
    </row>
    <row r="20" spans="2:31">
      <c r="B20" s="2">
        <v>1</v>
      </c>
      <c r="C20" s="2">
        <v>115</v>
      </c>
      <c r="D20" s="2">
        <f t="shared" ref="D20:D30" si="16">C20*(C20-$C$19)</f>
        <v>3105</v>
      </c>
      <c r="E20">
        <f t="shared" ref="E20:E28" si="17">B20*D20</f>
        <v>3105</v>
      </c>
      <c r="F20">
        <f t="shared" ref="F20:F28" si="18">B20^2</f>
        <v>1</v>
      </c>
      <c r="H20" s="2">
        <v>1</v>
      </c>
      <c r="I20" s="2">
        <v>74</v>
      </c>
      <c r="J20" s="2">
        <f t="shared" ref="J20:J30" si="19">I20*(I20-$I$19)</f>
        <v>1036</v>
      </c>
      <c r="K20">
        <f t="shared" ref="K20:K28" si="20">H20*J20</f>
        <v>1036</v>
      </c>
      <c r="L20">
        <f t="shared" ref="L20:L28" si="21">H20^2</f>
        <v>1</v>
      </c>
      <c r="Z20" s="8">
        <v>2</v>
      </c>
      <c r="AA20" s="2">
        <v>116</v>
      </c>
      <c r="AB20" s="2">
        <f t="shared" si="14"/>
        <v>3944</v>
      </c>
      <c r="AC20" s="2">
        <v>2</v>
      </c>
      <c r="AD20" s="2">
        <v>115</v>
      </c>
      <c r="AE20" s="9">
        <f t="shared" si="15"/>
        <v>4370</v>
      </c>
    </row>
    <row r="21" spans="2:31">
      <c r="B21" s="2">
        <v>2</v>
      </c>
      <c r="C21" s="2">
        <v>134</v>
      </c>
      <c r="D21" s="2">
        <f t="shared" si="16"/>
        <v>6164</v>
      </c>
      <c r="E21">
        <f t="shared" si="17"/>
        <v>12328</v>
      </c>
      <c r="F21">
        <f t="shared" si="18"/>
        <v>4</v>
      </c>
      <c r="H21" s="2">
        <v>2</v>
      </c>
      <c r="I21" s="2">
        <v>84</v>
      </c>
      <c r="J21" s="2">
        <f t="shared" si="19"/>
        <v>2016</v>
      </c>
      <c r="K21">
        <f t="shared" si="20"/>
        <v>4032</v>
      </c>
      <c r="L21">
        <f t="shared" si="21"/>
        <v>4</v>
      </c>
      <c r="Z21" s="8">
        <v>3</v>
      </c>
      <c r="AA21" s="2">
        <v>129</v>
      </c>
      <c r="AB21" s="2">
        <f t="shared" si="14"/>
        <v>6063</v>
      </c>
      <c r="AC21" s="2">
        <v>3</v>
      </c>
      <c r="AD21" s="2">
        <v>129</v>
      </c>
      <c r="AE21" s="9">
        <f t="shared" si="15"/>
        <v>6708</v>
      </c>
    </row>
    <row r="22" spans="2:31">
      <c r="B22" s="2">
        <v>3</v>
      </c>
      <c r="C22" s="2">
        <v>149</v>
      </c>
      <c r="D22" s="2">
        <f t="shared" si="16"/>
        <v>9089</v>
      </c>
      <c r="E22">
        <f t="shared" si="17"/>
        <v>27267</v>
      </c>
      <c r="F22">
        <f t="shared" si="18"/>
        <v>9</v>
      </c>
      <c r="H22" s="2">
        <v>3</v>
      </c>
      <c r="I22" s="2">
        <v>93</v>
      </c>
      <c r="J22" s="2">
        <f t="shared" si="19"/>
        <v>3069</v>
      </c>
      <c r="K22">
        <f t="shared" si="20"/>
        <v>9207</v>
      </c>
      <c r="L22">
        <f t="shared" si="21"/>
        <v>9</v>
      </c>
      <c r="Z22" s="8">
        <v>4</v>
      </c>
      <c r="AA22" s="2">
        <v>140</v>
      </c>
      <c r="AB22" s="2">
        <f t="shared" si="14"/>
        <v>8120</v>
      </c>
      <c r="AC22" s="2">
        <v>4</v>
      </c>
      <c r="AD22" s="2">
        <v>140</v>
      </c>
      <c r="AE22" s="9">
        <f t="shared" si="15"/>
        <v>8820</v>
      </c>
    </row>
    <row r="23" spans="2:31">
      <c r="B23" s="2">
        <v>4</v>
      </c>
      <c r="C23" s="2">
        <v>162</v>
      </c>
      <c r="D23" s="2">
        <f t="shared" si="16"/>
        <v>11988</v>
      </c>
      <c r="E23">
        <f t="shared" si="17"/>
        <v>47952</v>
      </c>
      <c r="F23">
        <f t="shared" si="18"/>
        <v>16</v>
      </c>
      <c r="H23" s="2">
        <v>4</v>
      </c>
      <c r="I23" s="2">
        <v>102</v>
      </c>
      <c r="J23" s="2">
        <f t="shared" si="19"/>
        <v>4284</v>
      </c>
      <c r="K23">
        <f t="shared" si="20"/>
        <v>17136</v>
      </c>
      <c r="L23">
        <f t="shared" si="21"/>
        <v>16</v>
      </c>
      <c r="Z23" s="8">
        <v>5</v>
      </c>
      <c r="AA23" s="2">
        <v>150</v>
      </c>
      <c r="AB23" s="2">
        <f t="shared" si="14"/>
        <v>10200</v>
      </c>
      <c r="AC23" s="2">
        <v>5</v>
      </c>
      <c r="AD23" s="2">
        <v>151</v>
      </c>
      <c r="AE23" s="9">
        <f t="shared" si="15"/>
        <v>11174</v>
      </c>
    </row>
    <row r="24" spans="2:31">
      <c r="B24" s="2">
        <v>5</v>
      </c>
      <c r="C24" s="2">
        <v>174</v>
      </c>
      <c r="D24" s="2">
        <f t="shared" si="16"/>
        <v>14964</v>
      </c>
      <c r="E24">
        <f t="shared" si="17"/>
        <v>74820</v>
      </c>
      <c r="F24">
        <f t="shared" si="18"/>
        <v>25</v>
      </c>
      <c r="H24" s="2">
        <v>5</v>
      </c>
      <c r="I24" s="2">
        <v>110</v>
      </c>
      <c r="J24" s="2">
        <f t="shared" si="19"/>
        <v>5500</v>
      </c>
      <c r="K24">
        <f t="shared" si="20"/>
        <v>27500</v>
      </c>
      <c r="L24">
        <f t="shared" si="21"/>
        <v>25</v>
      </c>
      <c r="Z24" s="8">
        <v>6</v>
      </c>
      <c r="AA24" s="2">
        <v>158</v>
      </c>
      <c r="AB24" s="2">
        <f t="shared" si="14"/>
        <v>12008</v>
      </c>
      <c r="AC24" s="2">
        <v>6</v>
      </c>
      <c r="AD24" s="2">
        <v>161</v>
      </c>
      <c r="AE24" s="9">
        <f t="shared" si="15"/>
        <v>13524</v>
      </c>
    </row>
    <row r="25" spans="2:31">
      <c r="B25" s="2">
        <v>6</v>
      </c>
      <c r="C25" s="2">
        <v>184</v>
      </c>
      <c r="D25" s="2">
        <f t="shared" si="16"/>
        <v>17664</v>
      </c>
      <c r="E25">
        <f t="shared" si="17"/>
        <v>105984</v>
      </c>
      <c r="F25">
        <f t="shared" si="18"/>
        <v>36</v>
      </c>
      <c r="H25" s="2">
        <v>6</v>
      </c>
      <c r="I25" s="2">
        <v>117</v>
      </c>
      <c r="J25" s="2">
        <f t="shared" si="19"/>
        <v>6669</v>
      </c>
      <c r="K25">
        <f t="shared" si="20"/>
        <v>40014</v>
      </c>
      <c r="L25">
        <f t="shared" si="21"/>
        <v>36</v>
      </c>
      <c r="Z25" s="8">
        <v>7</v>
      </c>
      <c r="AA25" s="2">
        <v>167</v>
      </c>
      <c r="AB25" s="2">
        <f t="shared" si="14"/>
        <v>14195</v>
      </c>
      <c r="AC25" s="2">
        <v>7</v>
      </c>
      <c r="AD25" s="2">
        <v>169</v>
      </c>
      <c r="AE25" s="9">
        <f t="shared" si="15"/>
        <v>15548</v>
      </c>
    </row>
    <row r="26" spans="2:31">
      <c r="B26" s="2">
        <v>7</v>
      </c>
      <c r="C26" s="2">
        <v>194</v>
      </c>
      <c r="D26" s="2">
        <f t="shared" si="16"/>
        <v>20564</v>
      </c>
      <c r="E26">
        <f t="shared" si="17"/>
        <v>143948</v>
      </c>
      <c r="F26">
        <f t="shared" si="18"/>
        <v>49</v>
      </c>
      <c r="H26" s="2">
        <v>7</v>
      </c>
      <c r="I26" s="2">
        <v>122</v>
      </c>
      <c r="J26" s="2">
        <f t="shared" si="19"/>
        <v>7564</v>
      </c>
      <c r="K26">
        <f t="shared" si="20"/>
        <v>52948</v>
      </c>
      <c r="L26">
        <f t="shared" si="21"/>
        <v>49</v>
      </c>
      <c r="Z26" s="8">
        <v>8</v>
      </c>
      <c r="AA26" s="2">
        <v>175</v>
      </c>
      <c r="AB26" s="2">
        <f t="shared" si="14"/>
        <v>16275</v>
      </c>
      <c r="AC26" s="2">
        <v>8</v>
      </c>
      <c r="AD26" s="2">
        <v>178</v>
      </c>
      <c r="AE26" s="9">
        <f t="shared" si="15"/>
        <v>17978</v>
      </c>
    </row>
    <row r="27" spans="2:31" ht="13.5" thickBot="1">
      <c r="B27" s="2">
        <v>8</v>
      </c>
      <c r="C27" s="2">
        <v>203</v>
      </c>
      <c r="D27" s="2">
        <f t="shared" si="16"/>
        <v>23345</v>
      </c>
      <c r="E27">
        <f t="shared" si="17"/>
        <v>186760</v>
      </c>
      <c r="F27">
        <f t="shared" si="18"/>
        <v>64</v>
      </c>
      <c r="H27" s="2">
        <v>8</v>
      </c>
      <c r="I27" s="2">
        <v>128</v>
      </c>
      <c r="J27" s="2">
        <f t="shared" si="19"/>
        <v>8704</v>
      </c>
      <c r="K27">
        <f t="shared" si="20"/>
        <v>69632</v>
      </c>
      <c r="L27">
        <f t="shared" si="21"/>
        <v>64</v>
      </c>
      <c r="Z27" s="10">
        <v>9</v>
      </c>
      <c r="AA27" s="11">
        <v>182</v>
      </c>
      <c r="AB27" s="11">
        <f t="shared" si="14"/>
        <v>18200</v>
      </c>
      <c r="AC27" s="11">
        <v>9</v>
      </c>
      <c r="AD27" s="11">
        <v>186</v>
      </c>
      <c r="AE27" s="12">
        <f t="shared" si="15"/>
        <v>20274</v>
      </c>
    </row>
    <row r="28" spans="2:31">
      <c r="B28" s="2">
        <v>9</v>
      </c>
      <c r="C28" s="2">
        <v>212</v>
      </c>
      <c r="D28" s="2">
        <f t="shared" si="16"/>
        <v>26288</v>
      </c>
      <c r="E28">
        <f t="shared" si="17"/>
        <v>236592</v>
      </c>
      <c r="F28">
        <f t="shared" si="18"/>
        <v>81</v>
      </c>
      <c r="H28" s="2">
        <v>9</v>
      </c>
      <c r="I28" s="2">
        <v>134</v>
      </c>
      <c r="J28" s="2">
        <f t="shared" si="19"/>
        <v>9916</v>
      </c>
      <c r="K28">
        <f t="shared" si="20"/>
        <v>89244</v>
      </c>
      <c r="L28">
        <f t="shared" si="21"/>
        <v>81</v>
      </c>
    </row>
    <row r="29" spans="2:31">
      <c r="B29" s="2">
        <v>10</v>
      </c>
      <c r="C29" s="2">
        <v>220</v>
      </c>
      <c r="D29" s="2">
        <f t="shared" si="16"/>
        <v>29040</v>
      </c>
      <c r="E29">
        <f>B29*D29</f>
        <v>290400</v>
      </c>
      <c r="F29">
        <f>B29^2</f>
        <v>100</v>
      </c>
      <c r="H29" s="2">
        <v>10</v>
      </c>
      <c r="I29" s="2">
        <v>139</v>
      </c>
      <c r="J29" s="2">
        <f t="shared" si="19"/>
        <v>10981</v>
      </c>
      <c r="K29">
        <f>H29*J29</f>
        <v>109810</v>
      </c>
      <c r="L29">
        <f>H29^2</f>
        <v>100</v>
      </c>
    </row>
    <row r="30" spans="2:31">
      <c r="B30" s="2">
        <v>11</v>
      </c>
      <c r="C30" s="2">
        <v>228</v>
      </c>
      <c r="D30" s="2">
        <f t="shared" si="16"/>
        <v>31920</v>
      </c>
      <c r="E30">
        <f>B30*D30</f>
        <v>351120</v>
      </c>
      <c r="F30">
        <f>B30^2</f>
        <v>121</v>
      </c>
      <c r="H30" s="2">
        <v>11</v>
      </c>
      <c r="I30" s="2">
        <v>144</v>
      </c>
      <c r="J30" s="2">
        <f t="shared" si="19"/>
        <v>12096</v>
      </c>
      <c r="K30">
        <f>H30*J30</f>
        <v>133056</v>
      </c>
      <c r="L30">
        <f>H30^2</f>
        <v>121</v>
      </c>
    </row>
  </sheetData>
  <mergeCells count="6">
    <mergeCell ref="Z16:AB16"/>
    <mergeCell ref="AC16:AE16"/>
    <mergeCell ref="Z2:AE2"/>
    <mergeCell ref="Z3:AB3"/>
    <mergeCell ref="AC3:AE3"/>
    <mergeCell ref="Z15:AE15"/>
  </mergeCells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2"/>
  <sheetViews>
    <sheetView tabSelected="1" topLeftCell="Q7" workbookViewId="0">
      <selection activeCell="AA34" sqref="AA34:AC38"/>
    </sheetView>
  </sheetViews>
  <sheetFormatPr defaultRowHeight="13"/>
  <cols>
    <col min="1" max="1" width="3.08984375" customWidth="1"/>
    <col min="2" max="2" width="6" bestFit="1" customWidth="1"/>
    <col min="3" max="3" width="13.90625" bestFit="1" customWidth="1"/>
    <col min="5" max="5" width="6.26953125" customWidth="1"/>
    <col min="6" max="6" width="12.6328125" customWidth="1"/>
    <col min="7" max="7" width="1.36328125" customWidth="1"/>
    <col min="8" max="8" width="6" bestFit="1" customWidth="1"/>
    <col min="9" max="9" width="13.90625" bestFit="1" customWidth="1"/>
    <col min="11" max="11" width="6" customWidth="1"/>
    <col min="13" max="13" width="1.453125" customWidth="1"/>
    <col min="14" max="14" width="6" bestFit="1" customWidth="1"/>
    <col min="15" max="15" width="13.90625" bestFit="1" customWidth="1"/>
    <col min="17" max="17" width="5.7265625" customWidth="1"/>
    <col min="19" max="19" width="1.26953125" customWidth="1"/>
    <col min="20" max="20" width="6" bestFit="1" customWidth="1"/>
    <col min="21" max="21" width="13.90625" bestFit="1" customWidth="1"/>
    <col min="23" max="23" width="6.08984375" customWidth="1"/>
    <col min="25" max="25" width="2.26953125" customWidth="1"/>
    <col min="26" max="31" width="9.6328125" customWidth="1"/>
  </cols>
  <sheetData>
    <row r="2" spans="2:31">
      <c r="B2" t="s">
        <v>23</v>
      </c>
      <c r="D2" t="s">
        <v>73</v>
      </c>
      <c r="H2" t="s">
        <v>80</v>
      </c>
      <c r="J2" t="s">
        <v>73</v>
      </c>
      <c r="N2" t="s">
        <v>81</v>
      </c>
      <c r="P2" t="s">
        <v>73</v>
      </c>
      <c r="T2" t="s">
        <v>32</v>
      </c>
      <c r="V2" t="s">
        <v>73</v>
      </c>
    </row>
    <row r="3" spans="2:31">
      <c r="B3" t="s">
        <v>24</v>
      </c>
      <c r="C3">
        <f>SUM(③波長!E4:E13)</f>
        <v>253802</v>
      </c>
      <c r="D3">
        <f>(③波長!D4-③波長!B4*③波長２!$C$8)^2</f>
        <v>0</v>
      </c>
      <c r="H3" t="s">
        <v>24</v>
      </c>
      <c r="I3">
        <f>SUM(③波長!K4:K13)</f>
        <v>577010</v>
      </c>
      <c r="J3">
        <f>(③波長!J4-③波長!H4*③波長２!$I$8)^2</f>
        <v>0</v>
      </c>
      <c r="N3" t="s">
        <v>24</v>
      </c>
      <c r="O3">
        <f>SUM(③波長!Q4:Q13)</f>
        <v>296540</v>
      </c>
      <c r="P3">
        <f>(③波長!P4-③波長!N4*③波長２!$O$8)^2</f>
        <v>0</v>
      </c>
      <c r="T3" t="s">
        <v>24</v>
      </c>
      <c r="U3">
        <f>SUM(③波長!W4:W13)</f>
        <v>638342</v>
      </c>
      <c r="V3">
        <f>(③波長!V4-③波長!T4*③波長２!$U$8)^2</f>
        <v>0</v>
      </c>
      <c r="Z3" s="2"/>
      <c r="AA3" s="1" t="s">
        <v>23</v>
      </c>
      <c r="AB3" s="1" t="s">
        <v>65</v>
      </c>
      <c r="AC3" s="1" t="s">
        <v>66</v>
      </c>
      <c r="AD3" s="1" t="s">
        <v>67</v>
      </c>
    </row>
    <row r="4" spans="2:31">
      <c r="B4" t="s">
        <v>25</v>
      </c>
      <c r="C4">
        <f>SUM(③波長!B4:B13)</f>
        <v>45</v>
      </c>
      <c r="D4">
        <f>(③波長!D5-③波長!B5*③波長２!$C$8)^2</f>
        <v>33557.798934802595</v>
      </c>
      <c r="H4" t="s">
        <v>25</v>
      </c>
      <c r="I4">
        <f>SUM(③波長!H4:H13)</f>
        <v>45</v>
      </c>
      <c r="J4">
        <f>(③波長!J5-③波長!H5*③波長２!$I$8)^2</f>
        <v>166.3170400129838</v>
      </c>
      <c r="N4" t="s">
        <v>25</v>
      </c>
      <c r="O4">
        <f>SUM(③波長!N4:N13)</f>
        <v>45</v>
      </c>
      <c r="P4">
        <f>(③波長!P5-③波長!N5*③波長２!$O$8)^2</f>
        <v>55.576353380407035</v>
      </c>
      <c r="T4" t="s">
        <v>25</v>
      </c>
      <c r="U4">
        <f>SUM(③波長!T4:T13)</f>
        <v>45</v>
      </c>
      <c r="V4">
        <f>(③波長!V5-③波長!T5*③波長２!$U$8)^2</f>
        <v>38201.582910477962</v>
      </c>
      <c r="Z4" s="1" t="s">
        <v>60</v>
      </c>
      <c r="AA4" s="45">
        <v>1</v>
      </c>
      <c r="AB4" s="45">
        <v>1</v>
      </c>
      <c r="AC4" s="2">
        <v>0.5</v>
      </c>
      <c r="AD4" s="2">
        <v>0.5</v>
      </c>
    </row>
    <row r="5" spans="2:31">
      <c r="B5" t="s">
        <v>26</v>
      </c>
      <c r="C5">
        <f>SUM(③波長!D4:D13)</f>
        <v>39732</v>
      </c>
      <c r="D5">
        <f>(③波長!D6-③波長!B6*③波長２!$C$8)^2</f>
        <v>15469.329072543645</v>
      </c>
      <c r="H5" t="s">
        <v>26</v>
      </c>
      <c r="I5">
        <f>SUM(③波長!J4:J13)</f>
        <v>91045</v>
      </c>
      <c r="J5">
        <f>(③波長!J6-③波長!H6*③波長２!$I$8)^2</f>
        <v>12145.628520412341</v>
      </c>
      <c r="N5" t="s">
        <v>26</v>
      </c>
      <c r="O5">
        <f>SUM(③波長!P4:P13)</f>
        <v>46749</v>
      </c>
      <c r="P5">
        <f>(③波長!P6-③波長!N6*③波長２!$O$8)^2</f>
        <v>5028.2153234315319</v>
      </c>
      <c r="T5" t="s">
        <v>26</v>
      </c>
      <c r="U5">
        <f>SUM(③波長!V4:V13)</f>
        <v>100454</v>
      </c>
      <c r="V5">
        <f>(③波長!V6-③波長!T6*③波長２!$U$8)^2</f>
        <v>18742.843353623775</v>
      </c>
      <c r="Z5" s="1" t="s">
        <v>61</v>
      </c>
      <c r="AA5" s="2">
        <v>855</v>
      </c>
      <c r="AB5" s="2">
        <v>905</v>
      </c>
      <c r="AC5" s="2">
        <v>870</v>
      </c>
      <c r="AD5" s="2">
        <v>920</v>
      </c>
    </row>
    <row r="6" spans="2:31">
      <c r="B6" t="s">
        <v>27</v>
      </c>
      <c r="C6">
        <f>SUM(③波長!F4:F13)</f>
        <v>285</v>
      </c>
      <c r="D6">
        <f>(③波長!D7-③波長!B7*③波長２!$C$8)^2</f>
        <v>31528.844958677826</v>
      </c>
      <c r="H6" t="s">
        <v>27</v>
      </c>
      <c r="I6">
        <f>SUM(③波長!L4:L13)</f>
        <v>285</v>
      </c>
      <c r="J6">
        <f>(③波長!J7-③波長!H7*③波長２!$I$8)^2</f>
        <v>335.28579254930696</v>
      </c>
      <c r="N6" t="s">
        <v>27</v>
      </c>
      <c r="O6">
        <f>SUM(③波長!R4:R13)</f>
        <v>285</v>
      </c>
      <c r="P6">
        <f>(③波長!P7-③波長!N7*③波長２!$O$8)^2</f>
        <v>4307.9709642074313</v>
      </c>
      <c r="T6" t="s">
        <v>27</v>
      </c>
      <c r="U6">
        <f>SUM(③波長!X4:X13)</f>
        <v>285</v>
      </c>
      <c r="V6">
        <f>(③波長!V7-③波長!T7*③波長２!$U$8)^2</f>
        <v>2741.2299780861267</v>
      </c>
      <c r="Z6" s="1" t="s">
        <v>59</v>
      </c>
      <c r="AA6" s="2">
        <v>929.6</v>
      </c>
      <c r="AB6" s="2">
        <v>1043</v>
      </c>
      <c r="AC6" s="2">
        <v>2027</v>
      </c>
      <c r="AD6" s="2">
        <v>2253</v>
      </c>
    </row>
    <row r="7" spans="2:31">
      <c r="D7">
        <f>(③波長!D8-③波長!B8*③波長２!$C$8)^2</f>
        <v>10557.873865932093</v>
      </c>
      <c r="E7" t="s">
        <v>75</v>
      </c>
      <c r="F7">
        <f>(D13/10-1)^(1/2)</f>
        <v>138.08499997331688</v>
      </c>
      <c r="J7">
        <f>(③波長!J8-③波長!H8*③波長２!$I$8)^2</f>
        <v>134.2257933609207</v>
      </c>
      <c r="K7" t="s">
        <v>75</v>
      </c>
      <c r="L7">
        <f>(J13/9)^(1/2)</f>
        <v>71.638751185948948</v>
      </c>
      <c r="P7">
        <f>(③波長!P8-③波長!N8*③波長２!$O$8)^2</f>
        <v>1077.140573005431</v>
      </c>
      <c r="Q7" t="s">
        <v>75</v>
      </c>
      <c r="R7">
        <f>(P13/9)^(1/2)</f>
        <v>72.378308620386576</v>
      </c>
      <c r="V7">
        <f>(③波長!V8-③波長!T8*③波長２!$U$8)^2</f>
        <v>37561.931973053805</v>
      </c>
      <c r="W7" t="s">
        <v>75</v>
      </c>
      <c r="X7">
        <f>(V13/9)^(1/2)</f>
        <v>133.17446456052957</v>
      </c>
      <c r="Z7" s="32" t="s">
        <v>78</v>
      </c>
      <c r="AA7" s="47">
        <v>7.4</v>
      </c>
      <c r="AB7" s="47">
        <v>8</v>
      </c>
      <c r="AC7" s="47">
        <v>7.9</v>
      </c>
      <c r="AD7" s="47">
        <v>15</v>
      </c>
    </row>
    <row r="8" spans="2:31">
      <c r="B8" t="s">
        <v>30</v>
      </c>
      <c r="C8">
        <f>(10*C3-C4*C5)/(10*C6-C4^2)</f>
        <v>909.18787878787884</v>
      </c>
      <c r="D8">
        <f>(③波長!D9-③波長!B9*③波長２!$C$8)^2</f>
        <v>36076.973370064297</v>
      </c>
      <c r="E8" t="s">
        <v>76</v>
      </c>
      <c r="F8">
        <f>(10/(10*C6-C4^2))^(1/2)*F7</f>
        <v>15.202658147809634</v>
      </c>
      <c r="H8" t="s">
        <v>30</v>
      </c>
      <c r="I8">
        <f>(11*I3-I4*I5)/(11*I6-I4^2)</f>
        <v>2027.1036036036037</v>
      </c>
      <c r="J8">
        <f>(③波長!J9-③波長!H9*③波長２!$I$8)^2</f>
        <v>4157.9260003246827</v>
      </c>
      <c r="K8" t="s">
        <v>76</v>
      </c>
      <c r="L8">
        <f>(10/(10*I6-I4^2))^(1/2)*L7</f>
        <v>7.8871669234632877</v>
      </c>
      <c r="N8" t="s">
        <v>30</v>
      </c>
      <c r="O8">
        <f>(11*O3-O4*O5)/(11*O6-O4^2)</f>
        <v>1043.4549549549549</v>
      </c>
      <c r="P8">
        <f>(③波長!P9-③波長!N9*③波長２!$O$8)^2</f>
        <v>1107.2106363119638</v>
      </c>
      <c r="Q8" t="s">
        <v>76</v>
      </c>
      <c r="R8">
        <f>(10/(10*O6-O4^2))^(1/2)*R7</f>
        <v>7.9685895172178522</v>
      </c>
      <c r="T8" t="s">
        <v>30</v>
      </c>
      <c r="U8">
        <f>(11*U3-U4*U5)/(11*U6-U4^2)</f>
        <v>2253.452252252252</v>
      </c>
      <c r="V8">
        <f>(③波長!V9-③波長!T9*③波長２!$U$8)^2</f>
        <v>8697.6628520411996</v>
      </c>
      <c r="W8" t="s">
        <v>76</v>
      </c>
      <c r="X8">
        <f>(10/(10*U6-U4^2))^(1/2)*X7</f>
        <v>14.66202599212477</v>
      </c>
      <c r="Z8" s="1" t="s">
        <v>62</v>
      </c>
      <c r="AA8" s="2">
        <v>635.79999999999995</v>
      </c>
      <c r="AB8" s="2">
        <v>637</v>
      </c>
      <c r="AC8" s="45">
        <v>669.5</v>
      </c>
      <c r="AD8" s="2">
        <v>665.6</v>
      </c>
    </row>
    <row r="9" spans="2:31">
      <c r="B9" t="s">
        <v>31</v>
      </c>
      <c r="C9">
        <f>(C6*C5-C4*C3)/(10*C6-C4^2)</f>
        <v>-118.14545454545454</v>
      </c>
      <c r="D9">
        <f>(③波長!D10-③波長!B10*③波長２!$C$8)^2</f>
        <v>2413.4889256199126</v>
      </c>
      <c r="H9" t="s">
        <v>31</v>
      </c>
      <c r="I9">
        <f>(I6*I5-I4*I3)/(11*I6-I4^2)</f>
        <v>-15.878378378378379</v>
      </c>
      <c r="J9">
        <f>(③波長!J10-③波長!H10*③波長２!$I$8)^2</f>
        <v>23907.845872899943</v>
      </c>
      <c r="N9" t="s">
        <v>31</v>
      </c>
      <c r="O9">
        <f>(O6*O5-O4*O3)/(11*O6-O4^2)</f>
        <v>-18.77027027027027</v>
      </c>
      <c r="P9">
        <f>(③波長!P10-③波長!N10*③波長２!$O$8)^2</f>
        <v>10968.316289262297</v>
      </c>
      <c r="T9" t="s">
        <v>31</v>
      </c>
      <c r="U9">
        <f>(U6*U5-U4*U3)/(11*U6-U4^2)</f>
        <v>-86.486486486486484</v>
      </c>
      <c r="V9">
        <f>(③波長!V10-③波長!T10*③波長２!$U$8)^2</f>
        <v>10.800993425866757</v>
      </c>
      <c r="Z9" s="32" t="s">
        <v>79</v>
      </c>
      <c r="AA9" s="47">
        <v>5</v>
      </c>
      <c r="AB9" s="47">
        <v>4.9000000000000004</v>
      </c>
      <c r="AC9" s="47">
        <v>2.6</v>
      </c>
      <c r="AD9" s="47">
        <v>4.3</v>
      </c>
    </row>
    <row r="10" spans="2:31">
      <c r="D10">
        <f>(③波長!D11-③波長!B11*③波長２!$C$8)^2</f>
        <v>21997.384168962537</v>
      </c>
      <c r="J10">
        <f>(③波長!J11-③波長!H11*③波長２!$I$8)^2</f>
        <v>27.823248924596474</v>
      </c>
      <c r="P10">
        <f>(③波長!P11-③波長!N11*③波長２!$O$8)^2</f>
        <v>10854.44852284718</v>
      </c>
      <c r="V10">
        <f>(③波長!V11-③波長!T11*③波長２!$U$8)^2</f>
        <v>51150.953604414135</v>
      </c>
    </row>
    <row r="11" spans="2:31">
      <c r="B11" t="s">
        <v>35</v>
      </c>
      <c r="C11">
        <f>(C8*③波長!E2)/(2*③波長!C2^2)</f>
        <v>6.2185826667205562E-4</v>
      </c>
      <c r="D11">
        <f>(③波長!D12-③波長!B12*③波長２!$C$8)^2</f>
        <v>39007.446978879881</v>
      </c>
      <c r="E11" t="s">
        <v>77</v>
      </c>
      <c r="F11">
        <f>③波長!E2/(2*③波長!C2^2)*③波長２!F8</f>
        <v>1.0398179369932379E-5</v>
      </c>
      <c r="H11" t="s">
        <v>35</v>
      </c>
      <c r="I11">
        <f>(I8*③波長!K2)/(2*③波長!I2^2)</f>
        <v>6.695414201359505E-4</v>
      </c>
      <c r="J11">
        <f>(③波長!J12-③波長!H12*③波長２!$I$8)^2</f>
        <v>3383.885155425618</v>
      </c>
      <c r="K11" t="s">
        <v>77</v>
      </c>
      <c r="L11">
        <f>③波長!K2/(2*③波長!I2^2)*③波長２!L8</f>
        <v>2.6050888239738698E-6</v>
      </c>
      <c r="N11" t="s">
        <v>35</v>
      </c>
      <c r="O11">
        <f>(O8*③波長!Q2)/(2*③波長!O2^2)</f>
        <v>6.3701044226669205E-4</v>
      </c>
      <c r="P11">
        <f>(③波長!P12-③波長!N12*③波長２!$O$8)^2</f>
        <v>1001.0667965262425</v>
      </c>
      <c r="Q11" t="s">
        <v>77</v>
      </c>
      <c r="R11">
        <f>③波長!Q2/(2*③波長!O2^2)*③波長２!R8</f>
        <v>4.8646802705765101E-6</v>
      </c>
      <c r="T11" t="s">
        <v>35</v>
      </c>
      <c r="U11">
        <f>(U8*③波長!W2)/(2*③波長!U2^2)</f>
        <v>6.6559908206883622E-4</v>
      </c>
      <c r="V11">
        <f>(③波長!V12-③波長!T12*③波長２!$U$8)^2</f>
        <v>2461.9477120361903</v>
      </c>
      <c r="W11" t="s">
        <v>77</v>
      </c>
      <c r="X11">
        <f>③波長!W2/(2*③波長!U2^2)*③波長２!X8</f>
        <v>4.3307023842523541E-6</v>
      </c>
    </row>
    <row r="12" spans="2:31">
      <c r="C12">
        <f>C11*10^6</f>
        <v>621.85826667205561</v>
      </c>
      <c r="D12">
        <f>(③波長!D13-③波長!B13*③波長２!$C$8)^2</f>
        <v>75.531900826451164</v>
      </c>
      <c r="F12">
        <f>F11*10^6</f>
        <v>10.398179369932379</v>
      </c>
      <c r="I12">
        <f>I11*10^6</f>
        <v>669.54142013595049</v>
      </c>
      <c r="J12">
        <f>(③波長!J13-③波長!H13*③波長２!$I$8)^2</f>
        <v>1930.0586194303276</v>
      </c>
      <c r="L12">
        <f>L11*10^6</f>
        <v>2.6050888239738699</v>
      </c>
      <c r="O12">
        <f>O11*10^6</f>
        <v>637.01044226669205</v>
      </c>
      <c r="P12">
        <f>(③波長!P13-③波長!N13*③波長２!$O$8)^2</f>
        <v>12747.630569758849</v>
      </c>
      <c r="R12">
        <f>R11*10^6</f>
        <v>4.8646802705765104</v>
      </c>
      <c r="U12">
        <f>U11*10^6</f>
        <v>665.5990820688362</v>
      </c>
      <c r="V12">
        <f>(③波長!V13-③波長!T13*③波長２!$U$8)^2</f>
        <v>49.988721694653179</v>
      </c>
      <c r="X12">
        <f>X11*10^6</f>
        <v>4.330702384252354</v>
      </c>
      <c r="Z12" s="64"/>
      <c r="AA12" s="52" t="s">
        <v>54</v>
      </c>
      <c r="AB12" s="52"/>
      <c r="AC12" s="52"/>
      <c r="AD12" s="52"/>
      <c r="AE12" s="62" t="s">
        <v>2</v>
      </c>
    </row>
    <row r="13" spans="2:31">
      <c r="C13" s="4" t="s">
        <v>74</v>
      </c>
      <c r="D13">
        <f>SUM(D3:D12)</f>
        <v>190684.67217630925</v>
      </c>
      <c r="J13">
        <f>SUM(J3:J12)</f>
        <v>46188.996043340718</v>
      </c>
      <c r="P13">
        <f>SUM(P3:P12)</f>
        <v>47147.576028731331</v>
      </c>
      <c r="V13">
        <f>SUM(V3:V12)</f>
        <v>159618.94209885373</v>
      </c>
      <c r="Z13" s="65"/>
      <c r="AA13" s="46" t="s">
        <v>68</v>
      </c>
      <c r="AB13" s="46" t="s">
        <v>65</v>
      </c>
      <c r="AC13" s="1" t="s">
        <v>66</v>
      </c>
      <c r="AD13" s="1" t="s">
        <v>67</v>
      </c>
      <c r="AE13" s="63"/>
    </row>
    <row r="14" spans="2:31">
      <c r="Z14" s="1" t="s">
        <v>62</v>
      </c>
      <c r="AA14" s="48" t="s">
        <v>82</v>
      </c>
      <c r="AB14" s="48" t="s">
        <v>83</v>
      </c>
      <c r="AC14" s="49" t="s">
        <v>84</v>
      </c>
      <c r="AD14" s="48" t="s">
        <v>85</v>
      </c>
      <c r="AE14" s="2">
        <v>632.79999999999995</v>
      </c>
    </row>
    <row r="15" spans="2:31">
      <c r="Z15" s="32" t="s">
        <v>64</v>
      </c>
      <c r="AA15" s="16">
        <f>(AA8-$AE$14)/$AE$14*100</f>
        <v>0.47408343868520864</v>
      </c>
      <c r="AB15" s="16">
        <f>(AB8-$AE$14)/$AE$14*100</f>
        <v>0.66371681415929928</v>
      </c>
      <c r="AC15" s="45">
        <f>(AC8-$AE$14)/$AE$14*100</f>
        <v>5.7996207332490588</v>
      </c>
      <c r="AD15" s="45">
        <f>(AD8-$AE$14)/$AE$14*100</f>
        <v>5.1833122629582915</v>
      </c>
      <c r="AE15" s="32" t="s">
        <v>63</v>
      </c>
    </row>
    <row r="17" spans="2:29">
      <c r="B17" t="s">
        <v>33</v>
      </c>
      <c r="H17" t="s">
        <v>34</v>
      </c>
    </row>
    <row r="18" spans="2:29">
      <c r="B18" t="s">
        <v>24</v>
      </c>
      <c r="C18">
        <f>SUM(③波長!E19:E30)</f>
        <v>1480276</v>
      </c>
      <c r="H18" t="s">
        <v>24</v>
      </c>
      <c r="I18">
        <f>SUM(③波長!K19:K30)</f>
        <v>553615</v>
      </c>
    </row>
    <row r="19" spans="2:29">
      <c r="B19" t="s">
        <v>25</v>
      </c>
      <c r="C19">
        <f>SUM(③波長!B19:B30)</f>
        <v>66</v>
      </c>
      <c r="H19" t="s">
        <v>25</v>
      </c>
      <c r="I19">
        <f>SUM(③波長!H19:H30)</f>
        <v>66</v>
      </c>
    </row>
    <row r="20" spans="2:29">
      <c r="B20" t="s">
        <v>26</v>
      </c>
      <c r="C20">
        <f>SUM(③波長!D19:D30)</f>
        <v>194131</v>
      </c>
      <c r="H20" t="s">
        <v>26</v>
      </c>
      <c r="I20">
        <f>SUM(③波長!J19:J30)</f>
        <v>71835</v>
      </c>
      <c r="AA20" s="2" t="s">
        <v>89</v>
      </c>
      <c r="AB20" s="2" t="s">
        <v>86</v>
      </c>
      <c r="AC20" s="2" t="s">
        <v>87</v>
      </c>
    </row>
    <row r="21" spans="2:29">
      <c r="B21" t="s">
        <v>27</v>
      </c>
      <c r="C21">
        <f>SUM(③波長!F19:F30)</f>
        <v>506</v>
      </c>
      <c r="H21" t="s">
        <v>27</v>
      </c>
      <c r="I21">
        <f>SUM(③波長!L19:L30)</f>
        <v>506</v>
      </c>
      <c r="AA21" s="2">
        <v>850</v>
      </c>
      <c r="AB21" s="2">
        <v>643.29999999999995</v>
      </c>
      <c r="AC21" s="2">
        <v>5.0999999999999996</v>
      </c>
    </row>
    <row r="22" spans="2:29">
      <c r="AA22" s="2">
        <v>851</v>
      </c>
      <c r="AB22" s="2">
        <v>641.79999999999995</v>
      </c>
      <c r="AC22" s="2">
        <v>5.0999999999999996</v>
      </c>
    </row>
    <row r="23" spans="2:29">
      <c r="B23" t="s">
        <v>30</v>
      </c>
      <c r="C23">
        <f>(12*C18-C19*C20)/(12*C21-C19^2)</f>
        <v>2885.0034965034965</v>
      </c>
      <c r="H23" t="s">
        <v>30</v>
      </c>
      <c r="I23">
        <f>(12*I18-I19*I20)/(12*I21-I19^2)</f>
        <v>1108.548951048951</v>
      </c>
      <c r="AA23" s="2">
        <v>852</v>
      </c>
      <c r="AB23" s="2">
        <v>640.29999999999995</v>
      </c>
      <c r="AC23" s="2">
        <v>5.0999999999999996</v>
      </c>
    </row>
    <row r="24" spans="2:29">
      <c r="B24" t="s">
        <v>31</v>
      </c>
      <c r="C24">
        <f>(C21*C20-C19*C18)/(12*C21-C19^2)</f>
        <v>310.06410256410254</v>
      </c>
      <c r="H24" t="s">
        <v>31</v>
      </c>
      <c r="I24">
        <f>(I21*I20-I19*I18)/(12*I21-I19^2)</f>
        <v>-110.76923076923077</v>
      </c>
      <c r="AA24" s="2">
        <v>853</v>
      </c>
      <c r="AB24" s="2">
        <v>638.79999999999995</v>
      </c>
      <c r="AC24" s="2">
        <v>5.0999999999999996</v>
      </c>
    </row>
    <row r="25" spans="2:29">
      <c r="AA25" s="2">
        <v>854</v>
      </c>
      <c r="AB25" s="2">
        <v>637.29999999999995</v>
      </c>
      <c r="AC25" s="2">
        <v>5</v>
      </c>
    </row>
    <row r="26" spans="2:29">
      <c r="B26" t="s">
        <v>35</v>
      </c>
      <c r="C26">
        <f>(C23*③波長!E17)/(2*③波長!C17^2)</f>
        <v>7.6655422906352869E-4</v>
      </c>
      <c r="H26" t="s">
        <v>35</v>
      </c>
      <c r="I26">
        <f>(I23*③波長!K17)/(2*③波長!I17^2)</f>
        <v>7.4078582715690535E-4</v>
      </c>
      <c r="AA26" s="2">
        <v>855</v>
      </c>
      <c r="AB26" s="2">
        <v>635.79999999999995</v>
      </c>
      <c r="AC26" s="2">
        <v>5</v>
      </c>
    </row>
    <row r="27" spans="2:29">
      <c r="AA27" s="2">
        <v>856</v>
      </c>
      <c r="AB27" s="2">
        <v>634.4</v>
      </c>
      <c r="AC27" s="2">
        <v>5</v>
      </c>
    </row>
    <row r="28" spans="2:29">
      <c r="AA28" s="2">
        <v>857</v>
      </c>
      <c r="AB28" s="2">
        <v>632.9</v>
      </c>
      <c r="AC28" s="2">
        <v>5</v>
      </c>
    </row>
    <row r="29" spans="2:29">
      <c r="B29" t="s">
        <v>90</v>
      </c>
      <c r="C29" t="s">
        <v>86</v>
      </c>
      <c r="D29" t="s">
        <v>87</v>
      </c>
      <c r="H29" t="s">
        <v>89</v>
      </c>
      <c r="I29" t="s">
        <v>86</v>
      </c>
      <c r="J29" t="s">
        <v>87</v>
      </c>
      <c r="AA29" s="2">
        <v>858</v>
      </c>
      <c r="AB29" s="2">
        <v>631.4</v>
      </c>
      <c r="AC29" s="2">
        <v>5</v>
      </c>
    </row>
    <row r="30" spans="2:29">
      <c r="B30">
        <v>52</v>
      </c>
      <c r="C30">
        <v>642.79999999999995</v>
      </c>
      <c r="D30">
        <v>4.2</v>
      </c>
      <c r="H30">
        <v>850</v>
      </c>
      <c r="I30">
        <v>643.29999999999995</v>
      </c>
      <c r="J30">
        <v>5.0999999999999996</v>
      </c>
      <c r="AA30" s="2">
        <v>859</v>
      </c>
      <c r="AB30" s="2">
        <v>630</v>
      </c>
      <c r="AC30" s="2">
        <v>5</v>
      </c>
    </row>
    <row r="31" spans="2:29">
      <c r="B31">
        <v>53</v>
      </c>
      <c r="C31">
        <v>635.79999999999995</v>
      </c>
      <c r="D31">
        <v>5</v>
      </c>
      <c r="H31">
        <v>851</v>
      </c>
      <c r="I31">
        <v>641.79999999999995</v>
      </c>
      <c r="J31">
        <v>5.0999999999999996</v>
      </c>
      <c r="AA31" s="2">
        <v>860</v>
      </c>
      <c r="AB31" s="2">
        <v>628.5</v>
      </c>
      <c r="AC31" s="2">
        <v>5</v>
      </c>
    </row>
    <row r="32" spans="2:29">
      <c r="B32">
        <v>54</v>
      </c>
      <c r="C32">
        <v>628.9</v>
      </c>
      <c r="D32">
        <v>7.4</v>
      </c>
      <c r="E32">
        <f>C32+D32</f>
        <v>636.29999999999995</v>
      </c>
      <c r="H32">
        <v>852</v>
      </c>
      <c r="I32">
        <v>640.29999999999995</v>
      </c>
      <c r="J32">
        <v>5.0999999999999996</v>
      </c>
    </row>
    <row r="33" spans="2:29">
      <c r="B33">
        <v>55</v>
      </c>
      <c r="C33">
        <v>621.9</v>
      </c>
      <c r="D33">
        <v>10.4</v>
      </c>
      <c r="H33">
        <v>853</v>
      </c>
      <c r="I33">
        <v>638.79999999999995</v>
      </c>
      <c r="J33">
        <v>5.0999999999999996</v>
      </c>
    </row>
    <row r="34" spans="2:29">
      <c r="H34">
        <v>854</v>
      </c>
      <c r="I34">
        <v>637.29999999999995</v>
      </c>
      <c r="J34">
        <v>5</v>
      </c>
      <c r="AA34" s="2" t="s">
        <v>90</v>
      </c>
      <c r="AB34" s="2" t="s">
        <v>86</v>
      </c>
      <c r="AC34" s="2" t="s">
        <v>87</v>
      </c>
    </row>
    <row r="35" spans="2:29">
      <c r="H35">
        <v>855</v>
      </c>
      <c r="I35">
        <v>635.79999999999995</v>
      </c>
      <c r="J35">
        <v>5</v>
      </c>
      <c r="AA35" s="2">
        <v>52</v>
      </c>
      <c r="AB35" s="2">
        <v>642.79999999999995</v>
      </c>
      <c r="AC35" s="2">
        <v>4.2</v>
      </c>
    </row>
    <row r="36" spans="2:29">
      <c r="H36">
        <v>856</v>
      </c>
      <c r="I36">
        <v>634.4</v>
      </c>
      <c r="J36">
        <v>5</v>
      </c>
      <c r="AA36" s="2">
        <v>53</v>
      </c>
      <c r="AB36" s="2">
        <v>635.79999999999995</v>
      </c>
      <c r="AC36" s="2">
        <v>5</v>
      </c>
    </row>
    <row r="37" spans="2:29">
      <c r="H37">
        <v>857</v>
      </c>
      <c r="I37">
        <v>632.9</v>
      </c>
      <c r="J37">
        <v>5</v>
      </c>
      <c r="AA37" s="2">
        <v>54</v>
      </c>
      <c r="AB37" s="2">
        <v>628.9</v>
      </c>
      <c r="AC37" s="2">
        <v>7.4</v>
      </c>
    </row>
    <row r="38" spans="2:29">
      <c r="H38">
        <v>858</v>
      </c>
      <c r="I38">
        <v>631.4</v>
      </c>
      <c r="J38">
        <v>5</v>
      </c>
      <c r="AA38" s="2">
        <v>55</v>
      </c>
      <c r="AB38" s="2">
        <v>621.9</v>
      </c>
      <c r="AC38" s="2">
        <v>10.4</v>
      </c>
    </row>
    <row r="39" spans="2:29">
      <c r="H39">
        <v>859</v>
      </c>
      <c r="I39">
        <v>630</v>
      </c>
      <c r="J39">
        <v>5</v>
      </c>
    </row>
    <row r="40" spans="2:29">
      <c r="H40">
        <v>860</v>
      </c>
      <c r="I40">
        <v>628.5</v>
      </c>
      <c r="J40">
        <v>5</v>
      </c>
    </row>
    <row r="42" spans="2:29">
      <c r="I42">
        <v>632.79999999999995</v>
      </c>
    </row>
  </sheetData>
  <mergeCells count="3">
    <mergeCell ref="AA12:AD12"/>
    <mergeCell ref="AE12:AE13"/>
    <mergeCell ref="Z12:Z13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①偏光</vt:lpstr>
      <vt:lpstr>②反射</vt:lpstr>
      <vt:lpstr>③波長</vt:lpstr>
      <vt:lpstr>③波長２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桜庭玉藻</cp:lastModifiedBy>
  <cp:lastPrinted>2007-12-29T22:52:00Z</cp:lastPrinted>
  <dcterms:created xsi:type="dcterms:W3CDTF">2007-12-27T04:45:34Z</dcterms:created>
  <dcterms:modified xsi:type="dcterms:W3CDTF">2014-08-09T09:43:53Z</dcterms:modified>
</cp:coreProperties>
</file>