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A 原子スペクトル\実験データ\"/>
    </mc:Choice>
  </mc:AlternateContent>
  <bookViews>
    <workbookView xWindow="480" yWindow="60" windowWidth="7400" windowHeight="5970"/>
  </bookViews>
  <sheets>
    <sheet name="Hgランプ" sheetId="1" r:id="rId1"/>
    <sheet name="Hランプ" sheetId="4" r:id="rId2"/>
  </sheets>
  <calcPr calcId="152511"/>
</workbook>
</file>

<file path=xl/calcChain.xml><?xml version="1.0" encoding="utf-8"?>
<calcChain xmlns="http://schemas.openxmlformats.org/spreadsheetml/2006/main">
  <c r="E45" i="1" l="1"/>
  <c r="E4" i="1"/>
  <c r="H4" i="1" s="1"/>
  <c r="E5" i="1"/>
  <c r="H5" i="1" s="1"/>
  <c r="E6" i="1"/>
  <c r="H6" i="1" s="1"/>
  <c r="E7" i="1"/>
  <c r="H7" i="1" s="1"/>
  <c r="E8" i="1"/>
  <c r="H8" i="1" s="1"/>
  <c r="F9" i="1"/>
  <c r="E9" i="1" s="1"/>
  <c r="H9" i="1" s="1"/>
  <c r="F10" i="1"/>
  <c r="E10" i="1"/>
  <c r="H10" i="1" s="1"/>
  <c r="F11" i="1"/>
  <c r="E11" i="1"/>
  <c r="H11" i="1"/>
  <c r="F12" i="1"/>
  <c r="E12" i="1" s="1"/>
  <c r="H12" i="1" s="1"/>
  <c r="F13" i="1"/>
  <c r="E13" i="1" s="1"/>
  <c r="H13" i="1" s="1"/>
  <c r="F14" i="1"/>
  <c r="E14" i="1"/>
  <c r="H14" i="1" s="1"/>
  <c r="F15" i="1"/>
  <c r="E15" i="1"/>
  <c r="H15" i="1"/>
  <c r="F16" i="1"/>
  <c r="E16" i="1" s="1"/>
  <c r="H16" i="1" s="1"/>
  <c r="F17" i="1"/>
  <c r="E17" i="1" s="1"/>
  <c r="H17" i="1" s="1"/>
  <c r="F18" i="1"/>
  <c r="E18" i="1"/>
  <c r="H18" i="1" s="1"/>
  <c r="F19" i="1"/>
  <c r="E19" i="1"/>
  <c r="H19" i="1"/>
  <c r="F20" i="1"/>
  <c r="E20" i="1" s="1"/>
  <c r="H20" i="1" s="1"/>
  <c r="F21" i="1"/>
  <c r="E21" i="1" s="1"/>
  <c r="H21" i="1" s="1"/>
  <c r="F22" i="1"/>
  <c r="E22" i="1"/>
  <c r="H22" i="1" s="1"/>
  <c r="F23" i="1"/>
  <c r="E23" i="1"/>
  <c r="H23" i="1"/>
  <c r="F24" i="1"/>
  <c r="E24" i="1" s="1"/>
  <c r="H24" i="1" s="1"/>
  <c r="F25" i="1"/>
  <c r="E25" i="1" s="1"/>
  <c r="H25" i="1" s="1"/>
  <c r="F26" i="1"/>
  <c r="E26" i="1"/>
  <c r="H26" i="1" s="1"/>
  <c r="F27" i="1"/>
  <c r="E27" i="1"/>
  <c r="H27" i="1"/>
  <c r="F28" i="1"/>
  <c r="E28" i="1" s="1"/>
  <c r="H28" i="1" s="1"/>
  <c r="F29" i="1"/>
  <c r="E29" i="1" s="1"/>
  <c r="H29" i="1" s="1"/>
  <c r="F30" i="1"/>
  <c r="E30" i="1"/>
  <c r="H30" i="1" s="1"/>
  <c r="F31" i="1"/>
  <c r="E31" i="1"/>
  <c r="H31" i="1"/>
  <c r="F32" i="1"/>
  <c r="E32" i="1" s="1"/>
  <c r="H32" i="1" s="1"/>
  <c r="F33" i="1"/>
  <c r="E33" i="1" s="1"/>
  <c r="H33" i="1" s="1"/>
  <c r="F34" i="1"/>
  <c r="E34" i="1"/>
  <c r="H34" i="1" s="1"/>
  <c r="F35" i="1"/>
  <c r="E35" i="1"/>
  <c r="H35" i="1"/>
  <c r="F36" i="1"/>
  <c r="E36" i="1" s="1"/>
  <c r="H36" i="1" s="1"/>
  <c r="F37" i="1"/>
  <c r="E37" i="1" s="1"/>
  <c r="H37" i="1" s="1"/>
  <c r="E46" i="1"/>
  <c r="E47" i="1"/>
  <c r="E50" i="1"/>
  <c r="E51" i="1"/>
  <c r="E52" i="1"/>
  <c r="E53" i="1"/>
  <c r="E54" i="1"/>
  <c r="E55" i="1"/>
  <c r="E56" i="1"/>
  <c r="E57" i="1"/>
  <c r="E58" i="1"/>
  <c r="E59" i="1"/>
  <c r="E62" i="1"/>
  <c r="E63" i="1"/>
  <c r="E64" i="1"/>
  <c r="E65" i="1"/>
  <c r="E66" i="1"/>
  <c r="E67" i="1"/>
  <c r="E68" i="1"/>
  <c r="E48" i="1"/>
  <c r="E49" i="1"/>
  <c r="E60" i="1"/>
  <c r="E61" i="1"/>
  <c r="F5" i="1"/>
  <c r="F4" i="1"/>
  <c r="F6" i="1"/>
  <c r="F7" i="1"/>
  <c r="F8" i="1"/>
  <c r="F46" i="1" l="1"/>
  <c r="I13" i="1"/>
  <c r="J13" i="1" s="1"/>
  <c r="K13" i="1" s="1"/>
  <c r="H38" i="1"/>
  <c r="I27" i="1" s="1"/>
  <c r="J27" i="1" s="1"/>
  <c r="K27" i="1" s="1"/>
  <c r="I10" i="1"/>
  <c r="J10" i="1" s="1"/>
  <c r="K10" i="1" s="1"/>
  <c r="F52" i="1" l="1"/>
  <c r="F66" i="1"/>
  <c r="I9" i="1"/>
  <c r="J9" i="1" s="1"/>
  <c r="K9" i="1" s="1"/>
  <c r="F47" i="1"/>
  <c r="F57" i="1"/>
  <c r="F67" i="1"/>
  <c r="I26" i="1"/>
  <c r="J26" i="1" s="1"/>
  <c r="K26" i="1" s="1"/>
  <c r="I22" i="1"/>
  <c r="J22" i="1" s="1"/>
  <c r="K22" i="1" s="1"/>
  <c r="F54" i="1"/>
  <c r="F62" i="1"/>
  <c r="F68" i="1"/>
  <c r="I18" i="1"/>
  <c r="J18" i="1" s="1"/>
  <c r="K18" i="1" s="1"/>
  <c r="I6" i="1"/>
  <c r="J6" i="1" s="1"/>
  <c r="K6" i="1" s="1"/>
  <c r="F51" i="1"/>
  <c r="F59" i="1"/>
  <c r="I19" i="1"/>
  <c r="J19" i="1" s="1"/>
  <c r="K19" i="1" s="1"/>
  <c r="I21" i="1"/>
  <c r="J21" i="1" s="1"/>
  <c r="K21" i="1" s="1"/>
  <c r="I46" i="1"/>
  <c r="J46" i="1" s="1"/>
  <c r="G46" i="1"/>
  <c r="F56" i="1"/>
  <c r="F64" i="1"/>
  <c r="F61" i="1"/>
  <c r="I34" i="1"/>
  <c r="J34" i="1" s="1"/>
  <c r="K34" i="1" s="1"/>
  <c r="I14" i="1"/>
  <c r="J14" i="1" s="1"/>
  <c r="K14" i="1" s="1"/>
  <c r="F53" i="1"/>
  <c r="F63" i="1"/>
  <c r="I29" i="1"/>
  <c r="J29" i="1" s="1"/>
  <c r="K29" i="1" s="1"/>
  <c r="F45" i="1"/>
  <c r="F60" i="1"/>
  <c r="I4" i="1"/>
  <c r="J4" i="1" s="1"/>
  <c r="K4" i="1" s="1"/>
  <c r="I12" i="1"/>
  <c r="J12" i="1" s="1"/>
  <c r="K12" i="1" s="1"/>
  <c r="I20" i="1"/>
  <c r="J20" i="1" s="1"/>
  <c r="K20" i="1" s="1"/>
  <c r="I36" i="1"/>
  <c r="J36" i="1" s="1"/>
  <c r="K36" i="1" s="1"/>
  <c r="F48" i="1"/>
  <c r="I7" i="1"/>
  <c r="J7" i="1" s="1"/>
  <c r="K7" i="1" s="1"/>
  <c r="I15" i="1"/>
  <c r="J15" i="1" s="1"/>
  <c r="K15" i="1" s="1"/>
  <c r="I17" i="1"/>
  <c r="J17" i="1" s="1"/>
  <c r="K17" i="1" s="1"/>
  <c r="I24" i="1"/>
  <c r="J24" i="1" s="1"/>
  <c r="K24" i="1" s="1"/>
  <c r="I31" i="1"/>
  <c r="J31" i="1" s="1"/>
  <c r="K31" i="1" s="1"/>
  <c r="I33" i="1"/>
  <c r="J33" i="1" s="1"/>
  <c r="K33" i="1" s="1"/>
  <c r="I25" i="1"/>
  <c r="J25" i="1" s="1"/>
  <c r="K25" i="1" s="1"/>
  <c r="I32" i="1"/>
  <c r="J32" i="1" s="1"/>
  <c r="K32" i="1" s="1"/>
  <c r="I8" i="1"/>
  <c r="J8" i="1" s="1"/>
  <c r="K8" i="1" s="1"/>
  <c r="I28" i="1"/>
  <c r="J28" i="1" s="1"/>
  <c r="K28" i="1" s="1"/>
  <c r="I11" i="1"/>
  <c r="J11" i="1" s="1"/>
  <c r="K11" i="1" s="1"/>
  <c r="I16" i="1"/>
  <c r="J16" i="1" s="1"/>
  <c r="K16" i="1" s="1"/>
  <c r="I23" i="1"/>
  <c r="J23" i="1" s="1"/>
  <c r="K23" i="1" s="1"/>
  <c r="F50" i="1"/>
  <c r="F58" i="1"/>
  <c r="I5" i="1"/>
  <c r="J5" i="1" s="1"/>
  <c r="K5" i="1" s="1"/>
  <c r="F49" i="1"/>
  <c r="I30" i="1"/>
  <c r="J30" i="1" s="1"/>
  <c r="K30" i="1" s="1"/>
  <c r="F55" i="1"/>
  <c r="F65" i="1"/>
  <c r="I35" i="1"/>
  <c r="J35" i="1" s="1"/>
  <c r="K35" i="1" s="1"/>
  <c r="I37" i="1"/>
  <c r="J37" i="1" s="1"/>
  <c r="K37" i="1" s="1"/>
  <c r="I45" i="1" l="1"/>
  <c r="J45" i="1" s="1"/>
  <c r="G45" i="1"/>
  <c r="I56" i="1"/>
  <c r="J56" i="1" s="1"/>
  <c r="G56" i="1"/>
  <c r="I47" i="1"/>
  <c r="J47" i="1" s="1"/>
  <c r="G47" i="1"/>
  <c r="G49" i="1"/>
  <c r="I49" i="1"/>
  <c r="I59" i="1"/>
  <c r="J59" i="1" s="1"/>
  <c r="G59" i="1"/>
  <c r="I68" i="1"/>
  <c r="J68" i="1" s="1"/>
  <c r="G68" i="1"/>
  <c r="I50" i="1"/>
  <c r="J50" i="1" s="1"/>
  <c r="G50" i="1"/>
  <c r="I65" i="1"/>
  <c r="J65" i="1" s="1"/>
  <c r="G65" i="1"/>
  <c r="I48" i="1"/>
  <c r="G48" i="1"/>
  <c r="K38" i="1"/>
  <c r="K40" i="1" s="1"/>
  <c r="K41" i="1" s="1"/>
  <c r="K39" i="1"/>
  <c r="I63" i="1"/>
  <c r="J63" i="1" s="1"/>
  <c r="G63" i="1"/>
  <c r="I61" i="1"/>
  <c r="G61" i="1"/>
  <c r="I51" i="1"/>
  <c r="J51" i="1" s="1"/>
  <c r="G51" i="1"/>
  <c r="I62" i="1"/>
  <c r="J62" i="1" s="1"/>
  <c r="G62" i="1"/>
  <c r="I67" i="1"/>
  <c r="J67" i="1" s="1"/>
  <c r="G67" i="1"/>
  <c r="I66" i="1"/>
  <c r="J66" i="1" s="1"/>
  <c r="G66" i="1"/>
  <c r="I55" i="1"/>
  <c r="J55" i="1" s="1"/>
  <c r="G55" i="1"/>
  <c r="I58" i="1"/>
  <c r="J58" i="1" s="1"/>
  <c r="G58" i="1"/>
  <c r="I60" i="1"/>
  <c r="G60" i="1"/>
  <c r="I53" i="1"/>
  <c r="J53" i="1" s="1"/>
  <c r="G53" i="1"/>
  <c r="I64" i="1"/>
  <c r="J64" i="1" s="1"/>
  <c r="G64" i="1"/>
  <c r="I54" i="1"/>
  <c r="J54" i="1" s="1"/>
  <c r="G54" i="1"/>
  <c r="I57" i="1"/>
  <c r="J57" i="1" s="1"/>
  <c r="G57" i="1"/>
  <c r="I52" i="1"/>
  <c r="J52" i="1" s="1"/>
  <c r="G52" i="1"/>
  <c r="H54" i="1" l="1"/>
  <c r="H50" i="1"/>
  <c r="H60" i="1"/>
  <c r="H55" i="1"/>
  <c r="H49" i="1"/>
  <c r="H45" i="1"/>
  <c r="H64" i="1"/>
  <c r="H59" i="1"/>
  <c r="H53" i="1"/>
  <c r="H48" i="1"/>
  <c r="H67" i="1"/>
  <c r="H56" i="1"/>
  <c r="H46" i="1"/>
  <c r="H57" i="1"/>
  <c r="H52" i="1"/>
  <c r="H47" i="1"/>
  <c r="H61" i="1"/>
  <c r="H51" i="1"/>
  <c r="H66" i="1"/>
  <c r="H58" i="1"/>
  <c r="H65" i="1"/>
  <c r="H68" i="1"/>
  <c r="H63" i="1"/>
  <c r="H62" i="1"/>
  <c r="J69" i="1"/>
  <c r="J70" i="1" s="1"/>
  <c r="K46" i="1" s="1"/>
  <c r="L46" i="1" s="1"/>
  <c r="M46" i="1" s="1"/>
  <c r="K51" i="1" l="1"/>
  <c r="L51" i="1" s="1"/>
  <c r="M51" i="1" s="1"/>
  <c r="K65" i="1"/>
  <c r="L65" i="1" s="1"/>
  <c r="M65" i="1" s="1"/>
  <c r="K45" i="1"/>
  <c r="L45" i="1" s="1"/>
  <c r="M45" i="1" s="1"/>
  <c r="K63" i="1"/>
  <c r="L63" i="1" s="1"/>
  <c r="M63" i="1" s="1"/>
  <c r="K67" i="1"/>
  <c r="L67" i="1" s="1"/>
  <c r="M67" i="1" s="1"/>
  <c r="K53" i="1"/>
  <c r="L53" i="1" s="1"/>
  <c r="M53" i="1" s="1"/>
  <c r="K62" i="1"/>
  <c r="L62" i="1" s="1"/>
  <c r="M62" i="1" s="1"/>
  <c r="K57" i="1"/>
  <c r="L57" i="1" s="1"/>
  <c r="M57" i="1" s="1"/>
  <c r="K47" i="1"/>
  <c r="L47" i="1" s="1"/>
  <c r="M47" i="1" s="1"/>
  <c r="K66" i="1"/>
  <c r="L66" i="1" s="1"/>
  <c r="M66" i="1" s="1"/>
  <c r="K55" i="1"/>
  <c r="L55" i="1" s="1"/>
  <c r="M55" i="1" s="1"/>
  <c r="K56" i="1"/>
  <c r="L56" i="1" s="1"/>
  <c r="M56" i="1" s="1"/>
  <c r="K58" i="1"/>
  <c r="L58" i="1" s="1"/>
  <c r="M58" i="1" s="1"/>
  <c r="K50" i="1"/>
  <c r="L50" i="1" s="1"/>
  <c r="M50" i="1" s="1"/>
  <c r="K59" i="1"/>
  <c r="L59" i="1" s="1"/>
  <c r="M59" i="1" s="1"/>
  <c r="K54" i="1"/>
  <c r="L54" i="1" s="1"/>
  <c r="M54" i="1" s="1"/>
  <c r="K64" i="1"/>
  <c r="L64" i="1" s="1"/>
  <c r="M64" i="1" s="1"/>
  <c r="K68" i="1"/>
  <c r="L68" i="1" s="1"/>
  <c r="M68" i="1" s="1"/>
  <c r="K52" i="1"/>
  <c r="L52" i="1" s="1"/>
  <c r="M52" i="1" s="1"/>
  <c r="M69" i="1" l="1"/>
  <c r="M70" i="1" s="1"/>
</calcChain>
</file>

<file path=xl/sharedStrings.xml><?xml version="1.0" encoding="utf-8"?>
<sst xmlns="http://schemas.openxmlformats.org/spreadsheetml/2006/main" count="152" uniqueCount="92">
  <si>
    <t>Hgランプ</t>
    <phoneticPr fontId="1"/>
  </si>
  <si>
    <t>色</t>
    <rPh sb="0" eb="1">
      <t>イロ</t>
    </rPh>
    <phoneticPr fontId="1"/>
  </si>
  <si>
    <t>ｍ</t>
    <phoneticPr fontId="1"/>
  </si>
  <si>
    <t>水色</t>
    <rPh sb="0" eb="2">
      <t>ミズイロ</t>
    </rPh>
    <phoneticPr fontId="1"/>
  </si>
  <si>
    <t>紫</t>
    <rPh sb="0" eb="1">
      <t>ムラサキ</t>
    </rPh>
    <phoneticPr fontId="1"/>
  </si>
  <si>
    <t>１４°０２′</t>
    <phoneticPr fontId="1"/>
  </si>
  <si>
    <t>１３°４４′</t>
    <phoneticPr fontId="1"/>
  </si>
  <si>
    <t>１４°０４′</t>
    <phoneticPr fontId="1"/>
  </si>
  <si>
    <t>１７°０５′</t>
    <phoneticPr fontId="1"/>
  </si>
  <si>
    <t>１７°４６′</t>
    <phoneticPr fontId="1"/>
  </si>
  <si>
    <t>１８°５４′</t>
    <phoneticPr fontId="1"/>
  </si>
  <si>
    <t>１８°５９′</t>
    <phoneticPr fontId="1"/>
  </si>
  <si>
    <t>緑</t>
    <rPh sb="0" eb="1">
      <t>ミドリ</t>
    </rPh>
    <phoneticPr fontId="1"/>
  </si>
  <si>
    <t>黄</t>
    <rPh sb="0" eb="1">
      <t>キ</t>
    </rPh>
    <phoneticPr fontId="1"/>
  </si>
  <si>
    <t>２８°０３′</t>
    <phoneticPr fontId="1"/>
  </si>
  <si>
    <t>２８°５３′</t>
    <phoneticPr fontId="1"/>
  </si>
  <si>
    <t>３０°５７′</t>
    <phoneticPr fontId="1"/>
  </si>
  <si>
    <t>３５°１６′</t>
    <phoneticPr fontId="1"/>
  </si>
  <si>
    <t>３９°４０′</t>
    <phoneticPr fontId="1"/>
  </si>
  <si>
    <t>４２°２１′</t>
    <phoneticPr fontId="1"/>
  </si>
  <si>
    <t>４２°３１′</t>
    <phoneticPr fontId="1"/>
  </si>
  <si>
    <t>４９°１６′</t>
    <phoneticPr fontId="1"/>
  </si>
  <si>
    <t>６８°２８′</t>
    <phoneticPr fontId="1"/>
  </si>
  <si>
    <t>６８°３３′</t>
    <phoneticPr fontId="1"/>
  </si>
  <si>
    <t>３４５°４８′</t>
    <phoneticPr fontId="1"/>
  </si>
  <si>
    <t>３４５°３８′</t>
    <phoneticPr fontId="1"/>
  </si>
  <si>
    <t>３４４°４８′</t>
    <phoneticPr fontId="1"/>
  </si>
  <si>
    <t>ｍ</t>
    <phoneticPr fontId="1"/>
  </si>
  <si>
    <t>３４２°３５′</t>
    <phoneticPr fontId="1"/>
  </si>
  <si>
    <t>３３９°３１′</t>
    <phoneticPr fontId="1"/>
  </si>
  <si>
    <t>３３８°２１′</t>
    <phoneticPr fontId="1"/>
  </si>
  <si>
    <t>３３８°１５′</t>
    <phoneticPr fontId="1"/>
  </si>
  <si>
    <t>３３０°０２′</t>
    <phoneticPr fontId="1"/>
  </si>
  <si>
    <t>３２９°５７′</t>
    <phoneticPr fontId="1"/>
  </si>
  <si>
    <t>３２２°５６′</t>
    <phoneticPr fontId="1"/>
  </si>
  <si>
    <t>３２７°３２′</t>
    <phoneticPr fontId="1"/>
  </si>
  <si>
    <t>３１７°０２′</t>
    <phoneticPr fontId="1"/>
  </si>
  <si>
    <t>３１３°５０′</t>
    <phoneticPr fontId="1"/>
  </si>
  <si>
    <t>３１３°３３′</t>
    <phoneticPr fontId="1"/>
  </si>
  <si>
    <t>３０４°１２′</t>
    <phoneticPr fontId="1"/>
  </si>
  <si>
    <t>２８４°２２′</t>
    <phoneticPr fontId="1"/>
  </si>
  <si>
    <t>２８４°０２′</t>
    <phoneticPr fontId="1"/>
  </si>
  <si>
    <t>角度θ(°′）</t>
    <rPh sb="0" eb="2">
      <t>カクド</t>
    </rPh>
    <phoneticPr fontId="1"/>
  </si>
  <si>
    <t>角度θ（°）</t>
    <rPh sb="0" eb="2">
      <t>カクド</t>
    </rPh>
    <phoneticPr fontId="1"/>
  </si>
  <si>
    <t>０°</t>
    <phoneticPr fontId="1"/>
  </si>
  <si>
    <t>ｄを1/600mmとしたときのλ(nm)</t>
    <phoneticPr fontId="1"/>
  </si>
  <si>
    <t>Hランプ</t>
    <phoneticPr fontId="1"/>
  </si>
  <si>
    <t>赤</t>
    <rPh sb="0" eb="1">
      <t>アカ</t>
    </rPh>
    <phoneticPr fontId="1"/>
  </si>
  <si>
    <t>０°</t>
    <phoneticPr fontId="1"/>
  </si>
  <si>
    <t>１５°００′</t>
    <phoneticPr fontId="1"/>
  </si>
  <si>
    <t>１５°１０′</t>
    <phoneticPr fontId="1"/>
  </si>
  <si>
    <t>１６°５６′</t>
    <phoneticPr fontId="1"/>
  </si>
  <si>
    <t>１８°３３′</t>
    <phoneticPr fontId="1"/>
  </si>
  <si>
    <t>１８°５８′</t>
    <phoneticPr fontId="1"/>
  </si>
  <si>
    <t>２１°３０′</t>
    <phoneticPr fontId="1"/>
  </si>
  <si>
    <t>２２°３０′</t>
    <phoneticPr fontId="1"/>
  </si>
  <si>
    <t>２２°５９′</t>
    <phoneticPr fontId="1"/>
  </si>
  <si>
    <t>３０°４６′</t>
    <phoneticPr fontId="1"/>
  </si>
  <si>
    <t>３４°４８′</t>
    <phoneticPr fontId="1"/>
  </si>
  <si>
    <t>４９°３６′</t>
    <phoneticPr fontId="1"/>
  </si>
  <si>
    <t>５７°０２′</t>
    <phoneticPr fontId="1"/>
  </si>
  <si>
    <t>３４４°４２′</t>
    <phoneticPr fontId="1"/>
  </si>
  <si>
    <t>３４４°３６′</t>
    <phoneticPr fontId="1"/>
  </si>
  <si>
    <t>３４２°４９′</t>
    <phoneticPr fontId="1"/>
  </si>
  <si>
    <t>３４１°０１′</t>
    <phoneticPr fontId="1"/>
  </si>
  <si>
    <t>３４０°３３′</t>
    <phoneticPr fontId="1"/>
  </si>
  <si>
    <t>３３７°５７′</t>
    <phoneticPr fontId="1"/>
  </si>
  <si>
    <t>３３６°４０′</t>
    <phoneticPr fontId="1"/>
  </si>
  <si>
    <t>３３６°１７′</t>
    <phoneticPr fontId="1"/>
  </si>
  <si>
    <t>３２７°３５′</t>
    <phoneticPr fontId="1"/>
  </si>
  <si>
    <t>３２３°００′</t>
    <phoneticPr fontId="1"/>
  </si>
  <si>
    <t>３０４°０１′</t>
    <phoneticPr fontId="1"/>
  </si>
  <si>
    <t>２９０°３５′</t>
    <phoneticPr fontId="1"/>
  </si>
  <si>
    <t>真の波長(nm)</t>
    <rPh sb="0" eb="1">
      <t>シン</t>
    </rPh>
    <rPh sb="2" eb="4">
      <t>ハチョウ</t>
    </rPh>
    <phoneticPr fontId="1"/>
  </si>
  <si>
    <t>sinθ</t>
    <phoneticPr fontId="1"/>
  </si>
  <si>
    <t>d(        mm)</t>
    <phoneticPr fontId="1"/>
  </si>
  <si>
    <t>↑平均値</t>
    <rPh sb="1" eb="4">
      <t>ヘイキンチ</t>
    </rPh>
    <phoneticPr fontId="1"/>
  </si>
  <si>
    <t>*1000</t>
    <phoneticPr fontId="1"/>
  </si>
  <si>
    <t>*1000000</t>
    <phoneticPr fontId="1"/>
  </si>
  <si>
    <t>←合計</t>
    <rPh sb="1" eb="3">
      <t>ゴウケイ</t>
    </rPh>
    <phoneticPr fontId="1"/>
  </si>
  <si>
    <t>←個数</t>
    <rPh sb="1" eb="3">
      <t>コスウ</t>
    </rPh>
    <phoneticPr fontId="1"/>
  </si>
  <si>
    <t>←標準偏差</t>
    <rPh sb="1" eb="3">
      <t>ヒョウジュン</t>
    </rPh>
    <rPh sb="3" eb="5">
      <t>ヘンサ</t>
    </rPh>
    <phoneticPr fontId="1"/>
  </si>
  <si>
    <t>←平均値の標準偏差</t>
    <rPh sb="1" eb="4">
      <t>ヘイキンチ</t>
    </rPh>
    <rPh sb="5" eb="7">
      <t>ヒョウジュン</t>
    </rPh>
    <rPh sb="7" eb="9">
      <t>ヘンサ</t>
    </rPh>
    <phoneticPr fontId="1"/>
  </si>
  <si>
    <t>λの平均値</t>
    <rPh sb="2" eb="5">
      <t>ヘイキンチ</t>
    </rPh>
    <phoneticPr fontId="1"/>
  </si>
  <si>
    <t>sinθ/ｍ</t>
    <phoneticPr fontId="1"/>
  </si>
  <si>
    <t>平均値の標準偏差</t>
    <rPh sb="0" eb="3">
      <t>ヘイキンチ</t>
    </rPh>
    <rPh sb="4" eb="6">
      <t>ヒョウジュン</t>
    </rPh>
    <rPh sb="6" eb="8">
      <t>ヘンサ</t>
    </rPh>
    <phoneticPr fontId="1"/>
  </si>
  <si>
    <t>波数</t>
    <rPh sb="0" eb="1">
      <t>ナミ</t>
    </rPh>
    <rPh sb="1" eb="2">
      <t>カズ</t>
    </rPh>
    <phoneticPr fontId="1"/>
  </si>
  <si>
    <t>リドベリ定数</t>
    <rPh sb="4" eb="6">
      <t>テイスウ</t>
    </rPh>
    <phoneticPr fontId="1"/>
  </si>
  <si>
    <t>←平均値</t>
    <rPh sb="1" eb="4">
      <t>ヘイキンチ</t>
    </rPh>
    <phoneticPr fontId="1"/>
  </si>
  <si>
    <t>標準偏差</t>
    <rPh sb="0" eb="2">
      <t>ヒョウジュン</t>
    </rPh>
    <rPh sb="2" eb="4">
      <t>ヘンサ</t>
    </rPh>
    <phoneticPr fontId="1"/>
  </si>
  <si>
    <t>標準偏差＊１００</t>
    <rPh sb="0" eb="2">
      <t>ヒョウジュン</t>
    </rPh>
    <rPh sb="2" eb="4">
      <t>ヘンサ</t>
    </rPh>
    <phoneticPr fontId="1"/>
  </si>
  <si>
    <t>標準偏差＊標準偏差＊１００００</t>
    <rPh sb="0" eb="2">
      <t>ヒョウジュン</t>
    </rPh>
    <rPh sb="2" eb="4">
      <t>ヘンサ</t>
    </rPh>
    <rPh sb="5" eb="7">
      <t>ヒョウジュン</t>
    </rPh>
    <rPh sb="7" eb="9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</si>
</sst>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260350</xdr:colOff>
          <xdr:row>0</xdr:row>
          <xdr:rowOff>171450</xdr:rowOff>
        </xdr:from>
        <xdr:to>
          <xdr:col>7</xdr:col>
          <xdr:colOff>533400</xdr:colOff>
          <xdr:row>2</xdr:row>
          <xdr:rowOff>6350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0</xdr:row>
          <xdr:rowOff>171450</xdr:rowOff>
        </xdr:from>
        <xdr:to>
          <xdr:col>8</xdr:col>
          <xdr:colOff>501650</xdr:colOff>
          <xdr:row>1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254000</xdr:colOff>
          <xdr:row>0</xdr:row>
          <xdr:rowOff>158750</xdr:rowOff>
        </xdr:from>
        <xdr:to>
          <xdr:col>10</xdr:col>
          <xdr:colOff>425450</xdr:colOff>
          <xdr:row>2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0</xdr:row>
          <xdr:rowOff>171450</xdr:rowOff>
        </xdr:from>
        <xdr:to>
          <xdr:col>9</xdr:col>
          <xdr:colOff>228600</xdr:colOff>
          <xdr:row>1</xdr:row>
          <xdr:rowOff>171450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0"/>
  <sheetViews>
    <sheetView tabSelected="1" topLeftCell="B37" workbookViewId="0">
      <selection activeCell="I46" sqref="I46"/>
    </sheetView>
  </sheetViews>
  <sheetFormatPr defaultRowHeight="14"/>
  <cols>
    <col min="1" max="1" width="9" style="2" customWidth="1"/>
    <col min="2" max="2" width="5.453125" style="1" bestFit="1" customWidth="1"/>
    <col min="3" max="3" width="13.453125" style="1" bestFit="1" customWidth="1"/>
    <col min="4" max="4" width="3.453125" style="1" bestFit="1" customWidth="1"/>
    <col min="5" max="5" width="13.90625" style="1" bestFit="1" customWidth="1"/>
    <col min="6" max="6" width="30.36328125" style="1" bestFit="1" customWidth="1"/>
    <col min="7" max="7" width="13.6328125" style="1" bestFit="1" customWidth="1"/>
    <col min="8" max="8" width="18.36328125" style="1" bestFit="1" customWidth="1"/>
    <col min="9" max="9" width="13.90625" style="1" bestFit="1" customWidth="1"/>
    <col min="10" max="10" width="12.7265625" style="1" customWidth="1"/>
    <col min="11" max="11" width="21.36328125" style="1" customWidth="1"/>
    <col min="12" max="12" width="20.453125" style="1" bestFit="1" customWidth="1"/>
    <col min="13" max="13" width="30.36328125" style="1" bestFit="1" customWidth="1"/>
    <col min="14" max="14" width="19.26953125" style="1" bestFit="1" customWidth="1"/>
  </cols>
  <sheetData>
    <row r="1" spans="1:11">
      <c r="A1" s="6" t="s">
        <v>0</v>
      </c>
    </row>
    <row r="2" spans="1:11">
      <c r="B2" s="3" t="s">
        <v>1</v>
      </c>
      <c r="C2" s="3" t="s">
        <v>42</v>
      </c>
      <c r="D2" s="3" t="s">
        <v>27</v>
      </c>
      <c r="E2" s="3" t="s">
        <v>74</v>
      </c>
      <c r="F2" s="3" t="s">
        <v>45</v>
      </c>
      <c r="G2" s="4" t="s">
        <v>73</v>
      </c>
      <c r="H2" s="4" t="s">
        <v>75</v>
      </c>
      <c r="I2" s="4"/>
      <c r="J2" s="4" t="s">
        <v>77</v>
      </c>
      <c r="K2" s="4" t="s">
        <v>78</v>
      </c>
    </row>
    <row r="3" spans="1:11">
      <c r="B3" s="4" t="s">
        <v>3</v>
      </c>
      <c r="C3" s="4" t="s">
        <v>44</v>
      </c>
      <c r="D3" s="4">
        <v>0</v>
      </c>
      <c r="E3" s="4">
        <v>0</v>
      </c>
      <c r="F3" s="5"/>
      <c r="G3" s="5"/>
      <c r="H3" s="5"/>
      <c r="I3" s="8"/>
      <c r="J3" s="8"/>
      <c r="K3" s="5"/>
    </row>
    <row r="4" spans="1:11">
      <c r="B4" s="4" t="s">
        <v>4</v>
      </c>
      <c r="C4" s="4" t="s">
        <v>6</v>
      </c>
      <c r="D4" s="4">
        <v>1</v>
      </c>
      <c r="E4" s="4">
        <f>SIN((13+44/60)*PI()/180)</f>
        <v>0.23740333031945945</v>
      </c>
      <c r="F4" s="4">
        <f>10000*SIN((13+44/60)*PI()/180)/6</f>
        <v>395.67221719909912</v>
      </c>
      <c r="G4" s="4">
        <v>404.65629999999999</v>
      </c>
      <c r="H4" s="4">
        <f>G4/E4/1000</f>
        <v>1.7045097870172177</v>
      </c>
      <c r="I4" s="4">
        <f>H4-H38</f>
        <v>3.9794145785216894E-2</v>
      </c>
      <c r="J4" s="4">
        <f>I4*1000</f>
        <v>39.794145785216898</v>
      </c>
      <c r="K4" s="4">
        <f>J4*J4</f>
        <v>1583.5740387750959</v>
      </c>
    </row>
    <row r="5" spans="1:11">
      <c r="B5" s="4" t="s">
        <v>4</v>
      </c>
      <c r="C5" s="4" t="s">
        <v>5</v>
      </c>
      <c r="D5" s="4">
        <v>1</v>
      </c>
      <c r="E5" s="4">
        <f>SIN((14+2/60)*PI()/180)</f>
        <v>0.24248634979830819</v>
      </c>
      <c r="F5" s="4">
        <f>10000*SIN((14+2/60)*PI()/180)/6</f>
        <v>404.1439163305136</v>
      </c>
      <c r="G5" s="4">
        <v>407.78314</v>
      </c>
      <c r="H5" s="4">
        <f t="shared" ref="H5:H10" si="0">G5/E5/1000</f>
        <v>1.6816746193721008</v>
      </c>
      <c r="I5" s="4">
        <f>H5-H38</f>
        <v>1.6958978140100056E-2</v>
      </c>
      <c r="J5" s="4">
        <f t="shared" ref="J5:J37" si="1">I5*1000</f>
        <v>16.958978140100058</v>
      </c>
      <c r="K5" s="4">
        <f t="shared" ref="K5:K37" si="2">J5*J5</f>
        <v>287.60693955639164</v>
      </c>
    </row>
    <row r="6" spans="1:11">
      <c r="B6" s="4" t="s">
        <v>4</v>
      </c>
      <c r="C6" s="4" t="s">
        <v>7</v>
      </c>
      <c r="D6" s="4">
        <v>1</v>
      </c>
      <c r="E6" s="4">
        <f>SIN((14+4/60)*PI()/180)</f>
        <v>0.24305072192409963</v>
      </c>
      <c r="F6" s="4">
        <f>10000*SIN((14+4/60)*PI()/180)/6</f>
        <v>405.08453654016603</v>
      </c>
      <c r="G6" s="4">
        <v>435.83276999999998</v>
      </c>
      <c r="H6" s="4">
        <f t="shared" si="0"/>
        <v>1.7931762002175937</v>
      </c>
      <c r="I6" s="4">
        <f>H6-H38</f>
        <v>0.12846055898559294</v>
      </c>
      <c r="J6" s="4">
        <f t="shared" si="1"/>
        <v>128.46055898559294</v>
      </c>
      <c r="K6" s="4">
        <f t="shared" si="2"/>
        <v>16502.115214891004</v>
      </c>
    </row>
    <row r="7" spans="1:11">
      <c r="B7" s="4" t="s">
        <v>12</v>
      </c>
      <c r="C7" s="4" t="s">
        <v>8</v>
      </c>
      <c r="D7" s="4">
        <v>1</v>
      </c>
      <c r="E7" s="4">
        <f>SIN((17+5/60)*PI()/180)</f>
        <v>0.29376228387804437</v>
      </c>
      <c r="F7" s="4">
        <f>10000*SIN((17+5/60)*PI()/180)/6</f>
        <v>489.60380646340724</v>
      </c>
      <c r="G7" s="4">
        <v>491.60680000000002</v>
      </c>
      <c r="H7" s="4">
        <f>G7/E7/1000</f>
        <v>1.6734850829390029</v>
      </c>
      <c r="I7" s="4">
        <f>H7-H38</f>
        <v>8.7694417070021125E-3</v>
      </c>
      <c r="J7" s="4">
        <f t="shared" si="1"/>
        <v>8.7694417070021125</v>
      </c>
      <c r="K7" s="4">
        <f t="shared" si="2"/>
        <v>76.903107852508128</v>
      </c>
    </row>
    <row r="8" spans="1:11">
      <c r="B8" s="4" t="s">
        <v>12</v>
      </c>
      <c r="C8" s="4" t="s">
        <v>9</v>
      </c>
      <c r="D8" s="4">
        <v>1</v>
      </c>
      <c r="E8" s="4">
        <f>SIN((17+46/60)*PI()/180)</f>
        <v>0.30514132683401168</v>
      </c>
      <c r="F8" s="4">
        <f>10000*SIN((17+46/60)*PI()/180)/6</f>
        <v>508.56887805668612</v>
      </c>
      <c r="G8" s="4">
        <v>546.07348000000002</v>
      </c>
      <c r="H8" s="4">
        <f t="shared" si="0"/>
        <v>1.7895756227639681</v>
      </c>
      <c r="I8" s="4">
        <f>H8-H38</f>
        <v>0.12485998153196731</v>
      </c>
      <c r="J8" s="4">
        <f t="shared" si="1"/>
        <v>124.85998153196731</v>
      </c>
      <c r="K8" s="4">
        <f t="shared" si="2"/>
        <v>15590.014988163217</v>
      </c>
    </row>
    <row r="9" spans="1:11">
      <c r="B9" s="4" t="s">
        <v>13</v>
      </c>
      <c r="C9" s="4" t="s">
        <v>10</v>
      </c>
      <c r="D9" s="4">
        <v>1</v>
      </c>
      <c r="E9" s="4">
        <f>F9*6/10000</f>
        <v>0.3239174181981494</v>
      </c>
      <c r="F9" s="4">
        <f>10000*SIN((18+54/60)*PI()/180)/6</f>
        <v>539.8623636635823</v>
      </c>
      <c r="G9" s="4">
        <v>576.95982000000004</v>
      </c>
      <c r="H9" s="4">
        <f t="shared" si="0"/>
        <v>1.7811941797061914</v>
      </c>
      <c r="I9" s="4">
        <f>H9-H38</f>
        <v>0.11647853847419065</v>
      </c>
      <c r="J9" s="4">
        <f t="shared" si="1"/>
        <v>116.47853847419066</v>
      </c>
      <c r="K9" s="4">
        <f t="shared" si="2"/>
        <v>13567.249925083514</v>
      </c>
    </row>
    <row r="10" spans="1:11">
      <c r="B10" s="4" t="s">
        <v>13</v>
      </c>
      <c r="C10" s="4" t="s">
        <v>11</v>
      </c>
      <c r="D10" s="4">
        <v>1</v>
      </c>
      <c r="E10" s="4">
        <f>F10*6/10000</f>
        <v>0.32529310048218996</v>
      </c>
      <c r="F10" s="4">
        <f>10000*SIN((18+59/60)*PI()/180)/6</f>
        <v>542.15516747031654</v>
      </c>
      <c r="G10" s="4">
        <v>579.06629999999996</v>
      </c>
      <c r="H10" s="4">
        <f t="shared" si="0"/>
        <v>1.7801370491462492</v>
      </c>
      <c r="I10" s="4">
        <f>H10-H38</f>
        <v>0.11542140791424838</v>
      </c>
      <c r="J10" s="4">
        <f t="shared" si="1"/>
        <v>115.42140791424838</v>
      </c>
      <c r="K10" s="4">
        <f t="shared" si="2"/>
        <v>13322.101404907318</v>
      </c>
    </row>
    <row r="11" spans="1:11">
      <c r="B11" s="4" t="s">
        <v>4</v>
      </c>
      <c r="C11" s="4" t="s">
        <v>14</v>
      </c>
      <c r="D11" s="4">
        <v>2</v>
      </c>
      <c r="E11" s="4">
        <f t="shared" ref="E11:E17" si="3">F11*12/10000</f>
        <v>0.47024190105748231</v>
      </c>
      <c r="F11" s="4">
        <f>10000*SIN((28+3/60)*PI()/180)/6/2</f>
        <v>391.86825088123527</v>
      </c>
      <c r="G11" s="4">
        <v>404.65629999999999</v>
      </c>
      <c r="H11" s="4">
        <f>G11/E11/1000*2</f>
        <v>1.7210559037380841</v>
      </c>
      <c r="I11" s="4">
        <f>H11-H38</f>
        <v>5.6340262506083372E-2</v>
      </c>
      <c r="J11" s="4">
        <f t="shared" si="1"/>
        <v>56.34026250608337</v>
      </c>
      <c r="K11" s="4">
        <f t="shared" si="2"/>
        <v>3174.2251792543834</v>
      </c>
    </row>
    <row r="12" spans="1:11">
      <c r="B12" s="4" t="s">
        <v>4</v>
      </c>
      <c r="C12" s="4" t="s">
        <v>15</v>
      </c>
      <c r="D12" s="4">
        <v>2</v>
      </c>
      <c r="E12" s="4">
        <f t="shared" si="3"/>
        <v>0.48302770050388544</v>
      </c>
      <c r="F12" s="4">
        <f>10000*SIN((28+53/60)*PI()/180)/6/2</f>
        <v>402.52308375323787</v>
      </c>
      <c r="G12" s="4">
        <v>407.78314</v>
      </c>
      <c r="H12" s="4">
        <f t="shared" ref="H12:H17" si="4">G12/E12/1000*2</f>
        <v>1.6884461887987303</v>
      </c>
      <c r="I12" s="4">
        <f>H12-H38</f>
        <v>2.3730547566729543E-2</v>
      </c>
      <c r="J12" s="4">
        <f t="shared" si="1"/>
        <v>23.730547566729541</v>
      </c>
      <c r="K12" s="4">
        <f t="shared" si="2"/>
        <v>563.13888781681339</v>
      </c>
    </row>
    <row r="13" spans="1:11">
      <c r="B13" s="4" t="s">
        <v>4</v>
      </c>
      <c r="C13" s="4" t="s">
        <v>16</v>
      </c>
      <c r="D13" s="4">
        <v>2</v>
      </c>
      <c r="E13" s="4">
        <f t="shared" si="3"/>
        <v>0.51428985931116222</v>
      </c>
      <c r="F13" s="4">
        <f>10000*SIN((30+57/60)*PI()/180)/6/2</f>
        <v>428.57488275930183</v>
      </c>
      <c r="G13" s="4">
        <v>435.83276999999998</v>
      </c>
      <c r="H13" s="4">
        <f t="shared" si="4"/>
        <v>1.6948915562276599</v>
      </c>
      <c r="I13" s="4">
        <f>H13-H38</f>
        <v>3.0175914995659081E-2</v>
      </c>
      <c r="J13" s="4">
        <f t="shared" si="1"/>
        <v>30.175914995659081</v>
      </c>
      <c r="K13" s="4">
        <f t="shared" si="2"/>
        <v>910.58584582524259</v>
      </c>
    </row>
    <row r="14" spans="1:11">
      <c r="B14" s="4" t="s">
        <v>12</v>
      </c>
      <c r="C14" s="4" t="s">
        <v>17</v>
      </c>
      <c r="D14" s="4">
        <v>2</v>
      </c>
      <c r="E14" s="4">
        <f t="shared" si="3"/>
        <v>0.57738271701514243</v>
      </c>
      <c r="F14" s="4">
        <f>10000*SIN((35+16/60)*PI()/180)/6/2</f>
        <v>481.15226417928534</v>
      </c>
      <c r="G14" s="4">
        <v>491.60680000000002</v>
      </c>
      <c r="H14" s="4">
        <f t="shared" si="4"/>
        <v>1.7028802058413783</v>
      </c>
      <c r="I14" s="4">
        <f>H14-H38</f>
        <v>3.816456460937756E-2</v>
      </c>
      <c r="J14" s="4">
        <f t="shared" si="1"/>
        <v>38.164564609377564</v>
      </c>
      <c r="K14" s="4">
        <f t="shared" si="2"/>
        <v>1456.5339918233544</v>
      </c>
    </row>
    <row r="15" spans="1:11">
      <c r="B15" s="4" t="s">
        <v>12</v>
      </c>
      <c r="C15" s="4" t="s">
        <v>18</v>
      </c>
      <c r="D15" s="4">
        <v>2</v>
      </c>
      <c r="E15" s="4">
        <f t="shared" si="3"/>
        <v>0.63832009092432818</v>
      </c>
      <c r="F15" s="4">
        <f>10000*SIN((39+40/60)*PI()/180)/6/2</f>
        <v>531.93340910360678</v>
      </c>
      <c r="G15" s="4">
        <v>546.07348000000002</v>
      </c>
      <c r="H15" s="4">
        <f t="shared" si="4"/>
        <v>1.710970679958548</v>
      </c>
      <c r="I15" s="4">
        <f>H15-H38</f>
        <v>4.6255038726547237E-2</v>
      </c>
      <c r="J15" s="4">
        <f t="shared" si="1"/>
        <v>46.255038726547241</v>
      </c>
      <c r="K15" s="4">
        <f t="shared" si="2"/>
        <v>2139.528607594385</v>
      </c>
    </row>
    <row r="16" spans="1:11">
      <c r="B16" s="4" t="s">
        <v>13</v>
      </c>
      <c r="C16" s="4" t="s">
        <v>19</v>
      </c>
      <c r="D16" s="4">
        <v>2</v>
      </c>
      <c r="E16" s="4">
        <f t="shared" si="3"/>
        <v>0.67365770705657269</v>
      </c>
      <c r="F16" s="4">
        <f>10000*SIN((42+21/60)*PI()/180)/6/2</f>
        <v>561.38142254714387</v>
      </c>
      <c r="G16" s="4">
        <v>576.95982000000004</v>
      </c>
      <c r="H16" s="4">
        <f t="shared" si="4"/>
        <v>1.7129168536375043</v>
      </c>
      <c r="I16" s="4">
        <f>H16-H38</f>
        <v>4.8201212405503568E-2</v>
      </c>
      <c r="J16" s="4">
        <f t="shared" si="1"/>
        <v>48.201212405503568</v>
      </c>
      <c r="K16" s="4">
        <f t="shared" si="2"/>
        <v>2323.3568773604711</v>
      </c>
    </row>
    <row r="17" spans="2:11">
      <c r="B17" s="4" t="s">
        <v>13</v>
      </c>
      <c r="C17" s="4" t="s">
        <v>20</v>
      </c>
      <c r="D17" s="4">
        <v>2</v>
      </c>
      <c r="E17" s="4">
        <f t="shared" si="3"/>
        <v>0.6758046443135769</v>
      </c>
      <c r="F17" s="4">
        <f>10000*SIN((42+31/60)*PI()/180)/6/2</f>
        <v>563.17053692798072</v>
      </c>
      <c r="G17" s="4">
        <v>579.06629999999996</v>
      </c>
      <c r="H17" s="4">
        <f t="shared" si="4"/>
        <v>1.7137091461931715</v>
      </c>
      <c r="I17" s="4">
        <f>H17-H38</f>
        <v>4.899350496117072E-2</v>
      </c>
      <c r="J17" s="4">
        <f t="shared" si="1"/>
        <v>48.993504961170721</v>
      </c>
      <c r="K17" s="4">
        <f t="shared" si="2"/>
        <v>2400.36352838026</v>
      </c>
    </row>
    <row r="18" spans="2:11">
      <c r="B18" s="4" t="s">
        <v>4</v>
      </c>
      <c r="C18" s="4" t="s">
        <v>21</v>
      </c>
      <c r="D18" s="4">
        <v>3</v>
      </c>
      <c r="E18" s="4">
        <f>F18*18/10000</f>
        <v>0.75775483244541442</v>
      </c>
      <c r="F18" s="4">
        <f>10000*SIN((49+16/60)*PI()/180)/6/3</f>
        <v>420.97490691411917</v>
      </c>
      <c r="G18" s="4">
        <v>435.83276999999998</v>
      </c>
      <c r="H18" s="4">
        <f>G18/E18/1000*3</f>
        <v>1.7254898999198223</v>
      </c>
      <c r="I18" s="4">
        <f>H18-H38</f>
        <v>6.0774258687821492E-2</v>
      </c>
      <c r="J18" s="4">
        <f t="shared" si="1"/>
        <v>60.774258687821494</v>
      </c>
      <c r="K18" s="4">
        <f t="shared" si="2"/>
        <v>3693.5105190542463</v>
      </c>
    </row>
    <row r="19" spans="2:11">
      <c r="B19" s="4" t="s">
        <v>12</v>
      </c>
      <c r="C19" s="4" t="s">
        <v>22</v>
      </c>
      <c r="D19" s="4">
        <v>3</v>
      </c>
      <c r="E19" s="4">
        <f>F19*18/10000</f>
        <v>0.93020418876709299</v>
      </c>
      <c r="F19" s="4">
        <f>10000*SIN((68+28/60)*PI()/180)/6/3</f>
        <v>516.78010487060726</v>
      </c>
      <c r="G19" s="4">
        <v>491.60680000000002</v>
      </c>
      <c r="H19" s="4">
        <f>G19/E19/1000*3</f>
        <v>1.5854802825116816</v>
      </c>
      <c r="I19" s="4">
        <f>H19-H38</f>
        <v>-7.9235358720319171E-2</v>
      </c>
      <c r="J19" s="4">
        <f t="shared" si="1"/>
        <v>-79.235358720319169</v>
      </c>
      <c r="K19" s="4">
        <f t="shared" si="2"/>
        <v>6278.2420715376593</v>
      </c>
    </row>
    <row r="20" spans="2:11">
      <c r="B20" s="4" t="s">
        <v>12</v>
      </c>
      <c r="C20" s="4" t="s">
        <v>23</v>
      </c>
      <c r="D20" s="4">
        <v>3</v>
      </c>
      <c r="E20" s="4">
        <f>F20*18/10000</f>
        <v>0.93073704632065068</v>
      </c>
      <c r="F20" s="4">
        <f>10000*SIN((68+33/60)*PI()/180)/6/3</f>
        <v>517.076136844806</v>
      </c>
      <c r="G20" s="4">
        <v>546.07348000000002</v>
      </c>
      <c r="H20" s="4">
        <f>G20/E20/1000*3</f>
        <v>1.7601324095523454</v>
      </c>
      <c r="I20" s="4">
        <f>H20-H38</f>
        <v>9.5416768320344625E-2</v>
      </c>
      <c r="J20" s="4">
        <f t="shared" si="1"/>
        <v>95.41676832034463</v>
      </c>
      <c r="K20" s="4">
        <f t="shared" si="2"/>
        <v>9104.3596766983228</v>
      </c>
    </row>
    <row r="21" spans="2:11">
      <c r="B21" s="4" t="s">
        <v>4</v>
      </c>
      <c r="C21" s="4" t="s">
        <v>24</v>
      </c>
      <c r="D21" s="4">
        <v>-1</v>
      </c>
      <c r="E21" s="4">
        <f>F21*-6/10000</f>
        <v>-0.24530738587880338</v>
      </c>
      <c r="F21" s="4">
        <f>10000*SIN((345+48/60)*PI()/180)/6/-1</f>
        <v>408.84564313133893</v>
      </c>
      <c r="G21" s="4">
        <v>404.65629999999999</v>
      </c>
      <c r="H21" s="4">
        <f>G21/E21/1000*-1</f>
        <v>1.6495887335407202</v>
      </c>
      <c r="I21" s="4">
        <f>H21-H38</f>
        <v>-1.5126907691280556E-2</v>
      </c>
      <c r="J21" s="4">
        <f t="shared" si="1"/>
        <v>-15.126907691280556</v>
      </c>
      <c r="K21" s="4">
        <f t="shared" si="2"/>
        <v>228.82333630052284</v>
      </c>
    </row>
    <row r="22" spans="2:11">
      <c r="B22" s="4" t="s">
        <v>4</v>
      </c>
      <c r="C22" s="4" t="s">
        <v>25</v>
      </c>
      <c r="D22" s="4">
        <v>-1</v>
      </c>
      <c r="E22" s="4">
        <f t="shared" ref="E22:E27" si="5">F22*-6/10000</f>
        <v>-0.24812634626901173</v>
      </c>
      <c r="F22" s="4">
        <f>10000*SIN((345+38/60)*PI()/180)/6/-1</f>
        <v>413.54391044835285</v>
      </c>
      <c r="G22" s="4">
        <v>407.78314</v>
      </c>
      <c r="H22" s="4">
        <f t="shared" ref="H22:H27" si="6">G22/E22/1000*-1</f>
        <v>1.6434495817622399</v>
      </c>
      <c r="I22" s="4">
        <f>H22-H38</f>
        <v>-2.1266059469760901E-2</v>
      </c>
      <c r="J22" s="4">
        <f t="shared" si="1"/>
        <v>-21.266059469760901</v>
      </c>
      <c r="K22" s="4">
        <f t="shared" si="2"/>
        <v>452.24528537140731</v>
      </c>
    </row>
    <row r="23" spans="2:11">
      <c r="B23" s="4" t="s">
        <v>4</v>
      </c>
      <c r="C23" s="4" t="s">
        <v>26</v>
      </c>
      <c r="D23" s="4">
        <v>-1</v>
      </c>
      <c r="E23" s="4">
        <f t="shared" si="5"/>
        <v>-0.26218917864086444</v>
      </c>
      <c r="F23" s="4">
        <f>10000*SIN((344+48/60)*PI()/180)/6/-1</f>
        <v>436.98196440144073</v>
      </c>
      <c r="G23" s="4">
        <v>435.83276999999998</v>
      </c>
      <c r="H23" s="4">
        <f t="shared" si="6"/>
        <v>1.6622835933171185</v>
      </c>
      <c r="I23" s="4">
        <f>H23-H38</f>
        <v>-2.4320479148822738E-3</v>
      </c>
      <c r="J23" s="4">
        <f t="shared" si="1"/>
        <v>-2.4320479148822738</v>
      </c>
      <c r="K23" s="4">
        <f t="shared" si="2"/>
        <v>5.9148570602832153</v>
      </c>
    </row>
    <row r="24" spans="2:11">
      <c r="B24" s="4" t="s">
        <v>12</v>
      </c>
      <c r="C24" s="4" t="s">
        <v>28</v>
      </c>
      <c r="D24" s="4">
        <v>-1</v>
      </c>
      <c r="E24" s="4">
        <f t="shared" si="5"/>
        <v>-0.29931835686016106</v>
      </c>
      <c r="F24" s="4">
        <f>10000*SIN((342+35/60)*PI()/180)/6/-1</f>
        <v>498.86392810026842</v>
      </c>
      <c r="G24" s="4">
        <v>491.60680000000002</v>
      </c>
      <c r="H24" s="4">
        <f t="shared" si="6"/>
        <v>1.6424211503662451</v>
      </c>
      <c r="I24" s="4">
        <f>H24-H38</f>
        <v>-2.2294490865755634E-2</v>
      </c>
      <c r="J24" s="4">
        <f t="shared" si="1"/>
        <v>-22.294490865755634</v>
      </c>
      <c r="K24" s="4">
        <f t="shared" si="2"/>
        <v>497.04432296326138</v>
      </c>
    </row>
    <row r="25" spans="2:11">
      <c r="B25" s="4" t="s">
        <v>12</v>
      </c>
      <c r="C25" s="4" t="s">
        <v>29</v>
      </c>
      <c r="D25" s="4">
        <v>-1</v>
      </c>
      <c r="E25" s="4">
        <f t="shared" si="5"/>
        <v>-0.34993489955150797</v>
      </c>
      <c r="F25" s="4">
        <f>10000*SIN((339+31/60)*PI()/180)/6/-1</f>
        <v>583.22483258584668</v>
      </c>
      <c r="G25" s="4">
        <v>546.07348000000002</v>
      </c>
      <c r="H25" s="4">
        <f t="shared" si="6"/>
        <v>1.5605001978935853</v>
      </c>
      <c r="I25" s="4">
        <f>H25-H38</f>
        <v>-0.10421544333841548</v>
      </c>
      <c r="J25" s="4">
        <f t="shared" si="1"/>
        <v>-104.21544333841548</v>
      </c>
      <c r="K25" s="4">
        <f t="shared" si="2"/>
        <v>10860.858630222489</v>
      </c>
    </row>
    <row r="26" spans="2:11">
      <c r="B26" s="4" t="s">
        <v>13</v>
      </c>
      <c r="C26" s="4" t="s">
        <v>30</v>
      </c>
      <c r="D26" s="4">
        <v>-1</v>
      </c>
      <c r="E26" s="4">
        <f t="shared" si="5"/>
        <v>-0.36893579545958216</v>
      </c>
      <c r="F26" s="4">
        <f>10000*SIN((338+21/60)*PI()/180)/6/-1</f>
        <v>614.8929924326369</v>
      </c>
      <c r="G26" s="4">
        <v>576.95982000000004</v>
      </c>
      <c r="H26" s="4">
        <f t="shared" si="6"/>
        <v>1.5638488514818223</v>
      </c>
      <c r="I26" s="4">
        <f>H26-H38</f>
        <v>-0.10086678975017849</v>
      </c>
      <c r="J26" s="4">
        <f t="shared" si="1"/>
        <v>-100.86678975017848</v>
      </c>
      <c r="K26" s="4">
        <f t="shared" si="2"/>
        <v>10174.109274506711</v>
      </c>
    </row>
    <row r="27" spans="2:11">
      <c r="B27" s="4" t="s">
        <v>13</v>
      </c>
      <c r="C27" s="4" t="s">
        <v>31</v>
      </c>
      <c r="D27" s="4">
        <v>-1</v>
      </c>
      <c r="E27" s="4">
        <f t="shared" si="5"/>
        <v>-0.37055743750983672</v>
      </c>
      <c r="F27" s="4">
        <f>10000*SIN((338+15/60)*PI()/180)/6/-1</f>
        <v>617.59572918306128</v>
      </c>
      <c r="G27" s="4">
        <v>579.06629999999996</v>
      </c>
      <c r="H27" s="4">
        <f t="shared" si="6"/>
        <v>1.562689724678993</v>
      </c>
      <c r="I27" s="4">
        <f>H27-H38</f>
        <v>-0.10202591655300774</v>
      </c>
      <c r="J27" s="4">
        <f t="shared" si="1"/>
        <v>-102.02591655300775</v>
      </c>
      <c r="K27" s="4">
        <f t="shared" si="2"/>
        <v>10409.2876484813</v>
      </c>
    </row>
    <row r="28" spans="2:11">
      <c r="B28" s="4" t="s">
        <v>4</v>
      </c>
      <c r="C28" s="4" t="s">
        <v>32</v>
      </c>
      <c r="D28" s="4">
        <v>-2</v>
      </c>
      <c r="E28" s="4">
        <f t="shared" ref="E28:E34" si="7">F28*-12/10000</f>
        <v>-0.49949608225574177</v>
      </c>
      <c r="F28" s="4">
        <f>10000*SIN((330+2/60)*PI()/180)/6/-2</f>
        <v>416.24673521311814</v>
      </c>
      <c r="G28" s="4">
        <v>404.65629999999999</v>
      </c>
      <c r="H28" s="4">
        <f>G28/E28/1000*-2</f>
        <v>1.6202581536678244</v>
      </c>
      <c r="I28" s="4">
        <f>H28-H38</f>
        <v>-4.4457487564176335E-2</v>
      </c>
      <c r="J28" s="4">
        <f t="shared" si="1"/>
        <v>-44.457487564176333</v>
      </c>
      <c r="K28" s="4">
        <f t="shared" si="2"/>
        <v>1976.4682005188934</v>
      </c>
    </row>
    <row r="29" spans="2:11">
      <c r="B29" s="4" t="s">
        <v>4</v>
      </c>
      <c r="C29" s="4" t="s">
        <v>33</v>
      </c>
      <c r="D29" s="4">
        <v>-2</v>
      </c>
      <c r="E29" s="4">
        <f t="shared" si="7"/>
        <v>-0.50075555925329995</v>
      </c>
      <c r="F29" s="4">
        <f>10000*SIN((329+57/60)*PI()/180)/6/-2</f>
        <v>417.29629937775002</v>
      </c>
      <c r="G29" s="4">
        <v>407.78314</v>
      </c>
      <c r="H29" s="4">
        <f t="shared" ref="H29:H34" si="8">G29/E29/1000*-2</f>
        <v>1.6286714444391373</v>
      </c>
      <c r="I29" s="4">
        <f>H29-H38</f>
        <v>-3.6044196792863525E-2</v>
      </c>
      <c r="J29" s="4">
        <f t="shared" si="1"/>
        <v>-36.044196792863524</v>
      </c>
      <c r="K29" s="4">
        <f t="shared" si="2"/>
        <v>1299.184122442673</v>
      </c>
    </row>
    <row r="30" spans="2:11">
      <c r="B30" s="4" t="s">
        <v>4</v>
      </c>
      <c r="C30" s="4" t="s">
        <v>35</v>
      </c>
      <c r="D30" s="4">
        <v>-2</v>
      </c>
      <c r="E30" s="4">
        <f t="shared" si="7"/>
        <v>-0.53680885219251873</v>
      </c>
      <c r="F30" s="4">
        <f>10000*SIN((327+32/60)*PI()/180)/6/-2</f>
        <v>447.34071016043231</v>
      </c>
      <c r="G30" s="4">
        <v>435.83276999999998</v>
      </c>
      <c r="H30" s="4">
        <f t="shared" si="8"/>
        <v>1.6237912926357441</v>
      </c>
      <c r="I30" s="4">
        <f>H30-H38</f>
        <v>-4.092434859625671E-2</v>
      </c>
      <c r="J30" s="4">
        <f t="shared" si="1"/>
        <v>-40.924348596256706</v>
      </c>
      <c r="K30" s="4">
        <f t="shared" si="2"/>
        <v>1674.8023080279384</v>
      </c>
    </row>
    <row r="31" spans="2:11">
      <c r="B31" s="4" t="s">
        <v>12</v>
      </c>
      <c r="C31" s="4" t="s">
        <v>34</v>
      </c>
      <c r="D31" s="4">
        <v>-2</v>
      </c>
      <c r="E31" s="4">
        <f t="shared" si="7"/>
        <v>-0.60274387016879361</v>
      </c>
      <c r="F31" s="4">
        <f>10000*SIN((322+56/60)*PI()/180)/6/-2</f>
        <v>502.28655847399472</v>
      </c>
      <c r="G31" s="4">
        <v>491.60680000000002</v>
      </c>
      <c r="H31" s="4">
        <f t="shared" si="8"/>
        <v>1.6312295299239774</v>
      </c>
      <c r="I31" s="4">
        <f>H31-H38</f>
        <v>-3.348611130802337E-2</v>
      </c>
      <c r="J31" s="4">
        <f t="shared" si="1"/>
        <v>-33.486111308023368</v>
      </c>
      <c r="K31" s="4">
        <f t="shared" si="2"/>
        <v>1121.3196505333306</v>
      </c>
    </row>
    <row r="32" spans="2:11">
      <c r="B32" s="4" t="s">
        <v>12</v>
      </c>
      <c r="C32" s="4" t="s">
        <v>36</v>
      </c>
      <c r="D32" s="4">
        <v>-2</v>
      </c>
      <c r="E32" s="4">
        <f t="shared" si="7"/>
        <v>-0.68157276033429481</v>
      </c>
      <c r="F32" s="4">
        <f>10000*SIN((317+2/60)*PI()/180)/6/-2</f>
        <v>567.97730027857904</v>
      </c>
      <c r="G32" s="4">
        <v>546.07348000000002</v>
      </c>
      <c r="H32" s="4">
        <f t="shared" si="8"/>
        <v>1.6023923248698033</v>
      </c>
      <c r="I32" s="4">
        <f>H32-H38</f>
        <v>-6.2323316362197456E-2</v>
      </c>
      <c r="J32" s="4">
        <f t="shared" si="1"/>
        <v>-62.32331636219746</v>
      </c>
      <c r="K32" s="4">
        <f t="shared" si="2"/>
        <v>3884.1957623825497</v>
      </c>
    </row>
    <row r="33" spans="1:13">
      <c r="B33" s="4" t="s">
        <v>13</v>
      </c>
      <c r="C33" s="4" t="s">
        <v>37</v>
      </c>
      <c r="D33" s="4">
        <v>-2</v>
      </c>
      <c r="E33" s="4">
        <f t="shared" si="7"/>
        <v>-0.72135743340025149</v>
      </c>
      <c r="F33" s="4">
        <f>10000*SIN((313+50/60)*PI()/180)/6/-2</f>
        <v>601.13119450020952</v>
      </c>
      <c r="G33" s="4">
        <v>576.95982000000004</v>
      </c>
      <c r="H33" s="4">
        <f t="shared" si="8"/>
        <v>1.5996503072835706</v>
      </c>
      <c r="I33" s="4">
        <f>H33-H38</f>
        <v>-6.5065333948430171E-2</v>
      </c>
      <c r="J33" s="4">
        <f t="shared" si="1"/>
        <v>-65.065333948430165</v>
      </c>
      <c r="K33" s="4">
        <f t="shared" si="2"/>
        <v>4233.4976818207388</v>
      </c>
    </row>
    <row r="34" spans="1:13">
      <c r="B34" s="4" t="s">
        <v>13</v>
      </c>
      <c r="C34" s="4" t="s">
        <v>38</v>
      </c>
      <c r="D34" s="4">
        <v>-2</v>
      </c>
      <c r="E34" s="4">
        <f t="shared" si="7"/>
        <v>-0.72477339219811121</v>
      </c>
      <c r="F34" s="4">
        <f>10000*SIN((313+33/60)*PI()/180)/6/-2</f>
        <v>603.97782683175933</v>
      </c>
      <c r="G34" s="4">
        <v>579.06629999999996</v>
      </c>
      <c r="H34" s="4">
        <f t="shared" si="8"/>
        <v>1.5979237268735624</v>
      </c>
      <c r="I34" s="4">
        <f>H34-H38</f>
        <v>-6.6791914358438342E-2</v>
      </c>
      <c r="J34" s="4">
        <f t="shared" si="1"/>
        <v>-66.791914358438348</v>
      </c>
      <c r="K34" s="4">
        <f t="shared" si="2"/>
        <v>4461.1598236649625</v>
      </c>
    </row>
    <row r="35" spans="1:13">
      <c r="B35" s="4" t="s">
        <v>4</v>
      </c>
      <c r="C35" s="4" t="s">
        <v>39</v>
      </c>
      <c r="D35" s="4">
        <v>-3</v>
      </c>
      <c r="E35" s="4">
        <f>F35*-18/10000</f>
        <v>-0.82708057427456239</v>
      </c>
      <c r="F35" s="4">
        <f>10000*SIN((304+12/60)*PI()/180)/6/-3</f>
        <v>459.48920793031243</v>
      </c>
      <c r="G35" s="4">
        <v>435.83276999999998</v>
      </c>
      <c r="H35" s="4">
        <f>G35/E35/1000*-3</f>
        <v>1.5808596534222978</v>
      </c>
      <c r="I35" s="4">
        <f>H35-H38</f>
        <v>-8.3855987809702937E-2</v>
      </c>
      <c r="J35" s="4">
        <f t="shared" si="1"/>
        <v>-83.855987809702938</v>
      </c>
      <c r="K35" s="4">
        <f t="shared" si="2"/>
        <v>7031.8266915410477</v>
      </c>
    </row>
    <row r="36" spans="1:13">
      <c r="B36" s="4" t="s">
        <v>12</v>
      </c>
      <c r="C36" s="4" t="s">
        <v>40</v>
      </c>
      <c r="D36" s="4">
        <v>-3</v>
      </c>
      <c r="E36" s="4">
        <f>F36*-18/10000</f>
        <v>-0.96872767911688695</v>
      </c>
      <c r="F36" s="4">
        <f>10000*SIN((284+22/60)*PI()/180)/6/-3</f>
        <v>538.18204395382611</v>
      </c>
      <c r="G36" s="4">
        <v>491.60680000000002</v>
      </c>
      <c r="H36" s="4">
        <f>G36/E36/1000*-3</f>
        <v>1.5224303297955504</v>
      </c>
      <c r="I36" s="4">
        <f>H36-H38</f>
        <v>-0.1422853114364504</v>
      </c>
      <c r="J36" s="4">
        <f t="shared" si="1"/>
        <v>-142.2853114364504</v>
      </c>
      <c r="K36" s="4">
        <f t="shared" si="2"/>
        <v>20245.109850567682</v>
      </c>
    </row>
    <row r="37" spans="1:13" ht="14.5" thickBot="1">
      <c r="B37" s="4" t="s">
        <v>12</v>
      </c>
      <c r="C37" s="4" t="s">
        <v>41</v>
      </c>
      <c r="D37" s="4">
        <v>-3</v>
      </c>
      <c r="E37" s="4">
        <f>F37*-18/10000</f>
        <v>-0.97015481762525502</v>
      </c>
      <c r="F37" s="4">
        <f>10000*SIN((284+2/60)*PI()/180)/6/-3</f>
        <v>538.97489868069727</v>
      </c>
      <c r="G37" s="4">
        <v>546.07348000000002</v>
      </c>
      <c r="H37" s="9">
        <f>G37/E37/1000*-3</f>
        <v>1.6886175383945792</v>
      </c>
      <c r="I37" s="4">
        <f>H37-H38</f>
        <v>2.39018971625784E-2</v>
      </c>
      <c r="J37" s="4">
        <f t="shared" si="1"/>
        <v>23.9018971625784</v>
      </c>
      <c r="K37" s="4">
        <f t="shared" si="2"/>
        <v>571.3006879704734</v>
      </c>
    </row>
    <row r="38" spans="1:13" ht="15" thickTop="1" thickBot="1">
      <c r="H38" s="10">
        <f>AVERAGE(H4:H37)</f>
        <v>1.6647156412320008</v>
      </c>
      <c r="K38" s="1">
        <f>SUM(K4:K37)</f>
        <v>172100.55893895047</v>
      </c>
      <c r="L38" s="1" t="s">
        <v>79</v>
      </c>
    </row>
    <row r="39" spans="1:13" ht="15" thickTop="1" thickBot="1">
      <c r="H39" s="10" t="s">
        <v>76</v>
      </c>
      <c r="K39" s="1">
        <f>COUNT(K4:K37)</f>
        <v>34</v>
      </c>
      <c r="L39" s="1" t="s">
        <v>80</v>
      </c>
    </row>
    <row r="40" spans="1:13" ht="14.5" thickTop="1">
      <c r="K40" s="1">
        <f>SQRT(K38/33)</f>
        <v>72.216123218402331</v>
      </c>
      <c r="L40" s="1" t="s">
        <v>81</v>
      </c>
    </row>
    <row r="41" spans="1:13">
      <c r="K41" s="1">
        <f>K40/SQRT(34)</f>
        <v>12.38496295643308</v>
      </c>
      <c r="L41" s="1" t="s">
        <v>82</v>
      </c>
    </row>
    <row r="42" spans="1:13">
      <c r="A42" s="7" t="s">
        <v>46</v>
      </c>
    </row>
    <row r="43" spans="1:13">
      <c r="A43" s="1"/>
      <c r="B43" s="4" t="s">
        <v>1</v>
      </c>
      <c r="C43" s="4" t="s">
        <v>43</v>
      </c>
      <c r="D43" s="4" t="s">
        <v>2</v>
      </c>
      <c r="E43" s="3" t="s">
        <v>84</v>
      </c>
      <c r="F43" s="3" t="s">
        <v>83</v>
      </c>
      <c r="G43" s="3" t="s">
        <v>83</v>
      </c>
      <c r="H43" s="4" t="s">
        <v>85</v>
      </c>
      <c r="I43" s="4" t="s">
        <v>86</v>
      </c>
      <c r="J43" s="4" t="s">
        <v>87</v>
      </c>
      <c r="K43" s="3" t="s">
        <v>89</v>
      </c>
      <c r="L43" s="4" t="s">
        <v>90</v>
      </c>
      <c r="M43" s="3" t="s">
        <v>91</v>
      </c>
    </row>
    <row r="44" spans="1:13">
      <c r="A44" s="1"/>
      <c r="B44" s="4" t="s">
        <v>47</v>
      </c>
      <c r="C44" s="4" t="s">
        <v>48</v>
      </c>
      <c r="D44" s="4">
        <v>0</v>
      </c>
      <c r="E44" s="4">
        <v>0</v>
      </c>
      <c r="F44" s="5"/>
      <c r="G44" s="5"/>
      <c r="H44" s="5"/>
      <c r="I44" s="5"/>
      <c r="J44" s="5"/>
      <c r="K44" s="5"/>
      <c r="L44" s="5"/>
      <c r="M44" s="5"/>
    </row>
    <row r="45" spans="1:13">
      <c r="A45" s="1"/>
      <c r="B45" s="4" t="s">
        <v>4</v>
      </c>
      <c r="C45" s="4" t="s">
        <v>49</v>
      </c>
      <c r="D45" s="4">
        <v>1</v>
      </c>
      <c r="E45" s="4">
        <f>SIN(15*PI()/180)</f>
        <v>0.25881904510252074</v>
      </c>
      <c r="F45" s="4">
        <f>E45*H38</f>
        <v>0.43086011263089696</v>
      </c>
      <c r="G45" s="4">
        <f t="shared" ref="G45:G68" si="9">F45*1000</f>
        <v>430.86011263089694</v>
      </c>
      <c r="H45" s="4">
        <f>E45*K41</f>
        <v>3.2054642860141018</v>
      </c>
      <c r="I45" s="4">
        <f t="shared" ref="I45:I68" si="10">1/F45</f>
        <v>2.3209389096007262</v>
      </c>
      <c r="J45" s="4">
        <f>I45*100/21</f>
        <v>11.052090045717744</v>
      </c>
      <c r="K45" s="4">
        <f>J45-J70</f>
        <v>4.8991988978809076E-2</v>
      </c>
      <c r="L45" s="4">
        <f>K45*100</f>
        <v>4.8991988978809076</v>
      </c>
      <c r="M45" s="4">
        <f>L45*L45</f>
        <v>24.0021498409975</v>
      </c>
    </row>
    <row r="46" spans="1:13">
      <c r="A46" s="1"/>
      <c r="B46" s="4" t="s">
        <v>4</v>
      </c>
      <c r="C46" s="4" t="s">
        <v>50</v>
      </c>
      <c r="D46" s="4">
        <v>1</v>
      </c>
      <c r="E46" s="4">
        <f>SIN((15+10/60)*PI()/180)</f>
        <v>0.26162771046294359</v>
      </c>
      <c r="F46" s="4">
        <f>E46*H38</f>
        <v>0.43553574178737936</v>
      </c>
      <c r="G46" s="4">
        <f t="shared" si="9"/>
        <v>435.53574178737938</v>
      </c>
      <c r="H46" s="4">
        <f>E46*K41</f>
        <v>3.2402495024599558</v>
      </c>
      <c r="I46" s="4">
        <f t="shared" si="10"/>
        <v>2.2960228152484943</v>
      </c>
      <c r="J46" s="4">
        <f>I46*100/21</f>
        <v>10.933441977373782</v>
      </c>
      <c r="K46" s="4">
        <f>J46-J70</f>
        <v>-6.9656079365152834E-2</v>
      </c>
      <c r="L46" s="4">
        <f t="shared" ref="L46:L68" si="11">K46*100</f>
        <v>-6.9656079365152834</v>
      </c>
      <c r="M46" s="4">
        <f t="shared" ref="M46:M68" si="12">L46*L46</f>
        <v>48.519693925244702</v>
      </c>
    </row>
    <row r="47" spans="1:13">
      <c r="A47" s="1"/>
      <c r="B47" s="4" t="s">
        <v>12</v>
      </c>
      <c r="C47" s="4" t="s">
        <v>51</v>
      </c>
      <c r="D47" s="4">
        <v>1</v>
      </c>
      <c r="E47" s="4">
        <f>SIN((16+56/60)*PI()/180)</f>
        <v>0.29125879594975534</v>
      </c>
      <c r="F47" s="4">
        <f>E47*H38</f>
        <v>0.48486307326395744</v>
      </c>
      <c r="G47" s="4">
        <f t="shared" si="9"/>
        <v>484.86307326395746</v>
      </c>
      <c r="H47" s="4">
        <f>E47*K41</f>
        <v>3.6072293985730211</v>
      </c>
      <c r="I47" s="4">
        <f t="shared" si="10"/>
        <v>2.0624379441154188</v>
      </c>
      <c r="J47" s="4">
        <f>I47*64/12</f>
        <v>10.999669035282233</v>
      </c>
      <c r="K47" s="4">
        <f>J47-J70</f>
        <v>-3.4290214567018751E-3</v>
      </c>
      <c r="L47" s="4">
        <f t="shared" si="11"/>
        <v>-0.34290214567018751</v>
      </c>
      <c r="M47" s="4">
        <f t="shared" si="12"/>
        <v>0.11758188150521849</v>
      </c>
    </row>
    <row r="48" spans="1:13">
      <c r="A48" s="1"/>
      <c r="B48" s="4" t="s">
        <v>12</v>
      </c>
      <c r="C48" s="4" t="s">
        <v>52</v>
      </c>
      <c r="D48" s="4">
        <v>1</v>
      </c>
      <c r="E48" s="4">
        <f>SIN((18+33/60)*PI()/180)</f>
        <v>0.31813210398729919</v>
      </c>
      <c r="F48" s="4">
        <f>E48*H38</f>
        <v>0.52959948948570235</v>
      </c>
      <c r="G48" s="4">
        <f t="shared" si="9"/>
        <v>529.59948948570229</v>
      </c>
      <c r="H48" s="4">
        <f>E48*K41</f>
        <v>3.9400543231348171</v>
      </c>
      <c r="I48" s="4">
        <f t="shared" si="10"/>
        <v>1.8882193428303844</v>
      </c>
      <c r="J48" s="4"/>
      <c r="K48" s="4"/>
      <c r="L48" s="4"/>
      <c r="M48" s="4"/>
    </row>
    <row r="49" spans="1:13">
      <c r="A49" s="1"/>
      <c r="B49" s="4" t="s">
        <v>12</v>
      </c>
      <c r="C49" s="4" t="s">
        <v>53</v>
      </c>
      <c r="D49" s="4">
        <v>1</v>
      </c>
      <c r="E49" s="4">
        <f>SIN((18+58/60)*PI()/180)</f>
        <v>0.32501801898223875</v>
      </c>
      <c r="F49" s="4">
        <f>E49*H38</f>
        <v>0.54106257988197215</v>
      </c>
      <c r="G49" s="4">
        <f t="shared" si="9"/>
        <v>541.06257988197217</v>
      </c>
      <c r="H49" s="4">
        <f>E49*K41</f>
        <v>4.0253361252682902</v>
      </c>
      <c r="I49" s="4">
        <f t="shared" si="10"/>
        <v>1.8482150442156633</v>
      </c>
      <c r="J49" s="4"/>
      <c r="K49" s="4"/>
      <c r="L49" s="4"/>
      <c r="M49" s="4"/>
    </row>
    <row r="50" spans="1:13">
      <c r="A50" s="1"/>
      <c r="B50" s="4" t="s">
        <v>47</v>
      </c>
      <c r="C50" s="4" t="s">
        <v>54</v>
      </c>
      <c r="D50" s="4">
        <v>1</v>
      </c>
      <c r="E50" s="4">
        <f>SIN((21+30/60)*PI()/180)</f>
        <v>0.36650122672429725</v>
      </c>
      <c r="F50" s="4">
        <f>E50*H38</f>
        <v>0.6101203246586534</v>
      </c>
      <c r="G50" s="4">
        <f t="shared" si="9"/>
        <v>610.12032465865343</v>
      </c>
      <c r="H50" s="4">
        <f>E50*K41</f>
        <v>4.5391041164677031</v>
      </c>
      <c r="I50" s="4">
        <f t="shared" si="10"/>
        <v>1.6390209596106706</v>
      </c>
      <c r="J50" s="4">
        <f>I50*36/5</f>
        <v>11.800950909196828</v>
      </c>
      <c r="K50" s="4">
        <f>J50-J70</f>
        <v>0.79785285245789339</v>
      </c>
      <c r="L50" s="4">
        <f t="shared" si="11"/>
        <v>79.785285245789339</v>
      </c>
      <c r="M50" s="4">
        <f t="shared" si="12"/>
        <v>6365.6917417519699</v>
      </c>
    </row>
    <row r="51" spans="1:13">
      <c r="A51" s="1"/>
      <c r="B51" s="4" t="s">
        <v>47</v>
      </c>
      <c r="C51" s="4" t="s">
        <v>55</v>
      </c>
      <c r="D51" s="4">
        <v>1</v>
      </c>
      <c r="E51" s="4">
        <f>SIN((22+30/60)*PI()/180)</f>
        <v>0.38268343236508978</v>
      </c>
      <c r="F51" s="4">
        <f>E51*H38</f>
        <v>0.63705909549851347</v>
      </c>
      <c r="G51" s="4">
        <f t="shared" si="9"/>
        <v>637.05909549851344</v>
      </c>
      <c r="H51" s="4">
        <f>E51*K41</f>
        <v>4.7395201338823014</v>
      </c>
      <c r="I51" s="4">
        <f t="shared" si="10"/>
        <v>1.5697130879474799</v>
      </c>
      <c r="J51" s="4">
        <f>I51*36/5</f>
        <v>11.301934233221855</v>
      </c>
      <c r="K51" s="4">
        <f>J51-J70</f>
        <v>0.29883617648292038</v>
      </c>
      <c r="L51" s="4">
        <f t="shared" si="11"/>
        <v>29.883617648292038</v>
      </c>
      <c r="M51" s="4">
        <f t="shared" si="12"/>
        <v>893.03060374931135</v>
      </c>
    </row>
    <row r="52" spans="1:13">
      <c r="A52" s="1"/>
      <c r="B52" s="4" t="s">
        <v>47</v>
      </c>
      <c r="C52" s="4" t="s">
        <v>56</v>
      </c>
      <c r="D52" s="4">
        <v>1</v>
      </c>
      <c r="E52" s="4">
        <f>SIN((22+59/60)*PI()/180)</f>
        <v>0.39046334795411836</v>
      </c>
      <c r="F52" s="4">
        <f>E52*H38</f>
        <v>0.65001044266703401</v>
      </c>
      <c r="G52" s="4">
        <f t="shared" si="9"/>
        <v>650.010442667034</v>
      </c>
      <c r="H52" s="4">
        <f>E52*K41</f>
        <v>4.8358741002565964</v>
      </c>
      <c r="I52" s="4">
        <f t="shared" si="10"/>
        <v>1.5384368224869382</v>
      </c>
      <c r="J52" s="4">
        <f>I52*36/5</f>
        <v>11.076745121905955</v>
      </c>
      <c r="K52" s="4">
        <f>J52-J70</f>
        <v>7.3647065167019576E-2</v>
      </c>
      <c r="L52" s="4">
        <f t="shared" si="11"/>
        <v>7.3647065167019576</v>
      </c>
      <c r="M52" s="4">
        <f t="shared" si="12"/>
        <v>54.238902077152282</v>
      </c>
    </row>
    <row r="53" spans="1:13">
      <c r="A53" s="1"/>
      <c r="B53" s="4" t="s">
        <v>4</v>
      </c>
      <c r="C53" s="4" t="s">
        <v>57</v>
      </c>
      <c r="D53" s="4">
        <v>2</v>
      </c>
      <c r="E53" s="4">
        <f>SIN((30+46/60)*PI()/180)/2</f>
        <v>0.25577152781665452</v>
      </c>
      <c r="F53" s="4">
        <f>E53*H38</f>
        <v>0.42578686293819057</v>
      </c>
      <c r="G53" s="4">
        <f t="shared" si="9"/>
        <v>425.78686293819055</v>
      </c>
      <c r="H53" s="4">
        <f>E53*K41</f>
        <v>3.1677208973195592</v>
      </c>
      <c r="I53" s="4">
        <f t="shared" si="10"/>
        <v>2.3485928924612343</v>
      </c>
      <c r="J53" s="4">
        <f>I53*100/21</f>
        <v>11.18377567838683</v>
      </c>
      <c r="K53" s="4">
        <f>J53-J70</f>
        <v>0.18067762164789514</v>
      </c>
      <c r="L53" s="4">
        <f t="shared" si="11"/>
        <v>18.067762164789514</v>
      </c>
      <c r="M53" s="4">
        <f t="shared" si="12"/>
        <v>326.44402964339946</v>
      </c>
    </row>
    <row r="54" spans="1:13">
      <c r="A54" s="1"/>
      <c r="B54" s="4" t="s">
        <v>12</v>
      </c>
      <c r="C54" s="4" t="s">
        <v>58</v>
      </c>
      <c r="D54" s="4">
        <v>2</v>
      </c>
      <c r="E54" s="4">
        <f>SIN((34+48/60)*PI()/180)/2</f>
        <v>0.2853567838422158</v>
      </c>
      <c r="F54" s="4">
        <f>E54*H38</f>
        <v>0.4750379013937957</v>
      </c>
      <c r="G54" s="4">
        <f t="shared" si="9"/>
        <v>475.03790139379572</v>
      </c>
      <c r="H54" s="4">
        <f>E54*K41</f>
        <v>3.5341331972527246</v>
      </c>
      <c r="I54" s="4">
        <f t="shared" si="10"/>
        <v>2.1050951872806936</v>
      </c>
      <c r="J54" s="4">
        <f>I54*64/12</f>
        <v>11.227174332163699</v>
      </c>
      <c r="K54" s="4">
        <f>J54-J70</f>
        <v>0.22407627542476405</v>
      </c>
      <c r="L54" s="4">
        <f t="shared" si="11"/>
        <v>22.407627542476405</v>
      </c>
      <c r="M54" s="4">
        <f t="shared" si="12"/>
        <v>502.10177208234717</v>
      </c>
    </row>
    <row r="55" spans="1:13">
      <c r="A55" s="1"/>
      <c r="B55" s="4" t="s">
        <v>47</v>
      </c>
      <c r="C55" s="4" t="s">
        <v>59</v>
      </c>
      <c r="D55" s="4">
        <v>2</v>
      </c>
      <c r="E55" s="4">
        <f>SIN((49+36/60)*PI()/180)/2</f>
        <v>0.38076915376836834</v>
      </c>
      <c r="F55" s="4">
        <f>E55*H38</f>
        <v>0.63387236597687557</v>
      </c>
      <c r="G55" s="4">
        <f t="shared" si="9"/>
        <v>633.87236597687559</v>
      </c>
      <c r="H55" s="4">
        <f>E55*K41</f>
        <v>4.7158118643736131</v>
      </c>
      <c r="I55" s="4">
        <f t="shared" si="10"/>
        <v>1.5776046625078481</v>
      </c>
      <c r="J55" s="4">
        <f>I55*36/5</f>
        <v>11.358753570056507</v>
      </c>
      <c r="K55" s="4">
        <f>J55-J70</f>
        <v>0.35565551331757206</v>
      </c>
      <c r="L55" s="4">
        <f t="shared" si="11"/>
        <v>35.565551331757206</v>
      </c>
      <c r="M55" s="4">
        <f t="shared" si="12"/>
        <v>1264.9084415318569</v>
      </c>
    </row>
    <row r="56" spans="1:13">
      <c r="A56" s="1"/>
      <c r="B56" s="4" t="s">
        <v>12</v>
      </c>
      <c r="C56" s="4" t="s">
        <v>60</v>
      </c>
      <c r="D56" s="4">
        <v>3</v>
      </c>
      <c r="E56" s="4">
        <f>SIN((57+2/60)*PI()/180)/3</f>
        <v>0.27966242804809005</v>
      </c>
      <c r="F56" s="4">
        <f>E56*H38</f>
        <v>0.46555841823657451</v>
      </c>
      <c r="G56" s="4">
        <f t="shared" si="9"/>
        <v>465.55841823657454</v>
      </c>
      <c r="H56" s="4">
        <f>E56*K41</f>
        <v>3.463608811681727</v>
      </c>
      <c r="I56" s="4">
        <f t="shared" si="10"/>
        <v>2.1479581526798808</v>
      </c>
      <c r="J56" s="4">
        <f>I56*64/12</f>
        <v>11.455776814292697</v>
      </c>
      <c r="K56" s="4">
        <f>J56-J70</f>
        <v>0.45267875755376252</v>
      </c>
      <c r="L56" s="4">
        <f t="shared" si="11"/>
        <v>45.267875755376252</v>
      </c>
      <c r="M56" s="4">
        <f t="shared" si="12"/>
        <v>2049.1805754041811</v>
      </c>
    </row>
    <row r="57" spans="1:13">
      <c r="A57" s="1"/>
      <c r="B57" s="4" t="s">
        <v>4</v>
      </c>
      <c r="C57" s="4" t="s">
        <v>61</v>
      </c>
      <c r="D57" s="4">
        <v>-1</v>
      </c>
      <c r="E57" s="4">
        <f>SIN((344+42/60)*PI()/180)/-1</f>
        <v>0.26387304996537336</v>
      </c>
      <c r="F57" s="4">
        <f>E57*H38</f>
        <v>0.43927359357695028</v>
      </c>
      <c r="G57" s="4">
        <f t="shared" si="9"/>
        <v>439.2735935769503</v>
      </c>
      <c r="H57" s="4">
        <f>E57*K41</f>
        <v>3.2680579490221642</v>
      </c>
      <c r="I57" s="4">
        <f t="shared" si="10"/>
        <v>2.2764855766929313</v>
      </c>
      <c r="J57" s="4">
        <f>I57*100/21</f>
        <v>10.840407508061578</v>
      </c>
      <c r="K57" s="4">
        <f>J57-J70</f>
        <v>-0.16269054867735733</v>
      </c>
      <c r="L57" s="4">
        <f t="shared" si="11"/>
        <v>-16.269054867735733</v>
      </c>
      <c r="M57" s="4">
        <f t="shared" si="12"/>
        <v>264.68214628939575</v>
      </c>
    </row>
    <row r="58" spans="1:13">
      <c r="A58" s="1"/>
      <c r="B58" s="4" t="s">
        <v>4</v>
      </c>
      <c r="C58" s="4" t="s">
        <v>62</v>
      </c>
      <c r="D58" s="4">
        <v>-1</v>
      </c>
      <c r="E58" s="4">
        <f>SIN((344+36/60)*PI()/180)/-1</f>
        <v>0.2655561174868083</v>
      </c>
      <c r="F58" s="4">
        <f>E58*H38</f>
        <v>0.44207542240513259</v>
      </c>
      <c r="G58" s="4">
        <f t="shared" si="9"/>
        <v>442.0754224051326</v>
      </c>
      <c r="H58" s="4">
        <f>E58*K41</f>
        <v>3.2889026779283115</v>
      </c>
      <c r="I58" s="4">
        <f t="shared" si="10"/>
        <v>2.262057443862072</v>
      </c>
      <c r="J58" s="4">
        <f>I58*100/21</f>
        <v>10.771702113628914</v>
      </c>
      <c r="K58" s="4">
        <f>J58-J70</f>
        <v>-0.23139594311002121</v>
      </c>
      <c r="L58" s="4">
        <f t="shared" si="11"/>
        <v>-23.139594311002121</v>
      </c>
      <c r="M58" s="4">
        <f t="shared" si="12"/>
        <v>535.44082487776166</v>
      </c>
    </row>
    <row r="59" spans="1:13">
      <c r="A59" s="1"/>
      <c r="B59" s="4" t="s">
        <v>12</v>
      </c>
      <c r="C59" s="4" t="s">
        <v>63</v>
      </c>
      <c r="D59" s="4">
        <v>-1</v>
      </c>
      <c r="E59" s="4">
        <f>SIN((342+49/60)*PI()/180)/-1</f>
        <v>0.29543015832562247</v>
      </c>
      <c r="F59" s="4">
        <f>E59*H38</f>
        <v>0.49180720545631013</v>
      </c>
      <c r="G59" s="4">
        <f t="shared" si="9"/>
        <v>491.8072054563101</v>
      </c>
      <c r="H59" s="4">
        <f>E59*K41</f>
        <v>3.6588915670759943</v>
      </c>
      <c r="I59" s="4">
        <f t="shared" si="10"/>
        <v>2.0333170984597038</v>
      </c>
      <c r="J59" s="4">
        <f>I59*64/12</f>
        <v>10.844357858451753</v>
      </c>
      <c r="K59" s="4">
        <f>J59-J70</f>
        <v>-0.15874019828718211</v>
      </c>
      <c r="L59" s="4">
        <f t="shared" si="11"/>
        <v>-15.874019828718211</v>
      </c>
      <c r="M59" s="4">
        <f t="shared" si="12"/>
        <v>251.98450552253894</v>
      </c>
    </row>
    <row r="60" spans="1:13">
      <c r="A60" s="1"/>
      <c r="B60" s="4" t="s">
        <v>12</v>
      </c>
      <c r="C60" s="4" t="s">
        <v>64</v>
      </c>
      <c r="D60" s="4">
        <v>-1</v>
      </c>
      <c r="E60" s="4">
        <f>SIN((341+1/60)*PI()/180)/-1</f>
        <v>0.32529310048219029</v>
      </c>
      <c r="F60" s="4">
        <f>E60*H38</f>
        <v>0.54152051235755505</v>
      </c>
      <c r="G60" s="4">
        <f t="shared" si="9"/>
        <v>541.52051235755505</v>
      </c>
      <c r="H60" s="4">
        <f>E60*K41</f>
        <v>4.0287429994551909</v>
      </c>
      <c r="I60" s="4">
        <f t="shared" si="10"/>
        <v>1.8466521159954143</v>
      </c>
      <c r="J60" s="4"/>
      <c r="K60" s="4"/>
      <c r="L60" s="4"/>
      <c r="M60" s="4"/>
    </row>
    <row r="61" spans="1:13">
      <c r="A61" s="1"/>
      <c r="B61" s="4" t="s">
        <v>12</v>
      </c>
      <c r="C61" s="4" t="s">
        <v>65</v>
      </c>
      <c r="D61" s="4">
        <v>-1</v>
      </c>
      <c r="E61" s="4">
        <f>SIN((340+33/60)*PI()/180)/-1</f>
        <v>0.33298412234968389</v>
      </c>
      <c r="F61" s="4">
        <f>E61*H38</f>
        <v>0.554323876757429</v>
      </c>
      <c r="G61" s="4">
        <f t="shared" si="9"/>
        <v>554.32387675742905</v>
      </c>
      <c r="H61" s="4">
        <f>E61*K41</f>
        <v>4.1239960203812158</v>
      </c>
      <c r="I61" s="4">
        <f t="shared" si="10"/>
        <v>1.80399950629873</v>
      </c>
      <c r="J61" s="4"/>
      <c r="K61" s="4"/>
      <c r="L61" s="4"/>
      <c r="M61" s="4"/>
    </row>
    <row r="62" spans="1:13">
      <c r="A62" s="1"/>
      <c r="B62" s="4" t="s">
        <v>47</v>
      </c>
      <c r="C62" s="4" t="s">
        <v>66</v>
      </c>
      <c r="D62" s="4">
        <v>-1</v>
      </c>
      <c r="E62" s="4">
        <f>SIN((337+57/60)*PI()/180)/-1</f>
        <v>0.3754155712252833</v>
      </c>
      <c r="F62" s="4">
        <f>E62*H38</f>
        <v>0.62496017338077536</v>
      </c>
      <c r="G62" s="4">
        <f t="shared" si="9"/>
        <v>624.96017338077536</v>
      </c>
      <c r="H62" s="4">
        <f>E62*K41</f>
        <v>4.6495079428932984</v>
      </c>
      <c r="I62" s="4">
        <f t="shared" si="10"/>
        <v>1.6001019626425388</v>
      </c>
      <c r="J62" s="4">
        <f>I62*36/5</f>
        <v>11.520734131026279</v>
      </c>
      <c r="K62" s="4">
        <f>J62-J70</f>
        <v>0.51763607428734382</v>
      </c>
      <c r="L62" s="4">
        <f t="shared" si="11"/>
        <v>51.763607428734382</v>
      </c>
      <c r="M62" s="4">
        <f t="shared" si="12"/>
        <v>2679.4710540361252</v>
      </c>
    </row>
    <row r="63" spans="1:13">
      <c r="A63" s="1"/>
      <c r="B63" s="4" t="s">
        <v>47</v>
      </c>
      <c r="C63" s="4" t="s">
        <v>67</v>
      </c>
      <c r="D63" s="4">
        <v>-1</v>
      </c>
      <c r="E63" s="4">
        <f>SIN((336+40/60)*PI()/180)/-1</f>
        <v>0.39607976603915607</v>
      </c>
      <c r="F63" s="4">
        <f>E63*H38</f>
        <v>0.6593601817008945</v>
      </c>
      <c r="G63" s="4">
        <f t="shared" si="9"/>
        <v>659.36018170089449</v>
      </c>
      <c r="H63" s="4">
        <f>E63*K41</f>
        <v>4.9054332301876293</v>
      </c>
      <c r="I63" s="4">
        <f t="shared" si="10"/>
        <v>1.5166217611448516</v>
      </c>
      <c r="J63" s="4">
        <f>I63*36/5</f>
        <v>10.919676680242931</v>
      </c>
      <c r="K63" s="4">
        <f>J63-J70</f>
        <v>-8.3421376496003674E-2</v>
      </c>
      <c r="L63" s="4">
        <f t="shared" si="11"/>
        <v>-8.3421376496003674</v>
      </c>
      <c r="M63" s="4">
        <f t="shared" si="12"/>
        <v>69.591260564879946</v>
      </c>
    </row>
    <row r="64" spans="1:13">
      <c r="A64" s="1"/>
      <c r="B64" s="4" t="s">
        <v>47</v>
      </c>
      <c r="C64" s="4" t="s">
        <v>68</v>
      </c>
      <c r="D64" s="4">
        <v>-1</v>
      </c>
      <c r="E64" s="4">
        <f>SIN((336+17/60)*PI()/180)/-1</f>
        <v>0.40221411509812621</v>
      </c>
      <c r="F64" s="4">
        <f>E64*H38</f>
        <v>0.66957212852813897</v>
      </c>
      <c r="G64" s="4">
        <f t="shared" si="9"/>
        <v>669.57212852813893</v>
      </c>
      <c r="H64" s="4">
        <f>E64*K41</f>
        <v>4.9814069160448042</v>
      </c>
      <c r="I64" s="4">
        <f t="shared" si="10"/>
        <v>1.4934910779488557</v>
      </c>
      <c r="J64" s="4">
        <f>I64*36/5</f>
        <v>10.753135761231761</v>
      </c>
      <c r="K64" s="4">
        <f>J64-J70</f>
        <v>-0.2499622955071743</v>
      </c>
      <c r="L64" s="4">
        <f t="shared" si="11"/>
        <v>-24.99622955071743</v>
      </c>
      <c r="M64" s="4">
        <f t="shared" si="12"/>
        <v>624.81149175215933</v>
      </c>
    </row>
    <row r="65" spans="1:14">
      <c r="A65" s="1"/>
      <c r="B65" s="4" t="s">
        <v>4</v>
      </c>
      <c r="C65" s="4" t="s">
        <v>69</v>
      </c>
      <c r="D65" s="4">
        <v>-2</v>
      </c>
      <c r="E65" s="4">
        <f>SIN((327+35/60)*PI()/180)/-2</f>
        <v>0.26803618867178119</v>
      </c>
      <c r="F65" s="4">
        <f>E65*H38</f>
        <v>0.44620403569812578</v>
      </c>
      <c r="G65" s="4">
        <f t="shared" si="9"/>
        <v>446.20403569812578</v>
      </c>
      <c r="H65" s="4">
        <f>E65*K41</f>
        <v>3.3196182676835182</v>
      </c>
      <c r="I65" s="4">
        <f t="shared" si="10"/>
        <v>2.2411271974163376</v>
      </c>
      <c r="J65" s="4">
        <f>I65*100/21</f>
        <v>10.672034273411132</v>
      </c>
      <c r="K65" s="4">
        <f>J65-J70</f>
        <v>-0.33106378332780295</v>
      </c>
      <c r="L65" s="4">
        <f t="shared" si="11"/>
        <v>-33.106378332780295</v>
      </c>
      <c r="M65" s="4">
        <f t="shared" si="12"/>
        <v>1096.0322863131846</v>
      </c>
    </row>
    <row r="66" spans="1:14">
      <c r="A66" s="1"/>
      <c r="B66" s="4" t="s">
        <v>12</v>
      </c>
      <c r="C66" s="4" t="s">
        <v>70</v>
      </c>
      <c r="D66" s="4">
        <v>-2</v>
      </c>
      <c r="E66" s="4">
        <f>SIN((323+0/60)*PI()/180)/-2</f>
        <v>0.30090751157602413</v>
      </c>
      <c r="F66" s="4">
        <f>E66*H38</f>
        <v>0.50092544108480674</v>
      </c>
      <c r="G66" s="4">
        <f t="shared" si="9"/>
        <v>500.92544108480672</v>
      </c>
      <c r="H66" s="4">
        <f>E66*K41</f>
        <v>3.7267283841815173</v>
      </c>
      <c r="I66" s="4">
        <f t="shared" si="10"/>
        <v>1.9963050745324389</v>
      </c>
      <c r="J66" s="4">
        <f>I66*64/12</f>
        <v>10.646960397506341</v>
      </c>
      <c r="K66" s="4">
        <f>J66-J70</f>
        <v>-0.35613765923259422</v>
      </c>
      <c r="L66" s="4">
        <f t="shared" si="11"/>
        <v>-35.613765923259422</v>
      </c>
      <c r="M66" s="4">
        <f t="shared" si="12"/>
        <v>1268.3403232367141</v>
      </c>
    </row>
    <row r="67" spans="1:14">
      <c r="A67" s="1"/>
      <c r="B67" s="4" t="s">
        <v>47</v>
      </c>
      <c r="C67" s="4" t="s">
        <v>71</v>
      </c>
      <c r="D67" s="4">
        <v>-2</v>
      </c>
      <c r="E67" s="4">
        <f>SIN((304+1/60)*PI()/180)/-2</f>
        <v>0.41443743743022299</v>
      </c>
      <c r="F67" s="4">
        <f>E67*H38</f>
        <v>0.68992048440220088</v>
      </c>
      <c r="G67" s="4">
        <f t="shared" si="9"/>
        <v>689.92048440220083</v>
      </c>
      <c r="H67" s="4">
        <f>E67*K41</f>
        <v>5.1327923103323645</v>
      </c>
      <c r="I67" s="4">
        <f t="shared" si="10"/>
        <v>1.4494423960559388</v>
      </c>
      <c r="J67" s="4">
        <f>I67*36/5</f>
        <v>10.43598525160276</v>
      </c>
      <c r="K67" s="4">
        <f>J67-J70</f>
        <v>-0.56711280513617446</v>
      </c>
      <c r="L67" s="4">
        <f t="shared" si="11"/>
        <v>-56.711280513617446</v>
      </c>
      <c r="M67" s="4">
        <f t="shared" si="12"/>
        <v>3216.169337494206</v>
      </c>
    </row>
    <row r="68" spans="1:14">
      <c r="A68" s="1"/>
      <c r="B68" s="4" t="s">
        <v>12</v>
      </c>
      <c r="C68" s="4" t="s">
        <v>72</v>
      </c>
      <c r="D68" s="4">
        <v>-3</v>
      </c>
      <c r="E68" s="4">
        <f>SIN((290+35/60)*PI()/180)/-3</f>
        <v>0.31205394757386173</v>
      </c>
      <c r="F68" s="4">
        <f>E68*H38</f>
        <v>0.51948108743439836</v>
      </c>
      <c r="G68" s="4">
        <f t="shared" si="9"/>
        <v>519.48108743439832</v>
      </c>
      <c r="H68" s="4">
        <f>E68*K41</f>
        <v>3.8647765811109882</v>
      </c>
      <c r="I68" s="4">
        <f t="shared" si="10"/>
        <v>1.9249978953782085</v>
      </c>
      <c r="J68" s="4">
        <f>I68*64/12</f>
        <v>10.266655442017113</v>
      </c>
      <c r="K68" s="4">
        <f>J68-J70</f>
        <v>-0.73644261472182215</v>
      </c>
      <c r="L68" s="4">
        <f t="shared" si="11"/>
        <v>-73.644261472182222</v>
      </c>
      <c r="M68" s="4">
        <f t="shared" si="12"/>
        <v>5423.477247783143</v>
      </c>
    </row>
    <row r="69" spans="1:14">
      <c r="J69" s="1">
        <f>SUM(J45:J68)</f>
        <v>220.0619611347787</v>
      </c>
      <c r="K69" s="1" t="s">
        <v>79</v>
      </c>
      <c r="M69" s="1">
        <f>SUM(M45:M68)</f>
        <v>26958.235969758076</v>
      </c>
      <c r="N69" s="1" t="s">
        <v>79</v>
      </c>
    </row>
    <row r="70" spans="1:14">
      <c r="J70" s="1">
        <f>J69/20</f>
        <v>11.003098056738935</v>
      </c>
      <c r="K70" s="1" t="s">
        <v>88</v>
      </c>
      <c r="M70" s="1">
        <f>SQRT(M69/20/19)</f>
        <v>8.4227505148974622</v>
      </c>
      <c r="N70" s="1" t="s">
        <v>82</v>
      </c>
    </row>
  </sheetData>
  <phoneticPr fontId="1"/>
  <pageMargins left="0.75" right="0.75" top="1" bottom="1" header="0.51200000000000001" footer="0.51200000000000001"/>
  <pageSetup paperSize="9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 moveWithCells="1">
              <from>
                <xdr:col>7</xdr:col>
                <xdr:colOff>260350</xdr:colOff>
                <xdr:row>0</xdr:row>
                <xdr:rowOff>171450</xdr:rowOff>
              </from>
              <to>
                <xdr:col>7</xdr:col>
                <xdr:colOff>533400</xdr:colOff>
                <xdr:row>2</xdr:row>
                <xdr:rowOff>6350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r:id="rId7">
            <anchor moveWithCells="1">
              <from>
                <xdr:col>8</xdr:col>
                <xdr:colOff>368300</xdr:colOff>
                <xdr:row>0</xdr:row>
                <xdr:rowOff>171450</xdr:rowOff>
              </from>
              <to>
                <xdr:col>8</xdr:col>
                <xdr:colOff>501650</xdr:colOff>
                <xdr:row>1</xdr:row>
                <xdr:rowOff>171450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r:id="rId9">
            <anchor moveWithCells="1">
              <from>
                <xdr:col>10</xdr:col>
                <xdr:colOff>254000</xdr:colOff>
                <xdr:row>0</xdr:row>
                <xdr:rowOff>158750</xdr:rowOff>
              </from>
              <to>
                <xdr:col>10</xdr:col>
                <xdr:colOff>425450</xdr:colOff>
                <xdr:row>2</xdr:row>
                <xdr:rowOff>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r:id="rId11">
            <anchor moveWithCells="1">
              <from>
                <xdr:col>9</xdr:col>
                <xdr:colOff>95250</xdr:colOff>
                <xdr:row>0</xdr:row>
                <xdr:rowOff>171450</xdr:rowOff>
              </from>
              <to>
                <xdr:col>9</xdr:col>
                <xdr:colOff>228600</xdr:colOff>
                <xdr:row>1</xdr:row>
                <xdr:rowOff>171450</xdr:rowOff>
              </to>
            </anchor>
          </objectPr>
        </oleObject>
      </mc:Choice>
      <mc:Fallback>
        <oleObject progId="Equation.3" shapeId="1029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27"/>
    </sheetView>
  </sheetViews>
  <sheetFormatPr defaultRowHeight="14"/>
  <cols>
    <col min="1" max="1" width="9" style="1" customWidth="1"/>
    <col min="2" max="2" width="6.6328125" style="1" customWidth="1"/>
    <col min="3" max="3" width="12.6328125" style="1" bestFit="1" customWidth="1"/>
    <col min="4" max="4" width="6.36328125" style="1" customWidth="1"/>
    <col min="5" max="5" width="9" style="1" customWidth="1"/>
    <col min="6" max="6" width="11.6328125" style="1" bestFit="1" customWidth="1"/>
  </cols>
  <sheetData/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Hgランプ</vt:lpstr>
      <vt:lpstr>Hランプ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</dc:creator>
  <cp:lastModifiedBy>桜庭玉藻</cp:lastModifiedBy>
  <cp:lastPrinted>2006-06-24T07:57:52Z</cp:lastPrinted>
  <dcterms:created xsi:type="dcterms:W3CDTF">2006-06-21T16:21:40Z</dcterms:created>
  <dcterms:modified xsi:type="dcterms:W3CDTF">2014-08-09T09:55:41Z</dcterms:modified>
</cp:coreProperties>
</file>